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/>
  <mc:AlternateContent xmlns:mc="http://schemas.openxmlformats.org/markup-compatibility/2006">
    <mc:Choice Requires="x15">
      <x15ac:absPath xmlns:x15ac="http://schemas.microsoft.com/office/spreadsheetml/2010/11/ac" url="C:\Users\pnr-base-buh-02\Desktop\СВОД таблиц затрат\"/>
    </mc:Choice>
  </mc:AlternateContent>
  <xr:revisionPtr revIDLastSave="0" documentId="13_ncr:1_{3414BB86-FF3C-4BC6-B242-ED8F5640B050}" xr6:coauthVersionLast="47" xr6:coauthVersionMax="47" xr10:uidLastSave="{00000000-0000-0000-0000-000000000000}"/>
  <bookViews>
    <workbookView xWindow="-120" yWindow="-120" windowWidth="29040" windowHeight="15840" tabRatio="170" firstSheet="1" activeTab="1" xr2:uid="{00000000-000D-0000-FFFF-FFFF00000000}"/>
  </bookViews>
  <sheets>
    <sheet name="ИТОГ" sheetId="1" state="hidden" r:id="rId1"/>
    <sheet name="ИТОГ (Утв. 2026-верно" sheetId="2" r:id="rId2"/>
  </sheets>
  <externalReferences>
    <externalReference r:id="rId3"/>
    <externalReference r:id="rId4"/>
    <externalReference r:id="rId5"/>
    <externalReference r:id="rId6"/>
    <externalReference r:id="rId7"/>
  </externalReferences>
  <definedNames>
    <definedName name="_xlnm._FilterDatabase" localSheetId="0">ИТОГ!$AB$81:$AG$429</definedName>
    <definedName name="ALL_SAVINGS_PRELOAD_TEST_AREA" localSheetId="1">'[1]Общая экономия'!#REF!</definedName>
    <definedName name="ALL_SAVINGS_PRELOAD_TEST_AREA">'[1]Общая экономия'!#REF!</definedName>
    <definedName name="ALL_SAVINGS_TESTPRELOAD" localSheetId="1">'[1]Общая экономия'!#REF!</definedName>
    <definedName name="ALL_SAVINGS_TESTPRELOAD">'[1]Общая экономия'!#REF!</definedName>
    <definedName name="AMOR_EQUIPMENT_PRELOAD_TEST_AREA" localSheetId="1">[1]Амортизация!#REF!</definedName>
    <definedName name="AMOR_EQUIPMENT_PRELOAD_TEST_AREA">[1]Амортизация!#REF!</definedName>
    <definedName name="AMOR_TESTPRELOAD" localSheetId="1">[1]Амортизация!#REF!</definedName>
    <definedName name="AMOR_TESTPRELOAD">[1]Амортизация!#REF!</definedName>
    <definedName name="amort_group_list">[1]TECHSHEET!$CH$2:$CH$11</definedName>
    <definedName name="anscount">1</definedName>
    <definedName name="assignment_list_nalogearth">[1]TECHSHEET!$BU$2:$BU$3</definedName>
    <definedName name="assignment_list_rentearth">[1]TECHSHEET!$BW$2:$BW$13</definedName>
    <definedName name="assignment_list_rentearth_directory">[1]TECHSHEET!$BX$2:$BX$13</definedName>
    <definedName name="AUTHORIZED_PERSON">[1]Титульный!$AD$79</definedName>
    <definedName name="BALANCE_PP_MO_TESTPRELOAD" localSheetId="1">'[1]Баланс ПП МО'!#REF!</definedName>
    <definedName name="BALANCE_PP_MO_TESTPRELOAD">'[1]Баланс ПП МО'!#REF!</definedName>
    <definedName name="base_rasred">[1]Списки!$L$4:$L$6</definedName>
    <definedName name="BASE_ZEM_UCH">[1]TECHSHEET!$EK$2:$EK$3</definedName>
    <definedName name="BESHOZ_PRELOAD_TEST_AREA" localSheetId="1">[1]Бесхоз!#REF!</definedName>
    <definedName name="BESHOZ_PRELOAD_TEST_AREA">[1]Бесхоз!#REF!</definedName>
    <definedName name="BILL_23_PRELOAD_TEST_AREA" localSheetId="1">'[1]Счет 23'!#REF!</definedName>
    <definedName name="BILL_23_PRELOAD_TEST_AREA">'[1]Счет 23'!#REF!</definedName>
    <definedName name="BILL_23_REG_DATA">'[1]Счет 23'!$BY$92:$BY$239,'[1]Счет 23'!$BZ$92:$BZ$239,'[1]Счет 23'!$CC$92:$CC$239,'[1]Счет 23'!$CE$93:$CE$239,'[1]Счет 23'!$CG$93:$CG$239,'[1]Счет 23'!$CI$93:$CI$239,'[1]Счет 23'!$CK$93:$CK$239</definedName>
    <definedName name="BILL_23_TESTPRELOAD" localSheetId="1">'[1]Счет 23'!#REF!</definedName>
    <definedName name="BILL_23_TESTPRELOAD">'[1]Счет 23'!#REF!</definedName>
    <definedName name="BILL_25_PRELOAD_TEST_AREA" localSheetId="1">'[1]Счет 25'!#REF!</definedName>
    <definedName name="BILL_25_PRELOAD_TEST_AREA">'[1]Счет 25'!#REF!</definedName>
    <definedName name="BILL_25_REG_DATA">'[1]Счет 25'!$BY$93:$BY$177,'[1]Счет 25'!$CC$93:$CC$177,'[1]Счет 25'!$CE$93:$CE$177,'[1]Счет 25'!$CG$93:$CG$177,'[1]Счет 25'!$CI$93:$CI$177,'[1]Счет 25'!$CK$93:$CK$177</definedName>
    <definedName name="BILL_25_TESTPRELOAD" localSheetId="1">'[1]Счет 25'!#REF!</definedName>
    <definedName name="BILL_25_TESTPRELOAD">'[1]Счет 25'!#REF!</definedName>
    <definedName name="BILL_26_PRELOAD_TEST_AREA" localSheetId="1">[1]Адм.расходы!#REF!</definedName>
    <definedName name="BILL_26_PRELOAD_TEST_AREA">[1]Адм.расходы!#REF!</definedName>
    <definedName name="BILL_26_REG_DATA">[1]Адм.расходы!$BY$92:$BY$203,[1]Адм.расходы!$CE$92:$CE$203,[1]Адм.расходы!$CG$92:$CG$203,[1]Адм.расходы!$CI$92:$CI$203,[1]Адм.расходы!$CK$92:$CK$203</definedName>
    <definedName name="BILL_26_TESTPRELOAD" localSheetId="1">[1]Адм.расходы!#REF!</definedName>
    <definedName name="BILL_26_TESTPRELOAD">[1]Адм.расходы!#REF!</definedName>
    <definedName name="Button_1">"НоваяОборотка_Лист1_Таблица"</definedName>
    <definedName name="CACL_TARIFF_REG_DATA">'[1]Расчет тарифа(корректировка) МИ'!$U$92:$U$138,'[1]Расчет тарифа(корректировка) МИ'!$Y$92:$Y$138,'[1]Расчет тарифа(корректировка) МИ'!$AD$92:$AD$138,'[1]Расчет тарифа(корректировка) МИ'!$AH$92:$AH$138,'[1]Расчет тарифа(корректировка) МИ'!$AL$92:$AL$138,'[1]Расчет тарифа(корректировка) МИ'!$AP$92:$AP$138,'[1]Расчет тарифа(корректировка) МИ'!$AT$92:$AT$139</definedName>
    <definedName name="CALC_COST_FACT">[1]TECHSHEET!$Q$2:$Q$3</definedName>
    <definedName name="CALC_METHOD">'[1]Настройка списков'!$F$21:$F$23</definedName>
    <definedName name="CALC_OR">[1]TECHSHEET!$P$2:$P$3</definedName>
    <definedName name="CALC_TARIFF_ANALOG_PRELOAD_TEST_AREA" localSheetId="1">'[1]Расчет тарифа (аналог)'!#REF!</definedName>
    <definedName name="CALC_TARIFF_ANALOG_PRELOAD_TEST_AREA">'[1]Расчет тарифа (аналог)'!#REF!</definedName>
    <definedName name="CALC_TAX_PRELOAD_TEST_AREA" localSheetId="1">'[1]Расчет тарифа (аналог)'!#REF!</definedName>
    <definedName name="CALC_TAX_PRELOAD_TEST_AREA">'[1]Расчет тарифа (аналог)'!#REF!</definedName>
    <definedName name="CALC_TAX_REG_DATA">'[1]Расчет тарифа (аналог)'!$AN$92:$AN$112,'[1]Расчет тарифа (аналог)'!$AP$92:$AP$112,'[1]Расчет тарифа (аналог)'!$AT$92:$AT$112,'[1]Расчет тарифа (аналог)'!$AW$92:$AW$112</definedName>
    <definedName name="CALC_TAX_TESTPRELOAD" localSheetId="1">'[1]Расчет тарифа (аналог)'!#REF!</definedName>
    <definedName name="CALC_TAX_TESTPRELOAD">'[1]Расчет тарифа (аналог)'!#REF!</definedName>
    <definedName name="CALC_VOLUME">[1]TECHSHEET!$R$2:$R$3</definedName>
    <definedName name="CHECK_LINK_RANGE_1">"Калькуляция!$I$11:$I$132"</definedName>
    <definedName name="choice_ee_list">[1]TECHSHEET!$BC$2:$BC$3</definedName>
    <definedName name="CON_METERS_PRELOAD_TEST_AREA" localSheetId="1">'[1]Условные метры'!#REF!</definedName>
    <definedName name="CON_METERS_PRELOAD_TEST_AREA">'[1]Условные метры'!#REF!</definedName>
    <definedName name="CON_METERS_REG_DATA">'[1]Условные метры'!$BB$93:$BC$171,'[1]Условные метры'!$BF$93:$BG$171,'[1]Условные метры'!$BJ$93:$BK$171,'[1]Условные метры'!$BN$93:$BO$171,'[1]Условные метры'!$BR$93:$BS$171,'[1]Условные метры'!$BV$93:$BW$171</definedName>
    <definedName name="CON_METERS_TESTPRELOAD" localSheetId="1">'[1]Условные метры'!#REF!</definedName>
    <definedName name="CON_METERS_TESTPRELOAD">'[1]Условные метры'!#REF!</definedName>
    <definedName name="COR_FACT_PRELOAD_TEST_AREA" localSheetId="1">'[1]Корр по факту'!#REF!</definedName>
    <definedName name="COR_FACT_PRELOAD_TEST_AREA">'[1]Корр по факту'!#REF!</definedName>
    <definedName name="COR_FACT_TESTPRELOAD" localSheetId="1">'[1]Корр по факту'!#REF!</definedName>
    <definedName name="COR_FACT_TESTPRELOAD">'[1]Корр по факту'!#REF!</definedName>
    <definedName name="COSTS_PRELOAD_TEST_AREA" localSheetId="1">'[1]Корр по периодам'!#REF!</definedName>
    <definedName name="COSTS_PRELOAD_TEST_AREA">'[1]Корр по периодам'!#REF!</definedName>
    <definedName name="COSTS_TESTPRELOAD" localSheetId="1">'[1]Корр по периодам'!#REF!</definedName>
    <definedName name="COSTS_TESTPRELOAD">'[1]Корр по периодам'!#REF!</definedName>
    <definedName name="DATA_VALUE">"NO"</definedName>
    <definedName name="Database">[1]TECHSHEET!$L$29:$L$31</definedName>
    <definedName name="Database_reestrsource">[1]TECHSHEET!$L$29:$L$30</definedName>
    <definedName name="DAY_31">[1]TECHSHEET!$I$38:$I$68</definedName>
    <definedName name="deep_ground">[1]TECHSHEET!$DI$2:$DI$5</definedName>
    <definedName name="DemoDate">"test"</definedName>
    <definedName name="DICTIONARY_EQUIPMENT_BASE">[1]Списки!$A$43:$A$46</definedName>
    <definedName name="DICTIONARY_EQUIPMENT_TYPE_TARIFF">[1]TECHSHEET!$AL$27:$AL$28</definedName>
    <definedName name="DICTIONARY_TYPE_EQUIPMENT">[1]TECHSHEET!$AL$22:$AL$25</definedName>
    <definedName name="DICTIONARY_VD">[1]TECHSHEET!$AJ$2:$AJ$3</definedName>
    <definedName name="DIFF_FEATURE_VBLAG_LIST">[1]TECHSHEET!$GF$3:$GF$89</definedName>
    <definedName name="DIFFERENC">[1]TECHSHEET!$AO$17:$AO$19</definedName>
    <definedName name="DOCUMENT_TYPES">'[1]Новые списки'!$C$3:$C$10</definedName>
    <definedName name="DOCUMENTS_ADD_HL_MARKER">[2]Документы!$AB$499</definedName>
    <definedName name="DOCUMENTS_DELETE_COLUMN_MARKER">[2]Документы!$Z$84</definedName>
    <definedName name="DOCUMENTS_NUM_COLUMN_MARKER">[2]Документы!$AA$71</definedName>
    <definedName name="DOCUMENTS_START_CELL">[2]Документы!$Z$71</definedName>
    <definedName name="DOCUMENTS_URL_COLUMN">[2]Документы!$AG$83:$AG$499</definedName>
    <definedName name="documents_vis_flags">[2]Документы!$A$175:$A$500</definedName>
    <definedName name="documents_vis_reg_flags">[2]Документы!$B$84:$B$494</definedName>
    <definedName name="dop_priznak_list_hvs">[1]LIST_DPR!$A$1</definedName>
    <definedName name="ECON_EE_PRELOAD_TEST_AREA" localSheetId="1">'[1]Экон. ЭЭ'!#REF!</definedName>
    <definedName name="ECON_EE_PRELOAD_TEST_AREA">'[1]Экон. ЭЭ'!#REF!</definedName>
    <definedName name="ECON_EE_TESTPRELOAD" localSheetId="1">'[1]Экон. ЭЭ'!#REF!</definedName>
    <definedName name="ECON_EE_TESTPRELOAD">'[1]Экон. ЭЭ'!#REF!</definedName>
    <definedName name="ECON_OR_PRELOAD_TEST_AREA" localSheetId="1">'[1]Экон. ОР'!#REF!</definedName>
    <definedName name="ECON_OR_PRELOAD_TEST_AREA">'[1]Экон. ОР'!#REF!</definedName>
    <definedName name="ECON_OTH_PRELOAD_TEST_AREA" localSheetId="1">'[1]Экон. проч'!#REF!</definedName>
    <definedName name="ECON_OTH_PRELOAD_TEST_AREA">'[1]Экон. проч'!#REF!</definedName>
    <definedName name="ECON_OTHER_PRELOAD_TEST_AREA" localSheetId="1">'[1]Экон. проч'!#REF!</definedName>
    <definedName name="ECON_OTHER_PRELOAD_TEST_AREA">'[1]Экон. проч'!#REF!</definedName>
    <definedName name="ECON_OTHER_TESTPRELOAD" localSheetId="1">'[1]Экон. проч'!#REF!</definedName>
    <definedName name="ECON_OTHER_TESTPRELOAD">'[1]Экон. проч'!#REF!</definedName>
    <definedName name="ECONOM_OR_PRELOAD_TEST_AREA" localSheetId="1">'[1]Экон. ОР'!#REF!</definedName>
    <definedName name="ECONOM_OR_PRELOAD_TEST_AREA">'[1]Экон. ОР'!#REF!</definedName>
    <definedName name="ECONOM_OR_TESTPRELOAD" localSheetId="1">'[1]Экон. ОР'!#REF!</definedName>
    <definedName name="ECONOM_OR_TESTPRELOAD">'[1]Экон. ОР'!#REF!</definedName>
    <definedName name="Economic_district_list">[1]TECHSHEET!$BL$2:$BL$13</definedName>
    <definedName name="ECONOMIC_REGION1">[1]Налоги!$AU$95</definedName>
    <definedName name="EE_PERIOD">'[1]Общие настройки'!$G$60</definedName>
    <definedName name="EE_PERIOD_VALUE">[1]TECHSHEET!$AU$2:$AU$3</definedName>
    <definedName name="EE_PRELOAD_TEST_AREA" localSheetId="1">[1]ЭЭ!#REF!</definedName>
    <definedName name="EE_PRELOAD_TEST_AREA">[1]ЭЭ!#REF!</definedName>
    <definedName name="EE_TESTPRELOAD" localSheetId="1">[1]ЭЭ!#REF!</definedName>
    <definedName name="EE_TESTPRELOAD">[1]ЭЭ!#REF!</definedName>
    <definedName name="END_COLUMN_ITOG" localSheetId="1">'ИТОГ (Утв. 2026-верно'!#REF!</definedName>
    <definedName name="END_COLUMN_ITOG">ИТОГ!#REF!</definedName>
    <definedName name="END_ROW_ITOG" localSheetId="1">'ИТОГ (Утв. 2026-верно'!$AB$427</definedName>
    <definedName name="END_ROW_ITOG">ИТОГ!$AB$429</definedName>
    <definedName name="ESTIMATE_ADJUSTMENT">[1]Смета!$K$94,[1]Смета!$O$94:$P$94,[1]Смета!$K$108,[1]Смета!$O$108,[1]Смета!$P$108,[1]Смета!$P$119:$P$122,[1]Смета!$O$119:$O$122,[1]Смета!$K$119:$K$122,[1]Смета!$P$125,[1]Смета!$O$125,[1]Смета!$K$125,[1]Смета!$P$131:$P$132,[1]Смета!$O$131:$O$132,[1]Смета!$K$131:$K$132,[1]Смета!$P$137:$P$169,[1]Смета!$O$137:$O$169,[1]Смета!$K$137:$K$169,[1]Смета!$K$170,[1]Смета!$O$170:$P$170</definedName>
    <definedName name="FHD_PRELOAD_TEST_AREA" localSheetId="1">'[1]Анализ ФХД'!#REF!</definedName>
    <definedName name="FHD_PRELOAD_TEST_AREA">'[1]Анализ ФХД'!#REF!</definedName>
    <definedName name="FHD_TESTPRELOAD" localSheetId="1">'[1]Анализ ФХД'!#REF!</definedName>
    <definedName name="FHD_TESTPRELOAD">'[1]Анализ ФХД'!#REF!</definedName>
    <definedName name="FILLING_MODE">[1]Титульный!$AD$12</definedName>
    <definedName name="FIO_DIRECTOR">[1]Титульный!$AD$37</definedName>
    <definedName name="FIRST_DATE_IN_LT">[1]Титульный!$AD$76</definedName>
    <definedName name="FIRST_PERIOD_IN_LT">[1]Титульный!$AD$64</definedName>
    <definedName name="FOT_ON_VD_PRELOAD_TEST_AREA" localSheetId="1">'[1]ФОТ (по ВД)'!#REF!</definedName>
    <definedName name="FOT_ON_VD_PRELOAD_TEST_AREA">'[1]ФОТ (по ВД)'!#REF!</definedName>
    <definedName name="FOT_ON_VD_TESTPRELOAD" localSheetId="1">'[1]ФОТ (по ВД)'!#REF!</definedName>
    <definedName name="FOT_ON_VD_TESTPRELOAD">'[1]ФОТ (по ВД)'!#REF!</definedName>
    <definedName name="FOT_PRELOAD_TEST_AREA" localSheetId="1">[1]ФОТ!#REF!</definedName>
    <definedName name="FOT_PRELOAD_TEST_AREA">[1]ФОТ!#REF!</definedName>
    <definedName name="FOT_TESTPRELOAD" localSheetId="1">[1]ФОТ!#REF!</definedName>
    <definedName name="FOT_TESTPRELOAD">[1]ФОТ!#REF!</definedName>
    <definedName name="FUEL_LIST">'[1]Настройка списков'!$F$30:$F$72</definedName>
    <definedName name="FUEL_PERIOD">'[1]Общие настройки'!$G$61</definedName>
    <definedName name="FUEL_PERIOD_VALUE">[1]TECHSHEET!$AU$6:$AU$8</definedName>
    <definedName name="FUEL_PRELOAD_TEST_AREA" localSheetId="1">[1]Топливо!#REF!</definedName>
    <definedName name="FUEL_PRELOAD_TEST_AREA">[1]Топливо!#REF!</definedName>
    <definedName name="FUEL_TESTPRELOAD" localSheetId="1">[1]Топливо!#REF!</definedName>
    <definedName name="FUEL_TESTPRELOAD">[1]Топливо!#REF!</definedName>
    <definedName name="GENERAL_INDICATORS_TESTPRELOAD" localSheetId="1">'[1]Общие показатели'!#REF!</definedName>
    <definedName name="GENERAL_INDICATORS_TESTPRELOAD">'[1]Общие показатели'!#REF!</definedName>
    <definedName name="god">[1]Титульный!$AD$14</definedName>
    <definedName name="god_reagenty">[1]TECHSHEET!$DE$2</definedName>
    <definedName name="group_index_1">[1]TECHSHEET!$FN$2:$FN$5</definedName>
    <definedName name="group_index_2">[1]TECHSHEET!$FP$2:$FP$4</definedName>
    <definedName name="GUID_VALUE">"NO"</definedName>
    <definedName name="HP_REG_DATA">[1]НР!$Z$92:$Z$132,[1]НР!$AD$92:$AD$132,[1]НР!$AH$92:$AH$132,[1]НР!$AL$92:$AL$132</definedName>
    <definedName name="HTML_Header">"Лист1"</definedName>
    <definedName name="HTML_LineAfter">FALSE()</definedName>
    <definedName name="HTML_LineBefore">FALSE()</definedName>
    <definedName name="HTML_OBDlg2">TRUE()</definedName>
    <definedName name="HTML_OBDlg4">TRUE()</definedName>
    <definedName name="HTML_Title">"Климатические зоны Томской области"</definedName>
    <definedName name="IIKA_REG_DATA">[1]ИИКА!$W$92:$W$98,[1]ИИКА!$AA$92:$AA$98,[1]ИИКА!$AC$92:$AC$98,[1]ИИКА!$AE$92:$AE$98,[1]ИИКА!$AG$92:$AG$98,[1]ИИКА!$AI$92:$AI$98</definedName>
    <definedName name="ind_ee_0">[1]Индексы!$AK$95</definedName>
    <definedName name="ind_ee_0_vr">[1]Индексы!$AX$95</definedName>
    <definedName name="ind_ee_1_vr">[1]Индексы!$AY$95</definedName>
    <definedName name="ind_ee_2_vr">[1]Индексы!$AZ$95</definedName>
    <definedName name="ind_ee_3_vr">[1]Индексы!$BA$95</definedName>
    <definedName name="ind_ee_4_vr">[1]Индексы!$BB$95</definedName>
    <definedName name="ind_ee_m1ozh">[1]Индексы!$AJ$95</definedName>
    <definedName name="ind_ee_m1ozh_vr">[1]Индексы!$AW$95</definedName>
    <definedName name="ind_ipc_0_vr">[1]Индексы!$AX$93</definedName>
    <definedName name="ind_ipc_1_vr">[1]Индексы!$AY$93</definedName>
    <definedName name="ind_ipc_2_vr">[1]Индексы!$AZ$93</definedName>
    <definedName name="ind_ipc_3_vr">[1]Индексы!$BA$93</definedName>
    <definedName name="ind_ipc_4_vr">[1]Индексы!$BB$93</definedName>
    <definedName name="ind_ipc_m1ozh">[1]Индексы!$AJ$93</definedName>
    <definedName name="ind_ipc_m1ozh_vr">[1]Индексы!$AW$93</definedName>
    <definedName name="ind_ipc_m2f">[1]Индексы!$AH$93</definedName>
    <definedName name="ind_ipc_m2f_vr">[1]Индексы!$AU$93</definedName>
    <definedName name="INDEX_TESTPRELOAD" localSheetId="1">[1]Индексы!#REF!</definedName>
    <definedName name="INDEX_TESTPRELOAD">[1]Индексы!#REF!</definedName>
    <definedName name="INDEXS_PRELOAD_TEST_AREA" localSheetId="1">[1]Индексы!#REF!</definedName>
    <definedName name="INDEXS_PRELOAD_TEST_AREA">[1]Индексы!#REF!</definedName>
    <definedName name="INDICATORS_PRELOAD_TEST_AREA" localSheetId="1">[1]Показатели!#REF!</definedName>
    <definedName name="INDICATORS_PRELOAD_TEST_AREA">[1]Показатели!#REF!</definedName>
    <definedName name="INDICATORS_TESTPRELOAD" localSheetId="1">[1]Показатели!#REF!</definedName>
    <definedName name="INDICATORS_TESTPRELOAD">[1]Показатели!#REF!</definedName>
    <definedName name="inn">[1]Титульный!$AD$25</definedName>
    <definedName name="isFIRST_PERIOD">[1]Титульный!$AD$62</definedName>
    <definedName name="ISSUE_TESTPRELOAD" localSheetId="1">'[1]Отпуск воды'!#REF!</definedName>
    <definedName name="ISSUE_TESTPRELOAD">'[1]Отпуск воды'!#REF!</definedName>
    <definedName name="ISSUE_WATER_PRELOAD_TEST_AREA" localSheetId="1">'[1]Отпуск воды'!#REF!</definedName>
    <definedName name="ISSUE_WATER_PRELOAD_TEST_AREA">'[1]Отпуск воды'!#REF!</definedName>
    <definedName name="ITOG_BASE" localSheetId="1">'ИТОГ (Утв. 2026-верно'!$95:$426</definedName>
    <definedName name="ITOG_BASE">ИТОГ!$96:$428</definedName>
    <definedName name="ITOG_PRELOAD" localSheetId="1">'ИТОГ (Утв. 2026-верно'!$AE$95:$AG$395</definedName>
    <definedName name="ITOG_PRELOAD">ИТОГ!$AE$96:$AG$398</definedName>
    <definedName name="ITOG_PRELOAD_spec1" localSheetId="1">'ИТОГ (Утв. 2026-верно'!$AE$192:$AG$192</definedName>
    <definedName name="ITOG_PRELOAD_spec1">ИТОГ!$AE$196:$AG$196</definedName>
    <definedName name="ITOG_PRELOAD_TEST_AREA" localSheetId="1">'ИТОГ (Утв. 2026-верно'!#REF!</definedName>
    <definedName name="ITOG_PRELOAD_TEST_AREA">ИТОГ!#REF!</definedName>
    <definedName name="ITOG_PRELOAD_WO_ZERO_1" localSheetId="1">'ИТОГ (Утв. 2026-верно'!#REF!</definedName>
    <definedName name="ITOG_PRELOAD_WO_ZERO_1">ИТОГ!#REF!</definedName>
    <definedName name="ITOG_PRELOAD_WO_ZERO_2" localSheetId="1">'ИТОГ (Утв. 2026-верно'!$AE$1:$AG$70</definedName>
    <definedName name="ITOG_PRELOAD_WO_ZERO_2">ИТОГ!$AE$1:$AG$70</definedName>
    <definedName name="ITOG_PRELOAD_ZERO_1" localSheetId="1">'ИТОГ (Утв. 2026-верно'!#REF!</definedName>
    <definedName name="ITOG_PRELOAD_ZERO_1">ИТОГ!#REF!</definedName>
    <definedName name="ITOG_START_CELL" localSheetId="1">'ИТОГ (Утв. 2026-верно'!#REF!</definedName>
    <definedName name="ITOG_START_CELL">ИТОГ!#REF!</definedName>
    <definedName name="ITOG_TESTPRELOAD" localSheetId="1">'ИТОГ (Утв. 2026-верно'!#REF!</definedName>
    <definedName name="ITOG_TESTPRELOAD">ИТОГ!#REF!</definedName>
    <definedName name="ITOG_vis_flags" localSheetId="1">'ИТОГ (Утв. 2026-верно'!$A$95:$A$427</definedName>
    <definedName name="ITOG_vis_flags">ИТОГ!$A$96:$A$429</definedName>
    <definedName name="ITOG_vis_flags_2" localSheetId="1">'ИТОГ (Утв. 2026-верно'!$AE$1:$AG$1</definedName>
    <definedName name="ITOG_vis_flags_2">ИТОГ!$AE$1:$AG$1</definedName>
    <definedName name="ITOG_vis_flags_3" localSheetId="1">'ИТОГ (Утв. 2026-верно'!$A$79:$A$94</definedName>
    <definedName name="ITOG_vis_flags_3">ИТОГ!$A$80:$A$95</definedName>
    <definedName name="ITOG_vis_reg_flags" localSheetId="1">'ИТОГ (Утв. 2026-верно'!$AE$2:$AG$2</definedName>
    <definedName name="ITOG_vis_reg_flags">ИТОГ!$AE$2:$AG$2</definedName>
    <definedName name="ITOG_vis_reg_flags_3" localSheetId="1">'ИТОГ (Утв. 2026-верно'!$B$76:$B$96</definedName>
    <definedName name="ITOG_vis_reg_flags_3">ИТОГ!$B$76:$B$97</definedName>
    <definedName name="ITOG_vis_reg_flags_4" localSheetId="1">'ИТОГ (Утв. 2026-верно'!$B$322:$B$427</definedName>
    <definedName name="ITOG_vis_reg_flags_4">ИТОГ!$B$326:$B$429</definedName>
    <definedName name="KN_PRELOAD_TEST_AREA" localSheetId="1">'[1]Коэффициент невыходов'!#REF!</definedName>
    <definedName name="KN_PRELOAD_TEST_AREA">'[1]Коэффициент невыходов'!#REF!</definedName>
    <definedName name="KN_TESTPRELOAD" localSheetId="1">'[1]Коэффициент невыходов'!#REF!</definedName>
    <definedName name="KN_TESTPRELOAD">'[1]Коэффициент невыходов'!#REF!</definedName>
    <definedName name="kpp">[1]Титульный!$AD$26</definedName>
    <definedName name="LAND_PLOT_PRELOAD_TEST_AREA" localSheetId="1">'[1]Земел. уч.'!#REF!</definedName>
    <definedName name="LAND_PLOT_PRELOAD_TEST_AREA">'[1]Земел. уч.'!#REF!</definedName>
    <definedName name="LAND_PLOT_TESTPRELOAD" localSheetId="1">'[1]Земел. уч.'!#REF!</definedName>
    <definedName name="LAND_PLOT_TESTPRELOAD">'[1]Земел. уч.'!#REF!</definedName>
    <definedName name="limcount">1</definedName>
    <definedName name="LIST_1">'[1]Общие настройки'!$G$179:$G$180</definedName>
    <definedName name="LIST_3">'[1]Общие настройки'!$G$185:$G$186</definedName>
    <definedName name="LIST_4">'[1]Общие настройки'!$G$188:$G$189</definedName>
    <definedName name="LIST_AMORTIZATION">[1]TECHSHEET!$EI$2:$EI$3</definedName>
    <definedName name="List_calc_diff_tariff">[1]TECHSHEET!$EQ$2:$EQ$3</definedName>
    <definedName name="LIST_INDEXNUMBERSTAFF">[1]TECHSHEET!$S$2:$S$3</definedName>
    <definedName name="list_method_old">[1]Списки!$C$12:$C$15</definedName>
    <definedName name="LIST_NAME_OBJECTS">[1]Списки!$A$57:$A$129</definedName>
    <definedName name="list_operations_amortization">[1]TECHSHEET!$CF$2:$CF$7</definedName>
    <definedName name="LIST_RIVER1">[1]Налоги!$AU$96</definedName>
    <definedName name="list_STAVKAUSN">[1]TECHSHEET!$CY$2:$CY$4</definedName>
    <definedName name="list_type_facility">[1]TECHSHEET!$CB$2:$CB$42</definedName>
    <definedName name="list_type_repair">[1]TECHSHEET!$FL$2:$FL$9</definedName>
    <definedName name="LIST_TYPE_TARIFF_VS">[1]TECHSHEET!$L$14:$L$17</definedName>
    <definedName name="list_type_things">[1]TECHSHEET!$CD$2:$CD$3</definedName>
    <definedName name="list_type_transport">[1]TECHSHEET!$BZ$2:$BZ$15</definedName>
    <definedName name="LIST_VD">[1]TECHSHEET!$EG$2:$EG$11</definedName>
    <definedName name="LOAD_DOCUMENTS">[2]Документы!$AG$86:$AG$499</definedName>
    <definedName name="logic">[1]TECHSHEET!$J$2:$J$3</definedName>
    <definedName name="mark">[1]TECHSHEET!$E$2</definedName>
    <definedName name="MATERIALS_PRELOAD_TEST_AREA" localSheetId="1">'[1]Сырье и материалы'!#REF!</definedName>
    <definedName name="MATERIALS_PRELOAD_TEST_AREA">'[1]Сырье и материалы'!#REF!</definedName>
    <definedName name="MATERIALS_TESTPRELOAD" localSheetId="1">'[1]Сырье и материалы'!#REF!</definedName>
    <definedName name="MATERIALS_TESTPRELOAD">'[1]Сырье и материалы'!#REF!</definedName>
    <definedName name="MO_TER">[1]Списки!$A$52</definedName>
    <definedName name="MONTH">[1]TECHSHEET!$I$3:$I$14</definedName>
    <definedName name="MONTHS_PERIOD_LENGTH">[1]Титульный!$AD$78</definedName>
    <definedName name="NDS">[1]Титульный!$AD$44</definedName>
    <definedName name="NDS_stavki">[1]TECHSHEET!$K$2:$K$5</definedName>
    <definedName name="NORMATIVPERSONAL">'[1]Новые списки'!$D$3:$D$82</definedName>
    <definedName name="OGRN">[1]Титульный!$AD$22</definedName>
    <definedName name="OKATO">[1]Титульный!$AD$28</definedName>
    <definedName name="OKOG">[1]Титульный!$AD$29</definedName>
    <definedName name="OKPO">[1]Титульный!$AD$27</definedName>
    <definedName name="OPF">[1]TECHSHEET!$T$2:$T$95</definedName>
    <definedName name="org">[1]Титульный!$AD$19</definedName>
    <definedName name="ORG_FULLNAME">[1]Титульный!$AD$18</definedName>
    <definedName name="OTH_DIRECT_PRELOAD_TEST_AREA" localSheetId="1">'[1]Прочие прямые'!#REF!</definedName>
    <definedName name="OTH_DIRECT_PRELOAD_TEST_AREA">'[1]Прочие прямые'!#REF!</definedName>
    <definedName name="OTHER_STRAIGHT_LIST_TYPE_COSTS">[1]TECHSHEET!$AQ$23:$AQ$24</definedName>
    <definedName name="OTHER_STRAIGHT_LIST_TYPE_COSTS_26_25_23">[1]TECHSHEET!$AQ$27:$AQ$30</definedName>
    <definedName name="OTHER_STRAIGHT_PRELOAD_TEST_AREA" localSheetId="1">'[1]Прочие прямые'!#REF!</definedName>
    <definedName name="OTHER_STRAIGHT_PRELOAD_TEST_AREA">'[1]Прочие прямые'!#REF!</definedName>
    <definedName name="OTHER_STRAIGHT_TESTPRELOAD" localSheetId="1">'[1]Прочие прямые'!#REF!</definedName>
    <definedName name="OTHER_STRAIGHT_TESTPRELOAD">'[1]Прочие прямые'!#REF!</definedName>
    <definedName name="OVERHAUL_1">[1]Капремонт!$BA$182</definedName>
    <definedName name="OVERHAUL_2">[1]Капремонт!$BA$212</definedName>
    <definedName name="OVERHAUL_LIST">[1]TECHSHEET!$AR$17:$AR$18</definedName>
    <definedName name="OVERHAUL_PRELOAD_TEST_AREA" localSheetId="1">[1]Капремонт!#REF!</definedName>
    <definedName name="OVERHAUL_PRELOAD_TEST_AREA">[1]Капремонт!#REF!</definedName>
    <definedName name="OVERHAUL_TESTPRELOAD" localSheetId="1">[1]Капремонт!#REF!</definedName>
    <definedName name="OVERHAUL_TESTPRELOAD">[1]Капремонт!#REF!</definedName>
    <definedName name="OWNERLESS_TESTPRELOAD" localSheetId="1">[1]Бесхоз!#REF!</definedName>
    <definedName name="OWNERLESS_TESTPRELOAD">[1]Бесхоз!#REF!</definedName>
    <definedName name="OWNERSHIP_TYPE">'[1]Новые списки'!$B$3:$B$6</definedName>
    <definedName name="PAYMENT_FOR_NEG_PRELOAD_TEST_AREA" localSheetId="1">'[1]Плата за негативное возд'!#REF!</definedName>
    <definedName name="PAYMENT_FOR_NEG_PRELOAD_TEST_AREA">'[1]Плата за негативное возд'!#REF!</definedName>
    <definedName name="PAYMENT_FOR_NEG_TESTPRELOAD" localSheetId="1">'[1]Плата за негативное возд'!#REF!</definedName>
    <definedName name="PAYMENT_FOR_NEG_TESTPRELOAD">'[1]Плата за негативное возд'!#REF!</definedName>
    <definedName name="PAYMENT_SERVICES_PRELOAD_TEST_AREA" localSheetId="1">'[1]Оплата услуг ВО'!#REF!</definedName>
    <definedName name="PAYMENT_SERVICES_PRELOAD_TEST_AREA">'[1]Оплата услуг ВО'!#REF!</definedName>
    <definedName name="PAYMENT_SERVICES_TESTPRELOAD" localSheetId="1">'[1]Оплата услуг ВО'!#REF!</definedName>
    <definedName name="PAYMENT_SERVICES_TESTPRELOAD">'[1]Оплата услуг ВО'!#REF!</definedName>
    <definedName name="PAYMENT_VO_PRELOAD_TEST_AREA" localSheetId="1">'[1]Оплата услуг ВО'!#REF!</definedName>
    <definedName name="PAYMENT_VO_PRELOAD_TEST_AREA">'[1]Оплата услуг ВО'!#REF!</definedName>
    <definedName name="PAYMENT_WATER_PRELOAD_TEST_AREA" localSheetId="1">'[1]Покупка воды'!#REF!</definedName>
    <definedName name="PAYMENT_WATER_PRELOAD_TEST_AREA">'[1]Покупка воды'!#REF!</definedName>
    <definedName name="PAYMENT_WATER_TESTPRELOAD" localSheetId="1">'[1]Покупка воды'!#REF!</definedName>
    <definedName name="PAYMENT_WATER_TESTPRELOAD">'[1]Покупка воды'!#REF!</definedName>
    <definedName name="pbStartPageNumber">1</definedName>
    <definedName name="pbUpdatePageNumbering">TRUE()</definedName>
    <definedName name="PERIOD_LENGTH">[1]Титульный!$AD$67</definedName>
    <definedName name="POSSIBLE_PERIOD_LENGTH">'[1]Настройка списков'!$F$7:$F$10</definedName>
    <definedName name="POST_DIRECTOR">[1]Титульный!$AD$38</definedName>
    <definedName name="postav_ee_list">[1]Списки!$A$32:$A$34</definedName>
    <definedName name="PREVIOUS_PERIOD_LENGTH">[1]Титульный!$AD$75</definedName>
    <definedName name="PREVIOUS_REGULATION_METHODS">[1]Титульный!$AD$74</definedName>
    <definedName name="PURCHASE_WATER_PRELOAD_TEST_AREA" localSheetId="1">'[1]Покупка воды'!#REF!</definedName>
    <definedName name="PURCHASE_WATER_PRELOAD_TEST_AREA">'[1]Покупка воды'!#REF!</definedName>
    <definedName name="purpose_vo_list">[1]TECHSHEET!$BG$2:$BG$8</definedName>
    <definedName name="purpose_vs_list">[1]TECHSHEET!$BE$2:$BE$7</definedName>
    <definedName name="RAW_MATERIAL_PRELOAD_TEST_AREA" localSheetId="1">'[1]Сырье и материалы'!#REF!</definedName>
    <definedName name="RAW_MATERIAL_PRELOAD_TEST_AREA">'[1]Сырье и материалы'!#REF!</definedName>
    <definedName name="razm_predz">'[1]Новые списки'!$J$3:$J$4</definedName>
    <definedName name="RC_TESTPRELOAD" localSheetId="1">'[1]Реестр потребителей'!#REF!</definedName>
    <definedName name="RC_TESTPRELOAD">'[1]Реестр потребителей'!#REF!</definedName>
    <definedName name="reagenty_list">[1]TECHSHEET!$AT$2:$AT$107</definedName>
    <definedName name="REESTR_CONSUMER_ADDRESS">'[1]Реестр потребителей'!$AF$1</definedName>
    <definedName name="REESTR_CONSUMER_filter_columns">'[1]Реестр потребителей'!$AB$92:$AG$128,'[1]Реестр потребителей'!$AI$92:$AI$128</definedName>
    <definedName name="REESTR_CONSUMER_PRELOAD_TEST_AREA" localSheetId="1">'[1]Реестр потребителей'!#REF!</definedName>
    <definedName name="REESTR_CONSUMER_PRELOAD_TEST_AREA">'[1]Реестр потребителей'!#REF!</definedName>
    <definedName name="REG_YEAR">[1]TECHSHEET!$N$2:$N$6</definedName>
    <definedName name="REGION">[1]TECHSHEET!$B$1:$B$85</definedName>
    <definedName name="region_name">[1]Титульный!$AD$11</definedName>
    <definedName name="REGULATION_METHODS">[1]Титульный!$AD$63</definedName>
    <definedName name="RENT_EQUIPMENT_PRELOAD_TEST_AREA" localSheetId="1">[1]Аренда!#REF!</definedName>
    <definedName name="RENT_EQUIPMENT_PRELOAD_TEST_AREA">[1]Аренда!#REF!</definedName>
    <definedName name="RENT_PRELOAD_TEST_AREA" localSheetId="1">[1]Аренда!#REF!</definedName>
    <definedName name="RENT_PRELOAD_TEST_AREA">[1]Аренда!#REF!</definedName>
    <definedName name="RENT_tESTPRELOAD" localSheetId="1">[1]Аренда!#REF!</definedName>
    <definedName name="RENT_tESTPRELOAD">[1]Аренда!#REF!</definedName>
    <definedName name="REPAIRS_PRELOAD_TEST_AREA" localSheetId="1">[1]Текремонт!#REF!</definedName>
    <definedName name="REPAIRS_PRELOAD_TEST_AREA">[1]Текремонт!#REF!</definedName>
    <definedName name="REPAIRS_TESTPRELOAD" localSheetId="1">[1]Текремонт!#REF!</definedName>
    <definedName name="REPAIRS_TESTPRELOAD">[1]Текремонт!#REF!</definedName>
    <definedName name="REPORT_OWNER">[1]Титульный!$AD$13</definedName>
    <definedName name="RESALE">[1]Тарифы!$AL$87</definedName>
    <definedName name="RESOURCE_IDENTIFIER">[1]Тарифы!$O$87</definedName>
    <definedName name="rgfsdh" localSheetId="1">main.sapf4help()</definedName>
    <definedName name="rgfsdh">main.sapf4help()</definedName>
    <definedName name="River_list">[1]TECHSHEET!$BN$2:$BN$21</definedName>
    <definedName name="SAPBEXrevision">1</definedName>
    <definedName name="SAPBEXsysID">"BW2"</definedName>
    <definedName name="SAPBEXwbID">"479GSPMTNK9HM4ZSIVE5K2SH6"</definedName>
    <definedName name="SBYT_PRELOAD_TEST_AREA" localSheetId="1">[1]Сбыт!#REF!</definedName>
    <definedName name="SBYT_PRELOAD_TEST_AREA">[1]Сбыт!#REF!</definedName>
    <definedName name="SBYT_TESTPRELOAD" localSheetId="1">[1]Сбыт!#REF!</definedName>
    <definedName name="SBYT_TESTPRELOAD">[1]Сбыт!#REF!</definedName>
    <definedName name="sencount">1</definedName>
    <definedName name="SETTING_ADD_EE_BLOCK">'[1]Общие настройки'!$G$148</definedName>
    <definedName name="SETTING_BASE">'[1]Общие настройки'!$G$64</definedName>
    <definedName name="SETTING_CALC_EE_EQUIPMENT">'[1]Общие настройки'!$G$33</definedName>
    <definedName name="SETTING_CALC_JOINTCOST">'[1]Общие настройки'!$G$123</definedName>
    <definedName name="SETTING_COUNT_YEAR_TITLE">'[1]Общие настройки'!$G$107</definedName>
    <definedName name="SETTING_IMPROVEMENTS_PO_NAS">'[1]Общие настройки'!$G$42</definedName>
    <definedName name="SETTING_OTHER_STRAIGHT">'[1]Общие настройки'!$G$34</definedName>
    <definedName name="SETTING_SEPARATION_EFFLUENTS">'[1]Общие настройки'!$G$160</definedName>
    <definedName name="SETTING_TECH_WATER_IN_SUPPLY_SOURCES">'[1]Общие настройки'!$G$156</definedName>
    <definedName name="SETTING_TECH_WATER_POPULATION">'[1]Общие настройки'!$G$149</definedName>
    <definedName name="SETTING_VIEW_CALC_NALOG">'[1]Общие настройки'!$G$66</definedName>
    <definedName name="SETTING_VISIVLE_LIST_OBJECT">'[1]Общие настройки'!$G$54</definedName>
    <definedName name="SETTINGS_FOT_othergroup">'[1]Общие настройки'!$G$73</definedName>
    <definedName name="settings_god">'[1]Общие настройки'!$G$12</definedName>
    <definedName name="SETTINGS_MONTHS_2017">'[1]Общие настройки'!$G$90</definedName>
    <definedName name="SETTINGS_MONTHS_PERIOD_LENGTH">'[1]Общие настройки'!$G$68</definedName>
    <definedName name="SETTINGS_OWN_NEEDS_INCLUDE">'[1]Общие настройки'!$G$71</definedName>
    <definedName name="SETTINGS_REAGENTS_5">'[1]Общие настройки'!$G$80</definedName>
    <definedName name="SETTINGS_REAGENTS_BLOCK_2_3">'[1]Общие настройки'!$G$70</definedName>
    <definedName name="SETTINGS_STATEMENT">'[1]Общие настройки'!$G$69</definedName>
    <definedName name="SHEET_TITLE_REPORT_OWNER_PRELOAD">[1]TECHSHEET!$E$4</definedName>
    <definedName name="SIM_PRELOAD_TEST_AREA" localSheetId="1">'[1]СиМ (детально)'!#REF!</definedName>
    <definedName name="SIM_PRELOAD_TEST_AREA">'[1]СиМ (детально)'!#REF!</definedName>
    <definedName name="SIM_TESTPRELOAD" localSheetId="1">'[1]СиМ (детально)'!#REF!</definedName>
    <definedName name="SIM_TESTPRELOAD">'[1]СиМ (детально)'!#REF!</definedName>
    <definedName name="sphere">[1]Титульный!$AD$15</definedName>
    <definedName name="SPHERE_MULTI">[1]Тарифы!$AB$87</definedName>
    <definedName name="STAFF_PRELOAD_TEST_AREA" localSheetId="1">[1]Персонал!#REF!</definedName>
    <definedName name="STAFF_PRELOAD_TEST_AREA">[1]Персонал!#REF!</definedName>
    <definedName name="STAFF_TESTPRELOAD" localSheetId="1">[1]Персонал!#REF!</definedName>
    <definedName name="STAFF_TESTPRELOAD">[1]Персонал!#REF!</definedName>
    <definedName name="STATE_SHARE">'[1]Новые списки'!$A$3:$A$6</definedName>
    <definedName name="SystemSbor">[1]TECHSHEET!$L$34:$L$35</definedName>
    <definedName name="TARIFF_GRID_PRELOAD_TEST_AREA" localSheetId="1">'[1]Тарифная сетка'!#REF!</definedName>
    <definedName name="TARIFF_GRID_PRELOAD_TEST_AREA">'[1]Тарифная сетка'!#REF!</definedName>
    <definedName name="TARIFF_GRID_TESTPRELOAD" localSheetId="1">'[1]Тарифная сетка'!#REF!</definedName>
    <definedName name="TARIFF_GRID_TESTPRELOAD">'[1]Тарифная сетка'!#REF!</definedName>
    <definedName name="tariff_net">'[1]Тарифная сетка'!$AA$85:$AD$102</definedName>
    <definedName name="TARIFF_PERIOD_PRELOAD_TEST_AREA" localSheetId="1">'[1]Тарифы по периодам'!#REF!</definedName>
    <definedName name="TARIFF_PERIOD_PRELOAD_TEST_AREA">'[1]Тарифы по периодам'!#REF!</definedName>
    <definedName name="TARIFF_PERIOD_TESTPRELOAD" localSheetId="1">'[1]Тарифы по периодам'!#REF!</definedName>
    <definedName name="TARIFF_PERIOD_TESTPRELOAD">'[1]Тарифы по периодам'!#REF!</definedName>
    <definedName name="TARIFF_SPHERE_TYPE_MONO">[1]Тарифы!$AC$87</definedName>
    <definedName name="TARIFF_STATUS_GUAR_ORG_MONO">[1]Тарифы!$AM$87</definedName>
    <definedName name="TAXES_BASE_1">[1]Налоги!$AB$136</definedName>
    <definedName name="TAXES_PRELOAD_TEST_AREA" localSheetId="1">[1]Налоги!#REF!</definedName>
    <definedName name="TAXES_PRELOAD_TEST_AREA">[1]Налоги!#REF!</definedName>
    <definedName name="TAXES_TESTPRELOAD" localSheetId="1">[1]Налоги!#REF!</definedName>
    <definedName name="TAXES_TESTPRELOAD">[1]Налоги!#REF!</definedName>
    <definedName name="TE_PRELOAD_TEST_AREA" localSheetId="1">[1]ТЭ!#REF!</definedName>
    <definedName name="TE_PRELOAD_TEST_AREA">[1]ТЭ!#REF!</definedName>
    <definedName name="TE_TESTPRELOAD" localSheetId="1">[1]ТЭ!#REF!</definedName>
    <definedName name="TE_TESTPRELOAD">[1]ТЭ!#REF!</definedName>
    <definedName name="TEK_REM_PRELOAD_TEST_AREA" localSheetId="1">[1]Текремонт!#REF!</definedName>
    <definedName name="TEK_REM_PRELOAD_TEST_AREA">[1]Текремонт!#REF!</definedName>
    <definedName name="TEMPLATE_SPHERE">[1]Тарифы!$Q$87</definedName>
    <definedName name="TEMPLATE_SPHERE_CODE">[1]Тарифы!$P$87</definedName>
    <definedName name="TERR_PRELOAD_TEST_AREA" localSheetId="1">'[1]Земел. уч.'!#REF!</definedName>
    <definedName name="TERR_PRELOAD_TEST_AREA">'[1]Земел. уч.'!#REF!</definedName>
    <definedName name="TH_PRELOAD_TEST_AREA" localSheetId="1">[1]ТН!#REF!</definedName>
    <definedName name="TH_PRELOAD_TEST_AREA">[1]ТН!#REF!</definedName>
    <definedName name="TN_PRELOAD_TEST_AREA" localSheetId="1">[1]ТН!#REF!</definedName>
    <definedName name="TN_PRELOAD_TEST_AREA">[1]ТН!#REF!</definedName>
    <definedName name="TN_TESTPRELOAD" localSheetId="1">[1]ТН!#REF!</definedName>
    <definedName name="TN_TESTPRELOAD">[1]ТН!#REF!</definedName>
    <definedName name="TOTAL" localSheetId="1">p1_total,p2_total,p3_total,p4_total,p5_total</definedName>
    <definedName name="TOTAL">p1_total,p2_total,p3_total,p4_total,p5_total</definedName>
    <definedName name="TRANSPORT_PRELOAD_TEST_AREA" localSheetId="1">[1]Транспортировка!#REF!</definedName>
    <definedName name="TRANSPORT_PRELOAD_TEST_AREA">[1]Транспортировка!#REF!</definedName>
    <definedName name="TRANSPORTATION_PRELOAD_TEST_AREA" localSheetId="1">[1]Транспортировка!#REF!</definedName>
    <definedName name="TRANSPORTATION_PRELOAD_TEST_AREA">[1]Транспортировка!#REF!</definedName>
    <definedName name="TRANSPORTATION_TESTPRELOAD" localSheetId="1">[1]Транспортировка!#REF!</definedName>
    <definedName name="TRANSPORTATION_TESTPRELOAD">[1]Транспортировка!#REF!</definedName>
    <definedName name="TYPE">[1]Титульный!$AD$72</definedName>
    <definedName name="type_ground">[1]TECHSHEET!$DK$2:$DK$9</definedName>
    <definedName name="TYPE_KOR_YEAR">[1]Титульный!$AD$73</definedName>
    <definedName name="type_list_dover1">[1]TECHSHEET!$CV$2:$CV$3</definedName>
    <definedName name="type_list_nalog">[1]TECHSHEET!$CJ$2:$CJ$7</definedName>
    <definedName name="type_list_NALOGBASEUSN">[1]TECHSHEET!$CX$2:$CX$4</definedName>
    <definedName name="type_list_personal">[1]TECHSHEET!$CP$2:$CP$8</definedName>
    <definedName name="type_list_toplivoauto">[1]TECHSHEET!$CT$2:$CT$5</definedName>
    <definedName name="TYPE_MATERIALS_CON_METERS_LIST">[1]TECHSHEET!$BI$2:$BI$15</definedName>
    <definedName name="type_rashod_list">[1]TECHSHEET!$BP$2:$BP$4</definedName>
    <definedName name="type_station_DELETE">[1]TECHSHEET!$AY$14:$AY$24</definedName>
    <definedName name="UPD_ORG">[1]TECHSHEET!$E$6</definedName>
    <definedName name="VDET_MONO">[1]Тарифы!$AE$87</definedName>
    <definedName name="version_PP">[1]TECHSHEET!$DG$2:$DG$3</definedName>
    <definedName name="VOLTAGE_LEVEL_ONE">[1]TECHSHEET!$W$29:$W$33</definedName>
    <definedName name="VOLTAGE_LEVEL_TWO">[1]TECHSHEET!$W$36:$W$40</definedName>
    <definedName name="VOLUME_METHOD_TESTPRELOAD" localSheetId="1">'[1]Объемы по методике'!#REF!</definedName>
    <definedName name="VOLUME_METHOD_TESTPRELOAD">'[1]Объемы по методике'!#REF!</definedName>
    <definedName name="VOTV_DIFF_TARIFF_LIST">[1]TECHSHEET!$O$2:$O$8</definedName>
    <definedName name="WASTEWATER_PRELOAD_TEST_AREA" localSheetId="1">'[1]Объемы ВО'!#REF!</definedName>
    <definedName name="WASTEWATER_PRELOAD_TEST_AREA">'[1]Объемы ВО'!#REF!</definedName>
    <definedName name="WASTEWATER_TESTPRELOAD" localSheetId="1">'[1]Объемы ВО'!#REF!</definedName>
    <definedName name="WASTEWATER_TESTPRELOAD">'[1]Объемы ВО'!#REF!</definedName>
    <definedName name="YEAR">[1]TECHSHEET!$H$6:$H$12</definedName>
    <definedName name="График">"Диагр. 4"</definedName>
  </definedNames>
  <calcPr calcId="191029" refMode="R1C1"/>
</workbook>
</file>

<file path=xl/calcChain.xml><?xml version="1.0" encoding="utf-8"?>
<calcChain xmlns="http://schemas.openxmlformats.org/spreadsheetml/2006/main">
  <c r="AJ265" i="2" l="1"/>
  <c r="AR598" i="2" l="1"/>
  <c r="AR329" i="2"/>
  <c r="AM329" i="2" l="1"/>
  <c r="AP329" i="2"/>
  <c r="AO329" i="2"/>
  <c r="AN329" i="2"/>
  <c r="AN112" i="2" l="1"/>
  <c r="CB152" i="2"/>
  <c r="CB250" i="2"/>
  <c r="CB265" i="2"/>
  <c r="CB309" i="2"/>
  <c r="CB644" i="2"/>
  <c r="CB613" i="2"/>
  <c r="CB598" i="2"/>
  <c r="CB518" i="2"/>
  <c r="CB1049" i="2"/>
  <c r="CB1005" i="2"/>
  <c r="CB1006" i="2"/>
  <c r="CB1007" i="2"/>
  <c r="CB990" i="2"/>
  <c r="CB878" i="2"/>
  <c r="BT405" i="2"/>
  <c r="BU405" i="2"/>
  <c r="BV405" i="2"/>
  <c r="BS405" i="2"/>
  <c r="BT326" i="2"/>
  <c r="BU326" i="2"/>
  <c r="BS326" i="2"/>
  <c r="BJ490" i="2"/>
  <c r="BJ491" i="2" s="1"/>
  <c r="BJ110" i="2"/>
  <c r="BJ111" i="2" s="1"/>
  <c r="CB834" i="2"/>
  <c r="CB833" i="2"/>
  <c r="BJ833" i="2"/>
  <c r="BJ834" i="2"/>
  <c r="BA329" i="2"/>
  <c r="BB329" i="2"/>
  <c r="AZ327" i="2"/>
  <c r="AZ330" i="2"/>
  <c r="BB145" i="2"/>
  <c r="CB1114" i="2"/>
  <c r="CA1114" i="2"/>
  <c r="BY1114" i="2"/>
  <c r="BV1114" i="2"/>
  <c r="BU1114" i="2"/>
  <c r="BT1114" i="2"/>
  <c r="BS1114" i="2"/>
  <c r="BR1114" i="2"/>
  <c r="BQ1114" i="2"/>
  <c r="BP1114" i="2"/>
  <c r="BO1114" i="2"/>
  <c r="BN1114" i="2"/>
  <c r="BM1114" i="2"/>
  <c r="BL1114" i="2"/>
  <c r="BK1114" i="2"/>
  <c r="BJ1114" i="2"/>
  <c r="BI1114" i="2"/>
  <c r="BH1114" i="2"/>
  <c r="BG1114" i="2"/>
  <c r="BF1114" i="2"/>
  <c r="BE1114" i="2"/>
  <c r="BD1114" i="2"/>
  <c r="BC1114" i="2"/>
  <c r="BB1114" i="2"/>
  <c r="BA1114" i="2"/>
  <c r="AZ1114" i="2"/>
  <c r="AY1114" i="2"/>
  <c r="AX1114" i="2"/>
  <c r="AW1114" i="2"/>
  <c r="AV1114" i="2"/>
  <c r="AU1114" i="2"/>
  <c r="AT1114" i="2"/>
  <c r="AS1114" i="2"/>
  <c r="AR1114" i="2"/>
  <c r="AQ1114" i="2"/>
  <c r="AP1114" i="2"/>
  <c r="AO1114" i="2"/>
  <c r="AM1114" i="2"/>
  <c r="AL1114" i="2"/>
  <c r="AK1114" i="2"/>
  <c r="AJ1114" i="2"/>
  <c r="AI1114" i="2"/>
  <c r="BN1113" i="2"/>
  <c r="AX1113" i="2"/>
  <c r="AH1114" i="2"/>
  <c r="AF1114" i="2"/>
  <c r="AG1114" i="2"/>
  <c r="AE1114" i="2"/>
  <c r="CB729" i="2"/>
  <c r="CA729" i="2"/>
  <c r="BZ729" i="2"/>
  <c r="BY729" i="2"/>
  <c r="BV729" i="2"/>
  <c r="BU729" i="2"/>
  <c r="BT729" i="2"/>
  <c r="BS729" i="2"/>
  <c r="BR729" i="2"/>
  <c r="BQ729" i="2"/>
  <c r="BP729" i="2"/>
  <c r="BO729" i="2"/>
  <c r="BN729" i="2"/>
  <c r="BM729" i="2"/>
  <c r="BL729" i="2"/>
  <c r="BK729" i="2"/>
  <c r="BJ729" i="2"/>
  <c r="BI729" i="2"/>
  <c r="BH729" i="2"/>
  <c r="BG729" i="2"/>
  <c r="BF729" i="2"/>
  <c r="BE729" i="2"/>
  <c r="BD729" i="2"/>
  <c r="BC729" i="2"/>
  <c r="BB729" i="2"/>
  <c r="BA729" i="2"/>
  <c r="AZ729" i="2"/>
  <c r="AY729" i="2"/>
  <c r="AX729" i="2"/>
  <c r="AW729" i="2"/>
  <c r="AV729" i="2"/>
  <c r="AU729" i="2"/>
  <c r="AT729" i="2"/>
  <c r="AS729" i="2"/>
  <c r="AR729" i="2"/>
  <c r="AQ729" i="2"/>
  <c r="AP729" i="2"/>
  <c r="AO729" i="2"/>
  <c r="AN729" i="2"/>
  <c r="AM729" i="2"/>
  <c r="AL729" i="2"/>
  <c r="AK729" i="2"/>
  <c r="AJ729" i="2"/>
  <c r="AI729" i="2"/>
  <c r="AF729" i="2"/>
  <c r="AG729" i="2"/>
  <c r="AH729" i="2"/>
  <c r="AE729" i="2"/>
  <c r="BY374" i="2"/>
  <c r="CA374" i="2"/>
  <c r="BV374" i="2"/>
  <c r="BU374" i="2"/>
  <c r="BT374" i="2"/>
  <c r="BS374" i="2"/>
  <c r="BR374" i="2"/>
  <c r="BQ374" i="2"/>
  <c r="BP374" i="2"/>
  <c r="BO374" i="2"/>
  <c r="BN374" i="2"/>
  <c r="BM374" i="2"/>
  <c r="BL374" i="2"/>
  <c r="BK374" i="2"/>
  <c r="BJ374" i="2"/>
  <c r="BI374" i="2"/>
  <c r="BH374" i="2"/>
  <c r="BG374" i="2"/>
  <c r="BF374" i="2"/>
  <c r="BE374" i="2"/>
  <c r="BD374" i="2"/>
  <c r="BC374" i="2"/>
  <c r="BA374" i="2"/>
  <c r="AY374" i="2"/>
  <c r="AX374" i="2"/>
  <c r="AW374" i="2"/>
  <c r="AV374" i="2"/>
  <c r="AU374" i="2"/>
  <c r="AT374" i="2"/>
  <c r="AS374" i="2"/>
  <c r="AR374" i="2"/>
  <c r="AQ374" i="2"/>
  <c r="AP374" i="2"/>
  <c r="AO374" i="2"/>
  <c r="AM374" i="2"/>
  <c r="AL374" i="2"/>
  <c r="AK374" i="2"/>
  <c r="AJ374" i="2"/>
  <c r="AI374" i="2"/>
  <c r="AF374" i="2"/>
  <c r="AG374" i="2"/>
  <c r="AH374" i="2"/>
  <c r="AE374" i="2"/>
  <c r="AO397" i="2"/>
  <c r="AL1115" i="2"/>
  <c r="AK1115" i="2"/>
  <c r="AL1113" i="2"/>
  <c r="AL1112" i="2" s="1"/>
  <c r="AL1122" i="2"/>
  <c r="AL1123" i="2"/>
  <c r="AP335" i="2"/>
  <c r="AH563" i="2"/>
  <c r="AH538" i="2"/>
  <c r="AH561" i="2"/>
  <c r="AH562" i="2"/>
  <c r="AH531" i="2" l="1"/>
  <c r="AH516" i="2" l="1"/>
  <c r="AH511" i="2"/>
  <c r="AH510" i="2" s="1"/>
  <c r="AH509" i="2" s="1"/>
  <c r="BY1075" i="2"/>
  <c r="BY1105" i="2"/>
  <c r="AP510" i="2"/>
  <c r="AP509" i="2" s="1"/>
  <c r="AP508" i="2" s="1"/>
  <c r="AP507" i="2" s="1"/>
  <c r="BN538" i="2"/>
  <c r="BN145" i="2"/>
  <c r="BV896" i="2"/>
  <c r="BV891" i="2" s="1"/>
  <c r="BR896" i="2"/>
  <c r="BR891" i="2" s="1"/>
  <c r="BN896" i="2"/>
  <c r="BJ896" i="2"/>
  <c r="BJ891" i="2" s="1"/>
  <c r="BF896" i="2"/>
  <c r="BF891" i="2" s="1"/>
  <c r="BB896" i="2"/>
  <c r="BB891" i="2" s="1"/>
  <c r="AX896" i="2"/>
  <c r="AX891" i="2" s="1"/>
  <c r="AT896" i="2"/>
  <c r="AT891" i="2" s="1"/>
  <c r="AP896" i="2"/>
  <c r="AP891" i="2" s="1"/>
  <c r="AL896" i="2"/>
  <c r="AL891" i="2" s="1"/>
  <c r="AH896" i="2"/>
  <c r="BQ891" i="2"/>
  <c r="CB897" i="2"/>
  <c r="CB899" i="2"/>
  <c r="CB900" i="2"/>
  <c r="CB901" i="2"/>
  <c r="CB902" i="2"/>
  <c r="CB903" i="2"/>
  <c r="CB904" i="2"/>
  <c r="CB905" i="2"/>
  <c r="CB906" i="2"/>
  <c r="CB907" i="2"/>
  <c r="CB908" i="2"/>
  <c r="CB909" i="2"/>
  <c r="CB910" i="2"/>
  <c r="CB911" i="2"/>
  <c r="CB912" i="2"/>
  <c r="CB913" i="2"/>
  <c r="CB914" i="2"/>
  <c r="CB915" i="2"/>
  <c r="CB916" i="2"/>
  <c r="CB917" i="2"/>
  <c r="CB919" i="2"/>
  <c r="CB920" i="2"/>
  <c r="CB921" i="2"/>
  <c r="CB922" i="2"/>
  <c r="CB923" i="2"/>
  <c r="CB924" i="2"/>
  <c r="CB925" i="2"/>
  <c r="CB926" i="2"/>
  <c r="CB927" i="2"/>
  <c r="CB928" i="2"/>
  <c r="CB929" i="2"/>
  <c r="CB930" i="2"/>
  <c r="CB931" i="2"/>
  <c r="AT531" i="2"/>
  <c r="AX531" i="2"/>
  <c r="BF531" i="2"/>
  <c r="BB531" i="2"/>
  <c r="AX561" i="2"/>
  <c r="BF538" i="2"/>
  <c r="BB538" i="2"/>
  <c r="BJ882" i="2"/>
  <c r="BF882" i="2"/>
  <c r="BV1022" i="2"/>
  <c r="AH899" i="2"/>
  <c r="AH900" i="2"/>
  <c r="AH901" i="2"/>
  <c r="AH902" i="2"/>
  <c r="AH898" i="2" s="1"/>
  <c r="AH903" i="2"/>
  <c r="AH904" i="2"/>
  <c r="AH905" i="2"/>
  <c r="AH906" i="2"/>
  <c r="AH907" i="2"/>
  <c r="AH908" i="2"/>
  <c r="AH909" i="2"/>
  <c r="AH910" i="2"/>
  <c r="AH911" i="2"/>
  <c r="AH912" i="2"/>
  <c r="AH913" i="2"/>
  <c r="AH914" i="2"/>
  <c r="AH915" i="2"/>
  <c r="AH916" i="2"/>
  <c r="AH917" i="2"/>
  <c r="AH918" i="2"/>
  <c r="AH919" i="2"/>
  <c r="AH920" i="2"/>
  <c r="AH921" i="2"/>
  <c r="AH922" i="2"/>
  <c r="AH923" i="2"/>
  <c r="AH924" i="2"/>
  <c r="AH925" i="2"/>
  <c r="AH926" i="2"/>
  <c r="AH927" i="2"/>
  <c r="AH928" i="2"/>
  <c r="AH929" i="2"/>
  <c r="AH930" i="2"/>
  <c r="AH931" i="2"/>
  <c r="AG932" i="2"/>
  <c r="AH934" i="2"/>
  <c r="AH933" i="2"/>
  <c r="BB561" i="2"/>
  <c r="AX538" i="2"/>
  <c r="AT538" i="2"/>
  <c r="AP531" i="2"/>
  <c r="AP561" i="2"/>
  <c r="AP538" i="2"/>
  <c r="CB536" i="2"/>
  <c r="AH628" i="2"/>
  <c r="AH1014" i="2"/>
  <c r="AH1015" i="2"/>
  <c r="AH1016" i="2"/>
  <c r="AL1046" i="2"/>
  <c r="AL1048" i="2"/>
  <c r="AL1047" i="2" s="1"/>
  <c r="AL1049" i="2"/>
  <c r="AL1050" i="2"/>
  <c r="AL1051" i="2"/>
  <c r="AL1054" i="2"/>
  <c r="AL1055" i="2"/>
  <c r="AL1056" i="2"/>
  <c r="AL1021" i="2"/>
  <c r="AL1022" i="2"/>
  <c r="AL1023" i="2"/>
  <c r="AL1024" i="2"/>
  <c r="AL1025" i="2"/>
  <c r="AL1026" i="2"/>
  <c r="AL1027" i="2"/>
  <c r="AL1028" i="2"/>
  <c r="AL1029" i="2"/>
  <c r="AL1030" i="2"/>
  <c r="AL1031" i="2"/>
  <c r="AL1032" i="2"/>
  <c r="AL1033" i="2"/>
  <c r="AL1034" i="2"/>
  <c r="AL1035" i="2"/>
  <c r="AL1036" i="2"/>
  <c r="AL1037" i="2"/>
  <c r="AL1038" i="2"/>
  <c r="AL1039" i="2"/>
  <c r="AL1040" i="2"/>
  <c r="AL1041" i="2"/>
  <c r="AL1042" i="2"/>
  <c r="AL1043" i="2"/>
  <c r="AL1014" i="2"/>
  <c r="AL1015" i="2"/>
  <c r="AL1016" i="2"/>
  <c r="CB1014" i="2"/>
  <c r="CB1015" i="2"/>
  <c r="CB1016" i="2"/>
  <c r="CB1017" i="2"/>
  <c r="CB1018" i="2"/>
  <c r="CB1019" i="2"/>
  <c r="CB1021" i="2"/>
  <c r="CB1023" i="2"/>
  <c r="CB1024" i="2"/>
  <c r="CB1026" i="2"/>
  <c r="CB1027" i="2"/>
  <c r="CB1028" i="2"/>
  <c r="CB1029" i="2"/>
  <c r="CB1030" i="2"/>
  <c r="CB1031" i="2"/>
  <c r="CB1032" i="2"/>
  <c r="CB1033" i="2"/>
  <c r="CB1034" i="2"/>
  <c r="CB1035" i="2"/>
  <c r="CB1036" i="2"/>
  <c r="CB1037" i="2"/>
  <c r="CB1038" i="2"/>
  <c r="CB1039" i="2"/>
  <c r="CB1040" i="2"/>
  <c r="CB1041" i="2"/>
  <c r="CB1042" i="2"/>
  <c r="CB1043" i="2"/>
  <c r="CB935" i="2"/>
  <c r="CB936" i="2"/>
  <c r="CB937" i="2"/>
  <c r="CB938" i="2"/>
  <c r="CB939" i="2"/>
  <c r="CB940" i="2"/>
  <c r="CB941" i="2"/>
  <c r="CB942" i="2"/>
  <c r="CB945" i="2"/>
  <c r="CB947" i="2"/>
  <c r="CB948" i="2"/>
  <c r="CB949" i="2"/>
  <c r="CB950" i="2"/>
  <c r="CB953" i="2"/>
  <c r="CB954" i="2"/>
  <c r="CB955" i="2"/>
  <c r="CB960" i="2"/>
  <c r="CB961" i="2"/>
  <c r="CB962" i="2"/>
  <c r="CB965" i="2"/>
  <c r="CB966" i="2"/>
  <c r="CB967" i="2"/>
  <c r="CB968" i="2"/>
  <c r="CB970" i="2"/>
  <c r="CB972" i="2"/>
  <c r="CB976" i="2"/>
  <c r="CB977" i="2"/>
  <c r="CB980" i="2"/>
  <c r="CB981" i="2"/>
  <c r="CB982" i="2"/>
  <c r="CB983" i="2"/>
  <c r="CB984" i="2"/>
  <c r="BZ1089" i="2"/>
  <c r="CA1089" i="2"/>
  <c r="CB1089" i="2"/>
  <c r="BZ1090" i="2"/>
  <c r="CA1090" i="2"/>
  <c r="CB1090" i="2"/>
  <c r="BZ1091" i="2"/>
  <c r="CA1091" i="2"/>
  <c r="CB1091" i="2"/>
  <c r="BZ1092" i="2"/>
  <c r="CA1092" i="2"/>
  <c r="CB1092" i="2"/>
  <c r="BZ1093" i="2"/>
  <c r="CA1093" i="2"/>
  <c r="CB1093" i="2"/>
  <c r="BZ1094" i="2"/>
  <c r="CA1094" i="2"/>
  <c r="CB1094" i="2"/>
  <c r="BZ1095" i="2"/>
  <c r="CA1095" i="2"/>
  <c r="CB1095" i="2"/>
  <c r="BZ1096" i="2"/>
  <c r="CA1096" i="2"/>
  <c r="CB1096" i="2"/>
  <c r="BZ1097" i="2"/>
  <c r="CA1097" i="2"/>
  <c r="CB1097" i="2"/>
  <c r="BZ1098" i="2"/>
  <c r="CA1098" i="2"/>
  <c r="CB1098" i="2"/>
  <c r="BZ1099" i="2"/>
  <c r="CA1099" i="2"/>
  <c r="CB1099" i="2"/>
  <c r="BZ1100" i="2"/>
  <c r="CA1100" i="2"/>
  <c r="CB1100" i="2"/>
  <c r="BZ1101" i="2"/>
  <c r="CA1101" i="2"/>
  <c r="CB1101" i="2"/>
  <c r="BZ1102" i="2"/>
  <c r="CA1102" i="2"/>
  <c r="CB1102" i="2"/>
  <c r="BZ1103" i="2"/>
  <c r="CA1103" i="2"/>
  <c r="CB1103" i="2"/>
  <c r="BZ1104" i="2"/>
  <c r="CA1104" i="2"/>
  <c r="CB1104" i="2"/>
  <c r="BZ1105" i="2"/>
  <c r="CA1105" i="2"/>
  <c r="CB1105" i="2"/>
  <c r="BZ1106" i="2"/>
  <c r="CA1106" i="2"/>
  <c r="CB1106" i="2"/>
  <c r="BZ1107" i="2"/>
  <c r="CA1107" i="2"/>
  <c r="CB1107" i="2"/>
  <c r="BZ1108" i="2"/>
  <c r="CA1108" i="2"/>
  <c r="CB1108" i="2"/>
  <c r="BZ1109" i="2"/>
  <c r="CA1109" i="2"/>
  <c r="CB1109" i="2"/>
  <c r="BZ1110" i="2"/>
  <c r="CA1110" i="2"/>
  <c r="CB1110" i="2"/>
  <c r="BY1102" i="2"/>
  <c r="BY1103" i="2"/>
  <c r="BK1102" i="2"/>
  <c r="BL1102" i="2"/>
  <c r="BM1102" i="2"/>
  <c r="BN1102" i="2"/>
  <c r="BO1102" i="2"/>
  <c r="BP1102" i="2"/>
  <c r="BQ1102" i="2"/>
  <c r="BR1102" i="2"/>
  <c r="BS1102" i="2"/>
  <c r="BT1102" i="2"/>
  <c r="BU1102" i="2"/>
  <c r="BV1102" i="2"/>
  <c r="BK1103" i="2"/>
  <c r="BL1103" i="2"/>
  <c r="BM1103" i="2"/>
  <c r="BN1103" i="2"/>
  <c r="BO1103" i="2"/>
  <c r="BP1103" i="2"/>
  <c r="BQ1103" i="2"/>
  <c r="BR1103" i="2"/>
  <c r="BS1103" i="2"/>
  <c r="BT1103" i="2"/>
  <c r="BU1103" i="2"/>
  <c r="BV1103" i="2"/>
  <c r="AI1102" i="2"/>
  <c r="AJ1102" i="2"/>
  <c r="AK1102" i="2"/>
  <c r="AL1102" i="2"/>
  <c r="AM1102" i="2"/>
  <c r="AN1102" i="2"/>
  <c r="AO1102" i="2"/>
  <c r="AP1102" i="2"/>
  <c r="AQ1102" i="2"/>
  <c r="AR1102" i="2"/>
  <c r="AS1102" i="2"/>
  <c r="AT1102" i="2"/>
  <c r="AU1102" i="2"/>
  <c r="AV1102" i="2"/>
  <c r="AW1102" i="2"/>
  <c r="AX1102" i="2"/>
  <c r="AY1102" i="2"/>
  <c r="AZ1102" i="2"/>
  <c r="BA1102" i="2"/>
  <c r="BB1102" i="2"/>
  <c r="BC1102" i="2"/>
  <c r="BD1102" i="2"/>
  <c r="BE1102" i="2"/>
  <c r="BF1102" i="2"/>
  <c r="BG1102" i="2"/>
  <c r="BH1102" i="2"/>
  <c r="BI1102" i="2"/>
  <c r="BJ1102" i="2"/>
  <c r="AI1103" i="2"/>
  <c r="AJ1103" i="2"/>
  <c r="AK1103" i="2"/>
  <c r="AL1103" i="2"/>
  <c r="AM1103" i="2"/>
  <c r="AN1103" i="2"/>
  <c r="AO1103" i="2"/>
  <c r="AP1103" i="2"/>
  <c r="AQ1103" i="2"/>
  <c r="AR1103" i="2"/>
  <c r="AS1103" i="2"/>
  <c r="AT1103" i="2"/>
  <c r="AU1103" i="2"/>
  <c r="AV1103" i="2"/>
  <c r="AW1103" i="2"/>
  <c r="AX1103" i="2"/>
  <c r="AY1103" i="2"/>
  <c r="AZ1103" i="2"/>
  <c r="BA1103" i="2"/>
  <c r="BB1103" i="2"/>
  <c r="BC1103" i="2"/>
  <c r="BD1103" i="2"/>
  <c r="BE1103" i="2"/>
  <c r="BF1103" i="2"/>
  <c r="BG1103" i="2"/>
  <c r="BH1103" i="2"/>
  <c r="BI1103" i="2"/>
  <c r="BJ1103" i="2"/>
  <c r="AF1102" i="2"/>
  <c r="AG1102" i="2"/>
  <c r="AH1102" i="2"/>
  <c r="AF1103" i="2"/>
  <c r="AG1103" i="2"/>
  <c r="AH1103" i="2"/>
  <c r="AE1102" i="2"/>
  <c r="AE1103" i="2"/>
  <c r="AE695" i="2"/>
  <c r="BY1091" i="2"/>
  <c r="AE1041" i="2"/>
  <c r="AF1041" i="2"/>
  <c r="AG1041" i="2"/>
  <c r="AH1041" i="2"/>
  <c r="AI1041" i="2"/>
  <c r="AJ1041" i="2"/>
  <c r="AK1041" i="2"/>
  <c r="AM1041" i="2"/>
  <c r="AN1041" i="2"/>
  <c r="AO1041" i="2"/>
  <c r="AP1041" i="2"/>
  <c r="AQ1041" i="2"/>
  <c r="AR1041" i="2"/>
  <c r="AS1041" i="2"/>
  <c r="AT1041" i="2"/>
  <c r="AU1041" i="2"/>
  <c r="AV1041" i="2"/>
  <c r="AW1041" i="2"/>
  <c r="AX1041" i="2"/>
  <c r="AY1041" i="2"/>
  <c r="AZ1041" i="2"/>
  <c r="BA1041" i="2"/>
  <c r="BB1041" i="2"/>
  <c r="BC1041" i="2"/>
  <c r="BD1041" i="2"/>
  <c r="BE1041" i="2"/>
  <c r="BF1041" i="2"/>
  <c r="BG1041" i="2"/>
  <c r="BH1041" i="2"/>
  <c r="BI1041" i="2"/>
  <c r="BJ1041" i="2"/>
  <c r="BK1041" i="2"/>
  <c r="BL1041" i="2"/>
  <c r="BM1041" i="2"/>
  <c r="BN1041" i="2"/>
  <c r="BO1041" i="2"/>
  <c r="BP1041" i="2"/>
  <c r="BQ1041" i="2"/>
  <c r="BR1041" i="2"/>
  <c r="BS1041" i="2"/>
  <c r="BT1041" i="2"/>
  <c r="BU1041" i="2"/>
  <c r="BG1022" i="2"/>
  <c r="BG1023" i="2"/>
  <c r="BG1024" i="2"/>
  <c r="BG1025" i="2"/>
  <c r="BG1026" i="2"/>
  <c r="BG1027" i="2"/>
  <c r="BG1028" i="2"/>
  <c r="BG1029" i="2"/>
  <c r="BG1030" i="2"/>
  <c r="BG1031" i="2"/>
  <c r="BG1032" i="2"/>
  <c r="BG1033" i="2"/>
  <c r="BG1034" i="2"/>
  <c r="BG1035" i="2"/>
  <c r="BG1036" i="2"/>
  <c r="BG1037" i="2"/>
  <c r="BG1038" i="2"/>
  <c r="BG1039" i="2"/>
  <c r="BG1040" i="2"/>
  <c r="BG1042" i="2"/>
  <c r="BG1043" i="2"/>
  <c r="BG1021" i="2"/>
  <c r="BG1002" i="2"/>
  <c r="BG1001" i="2"/>
  <c r="BG1000" i="2"/>
  <c r="BG999" i="2"/>
  <c r="BG998" i="2"/>
  <c r="BG997" i="2"/>
  <c r="BG995" i="2" s="1"/>
  <c r="BG996" i="2"/>
  <c r="BH1107" i="2"/>
  <c r="BI1107" i="2"/>
  <c r="BJ1107" i="2"/>
  <c r="AI996" i="2"/>
  <c r="AJ996" i="2"/>
  <c r="AK996" i="2"/>
  <c r="AL996" i="2"/>
  <c r="AM996" i="2"/>
  <c r="AN996" i="2"/>
  <c r="AO996" i="2"/>
  <c r="AP996" i="2"/>
  <c r="AQ996" i="2"/>
  <c r="AR996" i="2"/>
  <c r="AS996" i="2"/>
  <c r="AT996" i="2"/>
  <c r="AU996" i="2"/>
  <c r="AV996" i="2"/>
  <c r="AW996" i="2"/>
  <c r="AX996" i="2"/>
  <c r="AY996" i="2"/>
  <c r="AZ996" i="2"/>
  <c r="BA996" i="2"/>
  <c r="BB996" i="2"/>
  <c r="BC996" i="2"/>
  <c r="BD996" i="2"/>
  <c r="BE996" i="2"/>
  <c r="BF996" i="2"/>
  <c r="BH996" i="2"/>
  <c r="BI996" i="2"/>
  <c r="BJ996" i="2"/>
  <c r="BK996" i="2"/>
  <c r="BL996" i="2"/>
  <c r="BM996" i="2"/>
  <c r="BN996" i="2"/>
  <c r="BO996" i="2"/>
  <c r="BP996" i="2"/>
  <c r="BQ996" i="2"/>
  <c r="BR996" i="2"/>
  <c r="AE996" i="2"/>
  <c r="AF996" i="2"/>
  <c r="AG996" i="2"/>
  <c r="AH996" i="2"/>
  <c r="BS996" i="2"/>
  <c r="BT996" i="2"/>
  <c r="BU996" i="2"/>
  <c r="BV996" i="2"/>
  <c r="BH1057" i="2"/>
  <c r="BI1057" i="2"/>
  <c r="BJ1057" i="2"/>
  <c r="BG1057" i="2"/>
  <c r="BJ1010" i="2"/>
  <c r="BJ873" i="2"/>
  <c r="BJ871" i="2" s="1"/>
  <c r="BJ874" i="2"/>
  <c r="BJ875" i="2"/>
  <c r="BJ1065" i="2"/>
  <c r="BJ1066" i="2" s="1"/>
  <c r="BJ1054" i="2"/>
  <c r="BJ1055" i="2"/>
  <c r="BJ948" i="2"/>
  <c r="BJ949" i="2"/>
  <c r="BJ950" i="2"/>
  <c r="BJ951" i="2"/>
  <c r="BJ952" i="2"/>
  <c r="BJ953" i="2"/>
  <c r="BJ954" i="2"/>
  <c r="BJ955" i="2"/>
  <c r="BJ956" i="2"/>
  <c r="BJ957" i="2"/>
  <c r="BJ958" i="2"/>
  <c r="BJ959" i="2"/>
  <c r="BJ960" i="2"/>
  <c r="BJ961" i="2"/>
  <c r="BJ962" i="2"/>
  <c r="BJ963" i="2"/>
  <c r="BJ964" i="2"/>
  <c r="BJ965" i="2"/>
  <c r="BJ966" i="2"/>
  <c r="BJ967" i="2"/>
  <c r="BJ968" i="2"/>
  <c r="BJ969" i="2"/>
  <c r="BJ970" i="2"/>
  <c r="BJ971" i="2"/>
  <c r="BJ972" i="2"/>
  <c r="BJ973" i="2"/>
  <c r="BJ974" i="2"/>
  <c r="BJ975" i="2"/>
  <c r="BJ976" i="2"/>
  <c r="BJ977" i="2"/>
  <c r="BJ978" i="2"/>
  <c r="BJ979" i="2"/>
  <c r="BJ980" i="2"/>
  <c r="BJ981" i="2"/>
  <c r="BJ982" i="2"/>
  <c r="BJ983" i="2"/>
  <c r="BJ984" i="2"/>
  <c r="BJ933" i="2"/>
  <c r="BJ934" i="2"/>
  <c r="BJ935" i="2"/>
  <c r="BJ936" i="2"/>
  <c r="BJ937" i="2"/>
  <c r="BJ938" i="2"/>
  <c r="BJ939" i="2"/>
  <c r="BJ940" i="2"/>
  <c r="BJ941" i="2"/>
  <c r="BJ942" i="2"/>
  <c r="BJ943" i="2"/>
  <c r="BJ944" i="2"/>
  <c r="BJ945" i="2"/>
  <c r="BJ946" i="2"/>
  <c r="BJ947" i="2"/>
  <c r="BJ909" i="2"/>
  <c r="BJ910" i="2"/>
  <c r="BJ911" i="2"/>
  <c r="BJ912" i="2"/>
  <c r="BJ913" i="2"/>
  <c r="BJ914" i="2"/>
  <c r="BJ915" i="2"/>
  <c r="BJ916" i="2"/>
  <c r="BJ917" i="2"/>
  <c r="BJ918" i="2"/>
  <c r="BJ919" i="2"/>
  <c r="BJ920" i="2"/>
  <c r="BJ921" i="2"/>
  <c r="BJ922" i="2"/>
  <c r="BJ923" i="2"/>
  <c r="BJ924" i="2"/>
  <c r="BJ925" i="2"/>
  <c r="BJ926" i="2"/>
  <c r="BJ927" i="2"/>
  <c r="BJ928" i="2"/>
  <c r="BJ929" i="2"/>
  <c r="BJ930" i="2"/>
  <c r="BJ931" i="2"/>
  <c r="BJ899" i="2"/>
  <c r="BJ898" i="2" s="1"/>
  <c r="BJ900" i="2"/>
  <c r="BJ901" i="2"/>
  <c r="BJ902" i="2"/>
  <c r="BJ903" i="2"/>
  <c r="BJ904" i="2"/>
  <c r="BJ905" i="2"/>
  <c r="BJ906" i="2"/>
  <c r="BJ907" i="2"/>
  <c r="BJ908" i="2"/>
  <c r="BF899" i="2"/>
  <c r="BF898" i="2" s="1"/>
  <c r="BF900" i="2"/>
  <c r="BF901" i="2"/>
  <c r="BF902" i="2"/>
  <c r="BF1054" i="2"/>
  <c r="BF1055" i="2"/>
  <c r="BE1111" i="2"/>
  <c r="BF1111" i="2"/>
  <c r="BE1113" i="2"/>
  <c r="BE1112" i="2" s="1"/>
  <c r="BF1113" i="2"/>
  <c r="BF1112" i="2" s="1"/>
  <c r="BE1115" i="2"/>
  <c r="BF1115" i="2"/>
  <c r="BE1116" i="2"/>
  <c r="BF1116" i="2"/>
  <c r="BE1117" i="2"/>
  <c r="BF1117" i="2"/>
  <c r="BE1122" i="2"/>
  <c r="BF1122" i="2"/>
  <c r="BB1113" i="2"/>
  <c r="BB1112" i="2" s="1"/>
  <c r="BB1115" i="2"/>
  <c r="BJ1014" i="2"/>
  <c r="BJ1015" i="2"/>
  <c r="BJ1016" i="2"/>
  <c r="BJ997" i="2"/>
  <c r="BJ998" i="2"/>
  <c r="BJ999" i="2"/>
  <c r="BJ1000" i="2"/>
  <c r="BJ1001" i="2"/>
  <c r="BJ1002" i="2"/>
  <c r="BF997" i="2"/>
  <c r="BF998" i="2"/>
  <c r="BF999" i="2"/>
  <c r="BF1000" i="2"/>
  <c r="BF1001" i="2"/>
  <c r="BF1002" i="2"/>
  <c r="BB997" i="2"/>
  <c r="BB995" i="2" s="1"/>
  <c r="BB998" i="2"/>
  <c r="BB999" i="2"/>
  <c r="BB1000" i="2"/>
  <c r="BB1001" i="2"/>
  <c r="BB1002" i="2"/>
  <c r="BB873" i="2"/>
  <c r="BB871" i="2" s="1"/>
  <c r="BB874" i="2"/>
  <c r="BF960" i="2"/>
  <c r="BF961" i="2"/>
  <c r="BF962" i="2"/>
  <c r="BF963" i="2"/>
  <c r="BF964" i="2"/>
  <c r="BF965" i="2"/>
  <c r="BF966" i="2"/>
  <c r="BF967" i="2"/>
  <c r="BF968" i="2"/>
  <c r="BF969" i="2"/>
  <c r="BF970" i="2"/>
  <c r="BF971" i="2"/>
  <c r="BF972" i="2"/>
  <c r="BF973" i="2"/>
  <c r="BF974" i="2"/>
  <c r="BF975" i="2"/>
  <c r="BF976" i="2"/>
  <c r="BF977" i="2"/>
  <c r="BF978" i="2"/>
  <c r="BF979" i="2"/>
  <c r="BF980" i="2"/>
  <c r="BF981" i="2"/>
  <c r="BF982" i="2"/>
  <c r="BF983" i="2"/>
  <c r="BF984" i="2"/>
  <c r="BF957" i="2"/>
  <c r="BF958" i="2"/>
  <c r="BF933" i="2"/>
  <c r="BF934" i="2"/>
  <c r="BF935" i="2"/>
  <c r="BF936" i="2"/>
  <c r="BF937" i="2"/>
  <c r="BF938" i="2"/>
  <c r="BF939" i="2"/>
  <c r="BF940" i="2"/>
  <c r="BF941" i="2"/>
  <c r="BF942" i="2"/>
  <c r="BF943" i="2"/>
  <c r="BF944" i="2"/>
  <c r="BF945" i="2"/>
  <c r="BF946" i="2"/>
  <c r="BF947" i="2"/>
  <c r="BF948" i="2"/>
  <c r="BF949" i="2"/>
  <c r="BF950" i="2"/>
  <c r="BF951" i="2"/>
  <c r="BF952" i="2"/>
  <c r="BF953" i="2"/>
  <c r="BF954" i="2"/>
  <c r="BF955" i="2"/>
  <c r="BF903" i="2"/>
  <c r="BF904" i="2"/>
  <c r="BF905" i="2"/>
  <c r="BF906" i="2"/>
  <c r="BF907" i="2"/>
  <c r="BF908" i="2"/>
  <c r="BF909" i="2"/>
  <c r="BF910" i="2"/>
  <c r="BF911" i="2"/>
  <c r="BF912" i="2"/>
  <c r="BF913" i="2"/>
  <c r="BF914" i="2"/>
  <c r="BF915" i="2"/>
  <c r="BF916" i="2"/>
  <c r="BF917" i="2"/>
  <c r="BF918" i="2"/>
  <c r="BF919" i="2"/>
  <c r="BF920" i="2"/>
  <c r="BF921" i="2"/>
  <c r="BF922" i="2"/>
  <c r="BF923" i="2"/>
  <c r="BF924" i="2"/>
  <c r="BF925" i="2"/>
  <c r="BF926" i="2"/>
  <c r="BF927" i="2"/>
  <c r="BF928" i="2"/>
  <c r="BF929" i="2"/>
  <c r="BF930" i="2"/>
  <c r="BF931" i="2"/>
  <c r="BB882" i="2"/>
  <c r="BB899" i="2"/>
  <c r="BB898" i="2" s="1"/>
  <c r="BB900" i="2"/>
  <c r="BB901" i="2"/>
  <c r="BB902" i="2"/>
  <c r="BB903" i="2"/>
  <c r="BB904" i="2"/>
  <c r="BB905" i="2"/>
  <c r="BB906" i="2"/>
  <c r="BB907" i="2"/>
  <c r="BB908" i="2"/>
  <c r="BB909" i="2"/>
  <c r="BB910" i="2"/>
  <c r="BB911" i="2"/>
  <c r="BB912" i="2"/>
  <c r="BB913" i="2"/>
  <c r="BB914" i="2"/>
  <c r="BB915" i="2"/>
  <c r="BB916" i="2"/>
  <c r="BB917" i="2"/>
  <c r="BB918" i="2"/>
  <c r="BB919" i="2"/>
  <c r="BB920" i="2"/>
  <c r="BB921" i="2"/>
  <c r="BB922" i="2"/>
  <c r="BB923" i="2"/>
  <c r="BB924" i="2"/>
  <c r="BB925" i="2"/>
  <c r="BB926" i="2"/>
  <c r="BB927" i="2"/>
  <c r="BB928" i="2"/>
  <c r="BB929" i="2"/>
  <c r="BB930" i="2"/>
  <c r="BB931" i="2"/>
  <c r="BB933" i="2"/>
  <c r="BB934" i="2"/>
  <c r="BB935" i="2"/>
  <c r="BB936" i="2"/>
  <c r="BB937" i="2"/>
  <c r="BB938" i="2"/>
  <c r="BB939" i="2"/>
  <c r="BB940" i="2"/>
  <c r="BB941" i="2"/>
  <c r="BB942" i="2"/>
  <c r="BB943" i="2"/>
  <c r="BB944" i="2"/>
  <c r="BB945" i="2"/>
  <c r="BB946" i="2"/>
  <c r="BB947" i="2"/>
  <c r="BB948" i="2"/>
  <c r="BB949" i="2"/>
  <c r="BB950" i="2"/>
  <c r="BB951" i="2"/>
  <c r="BB952" i="2"/>
  <c r="BB953" i="2"/>
  <c r="BB954" i="2"/>
  <c r="BB955" i="2"/>
  <c r="BB956" i="2"/>
  <c r="CB956" i="2" s="1"/>
  <c r="BB957" i="2"/>
  <c r="BB958" i="2"/>
  <c r="BB959" i="2"/>
  <c r="BB960" i="2"/>
  <c r="BB961" i="2"/>
  <c r="BB962" i="2"/>
  <c r="BB963" i="2"/>
  <c r="CB963" i="2" s="1"/>
  <c r="BB964" i="2"/>
  <c r="BB965" i="2"/>
  <c r="BB966" i="2"/>
  <c r="BB967" i="2"/>
  <c r="BB968" i="2"/>
  <c r="BB969" i="2"/>
  <c r="BB970" i="2"/>
  <c r="BB971" i="2"/>
  <c r="BB972" i="2"/>
  <c r="BB973" i="2"/>
  <c r="BB974" i="2"/>
  <c r="BB975" i="2"/>
  <c r="CB975" i="2" s="1"/>
  <c r="BB976" i="2"/>
  <c r="BB977" i="2"/>
  <c r="BB978" i="2"/>
  <c r="BB979" i="2"/>
  <c r="BB980" i="2"/>
  <c r="BB981" i="2"/>
  <c r="BB982" i="2"/>
  <c r="BB983" i="2"/>
  <c r="BB984" i="2"/>
  <c r="BB761" i="2"/>
  <c r="AX761" i="2"/>
  <c r="CB532" i="2"/>
  <c r="CB533" i="2"/>
  <c r="CB534" i="2"/>
  <c r="CB535" i="2"/>
  <c r="CB537" i="2"/>
  <c r="CB539" i="2"/>
  <c r="CB540" i="2"/>
  <c r="CB541" i="2"/>
  <c r="CB542" i="2"/>
  <c r="CB543" i="2"/>
  <c r="CB544" i="2"/>
  <c r="CB545" i="2"/>
  <c r="CB546" i="2"/>
  <c r="CB547" i="2"/>
  <c r="CB548" i="2"/>
  <c r="CB550" i="2"/>
  <c r="CB551" i="2"/>
  <c r="CB552" i="2"/>
  <c r="CB553" i="2"/>
  <c r="CB554" i="2"/>
  <c r="CB555" i="2"/>
  <c r="CB556" i="2"/>
  <c r="CB557" i="2"/>
  <c r="CB558" i="2"/>
  <c r="CB559" i="2"/>
  <c r="CB560" i="2"/>
  <c r="CB564" i="2"/>
  <c r="CB565" i="2"/>
  <c r="CB566" i="2"/>
  <c r="CB567" i="2"/>
  <c r="CB568" i="2"/>
  <c r="CB569" i="2"/>
  <c r="CB570" i="2"/>
  <c r="CB571" i="2"/>
  <c r="CB572" i="2"/>
  <c r="CB573" i="2"/>
  <c r="CB574" i="2"/>
  <c r="CB575" i="2"/>
  <c r="CB576" i="2"/>
  <c r="CB577" i="2"/>
  <c r="CB579" i="2"/>
  <c r="CB580" i="2"/>
  <c r="CB581" i="2"/>
  <c r="CB584" i="2"/>
  <c r="CB585" i="2"/>
  <c r="CB586" i="2"/>
  <c r="CB587" i="2"/>
  <c r="CB588" i="2"/>
  <c r="CB589" i="2"/>
  <c r="CB591" i="2"/>
  <c r="CB592" i="2"/>
  <c r="BZ331" i="2"/>
  <c r="CB331" i="2"/>
  <c r="AL395" i="2"/>
  <c r="CA762" i="2"/>
  <c r="CB762" i="2"/>
  <c r="CA763" i="2"/>
  <c r="CB763" i="2"/>
  <c r="CA764" i="2"/>
  <c r="CB764" i="2"/>
  <c r="CA765" i="2"/>
  <c r="CB765" i="2"/>
  <c r="CA766" i="2"/>
  <c r="CB766" i="2"/>
  <c r="CB896" i="2" l="1"/>
  <c r="CB531" i="2"/>
  <c r="BB932" i="2"/>
  <c r="AE1101" i="2"/>
  <c r="BJ932" i="2"/>
  <c r="AT561" i="2"/>
  <c r="AL578" i="2"/>
  <c r="CB578" i="2" s="1"/>
  <c r="CB563" i="2"/>
  <c r="CA387" i="2"/>
  <c r="CB387" i="2"/>
  <c r="CA388" i="2"/>
  <c r="CA389" i="2"/>
  <c r="CB389" i="2"/>
  <c r="CA390" i="2"/>
  <c r="CB390" i="2"/>
  <c r="BN386" i="2"/>
  <c r="BZ388" i="2"/>
  <c r="BZ384" i="2"/>
  <c r="CA384" i="2"/>
  <c r="CB384" i="2"/>
  <c r="CC384" i="2"/>
  <c r="CA381" i="2"/>
  <c r="CB381" i="2"/>
  <c r="CA382" i="2"/>
  <c r="CB382" i="2"/>
  <c r="CA376" i="2"/>
  <c r="CB376" i="2"/>
  <c r="CA377" i="2"/>
  <c r="CB377" i="2"/>
  <c r="CA378" i="2"/>
  <c r="CB378" i="2"/>
  <c r="CA379" i="2"/>
  <c r="CB379" i="2"/>
  <c r="CA380" i="2"/>
  <c r="CB380" i="2"/>
  <c r="CA383" i="2"/>
  <c r="CB383" i="2"/>
  <c r="AX192" i="2"/>
  <c r="AT192" i="2"/>
  <c r="AH304" i="2"/>
  <c r="AH150" i="2"/>
  <c r="CB156" i="2"/>
  <c r="CC1162" i="2" l="1"/>
  <c r="CB1062" i="2" l="1"/>
  <c r="CB1064" i="2"/>
  <c r="CB1065" i="2"/>
  <c r="CB1066" i="2"/>
  <c r="CB1067" i="2"/>
  <c r="CB1053" i="2"/>
  <c r="CB1057" i="2"/>
  <c r="CB1009" i="2"/>
  <c r="CB839" i="2"/>
  <c r="CB848" i="2"/>
  <c r="AX1010" i="2"/>
  <c r="AX1011" i="2"/>
  <c r="AX1014" i="2"/>
  <c r="AX1015" i="2"/>
  <c r="AX1016" i="2"/>
  <c r="AX1021" i="2"/>
  <c r="AX1022" i="2"/>
  <c r="AX1023" i="2"/>
  <c r="AX1024" i="2"/>
  <c r="AX1025" i="2"/>
  <c r="AX1026" i="2"/>
  <c r="AX1027" i="2"/>
  <c r="AX1028" i="2"/>
  <c r="AX1029" i="2"/>
  <c r="AX1030" i="2"/>
  <c r="AX1031" i="2"/>
  <c r="AX1032" i="2"/>
  <c r="AX1033" i="2"/>
  <c r="AX1034" i="2"/>
  <c r="AX1035" i="2"/>
  <c r="AX1036" i="2"/>
  <c r="AX1037" i="2"/>
  <c r="AX1038" i="2"/>
  <c r="AX1039" i="2"/>
  <c r="AX1040" i="2"/>
  <c r="AX1042" i="2"/>
  <c r="AX1043" i="2"/>
  <c r="AX1046" i="2"/>
  <c r="AX1048" i="2"/>
  <c r="AX1050" i="2"/>
  <c r="AX1054" i="2"/>
  <c r="AX1055" i="2"/>
  <c r="AX1056" i="2"/>
  <c r="AX899" i="2"/>
  <c r="AX900" i="2"/>
  <c r="AX901" i="2"/>
  <c r="AX902" i="2"/>
  <c r="AX903" i="2"/>
  <c r="AX904" i="2"/>
  <c r="AX905" i="2"/>
  <c r="AX906" i="2"/>
  <c r="AX907" i="2"/>
  <c r="AX908" i="2"/>
  <c r="AX909" i="2"/>
  <c r="AX910" i="2"/>
  <c r="AX911" i="2"/>
  <c r="AX912" i="2"/>
  <c r="AX913" i="2"/>
  <c r="AX914" i="2"/>
  <c r="AX915" i="2"/>
  <c r="AX916" i="2"/>
  <c r="AX917" i="2"/>
  <c r="AX918" i="2"/>
  <c r="AX919" i="2"/>
  <c r="AX920" i="2"/>
  <c r="AX921" i="2"/>
  <c r="AX922" i="2"/>
  <c r="AX923" i="2"/>
  <c r="AX924" i="2"/>
  <c r="AX925" i="2"/>
  <c r="AX926" i="2"/>
  <c r="AX927" i="2"/>
  <c r="AX928" i="2"/>
  <c r="AX929" i="2"/>
  <c r="AX930" i="2"/>
  <c r="AX931" i="2"/>
  <c r="AX933" i="2"/>
  <c r="CB933" i="2" s="1"/>
  <c r="AX934" i="2"/>
  <c r="CB934" i="2" s="1"/>
  <c r="AX935" i="2"/>
  <c r="AX936" i="2"/>
  <c r="AX937" i="2"/>
  <c r="AX938" i="2"/>
  <c r="AX939" i="2"/>
  <c r="AX940" i="2"/>
  <c r="AX941" i="2"/>
  <c r="AX942" i="2"/>
  <c r="AX943" i="2"/>
  <c r="CB943" i="2" s="1"/>
  <c r="AX944" i="2"/>
  <c r="AX945" i="2"/>
  <c r="AX946" i="2"/>
  <c r="AX947" i="2"/>
  <c r="AX948" i="2"/>
  <c r="AX949" i="2"/>
  <c r="AX950" i="2"/>
  <c r="AX951" i="2"/>
  <c r="CB951" i="2" s="1"/>
  <c r="AX952" i="2"/>
  <c r="CB952" i="2" s="1"/>
  <c r="AX953" i="2"/>
  <c r="AX954" i="2"/>
  <c r="AX955" i="2"/>
  <c r="AX956" i="2"/>
  <c r="AX957" i="2"/>
  <c r="CB957" i="2" s="1"/>
  <c r="AX958" i="2"/>
  <c r="CB958" i="2" s="1"/>
  <c r="AX959" i="2"/>
  <c r="CB959" i="2" s="1"/>
  <c r="AX960" i="2"/>
  <c r="AX961" i="2"/>
  <c r="AX962" i="2"/>
  <c r="AX963" i="2"/>
  <c r="AX964" i="2"/>
  <c r="CB964" i="2" s="1"/>
  <c r="AX965" i="2"/>
  <c r="AX966" i="2"/>
  <c r="AX967" i="2"/>
  <c r="AX968" i="2"/>
  <c r="AX969" i="2"/>
  <c r="CB969" i="2" s="1"/>
  <c r="AX970" i="2"/>
  <c r="AX971" i="2"/>
  <c r="AX972" i="2"/>
  <c r="AX973" i="2"/>
  <c r="CB973" i="2" s="1"/>
  <c r="AX974" i="2"/>
  <c r="CB974" i="2" s="1"/>
  <c r="AX975" i="2"/>
  <c r="AX976" i="2"/>
  <c r="AX977" i="2"/>
  <c r="AX978" i="2"/>
  <c r="AX979" i="2"/>
  <c r="CB979" i="2" s="1"/>
  <c r="AX980" i="2"/>
  <c r="AX981" i="2"/>
  <c r="AX982" i="2"/>
  <c r="AX983" i="2"/>
  <c r="AX984" i="2"/>
  <c r="AX882" i="2"/>
  <c r="AT1054" i="2"/>
  <c r="AT1055" i="2"/>
  <c r="AP899" i="2"/>
  <c r="AP900" i="2"/>
  <c r="AP901" i="2"/>
  <c r="AP902" i="2"/>
  <c r="AP903" i="2"/>
  <c r="AP904" i="2"/>
  <c r="AP905" i="2"/>
  <c r="AP906" i="2"/>
  <c r="AP907" i="2"/>
  <c r="AP908" i="2"/>
  <c r="AP909" i="2"/>
  <c r="AP910" i="2"/>
  <c r="AP911" i="2"/>
  <c r="AP912" i="2"/>
  <c r="AP913" i="2"/>
  <c r="AP914" i="2"/>
  <c r="AP915" i="2"/>
  <c r="AP916" i="2"/>
  <c r="AP917" i="2"/>
  <c r="AP918" i="2"/>
  <c r="AP919" i="2"/>
  <c r="AP920" i="2"/>
  <c r="AP921" i="2"/>
  <c r="AP922" i="2"/>
  <c r="AP923" i="2"/>
  <c r="AP924" i="2"/>
  <c r="AP925" i="2"/>
  <c r="AP926" i="2"/>
  <c r="AP927" i="2"/>
  <c r="AP928" i="2"/>
  <c r="AP929" i="2"/>
  <c r="AP930" i="2"/>
  <c r="AP931" i="2"/>
  <c r="AP933" i="2"/>
  <c r="AP934" i="2"/>
  <c r="AP935" i="2"/>
  <c r="AP936" i="2"/>
  <c r="AP937" i="2"/>
  <c r="AP938" i="2"/>
  <c r="AP939" i="2"/>
  <c r="AP940" i="2"/>
  <c r="AP941" i="2"/>
  <c r="AP942" i="2"/>
  <c r="AP943" i="2"/>
  <c r="AP944" i="2"/>
  <c r="AP945" i="2"/>
  <c r="AP946" i="2"/>
  <c r="AP947" i="2"/>
  <c r="AP948" i="2"/>
  <c r="AP949" i="2"/>
  <c r="AP950" i="2"/>
  <c r="AP951" i="2"/>
  <c r="AP952" i="2"/>
  <c r="AP953" i="2"/>
  <c r="AP954" i="2"/>
  <c r="AP955" i="2"/>
  <c r="AP956" i="2"/>
  <c r="AP957" i="2"/>
  <c r="AP958" i="2"/>
  <c r="AP959" i="2"/>
  <c r="AP960" i="2"/>
  <c r="AP961" i="2"/>
  <c r="AP962" i="2"/>
  <c r="AP963" i="2"/>
  <c r="AP964" i="2"/>
  <c r="AP965" i="2"/>
  <c r="AP966" i="2"/>
  <c r="AP967" i="2"/>
  <c r="AP968" i="2"/>
  <c r="AP969" i="2"/>
  <c r="AP970" i="2"/>
  <c r="AP971" i="2"/>
  <c r="AP972" i="2"/>
  <c r="AP973" i="2"/>
  <c r="AP974" i="2"/>
  <c r="AP975" i="2"/>
  <c r="AP976" i="2"/>
  <c r="AP977" i="2"/>
  <c r="AP978" i="2"/>
  <c r="AP979" i="2"/>
  <c r="AP980" i="2"/>
  <c r="AP981" i="2"/>
  <c r="AP982" i="2"/>
  <c r="AP983" i="2"/>
  <c r="AP984" i="2"/>
  <c r="AL899" i="2"/>
  <c r="AL900" i="2"/>
  <c r="AL901" i="2"/>
  <c r="AL902" i="2"/>
  <c r="AL903" i="2"/>
  <c r="AL904" i="2"/>
  <c r="AL905" i="2"/>
  <c r="AL906" i="2"/>
  <c r="AL907" i="2"/>
  <c r="AL908" i="2"/>
  <c r="AL909" i="2"/>
  <c r="AL910" i="2"/>
  <c r="AL911" i="2"/>
  <c r="AL912" i="2"/>
  <c r="AL913" i="2"/>
  <c r="AL914" i="2"/>
  <c r="AL915" i="2"/>
  <c r="AL916" i="2"/>
  <c r="AL917" i="2"/>
  <c r="AL918" i="2"/>
  <c r="AL919" i="2"/>
  <c r="AL920" i="2"/>
  <c r="AL921" i="2"/>
  <c r="AL922" i="2"/>
  <c r="AL923" i="2"/>
  <c r="AL924" i="2"/>
  <c r="AL925" i="2"/>
  <c r="AL926" i="2"/>
  <c r="AL927" i="2"/>
  <c r="AL928" i="2"/>
  <c r="AL929" i="2"/>
  <c r="AL930" i="2"/>
  <c r="AL931" i="2"/>
  <c r="AL933" i="2"/>
  <c r="AL934" i="2"/>
  <c r="AL935" i="2"/>
  <c r="AL936" i="2"/>
  <c r="AL937" i="2"/>
  <c r="AL938" i="2"/>
  <c r="AL939" i="2"/>
  <c r="AL940" i="2"/>
  <c r="AL941" i="2"/>
  <c r="AL942" i="2"/>
  <c r="AL943" i="2"/>
  <c r="AL944" i="2"/>
  <c r="AL945" i="2"/>
  <c r="AL946" i="2"/>
  <c r="AL947" i="2"/>
  <c r="AL948" i="2"/>
  <c r="AL949" i="2"/>
  <c r="AL950" i="2"/>
  <c r="AL951" i="2"/>
  <c r="AL952" i="2"/>
  <c r="AL953" i="2"/>
  <c r="AL954" i="2"/>
  <c r="AL955" i="2"/>
  <c r="AL956" i="2"/>
  <c r="AL957" i="2"/>
  <c r="AL958" i="2"/>
  <c r="AL959" i="2"/>
  <c r="AL960" i="2"/>
  <c r="AL961" i="2"/>
  <c r="AL962" i="2"/>
  <c r="AL963" i="2"/>
  <c r="AL964" i="2"/>
  <c r="AL965" i="2"/>
  <c r="AL966" i="2"/>
  <c r="AL967" i="2"/>
  <c r="AL968" i="2"/>
  <c r="AL969" i="2"/>
  <c r="AL970" i="2"/>
  <c r="AL972" i="2"/>
  <c r="AL973" i="2"/>
  <c r="AL974" i="2"/>
  <c r="AL975" i="2"/>
  <c r="AL976" i="2"/>
  <c r="AL977" i="2"/>
  <c r="AL978" i="2"/>
  <c r="AL979" i="2"/>
  <c r="AL980" i="2"/>
  <c r="AL981" i="2"/>
  <c r="AL982" i="2"/>
  <c r="AL983" i="2"/>
  <c r="AL984" i="2"/>
  <c r="BN938" i="2"/>
  <c r="BN939" i="2"/>
  <c r="BN940" i="2"/>
  <c r="BN941" i="2"/>
  <c r="BN942" i="2"/>
  <c r="BN943" i="2"/>
  <c r="BN944" i="2"/>
  <c r="BN945" i="2"/>
  <c r="BN946" i="2"/>
  <c r="BN947" i="2"/>
  <c r="BN948" i="2"/>
  <c r="BN949" i="2"/>
  <c r="BN950" i="2"/>
  <c r="BN951" i="2"/>
  <c r="BN952" i="2"/>
  <c r="BN953" i="2"/>
  <c r="BN954" i="2"/>
  <c r="BN955" i="2"/>
  <c r="BN956" i="2"/>
  <c r="BN957" i="2"/>
  <c r="BN958" i="2"/>
  <c r="BN959" i="2"/>
  <c r="BN960" i="2"/>
  <c r="BN961" i="2"/>
  <c r="BN962" i="2"/>
  <c r="BN963" i="2"/>
  <c r="BN964" i="2"/>
  <c r="BN965" i="2"/>
  <c r="BN966" i="2"/>
  <c r="BN967" i="2"/>
  <c r="BN968" i="2"/>
  <c r="BN969" i="2"/>
  <c r="BN970" i="2"/>
  <c r="BN971" i="2"/>
  <c r="BN972" i="2"/>
  <c r="BN973" i="2"/>
  <c r="BN974" i="2"/>
  <c r="BN975" i="2"/>
  <c r="BN976" i="2"/>
  <c r="BN977" i="2"/>
  <c r="BN978" i="2"/>
  <c r="BN979" i="2"/>
  <c r="BN980" i="2"/>
  <c r="BN981" i="2"/>
  <c r="BN982" i="2"/>
  <c r="BN983" i="2"/>
  <c r="BN984" i="2"/>
  <c r="BN933" i="2"/>
  <c r="BN934" i="2"/>
  <c r="BN935" i="2"/>
  <c r="BN936" i="2"/>
  <c r="BN937" i="2"/>
  <c r="BN899" i="2"/>
  <c r="BN900" i="2"/>
  <c r="BN901" i="2"/>
  <c r="BN902" i="2"/>
  <c r="BN903" i="2"/>
  <c r="BN904" i="2"/>
  <c r="BN905" i="2"/>
  <c r="BN906" i="2"/>
  <c r="BN907" i="2"/>
  <c r="BN908" i="2"/>
  <c r="BN909" i="2"/>
  <c r="BN910" i="2"/>
  <c r="BN911" i="2"/>
  <c r="BN912" i="2"/>
  <c r="BN913" i="2"/>
  <c r="BN914" i="2"/>
  <c r="BN915" i="2"/>
  <c r="BN916" i="2"/>
  <c r="BN917" i="2"/>
  <c r="BN918" i="2"/>
  <c r="CB918" i="2" s="1"/>
  <c r="BN919" i="2"/>
  <c r="BN920" i="2"/>
  <c r="BN921" i="2"/>
  <c r="BN922" i="2"/>
  <c r="BN923" i="2"/>
  <c r="BN924" i="2"/>
  <c r="BN925" i="2"/>
  <c r="BN926" i="2"/>
  <c r="BN927" i="2"/>
  <c r="BN928" i="2"/>
  <c r="BN929" i="2"/>
  <c r="BN930" i="2"/>
  <c r="BN931" i="2"/>
  <c r="BN1004" i="2"/>
  <c r="BN1006" i="2"/>
  <c r="BN1007" i="2"/>
  <c r="BN1010" i="2"/>
  <c r="BN1011" i="2"/>
  <c r="BN1014" i="2"/>
  <c r="BN1015" i="2"/>
  <c r="BN1016" i="2"/>
  <c r="BN1021" i="2"/>
  <c r="BN1022" i="2"/>
  <c r="BN1023" i="2"/>
  <c r="BN1024" i="2"/>
  <c r="BN1025" i="2"/>
  <c r="BN1026" i="2"/>
  <c r="BN1027" i="2"/>
  <c r="BN1028" i="2"/>
  <c r="BN1029" i="2"/>
  <c r="BN1030" i="2"/>
  <c r="BN1031" i="2"/>
  <c r="BN1032" i="2"/>
  <c r="BN1033" i="2"/>
  <c r="BN1034" i="2"/>
  <c r="BN1035" i="2"/>
  <c r="BN1036" i="2"/>
  <c r="BN1037" i="2"/>
  <c r="BN1038" i="2"/>
  <c r="BN1039" i="2"/>
  <c r="BN1040" i="2"/>
  <c r="BN1042" i="2"/>
  <c r="BN1043" i="2"/>
  <c r="BJ1023" i="2"/>
  <c r="BJ1024" i="2"/>
  <c r="BJ1025" i="2"/>
  <c r="BJ1026" i="2"/>
  <c r="BJ1027" i="2"/>
  <c r="BJ1028" i="2"/>
  <c r="BJ1029" i="2"/>
  <c r="BJ1030" i="2"/>
  <c r="BJ1031" i="2"/>
  <c r="BJ1032" i="2"/>
  <c r="BJ1033" i="2"/>
  <c r="BJ1034" i="2"/>
  <c r="BJ1035" i="2"/>
  <c r="BJ1036" i="2"/>
  <c r="BJ1038" i="2"/>
  <c r="BJ1040" i="2"/>
  <c r="BJ1042" i="2"/>
  <c r="BJ1043" i="2"/>
  <c r="BF1010" i="2"/>
  <c r="BF1011" i="2"/>
  <c r="BF1014" i="2"/>
  <c r="BF1015" i="2"/>
  <c r="BF1016" i="2"/>
  <c r="BF1021" i="2"/>
  <c r="BF1022" i="2"/>
  <c r="BF1023" i="2"/>
  <c r="BF1024" i="2"/>
  <c r="BF1025" i="2"/>
  <c r="BF1026" i="2"/>
  <c r="BF1027" i="2"/>
  <c r="BF1028" i="2"/>
  <c r="BF1029" i="2"/>
  <c r="BF1030" i="2"/>
  <c r="BF1031" i="2"/>
  <c r="BF1032" i="2"/>
  <c r="BF1033" i="2"/>
  <c r="BF1034" i="2"/>
  <c r="BF1035" i="2"/>
  <c r="BF1036" i="2"/>
  <c r="BF1037" i="2"/>
  <c r="BF1038" i="2"/>
  <c r="BF1039" i="2"/>
  <c r="BF1040" i="2"/>
  <c r="BF1042" i="2"/>
  <c r="BF1043" i="2"/>
  <c r="BB1010" i="2"/>
  <c r="BB1011" i="2"/>
  <c r="BB1014" i="2"/>
  <c r="BB1015" i="2"/>
  <c r="BB1016" i="2"/>
  <c r="BB1021" i="2"/>
  <c r="BB1022" i="2"/>
  <c r="BB1023" i="2"/>
  <c r="BB1024" i="2"/>
  <c r="BB1025" i="2"/>
  <c r="BB1026" i="2"/>
  <c r="BB1027" i="2"/>
  <c r="BB1028" i="2"/>
  <c r="BB1029" i="2"/>
  <c r="BB1030" i="2"/>
  <c r="BB1031" i="2"/>
  <c r="BB1032" i="2"/>
  <c r="BB1033" i="2"/>
  <c r="BB1034" i="2"/>
  <c r="BB1035" i="2"/>
  <c r="BB1036" i="2"/>
  <c r="BB1037" i="2"/>
  <c r="BB1038" i="2"/>
  <c r="BB1039" i="2"/>
  <c r="BB1040" i="2"/>
  <c r="BB1042" i="2"/>
  <c r="BB1043" i="2"/>
  <c r="CB740" i="2"/>
  <c r="AF732" i="2"/>
  <c r="CA741" i="2"/>
  <c r="CA742" i="2"/>
  <c r="CA743" i="2"/>
  <c r="CA744" i="2"/>
  <c r="CA745" i="2"/>
  <c r="CA746" i="2"/>
  <c r="CA747" i="2"/>
  <c r="CA748" i="2"/>
  <c r="CA749" i="2"/>
  <c r="CA750" i="2"/>
  <c r="CA751" i="2"/>
  <c r="CA752" i="2"/>
  <c r="CA753" i="2"/>
  <c r="CA754" i="2"/>
  <c r="CA755" i="2"/>
  <c r="CA740" i="2"/>
  <c r="BY741" i="2"/>
  <c r="BY742" i="2"/>
  <c r="BY743" i="2"/>
  <c r="BY744" i="2"/>
  <c r="BY745" i="2"/>
  <c r="BY746" i="2"/>
  <c r="BY747" i="2"/>
  <c r="BY748" i="2"/>
  <c r="BY749" i="2"/>
  <c r="BY750" i="2"/>
  <c r="BY751" i="2"/>
  <c r="BY752" i="2"/>
  <c r="BY753" i="2"/>
  <c r="BY754" i="2"/>
  <c r="BY755" i="2"/>
  <c r="BY740" i="2"/>
  <c r="CB741" i="2"/>
  <c r="CB742" i="2"/>
  <c r="CB743" i="2"/>
  <c r="CB744" i="2"/>
  <c r="CB745" i="2"/>
  <c r="CB746" i="2"/>
  <c r="CB747" i="2"/>
  <c r="CB748" i="2"/>
  <c r="CB749" i="2"/>
  <c r="CB750" i="2"/>
  <c r="CB751" i="2"/>
  <c r="CB752" i="2"/>
  <c r="CB753" i="2"/>
  <c r="CB754" i="2"/>
  <c r="CB755" i="2"/>
  <c r="BN1068" i="2"/>
  <c r="CB1068" i="2" s="1"/>
  <c r="BM1066" i="2"/>
  <c r="BN1063" i="2"/>
  <c r="CB1063" i="2" s="1"/>
  <c r="BN511" i="2"/>
  <c r="AL511" i="2"/>
  <c r="AX932" i="2" l="1"/>
  <c r="AX898" i="2"/>
  <c r="BB1020" i="2"/>
  <c r="AX1049" i="2"/>
  <c r="AX1020" i="2"/>
  <c r="AX1013" i="2" s="1"/>
  <c r="AP932" i="2"/>
  <c r="BN1003" i="2"/>
  <c r="BF1020" i="2"/>
  <c r="BF1013" i="2" s="1"/>
  <c r="BN1020" i="2"/>
  <c r="BN1013" i="2" s="1"/>
  <c r="AP898" i="2"/>
  <c r="BN1005" i="2"/>
  <c r="BB1013" i="2"/>
  <c r="BN871" i="2"/>
  <c r="BN1089" i="2" l="1"/>
  <c r="BN1094" i="2"/>
  <c r="BN1001" i="2"/>
  <c r="BN1002" i="2"/>
  <c r="BN1000" i="2"/>
  <c r="BN1122" i="2" l="1"/>
  <c r="BN1115" i="2"/>
  <c r="BN1112" i="2"/>
  <c r="BN1111" i="2"/>
  <c r="BN1093" i="2"/>
  <c r="BN1095" i="2"/>
  <c r="BN1096" i="2"/>
  <c r="BN1097" i="2"/>
  <c r="BN1098" i="2"/>
  <c r="BN1099" i="2"/>
  <c r="BN1100" i="2"/>
  <c r="BN1101" i="2"/>
  <c r="BN1104" i="2"/>
  <c r="BN1105" i="2"/>
  <c r="BN1106" i="2"/>
  <c r="BN1107" i="2"/>
  <c r="BN1108" i="2"/>
  <c r="BN1109" i="2"/>
  <c r="BN1110" i="2"/>
  <c r="BN1092" i="2"/>
  <c r="BN1079" i="2"/>
  <c r="BN1077" i="2"/>
  <c r="BN1056" i="2"/>
  <c r="BN932" i="2"/>
  <c r="AH1011" i="2"/>
  <c r="AH1012" i="2"/>
  <c r="CB1012" i="2" s="1"/>
  <c r="AH1013" i="2"/>
  <c r="AH1017" i="2"/>
  <c r="AH1010" i="2"/>
  <c r="AH997" i="2"/>
  <c r="AH874" i="2"/>
  <c r="AH873" i="2"/>
  <c r="AL1059" i="2"/>
  <c r="AL1058" i="2" s="1"/>
  <c r="AL1020" i="2"/>
  <c r="AL995" i="2"/>
  <c r="AL1077" i="2"/>
  <c r="AL1078" i="2"/>
  <c r="AL1079" i="2"/>
  <c r="AL1080" i="2"/>
  <c r="AL1081" i="2"/>
  <c r="AL1082" i="2"/>
  <c r="AL1083" i="2"/>
  <c r="AL1084" i="2"/>
  <c r="AL1085" i="2"/>
  <c r="AL1086" i="2"/>
  <c r="AL1087" i="2"/>
  <c r="AL1088" i="2"/>
  <c r="AL1089" i="2"/>
  <c r="AL1092" i="2"/>
  <c r="AL1094" i="2"/>
  <c r="AL1095" i="2"/>
  <c r="AL1096" i="2"/>
  <c r="AL1097" i="2"/>
  <c r="AL1101" i="2"/>
  <c r="AL1105" i="2"/>
  <c r="AL1106" i="2"/>
  <c r="AL1107" i="2"/>
  <c r="AL986" i="2"/>
  <c r="AL987" i="2"/>
  <c r="AL898" i="2"/>
  <c r="AL875" i="2"/>
  <c r="AL873" i="2"/>
  <c r="AL872" i="2"/>
  <c r="AL874" i="2"/>
  <c r="AL842" i="2"/>
  <c r="AL841" i="2"/>
  <c r="AL832" i="2"/>
  <c r="AL834" i="2" s="1"/>
  <c r="BN1059" i="2"/>
  <c r="BN1054" i="2"/>
  <c r="BN1046" i="2"/>
  <c r="BN995" i="2"/>
  <c r="BN986" i="2"/>
  <c r="BN987" i="2"/>
  <c r="BN898" i="2"/>
  <c r="BN882" i="2"/>
  <c r="BN873" i="2"/>
  <c r="BN874" i="2"/>
  <c r="BN875" i="2"/>
  <c r="BN844" i="2"/>
  <c r="BN842" i="2" s="1"/>
  <c r="CB898" i="2" l="1"/>
  <c r="BN891" i="2"/>
  <c r="AL1013" i="2"/>
  <c r="BN1090" i="2"/>
  <c r="BN1075" i="2" s="1"/>
  <c r="AL1100" i="2"/>
  <c r="AL1090" i="2"/>
  <c r="AL994" i="2"/>
  <c r="AL833" i="2"/>
  <c r="BN1058" i="2"/>
  <c r="BN838" i="2"/>
  <c r="BN1070" i="2" s="1"/>
  <c r="CB1070" i="2" s="1"/>
  <c r="BN832" i="2" a="1"/>
  <c r="BN832" i="2" s="1"/>
  <c r="AH837" i="2"/>
  <c r="AH836" i="2"/>
  <c r="AH721" i="2"/>
  <c r="AH350" i="2"/>
  <c r="AH336" i="2"/>
  <c r="AH732" i="2"/>
  <c r="AH671" i="2"/>
  <c r="AH685" i="2"/>
  <c r="AL1125" i="2"/>
  <c r="BN776" i="2"/>
  <c r="BN761" i="2"/>
  <c r="BN685" i="2"/>
  <c r="BN670" i="2" s="1"/>
  <c r="AH335" i="2" l="1"/>
  <c r="AL1075" i="2"/>
  <c r="BN841" i="2"/>
  <c r="BN835" i="2"/>
  <c r="AH670" i="2"/>
  <c r="BN653" i="2"/>
  <c r="BN656" i="2"/>
  <c r="BN603" i="2"/>
  <c r="BN503" i="2"/>
  <c r="BN506" i="2"/>
  <c r="BN491" i="2"/>
  <c r="BN490" i="2"/>
  <c r="BN497" i="2"/>
  <c r="BN496" i="2" s="1"/>
  <c r="BN494" i="2" s="1"/>
  <c r="BN489" i="2" s="1"/>
  <c r="BN395" i="2"/>
  <c r="BN336" i="2"/>
  <c r="BN350" i="2"/>
  <c r="BN321" i="2"/>
  <c r="BN318" i="2"/>
  <c r="BN255" i="2"/>
  <c r="BN121" i="2"/>
  <c r="BN119" i="2" s="1"/>
  <c r="BN109" i="2" s="1"/>
  <c r="BN118" i="2"/>
  <c r="AL350" i="2"/>
  <c r="AL335" i="2" s="1"/>
  <c r="AL318" i="2"/>
  <c r="AL321" i="2"/>
  <c r="AL109" i="2"/>
  <c r="AL111" i="2" s="1"/>
  <c r="AL776" i="2"/>
  <c r="AL685" i="2"/>
  <c r="AL670" i="2" s="1"/>
  <c r="AL653" i="2"/>
  <c r="AL656" i="2"/>
  <c r="AL490" i="2"/>
  <c r="AL491" i="2" s="1"/>
  <c r="AL497" i="2"/>
  <c r="AL496" i="2" s="1"/>
  <c r="BN1125" i="2" l="1"/>
  <c r="BN1123" i="2" s="1"/>
  <c r="BN1061" i="2"/>
  <c r="BN1060" i="2" s="1"/>
  <c r="AL110" i="2"/>
  <c r="AL1061" i="2"/>
  <c r="AL1060" i="2" s="1"/>
  <c r="BN335" i="2"/>
  <c r="BN110" i="2"/>
  <c r="BN111" i="2"/>
  <c r="AG436" i="2"/>
  <c r="AK436" i="2"/>
  <c r="AO436" i="2"/>
  <c r="AS436" i="2"/>
  <c r="AW436" i="2"/>
  <c r="BA436" i="2"/>
  <c r="BE436" i="2"/>
  <c r="BI436" i="2"/>
  <c r="BM436" i="2"/>
  <c r="BQ436" i="2"/>
  <c r="BU436" i="2"/>
  <c r="CA436" i="2"/>
  <c r="CA1215" i="2"/>
  <c r="CA1192" i="2"/>
  <c r="BU1192" i="2"/>
  <c r="BU1215" i="2"/>
  <c r="BQ1215" i="2"/>
  <c r="BQ1192" i="2"/>
  <c r="BM1192" i="2"/>
  <c r="BM1215" i="2"/>
  <c r="BI1215" i="2"/>
  <c r="BE1215" i="2"/>
  <c r="BI1192" i="2"/>
  <c r="BE1192" i="2"/>
  <c r="BA1215" i="2"/>
  <c r="AW1215" i="2"/>
  <c r="BA1192" i="2"/>
  <c r="AW1192" i="2"/>
  <c r="AS1215" i="2"/>
  <c r="AO1215" i="2"/>
  <c r="AS1192" i="2"/>
  <c r="AO1192" i="2"/>
  <c r="AK1215" i="2"/>
  <c r="AG1215" i="2"/>
  <c r="AK1192" i="2"/>
  <c r="AG1192" i="2"/>
  <c r="CA797" i="2"/>
  <c r="BU797" i="2"/>
  <c r="BQ797" i="2"/>
  <c r="BM797" i="2"/>
  <c r="BI797" i="2"/>
  <c r="BE797" i="2"/>
  <c r="BA797" i="2"/>
  <c r="AW797" i="2"/>
  <c r="AS797" i="2"/>
  <c r="AO797" i="2"/>
  <c r="AK797" i="2"/>
  <c r="AG797" i="2"/>
  <c r="BU1168" i="2"/>
  <c r="BQ1168" i="2"/>
  <c r="BM1168" i="2"/>
  <c r="BI1168" i="2"/>
  <c r="BE1168" i="2"/>
  <c r="BA1168" i="2"/>
  <c r="AW1168" i="2"/>
  <c r="AS1168" i="2"/>
  <c r="AO1168" i="2"/>
  <c r="AK1168" i="2"/>
  <c r="AG1168" i="2"/>
  <c r="CA1168" i="2"/>
  <c r="CA75" i="2"/>
  <c r="BU75" i="2"/>
  <c r="BQ75" i="2"/>
  <c r="BM75" i="2"/>
  <c r="BI75" i="2"/>
  <c r="BE75" i="2"/>
  <c r="BA75" i="2"/>
  <c r="AW75" i="2"/>
  <c r="AS75" i="2"/>
  <c r="AO75" i="2"/>
  <c r="AK75" i="2"/>
  <c r="BJ513" i="2"/>
  <c r="BJ651" i="2"/>
  <c r="BJ637" i="2"/>
  <c r="BJ634" i="2"/>
  <c r="BJ1037" i="2" s="1"/>
  <c r="BJ619" i="2"/>
  <c r="BJ595" i="2"/>
  <c r="BJ594" i="2"/>
  <c r="BJ590" i="2"/>
  <c r="CB590" i="2" s="1"/>
  <c r="BJ583" i="2"/>
  <c r="BJ562" i="2"/>
  <c r="CB562" i="2" s="1"/>
  <c r="BJ549" i="2"/>
  <c r="CB549" i="2" s="1"/>
  <c r="CB583" i="2" l="1"/>
  <c r="BJ147" i="2"/>
  <c r="BJ354" i="2"/>
  <c r="BJ352" i="2"/>
  <c r="BJ321" i="2"/>
  <c r="BI320" i="2"/>
  <c r="BI319" i="2" s="1"/>
  <c r="BJ316" i="2"/>
  <c r="BJ299" i="2"/>
  <c r="BJ1039" i="2" s="1"/>
  <c r="BJ271" i="2"/>
  <c r="BJ247" i="2"/>
  <c r="BJ246" i="2"/>
  <c r="BJ215" i="2"/>
  <c r="BJ208" i="2"/>
  <c r="BJ204" i="2"/>
  <c r="BJ193" i="2"/>
  <c r="BF323" i="2"/>
  <c r="BF497" i="2"/>
  <c r="BJ192" i="2" l="1"/>
  <c r="BV1229" i="2"/>
  <c r="BU1229" i="2"/>
  <c r="BT1229" i="2"/>
  <c r="BS1229" i="2"/>
  <c r="BR1229" i="2"/>
  <c r="BQ1229" i="2"/>
  <c r="BP1229" i="2"/>
  <c r="BO1229" i="2"/>
  <c r="BN1229" i="2"/>
  <c r="BM1229" i="2"/>
  <c r="BL1229" i="2"/>
  <c r="BK1229" i="2"/>
  <c r="BI1229" i="2"/>
  <c r="BH1229" i="2"/>
  <c r="BG1229" i="2"/>
  <c r="BF1229" i="2"/>
  <c r="BE1229" i="2"/>
  <c r="BD1229" i="2"/>
  <c r="BC1229" i="2"/>
  <c r="BA1229" i="2"/>
  <c r="AZ1229" i="2"/>
  <c r="AY1229" i="2"/>
  <c r="AX1229" i="2"/>
  <c r="AW1229" i="2"/>
  <c r="AV1229" i="2"/>
  <c r="AU1229" i="2"/>
  <c r="AT1229" i="2"/>
  <c r="AS1229" i="2"/>
  <c r="AR1229" i="2"/>
  <c r="AQ1229" i="2"/>
  <c r="AP1229" i="2"/>
  <c r="AO1229" i="2"/>
  <c r="AN1229" i="2"/>
  <c r="AM1229" i="2"/>
  <c r="AL1229" i="2"/>
  <c r="AK1229" i="2"/>
  <c r="AJ1229" i="2"/>
  <c r="AI1229" i="2"/>
  <c r="AH1229" i="2"/>
  <c r="AG1229" i="2"/>
  <c r="AF1229" i="2"/>
  <c r="BV1226" i="2"/>
  <c r="BU1226" i="2"/>
  <c r="BT1226" i="2"/>
  <c r="BS1226" i="2"/>
  <c r="BR1226" i="2"/>
  <c r="BQ1226" i="2"/>
  <c r="BP1226" i="2"/>
  <c r="BO1226" i="2"/>
  <c r="BN1226" i="2"/>
  <c r="BM1226" i="2"/>
  <c r="BL1226" i="2"/>
  <c r="BK1226" i="2"/>
  <c r="BJ1226" i="2"/>
  <c r="BI1226" i="2"/>
  <c r="BH1226" i="2"/>
  <c r="BG1226" i="2"/>
  <c r="BF1226" i="2"/>
  <c r="BE1226" i="2"/>
  <c r="BD1226" i="2"/>
  <c r="BC1226" i="2"/>
  <c r="BB1226" i="2"/>
  <c r="BA1226" i="2"/>
  <c r="AZ1226" i="2"/>
  <c r="AY1226" i="2"/>
  <c r="AX1226" i="2"/>
  <c r="AW1226" i="2"/>
  <c r="AV1226" i="2"/>
  <c r="AU1226" i="2"/>
  <c r="AT1226" i="2"/>
  <c r="AS1226" i="2"/>
  <c r="AR1226" i="2"/>
  <c r="AQ1226" i="2"/>
  <c r="AP1226" i="2"/>
  <c r="AO1226" i="2"/>
  <c r="AN1226" i="2"/>
  <c r="AM1226" i="2"/>
  <c r="AL1226" i="2"/>
  <c r="AK1226" i="2"/>
  <c r="AJ1226" i="2"/>
  <c r="AI1226" i="2"/>
  <c r="AH1226" i="2"/>
  <c r="CB1226" i="2" s="1"/>
  <c r="AG1226" i="2"/>
  <c r="CA1226" i="2" s="1"/>
  <c r="AF1226" i="2"/>
  <c r="BZ1226" i="2" s="1"/>
  <c r="AE1226" i="2"/>
  <c r="BY1226" i="2" s="1"/>
  <c r="BV1225" i="2"/>
  <c r="BV1227" i="2" s="1"/>
  <c r="BU1225" i="2"/>
  <c r="BU1227" i="2" s="1"/>
  <c r="BT1225" i="2"/>
  <c r="BS1225" i="2"/>
  <c r="BS1227" i="2" s="1"/>
  <c r="BR1225" i="2"/>
  <c r="BR1227" i="2" s="1"/>
  <c r="BQ1225" i="2"/>
  <c r="BQ1227" i="2" s="1"/>
  <c r="BP1225" i="2"/>
  <c r="BO1225" i="2"/>
  <c r="BO1227" i="2" s="1"/>
  <c r="BN1225" i="2"/>
  <c r="BN1227" i="2" s="1"/>
  <c r="BM1225" i="2"/>
  <c r="BM1227" i="2" s="1"/>
  <c r="BL1225" i="2"/>
  <c r="BK1225" i="2"/>
  <c r="BK1227" i="2" s="1"/>
  <c r="BI1225" i="2"/>
  <c r="BH1225" i="2"/>
  <c r="BG1225" i="2"/>
  <c r="BF1225" i="2"/>
  <c r="BE1225" i="2"/>
  <c r="BD1225" i="2"/>
  <c r="BC1225" i="2"/>
  <c r="BA1225" i="2"/>
  <c r="AZ1225" i="2"/>
  <c r="AY1225" i="2"/>
  <c r="AY1227" i="2" s="1"/>
  <c r="AX1225" i="2"/>
  <c r="AW1225" i="2"/>
  <c r="AV1225" i="2"/>
  <c r="AU1225" i="2"/>
  <c r="AU1227" i="2" s="1"/>
  <c r="AT1225" i="2"/>
  <c r="AS1225" i="2"/>
  <c r="AR1225" i="2"/>
  <c r="AQ1225" i="2"/>
  <c r="AQ1227" i="2" s="1"/>
  <c r="AP1225" i="2"/>
  <c r="AO1225" i="2"/>
  <c r="AN1225" i="2"/>
  <c r="AM1225" i="2"/>
  <c r="AM1227" i="2" s="1"/>
  <c r="AL1225" i="2"/>
  <c r="AK1225" i="2"/>
  <c r="AJ1225" i="2"/>
  <c r="AI1225" i="2"/>
  <c r="AI1227" i="2" s="1"/>
  <c r="AH1225" i="2"/>
  <c r="AG1225" i="2"/>
  <c r="AF1225" i="2"/>
  <c r="AE1225" i="2"/>
  <c r="AE1227" i="2" s="1"/>
  <c r="BV1223" i="2"/>
  <c r="BU1223" i="2"/>
  <c r="BT1223" i="2"/>
  <c r="BS1223" i="2"/>
  <c r="BR1223" i="2"/>
  <c r="BQ1223" i="2"/>
  <c r="BP1223" i="2"/>
  <c r="BO1223" i="2"/>
  <c r="BN1223" i="2"/>
  <c r="BM1223" i="2"/>
  <c r="BL1223" i="2"/>
  <c r="BK1223" i="2"/>
  <c r="BJ1223" i="2"/>
  <c r="BI1223" i="2"/>
  <c r="BH1223" i="2"/>
  <c r="BG1223" i="2"/>
  <c r="BF1223" i="2"/>
  <c r="BE1223" i="2"/>
  <c r="BD1223" i="2"/>
  <c r="BC1223" i="2"/>
  <c r="BB1223" i="2"/>
  <c r="BA1223" i="2"/>
  <c r="AZ1223" i="2"/>
  <c r="AY1223" i="2"/>
  <c r="AX1223" i="2"/>
  <c r="AW1223" i="2"/>
  <c r="AV1223" i="2"/>
  <c r="AU1223" i="2"/>
  <c r="AT1223" i="2"/>
  <c r="AS1223" i="2"/>
  <c r="AR1223" i="2"/>
  <c r="AQ1223" i="2"/>
  <c r="AP1223" i="2"/>
  <c r="AO1223" i="2"/>
  <c r="AN1223" i="2"/>
  <c r="AM1223" i="2"/>
  <c r="AL1223" i="2"/>
  <c r="AK1223" i="2"/>
  <c r="AJ1223" i="2"/>
  <c r="AI1223" i="2"/>
  <c r="AH1223" i="2"/>
  <c r="CB1223" i="2" s="1"/>
  <c r="AG1223" i="2"/>
  <c r="CA1223" i="2" s="1"/>
  <c r="AF1223" i="2"/>
  <c r="BZ1223" i="2" s="1"/>
  <c r="AE1223" i="2"/>
  <c r="BY1223" i="2" s="1"/>
  <c r="BV1222" i="2"/>
  <c r="BU1222" i="2"/>
  <c r="BU1224" i="2" s="1"/>
  <c r="BT1222" i="2"/>
  <c r="BS1222" i="2"/>
  <c r="BS1224" i="2" s="1"/>
  <c r="BR1222" i="2"/>
  <c r="BR1224" i="2" s="1"/>
  <c r="BQ1222" i="2"/>
  <c r="BQ1224" i="2" s="1"/>
  <c r="BP1222" i="2"/>
  <c r="BO1222" i="2"/>
  <c r="BO1224" i="2" s="1"/>
  <c r="BN1222" i="2"/>
  <c r="BM1222" i="2"/>
  <c r="BM1224" i="2" s="1"/>
  <c r="BL1222" i="2"/>
  <c r="BK1222" i="2"/>
  <c r="BK1224" i="2" s="1"/>
  <c r="BI1222" i="2"/>
  <c r="BH1222" i="2"/>
  <c r="BG1222" i="2"/>
  <c r="BF1222" i="2"/>
  <c r="BE1222" i="2"/>
  <c r="BD1222" i="2"/>
  <c r="BC1222" i="2"/>
  <c r="BA1222" i="2"/>
  <c r="AZ1222" i="2"/>
  <c r="AY1222" i="2"/>
  <c r="AX1222" i="2"/>
  <c r="AW1222" i="2"/>
  <c r="AV1222" i="2"/>
  <c r="AU1222" i="2"/>
  <c r="AT1222" i="2"/>
  <c r="AS1222" i="2"/>
  <c r="AR1222" i="2"/>
  <c r="AQ1222" i="2"/>
  <c r="AP1222" i="2"/>
  <c r="AO1222" i="2"/>
  <c r="AN1222" i="2"/>
  <c r="AM1222" i="2"/>
  <c r="AL1222" i="2"/>
  <c r="AK1222" i="2"/>
  <c r="AJ1222" i="2"/>
  <c r="AI1222" i="2"/>
  <c r="AH1222" i="2"/>
  <c r="AG1222" i="2"/>
  <c r="AF1222" i="2"/>
  <c r="AE1222" i="2"/>
  <c r="BV1220" i="2"/>
  <c r="BU1220" i="2"/>
  <c r="BT1220" i="2"/>
  <c r="BS1220" i="2"/>
  <c r="BR1220" i="2"/>
  <c r="BQ1220" i="2"/>
  <c r="BP1220" i="2"/>
  <c r="BO1220" i="2"/>
  <c r="BN1220" i="2"/>
  <c r="BM1220" i="2"/>
  <c r="BL1220" i="2"/>
  <c r="BK1220" i="2"/>
  <c r="BJ1220" i="2"/>
  <c r="BI1220" i="2"/>
  <c r="BH1220" i="2"/>
  <c r="BG1220" i="2"/>
  <c r="BF1220" i="2"/>
  <c r="BE1220" i="2"/>
  <c r="BD1220" i="2"/>
  <c r="BC1220" i="2"/>
  <c r="BB1220" i="2"/>
  <c r="BA1220" i="2"/>
  <c r="AZ1220" i="2"/>
  <c r="AY1220" i="2"/>
  <c r="AX1220" i="2"/>
  <c r="AW1220" i="2"/>
  <c r="AV1220" i="2"/>
  <c r="AU1220" i="2"/>
  <c r="AT1220" i="2"/>
  <c r="AS1220" i="2"/>
  <c r="AR1220" i="2"/>
  <c r="AQ1220" i="2"/>
  <c r="AP1220" i="2"/>
  <c r="AO1220" i="2"/>
  <c r="AN1220" i="2"/>
  <c r="AM1220" i="2"/>
  <c r="AL1220" i="2"/>
  <c r="AK1220" i="2"/>
  <c r="AJ1220" i="2"/>
  <c r="AI1220" i="2"/>
  <c r="AH1220" i="2"/>
  <c r="CB1220" i="2" s="1"/>
  <c r="AG1220" i="2"/>
  <c r="CA1220" i="2" s="1"/>
  <c r="AF1220" i="2"/>
  <c r="AE1220" i="2"/>
  <c r="BY1220" i="2" s="1"/>
  <c r="BV1219" i="2"/>
  <c r="BU1219" i="2"/>
  <c r="BU1221" i="2" s="1"/>
  <c r="BT1219" i="2"/>
  <c r="BS1219" i="2"/>
  <c r="BS1221" i="2" s="1"/>
  <c r="BR1219" i="2"/>
  <c r="BR1221" i="2" s="1"/>
  <c r="BQ1219" i="2"/>
  <c r="BQ1221" i="2" s="1"/>
  <c r="BP1219" i="2"/>
  <c r="BP1221" i="2" s="1"/>
  <c r="BO1219" i="2"/>
  <c r="BO1221" i="2" s="1"/>
  <c r="BN1219" i="2"/>
  <c r="BM1219" i="2"/>
  <c r="BM1221" i="2" s="1"/>
  <c r="BL1219" i="2"/>
  <c r="BK1219" i="2"/>
  <c r="BK1221" i="2" s="1"/>
  <c r="BI1219" i="2"/>
  <c r="BH1219" i="2"/>
  <c r="BG1219" i="2"/>
  <c r="BF1219" i="2"/>
  <c r="BE1219" i="2"/>
  <c r="BD1219" i="2"/>
  <c r="BC1219" i="2"/>
  <c r="BA1219" i="2"/>
  <c r="AZ1219" i="2"/>
  <c r="AY1219" i="2"/>
  <c r="AY1221" i="2" s="1"/>
  <c r="AX1219" i="2"/>
  <c r="AW1219" i="2"/>
  <c r="AV1219" i="2"/>
  <c r="AU1219" i="2"/>
  <c r="AU1221" i="2" s="1"/>
  <c r="AT1219" i="2"/>
  <c r="AS1219" i="2"/>
  <c r="AR1219" i="2"/>
  <c r="AQ1219" i="2"/>
  <c r="AQ1221" i="2" s="1"/>
  <c r="AP1219" i="2"/>
  <c r="AO1219" i="2"/>
  <c r="AN1219" i="2"/>
  <c r="AM1219" i="2"/>
  <c r="AM1221" i="2" s="1"/>
  <c r="AL1219" i="2"/>
  <c r="AK1219" i="2"/>
  <c r="AJ1219" i="2"/>
  <c r="AI1219" i="2"/>
  <c r="AI1221" i="2" s="1"/>
  <c r="AH1219" i="2"/>
  <c r="AG1219" i="2"/>
  <c r="AF1219" i="2"/>
  <c r="BZ1217" i="2"/>
  <c r="BV1217" i="2"/>
  <c r="BU1217" i="2"/>
  <c r="BT1217" i="2"/>
  <c r="BS1217" i="2"/>
  <c r="BR1217" i="2"/>
  <c r="BQ1217" i="2"/>
  <c r="BP1217" i="2"/>
  <c r="BO1217" i="2"/>
  <c r="BN1217" i="2"/>
  <c r="BM1217" i="2"/>
  <c r="BL1217" i="2"/>
  <c r="BK1217" i="2"/>
  <c r="BJ1217" i="2"/>
  <c r="BI1217" i="2"/>
  <c r="BH1217" i="2"/>
  <c r="BG1217" i="2"/>
  <c r="BF1217" i="2"/>
  <c r="BE1217" i="2"/>
  <c r="BD1217" i="2"/>
  <c r="BC1217" i="2"/>
  <c r="BB1217" i="2"/>
  <c r="BA1217" i="2"/>
  <c r="AZ1217" i="2"/>
  <c r="AY1217" i="2"/>
  <c r="AX1217" i="2"/>
  <c r="AW1217" i="2"/>
  <c r="AV1217" i="2"/>
  <c r="AU1217" i="2"/>
  <c r="AT1217" i="2"/>
  <c r="AS1217" i="2"/>
  <c r="AR1217" i="2"/>
  <c r="AQ1217" i="2"/>
  <c r="AP1217" i="2"/>
  <c r="AO1217" i="2"/>
  <c r="AN1217" i="2"/>
  <c r="AM1217" i="2"/>
  <c r="AL1217" i="2"/>
  <c r="AK1217" i="2"/>
  <c r="AJ1217" i="2"/>
  <c r="AI1217" i="2"/>
  <c r="AH1217" i="2"/>
  <c r="AG1217" i="2"/>
  <c r="CA1217" i="2" s="1"/>
  <c r="AF1217" i="2"/>
  <c r="AE1217" i="2"/>
  <c r="BY1217" i="2" s="1"/>
  <c r="BV1216" i="2"/>
  <c r="BU1216" i="2"/>
  <c r="BT1216" i="2"/>
  <c r="BS1216" i="2"/>
  <c r="BS1228" i="2" s="1"/>
  <c r="BR1216" i="2"/>
  <c r="BQ1216" i="2"/>
  <c r="BP1216" i="2"/>
  <c r="BO1216" i="2"/>
  <c r="BO1228" i="2" s="1"/>
  <c r="BN1216" i="2"/>
  <c r="BM1216" i="2"/>
  <c r="BL1216" i="2"/>
  <c r="BK1216" i="2"/>
  <c r="BK1228" i="2" s="1"/>
  <c r="BI1216" i="2"/>
  <c r="BH1216" i="2"/>
  <c r="BG1216" i="2"/>
  <c r="BF1216" i="2"/>
  <c r="BF1228" i="2" s="1"/>
  <c r="BE1216" i="2"/>
  <c r="BD1216" i="2"/>
  <c r="BC1216" i="2"/>
  <c r="BA1216" i="2"/>
  <c r="BA1228" i="2" s="1"/>
  <c r="AZ1216" i="2"/>
  <c r="AY1216" i="2"/>
  <c r="AX1216" i="2"/>
  <c r="AW1216" i="2"/>
  <c r="AW1228" i="2" s="1"/>
  <c r="AV1216" i="2"/>
  <c r="AU1216" i="2"/>
  <c r="AT1216" i="2"/>
  <c r="AS1216" i="2"/>
  <c r="AS1228" i="2" s="1"/>
  <c r="AR1216" i="2"/>
  <c r="AQ1216" i="2"/>
  <c r="AP1216" i="2"/>
  <c r="AO1216" i="2"/>
  <c r="AO1228" i="2" s="1"/>
  <c r="AN1216" i="2"/>
  <c r="AM1216" i="2"/>
  <c r="AL1216" i="2"/>
  <c r="AK1216" i="2"/>
  <c r="AK1228" i="2" s="1"/>
  <c r="AJ1216" i="2"/>
  <c r="AI1216" i="2"/>
  <c r="AH1216" i="2"/>
  <c r="AG1216" i="2"/>
  <c r="AG1228" i="2" s="1"/>
  <c r="AF1216" i="2"/>
  <c r="CA1214" i="2"/>
  <c r="BZ1214" i="2"/>
  <c r="BY1214" i="2"/>
  <c r="BU1214" i="2"/>
  <c r="BT1214" i="2"/>
  <c r="BS1214" i="2"/>
  <c r="BQ1214" i="2"/>
  <c r="BP1214" i="2"/>
  <c r="BO1214" i="2"/>
  <c r="BM1214" i="2"/>
  <c r="BL1214" i="2"/>
  <c r="BK1214" i="2"/>
  <c r="BI1214" i="2"/>
  <c r="BH1214" i="2"/>
  <c r="BG1214" i="2"/>
  <c r="BE1214" i="2"/>
  <c r="BD1214" i="2"/>
  <c r="BC1214" i="2"/>
  <c r="BA1214" i="2"/>
  <c r="AZ1214" i="2"/>
  <c r="AY1214" i="2"/>
  <c r="AW1214" i="2"/>
  <c r="AV1214" i="2"/>
  <c r="AU1214" i="2"/>
  <c r="AS1214" i="2"/>
  <c r="AR1214" i="2"/>
  <c r="AQ1214" i="2"/>
  <c r="AO1214" i="2"/>
  <c r="AN1214" i="2"/>
  <c r="AM1214" i="2"/>
  <c r="AK1214" i="2"/>
  <c r="AJ1214" i="2"/>
  <c r="AI1214" i="2"/>
  <c r="AG1214" i="2"/>
  <c r="AE1214" i="2"/>
  <c r="BV1206" i="2"/>
  <c r="BU1206" i="2"/>
  <c r="BT1206" i="2"/>
  <c r="BS1206" i="2"/>
  <c r="BQ1206" i="2"/>
  <c r="BP1206" i="2"/>
  <c r="BO1206" i="2"/>
  <c r="BN1206" i="2"/>
  <c r="BM1206" i="2"/>
  <c r="BL1206" i="2"/>
  <c r="BK1206" i="2"/>
  <c r="BI1206" i="2"/>
  <c r="BH1206" i="2"/>
  <c r="BG1206" i="2"/>
  <c r="BF1206" i="2"/>
  <c r="BE1206" i="2"/>
  <c r="BD1206" i="2"/>
  <c r="BC1206" i="2"/>
  <c r="BA1206" i="2"/>
  <c r="AZ1206" i="2"/>
  <c r="AY1206" i="2"/>
  <c r="AX1206" i="2"/>
  <c r="AW1206" i="2"/>
  <c r="AV1206" i="2"/>
  <c r="AU1206" i="2"/>
  <c r="AT1206" i="2"/>
  <c r="AS1206" i="2"/>
  <c r="AQ1206" i="2"/>
  <c r="AP1206" i="2"/>
  <c r="AO1206" i="2"/>
  <c r="AN1206" i="2"/>
  <c r="AM1206" i="2"/>
  <c r="AL1206" i="2"/>
  <c r="AK1206" i="2"/>
  <c r="AJ1206" i="2"/>
  <c r="AI1206" i="2"/>
  <c r="AH1206" i="2"/>
  <c r="AF1206" i="2"/>
  <c r="BV1203" i="2"/>
  <c r="BU1203" i="2"/>
  <c r="BT1203" i="2"/>
  <c r="BS1203" i="2"/>
  <c r="BR1203" i="2"/>
  <c r="BQ1203" i="2"/>
  <c r="BP1203" i="2"/>
  <c r="BO1203" i="2"/>
  <c r="BN1203" i="2"/>
  <c r="BM1203" i="2"/>
  <c r="BL1203" i="2"/>
  <c r="BK1203" i="2"/>
  <c r="BJ1203" i="2"/>
  <c r="BI1203" i="2"/>
  <c r="BH1203" i="2"/>
  <c r="BG1203" i="2"/>
  <c r="BF1203" i="2"/>
  <c r="BE1203" i="2"/>
  <c r="BD1203" i="2"/>
  <c r="BC1203" i="2"/>
  <c r="BB1203" i="2"/>
  <c r="BA1203" i="2"/>
  <c r="AZ1203" i="2"/>
  <c r="AY1203" i="2"/>
  <c r="AX1203" i="2"/>
  <c r="AW1203" i="2"/>
  <c r="AV1203" i="2"/>
  <c r="AU1203" i="2"/>
  <c r="AT1203" i="2"/>
  <c r="AS1203" i="2"/>
  <c r="AR1203" i="2"/>
  <c r="AQ1203" i="2"/>
  <c r="AP1203" i="2"/>
  <c r="AO1203" i="2"/>
  <c r="AN1203" i="2"/>
  <c r="AM1203" i="2"/>
  <c r="AL1203" i="2"/>
  <c r="AK1203" i="2"/>
  <c r="AJ1203" i="2"/>
  <c r="AI1203" i="2"/>
  <c r="AH1203" i="2"/>
  <c r="CB1203" i="2" s="1"/>
  <c r="AG1203" i="2"/>
  <c r="CA1203" i="2" s="1"/>
  <c r="AF1203" i="2"/>
  <c r="BZ1203" i="2" s="1"/>
  <c r="AE1203" i="2"/>
  <c r="BY1203" i="2" s="1"/>
  <c r="BV1202" i="2"/>
  <c r="BU1202" i="2"/>
  <c r="BU1204" i="2" s="1"/>
  <c r="BT1202" i="2"/>
  <c r="BS1202" i="2"/>
  <c r="BS1204" i="2" s="1"/>
  <c r="BQ1202" i="2"/>
  <c r="BP1202" i="2"/>
  <c r="BO1202" i="2"/>
  <c r="BN1202" i="2"/>
  <c r="BM1202" i="2"/>
  <c r="BL1202" i="2"/>
  <c r="BK1202" i="2"/>
  <c r="BI1202" i="2"/>
  <c r="BH1202" i="2"/>
  <c r="BG1202" i="2"/>
  <c r="BF1202" i="2"/>
  <c r="BE1202" i="2"/>
  <c r="BD1202" i="2"/>
  <c r="BC1202" i="2"/>
  <c r="BA1202" i="2"/>
  <c r="AZ1202" i="2"/>
  <c r="AY1202" i="2"/>
  <c r="AX1202" i="2"/>
  <c r="AX1204" i="2" s="1"/>
  <c r="AW1202" i="2"/>
  <c r="AV1202" i="2"/>
  <c r="AU1202" i="2"/>
  <c r="AT1202" i="2"/>
  <c r="AT1204" i="2" s="1"/>
  <c r="AS1202" i="2"/>
  <c r="AR1202" i="2"/>
  <c r="AQ1202" i="2"/>
  <c r="AP1202" i="2"/>
  <c r="AP1204" i="2" s="1"/>
  <c r="AO1202" i="2"/>
  <c r="AN1202" i="2"/>
  <c r="AM1202" i="2"/>
  <c r="AL1202" i="2"/>
  <c r="AL1204" i="2" s="1"/>
  <c r="AK1202" i="2"/>
  <c r="AJ1202" i="2"/>
  <c r="AI1202" i="2"/>
  <c r="AH1202" i="2"/>
  <c r="AH1204" i="2" s="1"/>
  <c r="AG1202" i="2"/>
  <c r="AF1202" i="2"/>
  <c r="AE1202" i="2"/>
  <c r="BV1200" i="2"/>
  <c r="BU1200" i="2"/>
  <c r="BT1200" i="2"/>
  <c r="BS1200" i="2"/>
  <c r="BR1200" i="2"/>
  <c r="BQ1200" i="2"/>
  <c r="BP1200" i="2"/>
  <c r="BO1200" i="2"/>
  <c r="BN1200" i="2"/>
  <c r="BM1200" i="2"/>
  <c r="BL1200" i="2"/>
  <c r="BK1200" i="2"/>
  <c r="BJ1200" i="2"/>
  <c r="BH1200" i="2"/>
  <c r="BG1200" i="2"/>
  <c r="BF1200" i="2"/>
  <c r="BE1200" i="2"/>
  <c r="BD1200" i="2"/>
  <c r="BC1200" i="2"/>
  <c r="BB1200" i="2"/>
  <c r="BA1200" i="2"/>
  <c r="AZ1200" i="2"/>
  <c r="AY1200" i="2"/>
  <c r="AX1200" i="2"/>
  <c r="AW1200" i="2"/>
  <c r="AV1200" i="2"/>
  <c r="AU1200" i="2"/>
  <c r="AT1200" i="2"/>
  <c r="AS1200" i="2"/>
  <c r="AQ1200" i="2"/>
  <c r="AP1200" i="2"/>
  <c r="AO1200" i="2"/>
  <c r="AN1200" i="2"/>
  <c r="AM1200" i="2"/>
  <c r="AL1200" i="2"/>
  <c r="AK1200" i="2"/>
  <c r="AJ1200" i="2"/>
  <c r="AI1200" i="2"/>
  <c r="AH1200" i="2"/>
  <c r="AG1200" i="2"/>
  <c r="AF1200" i="2"/>
  <c r="AE1200" i="2"/>
  <c r="BV1199" i="2"/>
  <c r="BU1199" i="2"/>
  <c r="BT1199" i="2"/>
  <c r="BS1199" i="2"/>
  <c r="BR1199" i="2"/>
  <c r="BQ1199" i="2"/>
  <c r="BP1199" i="2"/>
  <c r="BO1199" i="2"/>
  <c r="BN1199" i="2"/>
  <c r="BM1199" i="2"/>
  <c r="BL1199" i="2"/>
  <c r="BK1199" i="2"/>
  <c r="BI1199" i="2"/>
  <c r="BH1199" i="2"/>
  <c r="BG1199" i="2"/>
  <c r="BF1199" i="2"/>
  <c r="BE1199" i="2"/>
  <c r="BD1199" i="2"/>
  <c r="BC1199" i="2"/>
  <c r="BA1199" i="2"/>
  <c r="AZ1199" i="2"/>
  <c r="AY1199" i="2"/>
  <c r="AX1199" i="2"/>
  <c r="AW1199" i="2"/>
  <c r="AV1199" i="2"/>
  <c r="AU1199" i="2"/>
  <c r="AT1199" i="2"/>
  <c r="AS1199" i="2"/>
  <c r="AR1199" i="2"/>
  <c r="AQ1199" i="2"/>
  <c r="AP1199" i="2"/>
  <c r="AO1199" i="2"/>
  <c r="AN1199" i="2"/>
  <c r="AM1199" i="2"/>
  <c r="AL1199" i="2"/>
  <c r="AK1199" i="2"/>
  <c r="AJ1199" i="2"/>
  <c r="AI1199" i="2"/>
  <c r="AH1199" i="2"/>
  <c r="AG1199" i="2"/>
  <c r="AF1199" i="2"/>
  <c r="AE1199" i="2"/>
  <c r="BV1197" i="2"/>
  <c r="BU1197" i="2"/>
  <c r="BT1197" i="2"/>
  <c r="BS1197" i="2"/>
  <c r="BR1197" i="2"/>
  <c r="BQ1197" i="2"/>
  <c r="BP1197" i="2"/>
  <c r="BO1197" i="2"/>
  <c r="BN1197" i="2"/>
  <c r="BM1197" i="2"/>
  <c r="BL1197" i="2"/>
  <c r="BK1197" i="2"/>
  <c r="BJ1197" i="2"/>
  <c r="BH1197" i="2"/>
  <c r="BG1197" i="2"/>
  <c r="BF1197" i="2"/>
  <c r="BE1197" i="2"/>
  <c r="BD1197" i="2"/>
  <c r="BC1197" i="2"/>
  <c r="BB1197" i="2"/>
  <c r="BA1197" i="2"/>
  <c r="AZ1197" i="2"/>
  <c r="AY1197" i="2"/>
  <c r="AX1197" i="2"/>
  <c r="AW1197" i="2"/>
  <c r="AV1197" i="2"/>
  <c r="AU1197" i="2"/>
  <c r="AT1197" i="2"/>
  <c r="AS1197" i="2"/>
  <c r="AR1197" i="2"/>
  <c r="AQ1197" i="2"/>
  <c r="AP1197" i="2"/>
  <c r="AO1197" i="2"/>
  <c r="AN1197" i="2"/>
  <c r="AM1197" i="2"/>
  <c r="AL1197" i="2"/>
  <c r="AK1197" i="2"/>
  <c r="AJ1197" i="2"/>
  <c r="AI1197" i="2"/>
  <c r="AH1197" i="2"/>
  <c r="AG1197" i="2"/>
  <c r="AF1197" i="2"/>
  <c r="AE1197" i="2"/>
  <c r="BV1196" i="2"/>
  <c r="BU1196" i="2"/>
  <c r="BT1196" i="2"/>
  <c r="BS1196" i="2"/>
  <c r="BQ1196" i="2"/>
  <c r="BP1196" i="2"/>
  <c r="BP1198" i="2" s="1"/>
  <c r="BO1196" i="2"/>
  <c r="BN1196" i="2"/>
  <c r="BM1196" i="2"/>
  <c r="BL1196" i="2"/>
  <c r="BL1198" i="2" s="1"/>
  <c r="BK1196" i="2"/>
  <c r="BI1196" i="2"/>
  <c r="BH1196" i="2"/>
  <c r="BG1196" i="2"/>
  <c r="BG1198" i="2" s="1"/>
  <c r="BF1196" i="2"/>
  <c r="BE1196" i="2"/>
  <c r="BD1196" i="2"/>
  <c r="BC1196" i="2"/>
  <c r="BC1198" i="2" s="1"/>
  <c r="BA1196" i="2"/>
  <c r="AZ1196" i="2"/>
  <c r="AY1196" i="2"/>
  <c r="AX1196" i="2"/>
  <c r="AX1198" i="2" s="1"/>
  <c r="AW1196" i="2"/>
  <c r="AV1196" i="2"/>
  <c r="AU1196" i="2"/>
  <c r="AT1196" i="2"/>
  <c r="AT1198" i="2" s="1"/>
  <c r="AS1196" i="2"/>
  <c r="AQ1196" i="2"/>
  <c r="AQ1198" i="2" s="1"/>
  <c r="AP1196" i="2"/>
  <c r="AP1198" i="2" s="1"/>
  <c r="AO1196" i="2"/>
  <c r="AN1196" i="2"/>
  <c r="AN1198" i="2" s="1"/>
  <c r="AM1196" i="2"/>
  <c r="AM1198" i="2" s="1"/>
  <c r="AL1196" i="2"/>
  <c r="AL1198" i="2" s="1"/>
  <c r="AK1196" i="2"/>
  <c r="AK1198" i="2" s="1"/>
  <c r="AJ1196" i="2"/>
  <c r="AJ1198" i="2" s="1"/>
  <c r="AI1196" i="2"/>
  <c r="AI1198" i="2" s="1"/>
  <c r="AH1196" i="2"/>
  <c r="AF1196" i="2"/>
  <c r="BV1194" i="2"/>
  <c r="BU1194" i="2"/>
  <c r="BT1194" i="2"/>
  <c r="BS1194" i="2"/>
  <c r="BR1194" i="2"/>
  <c r="BQ1194" i="2"/>
  <c r="BP1194" i="2"/>
  <c r="BO1194" i="2"/>
  <c r="BN1194" i="2"/>
  <c r="BM1194" i="2"/>
  <c r="BL1194" i="2"/>
  <c r="BK1194" i="2"/>
  <c r="BJ1194" i="2"/>
  <c r="BH1194" i="2"/>
  <c r="BG1194" i="2"/>
  <c r="BF1194" i="2"/>
  <c r="BE1194" i="2"/>
  <c r="BD1194" i="2"/>
  <c r="BC1194" i="2"/>
  <c r="BB1194" i="2"/>
  <c r="BA1194" i="2"/>
  <c r="AZ1194" i="2"/>
  <c r="AY1194" i="2"/>
  <c r="AX1194" i="2"/>
  <c r="AW1194" i="2"/>
  <c r="AV1194" i="2"/>
  <c r="AU1194" i="2"/>
  <c r="AT1194" i="2"/>
  <c r="AS1194" i="2"/>
  <c r="AR1194" i="2"/>
  <c r="AQ1194" i="2"/>
  <c r="AP1194" i="2"/>
  <c r="AO1194" i="2"/>
  <c r="AN1194" i="2"/>
  <c r="AM1194" i="2"/>
  <c r="AL1194" i="2"/>
  <c r="AK1194" i="2"/>
  <c r="AJ1194" i="2"/>
  <c r="AI1194" i="2"/>
  <c r="AH1194" i="2"/>
  <c r="AG1194" i="2"/>
  <c r="AF1194" i="2"/>
  <c r="AE1194" i="2"/>
  <c r="BV1193" i="2"/>
  <c r="BU1193" i="2"/>
  <c r="BT1193" i="2"/>
  <c r="BS1193" i="2"/>
  <c r="BQ1193" i="2"/>
  <c r="BP1193" i="2"/>
  <c r="BO1193" i="2"/>
  <c r="BN1193" i="2"/>
  <c r="BM1193" i="2"/>
  <c r="BM1195" i="2" s="1"/>
  <c r="BL1193" i="2"/>
  <c r="BK1193" i="2"/>
  <c r="BI1193" i="2"/>
  <c r="BH1193" i="2"/>
  <c r="BH1195" i="2" s="1"/>
  <c r="BG1193" i="2"/>
  <c r="BF1193" i="2"/>
  <c r="BE1193" i="2"/>
  <c r="BD1193" i="2"/>
  <c r="BC1193" i="2"/>
  <c r="BA1193" i="2"/>
  <c r="AZ1193" i="2"/>
  <c r="AY1193" i="2"/>
  <c r="AX1193" i="2"/>
  <c r="AW1193" i="2"/>
  <c r="AV1193" i="2"/>
  <c r="AU1193" i="2"/>
  <c r="AT1193" i="2"/>
  <c r="AS1193" i="2"/>
  <c r="AQ1193" i="2"/>
  <c r="AP1193" i="2"/>
  <c r="AO1193" i="2"/>
  <c r="AO1195" i="2" s="1"/>
  <c r="AN1193" i="2"/>
  <c r="AM1193" i="2"/>
  <c r="AL1193" i="2"/>
  <c r="AK1193" i="2"/>
  <c r="AJ1193" i="2"/>
  <c r="AJ1195" i="2" s="1"/>
  <c r="AI1193" i="2"/>
  <c r="AH1193" i="2"/>
  <c r="AG1193" i="2"/>
  <c r="AG1195" i="2" s="1"/>
  <c r="AF1193" i="2"/>
  <c r="CA1191" i="2"/>
  <c r="BZ1191" i="2"/>
  <c r="BY1191" i="2"/>
  <c r="BU1191" i="2"/>
  <c r="BT1191" i="2"/>
  <c r="BS1191" i="2"/>
  <c r="BQ1191" i="2"/>
  <c r="BP1191" i="2"/>
  <c r="BO1191" i="2"/>
  <c r="BM1191" i="2"/>
  <c r="BL1191" i="2"/>
  <c r="BK1191" i="2"/>
  <c r="BI1191" i="2"/>
  <c r="BH1191" i="2"/>
  <c r="BG1191" i="2"/>
  <c r="BE1191" i="2"/>
  <c r="BD1191" i="2"/>
  <c r="BC1191" i="2"/>
  <c r="BA1191" i="2"/>
  <c r="AZ1191" i="2"/>
  <c r="AY1191" i="2"/>
  <c r="AW1191" i="2"/>
  <c r="AV1191" i="2"/>
  <c r="AU1191" i="2"/>
  <c r="AS1191" i="2"/>
  <c r="AR1191" i="2"/>
  <c r="AQ1191" i="2"/>
  <c r="AO1191" i="2"/>
  <c r="AN1191" i="2"/>
  <c r="AM1191" i="2"/>
  <c r="AK1191" i="2"/>
  <c r="AJ1191" i="2"/>
  <c r="AI1191" i="2"/>
  <c r="AG1191" i="2"/>
  <c r="AE1191" i="2"/>
  <c r="CC1186" i="2"/>
  <c r="BV1179" i="2"/>
  <c r="BU1179" i="2"/>
  <c r="BT1179" i="2"/>
  <c r="BS1179" i="2"/>
  <c r="BR1179" i="2"/>
  <c r="BQ1179" i="2"/>
  <c r="BP1179" i="2"/>
  <c r="BO1179" i="2"/>
  <c r="BN1179" i="2"/>
  <c r="BM1179" i="2"/>
  <c r="BL1179" i="2"/>
  <c r="BK1179" i="2"/>
  <c r="BJ1179" i="2"/>
  <c r="BI1179" i="2"/>
  <c r="BH1179" i="2"/>
  <c r="BG1179" i="2"/>
  <c r="BF1179" i="2"/>
  <c r="BE1179" i="2"/>
  <c r="BD1179" i="2"/>
  <c r="BC1179" i="2"/>
  <c r="BB1179" i="2"/>
  <c r="BA1179" i="2"/>
  <c r="AZ1179" i="2"/>
  <c r="AY1179" i="2"/>
  <c r="AX1179" i="2"/>
  <c r="AW1179" i="2"/>
  <c r="AV1179" i="2"/>
  <c r="AU1179" i="2"/>
  <c r="AT1179" i="2"/>
  <c r="AS1179" i="2"/>
  <c r="AR1179" i="2"/>
  <c r="AQ1179" i="2"/>
  <c r="AP1179" i="2"/>
  <c r="AO1179" i="2"/>
  <c r="AN1179" i="2"/>
  <c r="AM1179" i="2"/>
  <c r="AL1179" i="2"/>
  <c r="AK1179" i="2"/>
  <c r="AJ1179" i="2"/>
  <c r="AI1179" i="2"/>
  <c r="AH1179" i="2"/>
  <c r="CB1179" i="2" s="1"/>
  <c r="AG1179" i="2"/>
  <c r="AF1179" i="2"/>
  <c r="BZ1179" i="2" s="1"/>
  <c r="AE1179" i="2"/>
  <c r="BY1179" i="2" s="1"/>
  <c r="BV1178" i="2"/>
  <c r="BU1178" i="2"/>
  <c r="BT1178" i="2"/>
  <c r="BS1178" i="2"/>
  <c r="BS1180" i="2" s="1"/>
  <c r="BQ1178" i="2"/>
  <c r="BP1178" i="2"/>
  <c r="BO1178" i="2"/>
  <c r="BN1178" i="2"/>
  <c r="BM1178" i="2"/>
  <c r="BL1178" i="2"/>
  <c r="BK1178" i="2"/>
  <c r="BI1178" i="2"/>
  <c r="BH1178" i="2"/>
  <c r="BG1178" i="2"/>
  <c r="BF1178" i="2"/>
  <c r="BE1178" i="2"/>
  <c r="BD1178" i="2"/>
  <c r="BC1178" i="2"/>
  <c r="BA1178" i="2"/>
  <c r="AZ1178" i="2"/>
  <c r="AY1178" i="2"/>
  <c r="AX1178" i="2"/>
  <c r="AW1178" i="2"/>
  <c r="AV1178" i="2"/>
  <c r="AU1178" i="2"/>
  <c r="AT1178" i="2"/>
  <c r="AS1178" i="2"/>
  <c r="AR1178" i="2"/>
  <c r="AQ1178" i="2"/>
  <c r="AP1178" i="2"/>
  <c r="AO1178" i="2"/>
  <c r="AN1178" i="2"/>
  <c r="AM1178" i="2"/>
  <c r="AL1178" i="2"/>
  <c r="AK1178" i="2"/>
  <c r="AJ1178" i="2"/>
  <c r="AI1178" i="2"/>
  <c r="AH1178" i="2"/>
  <c r="AG1178" i="2"/>
  <c r="AF1178" i="2"/>
  <c r="AE1178" i="2"/>
  <c r="BV1176" i="2"/>
  <c r="BU1176" i="2"/>
  <c r="BT1176" i="2"/>
  <c r="BS1176" i="2"/>
  <c r="BR1176" i="2"/>
  <c r="BQ1176" i="2"/>
  <c r="BP1176" i="2"/>
  <c r="BO1176" i="2"/>
  <c r="BN1176" i="2"/>
  <c r="BM1176" i="2"/>
  <c r="BL1176" i="2"/>
  <c r="BK1176" i="2"/>
  <c r="BJ1176" i="2"/>
  <c r="BH1176" i="2"/>
  <c r="BG1176" i="2"/>
  <c r="BF1176" i="2"/>
  <c r="BE1176" i="2"/>
  <c r="BD1176" i="2"/>
  <c r="BC1176" i="2"/>
  <c r="BB1176" i="2"/>
  <c r="BA1176" i="2"/>
  <c r="AZ1176" i="2"/>
  <c r="AY1176" i="2"/>
  <c r="AX1176" i="2"/>
  <c r="AW1176" i="2"/>
  <c r="AV1176" i="2"/>
  <c r="AU1176" i="2"/>
  <c r="AT1176" i="2"/>
  <c r="AS1176" i="2"/>
  <c r="AQ1176" i="2"/>
  <c r="AP1176" i="2"/>
  <c r="AO1176" i="2"/>
  <c r="AN1176" i="2"/>
  <c r="AM1176" i="2"/>
  <c r="AL1176" i="2"/>
  <c r="AK1176" i="2"/>
  <c r="AJ1176" i="2"/>
  <c r="AI1176" i="2"/>
  <c r="AH1176" i="2"/>
  <c r="AG1176" i="2"/>
  <c r="AF1176" i="2"/>
  <c r="AE1176" i="2"/>
  <c r="BV1175" i="2"/>
  <c r="BU1175" i="2"/>
  <c r="BT1175" i="2"/>
  <c r="BS1175" i="2"/>
  <c r="BR1175" i="2"/>
  <c r="BQ1175" i="2"/>
  <c r="BP1175" i="2"/>
  <c r="BO1175" i="2"/>
  <c r="BN1175" i="2"/>
  <c r="BM1175" i="2"/>
  <c r="BL1175" i="2"/>
  <c r="BK1175" i="2"/>
  <c r="BI1175" i="2"/>
  <c r="BH1175" i="2"/>
  <c r="BG1175" i="2"/>
  <c r="BF1175" i="2"/>
  <c r="BE1175" i="2"/>
  <c r="BD1175" i="2"/>
  <c r="BC1175" i="2"/>
  <c r="BA1175" i="2"/>
  <c r="AZ1175" i="2"/>
  <c r="AY1175" i="2"/>
  <c r="AX1175" i="2"/>
  <c r="AW1175" i="2"/>
  <c r="AV1175" i="2"/>
  <c r="AU1175" i="2"/>
  <c r="AT1175" i="2"/>
  <c r="AS1175" i="2"/>
  <c r="AR1175" i="2"/>
  <c r="AQ1175" i="2"/>
  <c r="AP1175" i="2"/>
  <c r="AO1175" i="2"/>
  <c r="AN1175" i="2"/>
  <c r="AM1175" i="2"/>
  <c r="AL1175" i="2"/>
  <c r="AK1175" i="2"/>
  <c r="AJ1175" i="2"/>
  <c r="AI1175" i="2"/>
  <c r="AH1175" i="2"/>
  <c r="AG1175" i="2"/>
  <c r="AF1175" i="2"/>
  <c r="AE1175" i="2"/>
  <c r="BV1173" i="2"/>
  <c r="BU1173" i="2"/>
  <c r="BT1173" i="2"/>
  <c r="BS1173" i="2"/>
  <c r="BR1173" i="2"/>
  <c r="BQ1173" i="2"/>
  <c r="BP1173" i="2"/>
  <c r="BO1173" i="2"/>
  <c r="BN1173" i="2"/>
  <c r="BM1173" i="2"/>
  <c r="BL1173" i="2"/>
  <c r="BK1173" i="2"/>
  <c r="BJ1173" i="2"/>
  <c r="BH1173" i="2"/>
  <c r="BG1173" i="2"/>
  <c r="BF1173" i="2"/>
  <c r="BE1173" i="2"/>
  <c r="BD1173" i="2"/>
  <c r="BC1173" i="2"/>
  <c r="BB1173" i="2"/>
  <c r="BA1173" i="2"/>
  <c r="AZ1173" i="2"/>
  <c r="AY1173" i="2"/>
  <c r="AX1173" i="2"/>
  <c r="AW1173" i="2"/>
  <c r="AV1173" i="2"/>
  <c r="AU1173" i="2"/>
  <c r="AT1173" i="2"/>
  <c r="AS1173" i="2"/>
  <c r="AR1173" i="2"/>
  <c r="AQ1173" i="2"/>
  <c r="AP1173" i="2"/>
  <c r="AO1173" i="2"/>
  <c r="AN1173" i="2"/>
  <c r="AM1173" i="2"/>
  <c r="AL1173" i="2"/>
  <c r="AK1173" i="2"/>
  <c r="AJ1173" i="2"/>
  <c r="AI1173" i="2"/>
  <c r="AH1173" i="2"/>
  <c r="AG1173" i="2"/>
  <c r="AF1173" i="2"/>
  <c r="AE1173" i="2"/>
  <c r="BV1172" i="2"/>
  <c r="BU1172" i="2"/>
  <c r="BT1172" i="2"/>
  <c r="BS1172" i="2"/>
  <c r="BQ1172" i="2"/>
  <c r="BP1172" i="2"/>
  <c r="BO1172" i="2"/>
  <c r="BN1172" i="2"/>
  <c r="BM1172" i="2"/>
  <c r="BL1172" i="2"/>
  <c r="BK1172" i="2"/>
  <c r="BI1172" i="2"/>
  <c r="BH1172" i="2"/>
  <c r="BG1172" i="2"/>
  <c r="BF1172" i="2"/>
  <c r="BE1172" i="2"/>
  <c r="BD1172" i="2"/>
  <c r="BC1172" i="2"/>
  <c r="BA1172" i="2"/>
  <c r="AZ1172" i="2"/>
  <c r="AY1172" i="2"/>
  <c r="AX1172" i="2"/>
  <c r="AW1172" i="2"/>
  <c r="AV1172" i="2"/>
  <c r="AU1172" i="2"/>
  <c r="AT1172" i="2"/>
  <c r="AS1172" i="2"/>
  <c r="AQ1172" i="2"/>
  <c r="AQ1174" i="2" s="1"/>
  <c r="AP1172" i="2"/>
  <c r="AP1174" i="2" s="1"/>
  <c r="AO1172" i="2"/>
  <c r="AO1174" i="2" s="1"/>
  <c r="AN1172" i="2"/>
  <c r="AN1174" i="2" s="1"/>
  <c r="AM1172" i="2"/>
  <c r="AM1174" i="2" s="1"/>
  <c r="AL1172" i="2"/>
  <c r="AL1174" i="2" s="1"/>
  <c r="AK1172" i="2"/>
  <c r="AK1174" i="2" s="1"/>
  <c r="AJ1172" i="2"/>
  <c r="AJ1174" i="2" s="1"/>
  <c r="AI1172" i="2"/>
  <c r="AI1174" i="2" s="1"/>
  <c r="AH1172" i="2"/>
  <c r="AH1174" i="2" s="1"/>
  <c r="AF1172" i="2"/>
  <c r="BV1170" i="2"/>
  <c r="BU1170" i="2"/>
  <c r="BT1170" i="2"/>
  <c r="BS1170" i="2"/>
  <c r="BR1170" i="2"/>
  <c r="BQ1170" i="2"/>
  <c r="BP1170" i="2"/>
  <c r="BO1170" i="2"/>
  <c r="BN1170" i="2"/>
  <c r="BM1170" i="2"/>
  <c r="BL1170" i="2"/>
  <c r="BK1170" i="2"/>
  <c r="BJ1170" i="2"/>
  <c r="BH1170" i="2"/>
  <c r="BG1170" i="2"/>
  <c r="BF1170" i="2"/>
  <c r="BE1170" i="2"/>
  <c r="BD1170" i="2"/>
  <c r="BC1170" i="2"/>
  <c r="BB1170" i="2"/>
  <c r="BA1170" i="2"/>
  <c r="AZ1170" i="2"/>
  <c r="AY1170" i="2"/>
  <c r="AX1170" i="2"/>
  <c r="AW1170" i="2"/>
  <c r="AV1170" i="2"/>
  <c r="AU1170" i="2"/>
  <c r="AT1170" i="2"/>
  <c r="AS1170" i="2"/>
  <c r="AR1170" i="2"/>
  <c r="AQ1170" i="2"/>
  <c r="AP1170" i="2"/>
  <c r="AO1170" i="2"/>
  <c r="AN1170" i="2"/>
  <c r="AM1170" i="2"/>
  <c r="AL1170" i="2"/>
  <c r="AK1170" i="2"/>
  <c r="AJ1170" i="2"/>
  <c r="AI1170" i="2"/>
  <c r="AH1170" i="2"/>
  <c r="AG1170" i="2"/>
  <c r="AF1170" i="2"/>
  <c r="AE1170" i="2"/>
  <c r="BV1169" i="2"/>
  <c r="BU1169" i="2"/>
  <c r="BT1169" i="2"/>
  <c r="BS1169" i="2"/>
  <c r="BQ1169" i="2"/>
  <c r="BP1169" i="2"/>
  <c r="BO1169" i="2"/>
  <c r="BN1169" i="2"/>
  <c r="BM1169" i="2"/>
  <c r="BL1169" i="2"/>
  <c r="BK1169" i="2"/>
  <c r="BI1169" i="2"/>
  <c r="BH1169" i="2"/>
  <c r="BG1169" i="2"/>
  <c r="BF1169" i="2"/>
  <c r="BE1169" i="2"/>
  <c r="BD1169" i="2"/>
  <c r="BC1169" i="2"/>
  <c r="BA1169" i="2"/>
  <c r="AZ1169" i="2"/>
  <c r="AY1169" i="2"/>
  <c r="AX1169" i="2"/>
  <c r="AW1169" i="2"/>
  <c r="AV1169" i="2"/>
  <c r="AU1169" i="2"/>
  <c r="AT1169" i="2"/>
  <c r="AS1169" i="2"/>
  <c r="AQ1169" i="2"/>
  <c r="AQ1171" i="2" s="1"/>
  <c r="AP1169" i="2"/>
  <c r="AO1169" i="2"/>
  <c r="AN1169" i="2"/>
  <c r="AM1169" i="2"/>
  <c r="AL1169" i="2"/>
  <c r="AK1169" i="2"/>
  <c r="AJ1169" i="2"/>
  <c r="AI1169" i="2"/>
  <c r="AH1169" i="2"/>
  <c r="AG1169" i="2"/>
  <c r="AF1169" i="2"/>
  <c r="CA1167" i="2"/>
  <c r="BZ1167" i="2"/>
  <c r="BY1167" i="2"/>
  <c r="BU1167" i="2"/>
  <c r="BT1167" i="2"/>
  <c r="BS1167" i="2"/>
  <c r="BQ1167" i="2"/>
  <c r="BP1167" i="2"/>
  <c r="BO1167" i="2"/>
  <c r="BM1167" i="2"/>
  <c r="BL1167" i="2"/>
  <c r="BK1167" i="2"/>
  <c r="BI1167" i="2"/>
  <c r="BH1167" i="2"/>
  <c r="BG1167" i="2"/>
  <c r="BE1167" i="2"/>
  <c r="BD1167" i="2"/>
  <c r="BC1167" i="2"/>
  <c r="BA1167" i="2"/>
  <c r="AZ1167" i="2"/>
  <c r="AY1167" i="2"/>
  <c r="AW1167" i="2"/>
  <c r="AV1167" i="2"/>
  <c r="AU1167" i="2"/>
  <c r="AS1167" i="2"/>
  <c r="AR1167" i="2"/>
  <c r="AQ1167" i="2"/>
  <c r="AO1167" i="2"/>
  <c r="AN1167" i="2"/>
  <c r="AM1167" i="2"/>
  <c r="AK1167" i="2"/>
  <c r="AJ1167" i="2"/>
  <c r="AI1167" i="2"/>
  <c r="AG1167" i="2"/>
  <c r="AE1167" i="2"/>
  <c r="CB1158" i="2"/>
  <c r="CA1158" i="2"/>
  <c r="BZ1158" i="2"/>
  <c r="BY1158" i="2"/>
  <c r="CB1157" i="2"/>
  <c r="CA1157" i="2"/>
  <c r="BZ1157" i="2"/>
  <c r="BY1157" i="2"/>
  <c r="CB1156" i="2"/>
  <c r="CA1156" i="2"/>
  <c r="BZ1156" i="2"/>
  <c r="BY1156" i="2"/>
  <c r="CB1155" i="2"/>
  <c r="CA1155" i="2"/>
  <c r="BZ1155" i="2"/>
  <c r="BY1155" i="2"/>
  <c r="CB1154" i="2"/>
  <c r="CA1154" i="2"/>
  <c r="BZ1154" i="2"/>
  <c r="BY1154" i="2"/>
  <c r="CB1153" i="2"/>
  <c r="CA1153" i="2"/>
  <c r="BZ1153" i="2"/>
  <c r="BY1153" i="2"/>
  <c r="CB1152" i="2"/>
  <c r="CA1152" i="2"/>
  <c r="BZ1152" i="2"/>
  <c r="BY1152" i="2"/>
  <c r="CB1151" i="2"/>
  <c r="CA1151" i="2"/>
  <c r="BZ1151" i="2"/>
  <c r="BY1151" i="2"/>
  <c r="CB1150" i="2"/>
  <c r="CA1150" i="2"/>
  <c r="BZ1150" i="2"/>
  <c r="BY1150" i="2"/>
  <c r="CB1149" i="2"/>
  <c r="CA1149" i="2"/>
  <c r="BZ1149" i="2"/>
  <c r="BY1149" i="2"/>
  <c r="CB1148" i="2"/>
  <c r="CA1148" i="2"/>
  <c r="BZ1148" i="2"/>
  <c r="BY1148" i="2"/>
  <c r="CB1147" i="2"/>
  <c r="CA1147" i="2"/>
  <c r="BZ1147" i="2"/>
  <c r="BY1147" i="2"/>
  <c r="CB1146" i="2"/>
  <c r="CA1146" i="2"/>
  <c r="BZ1146" i="2"/>
  <c r="BY1146" i="2"/>
  <c r="AB1146" i="2"/>
  <c r="B1146" i="2"/>
  <c r="CB1145" i="2"/>
  <c r="CA1145" i="2"/>
  <c r="BZ1145" i="2"/>
  <c r="BY1145" i="2"/>
  <c r="CB1144" i="2"/>
  <c r="CA1144" i="2"/>
  <c r="BZ1144" i="2"/>
  <c r="BY1144" i="2"/>
  <c r="CB1143" i="2"/>
  <c r="CA1143" i="2"/>
  <c r="BZ1143" i="2"/>
  <c r="BY1143" i="2"/>
  <c r="CB1142" i="2"/>
  <c r="CA1142" i="2"/>
  <c r="BZ1142" i="2"/>
  <c r="BY1142" i="2"/>
  <c r="CB1141" i="2"/>
  <c r="CA1141" i="2"/>
  <c r="BZ1141" i="2"/>
  <c r="BY1141" i="2"/>
  <c r="CB1140" i="2"/>
  <c r="CA1140" i="2"/>
  <c r="BZ1140" i="2"/>
  <c r="BY1140" i="2"/>
  <c r="CB1139" i="2"/>
  <c r="CA1139" i="2"/>
  <c r="BZ1139" i="2"/>
  <c r="BY1139" i="2"/>
  <c r="CB1138" i="2"/>
  <c r="CA1138" i="2"/>
  <c r="BZ1138" i="2"/>
  <c r="BY1138" i="2"/>
  <c r="CB1137" i="2"/>
  <c r="CA1137" i="2"/>
  <c r="BZ1137" i="2"/>
  <c r="BY1137" i="2"/>
  <c r="CB1136" i="2"/>
  <c r="CA1136" i="2"/>
  <c r="BZ1136" i="2"/>
  <c r="BY1136" i="2"/>
  <c r="CB1135" i="2"/>
  <c r="CA1135" i="2"/>
  <c r="BZ1135" i="2"/>
  <c r="BY1135" i="2"/>
  <c r="CB1134" i="2"/>
  <c r="CA1134" i="2"/>
  <c r="BZ1134" i="2"/>
  <c r="BY1134" i="2"/>
  <c r="CB1133" i="2"/>
  <c r="CA1133" i="2"/>
  <c r="BZ1133" i="2"/>
  <c r="BY1133" i="2"/>
  <c r="CB1132" i="2"/>
  <c r="CA1132" i="2"/>
  <c r="BZ1132" i="2"/>
  <c r="BY1132" i="2"/>
  <c r="CB1131" i="2"/>
  <c r="CA1131" i="2"/>
  <c r="BZ1131" i="2"/>
  <c r="BY1131" i="2"/>
  <c r="CB1130" i="2"/>
  <c r="CA1130" i="2"/>
  <c r="BZ1130" i="2"/>
  <c r="BY1130" i="2"/>
  <c r="CB1129" i="2"/>
  <c r="CA1129" i="2"/>
  <c r="BZ1129" i="2"/>
  <c r="BY1129" i="2"/>
  <c r="CB1127" i="2"/>
  <c r="CA1127" i="2"/>
  <c r="BZ1127" i="2"/>
  <c r="BY1127" i="2"/>
  <c r="CB1126" i="2"/>
  <c r="CA1126" i="2"/>
  <c r="BZ1126" i="2"/>
  <c r="BY1126" i="2"/>
  <c r="BV1125" i="2"/>
  <c r="BV1123" i="2" s="1"/>
  <c r="BU1125" i="2"/>
  <c r="BU1123" i="2" s="1"/>
  <c r="BT1125" i="2"/>
  <c r="BT1123" i="2" s="1"/>
  <c r="BS1125" i="2"/>
  <c r="BS1123" i="2" s="1"/>
  <c r="BR1125" i="2"/>
  <c r="BR1123" i="2" s="1"/>
  <c r="BQ1125" i="2"/>
  <c r="BQ1123" i="2" s="1"/>
  <c r="BP1125" i="2"/>
  <c r="BP1123" i="2" s="1"/>
  <c r="BO1125" i="2"/>
  <c r="BO1123" i="2" s="1"/>
  <c r="BM1125" i="2"/>
  <c r="BM1123" i="2" s="1"/>
  <c r="BL1125" i="2"/>
  <c r="BL1123" i="2" s="1"/>
  <c r="BK1125" i="2"/>
  <c r="BK1123" i="2" s="1"/>
  <c r="BI1125" i="2"/>
  <c r="BI1123" i="2" s="1"/>
  <c r="BH1125" i="2"/>
  <c r="BH1123" i="2" s="1"/>
  <c r="BG1125" i="2"/>
  <c r="BG1123" i="2" s="1"/>
  <c r="BF1125" i="2"/>
  <c r="BF1123" i="2" s="1"/>
  <c r="BE1125" i="2"/>
  <c r="BD1125" i="2"/>
  <c r="BD1123" i="2" s="1"/>
  <c r="BC1125" i="2"/>
  <c r="BC1123" i="2" s="1"/>
  <c r="BB1125" i="2"/>
  <c r="BB1123" i="2" s="1"/>
  <c r="BA1125" i="2"/>
  <c r="BA1123" i="2" s="1"/>
  <c r="AZ1125" i="2"/>
  <c r="AZ1123" i="2" s="1"/>
  <c r="AY1125" i="2"/>
  <c r="AY1123" i="2" s="1"/>
  <c r="AX1125" i="2"/>
  <c r="AX1123" i="2" s="1"/>
  <c r="AW1125" i="2"/>
  <c r="AW1123" i="2" s="1"/>
  <c r="AV1125" i="2"/>
  <c r="AV1123" i="2" s="1"/>
  <c r="AU1125" i="2"/>
  <c r="AU1123" i="2" s="1"/>
  <c r="AT1125" i="2"/>
  <c r="AT1123" i="2" s="1"/>
  <c r="AS1125" i="2"/>
  <c r="AS1123" i="2" s="1"/>
  <c r="AR1125" i="2"/>
  <c r="AR1123" i="2" s="1"/>
  <c r="AQ1125" i="2"/>
  <c r="AQ1123" i="2" s="1"/>
  <c r="AP1125" i="2"/>
  <c r="AP1123" i="2" s="1"/>
  <c r="AO1125" i="2"/>
  <c r="AO1123" i="2" s="1"/>
  <c r="AN1125" i="2"/>
  <c r="AN1123" i="2" s="1"/>
  <c r="AM1125" i="2"/>
  <c r="AM1123" i="2" s="1"/>
  <c r="AK1125" i="2"/>
  <c r="AK1123" i="2" s="1"/>
  <c r="AJ1125" i="2"/>
  <c r="AJ1123" i="2" s="1"/>
  <c r="AI1125" i="2"/>
  <c r="AI1123" i="2" s="1"/>
  <c r="AH1125" i="2"/>
  <c r="AG1125" i="2"/>
  <c r="AG1123" i="2" s="1"/>
  <c r="AF1125" i="2"/>
  <c r="AF1123" i="2" s="1"/>
  <c r="AE1125" i="2"/>
  <c r="AE1123" i="2" s="1"/>
  <c r="CB1124" i="2"/>
  <c r="CA1124" i="2"/>
  <c r="BZ1124" i="2"/>
  <c r="BY1124" i="2"/>
  <c r="BE1123" i="2"/>
  <c r="BV1122" i="2"/>
  <c r="BU1122" i="2"/>
  <c r="BT1122" i="2"/>
  <c r="BS1122" i="2"/>
  <c r="BR1122" i="2"/>
  <c r="BQ1122" i="2"/>
  <c r="BP1122" i="2"/>
  <c r="BO1122" i="2"/>
  <c r="BM1122" i="2"/>
  <c r="BL1122" i="2"/>
  <c r="BK1122" i="2"/>
  <c r="BI1122" i="2"/>
  <c r="BH1122" i="2"/>
  <c r="BG1122" i="2"/>
  <c r="BD1122" i="2"/>
  <c r="BC1122" i="2"/>
  <c r="BB1122" i="2"/>
  <c r="BA1122" i="2"/>
  <c r="AZ1122" i="2"/>
  <c r="AY1122" i="2"/>
  <c r="AX1122" i="2"/>
  <c r="AW1122" i="2"/>
  <c r="AV1122" i="2"/>
  <c r="AU1122" i="2"/>
  <c r="AS1122" i="2"/>
  <c r="AR1122" i="2"/>
  <c r="AQ1122" i="2"/>
  <c r="AP1122" i="2"/>
  <c r="AO1122" i="2"/>
  <c r="AN1122" i="2"/>
  <c r="AM1122" i="2"/>
  <c r="AK1122" i="2"/>
  <c r="AJ1122" i="2"/>
  <c r="AI1122" i="2"/>
  <c r="AH1122" i="2"/>
  <c r="AG1122" i="2"/>
  <c r="AF1122" i="2"/>
  <c r="AE1122" i="2"/>
  <c r="A1122" i="2"/>
  <c r="B1122" i="2" s="1" a="1"/>
  <c r="B1122" i="2" s="1"/>
  <c r="BV1117" i="2"/>
  <c r="BU1117" i="2"/>
  <c r="BT1117" i="2"/>
  <c r="BS1117" i="2"/>
  <c r="BR1117" i="2"/>
  <c r="BQ1117" i="2"/>
  <c r="BP1117" i="2"/>
  <c r="BO1117" i="2"/>
  <c r="BM1117" i="2"/>
  <c r="BL1117" i="2"/>
  <c r="BK1117" i="2"/>
  <c r="BI1117" i="2"/>
  <c r="BH1117" i="2"/>
  <c r="BG1117" i="2"/>
  <c r="BD1117" i="2"/>
  <c r="BC1117" i="2"/>
  <c r="BB1117" i="2"/>
  <c r="BA1117" i="2"/>
  <c r="AZ1117" i="2"/>
  <c r="AY1117" i="2"/>
  <c r="AW1117" i="2"/>
  <c r="AV1117" i="2"/>
  <c r="AU1117" i="2"/>
  <c r="AS1117" i="2"/>
  <c r="AR1117" i="2"/>
  <c r="AQ1117" i="2"/>
  <c r="AP1117" i="2"/>
  <c r="AP1115" i="2" s="1"/>
  <c r="AO1117" i="2"/>
  <c r="AN1117" i="2"/>
  <c r="AM1117" i="2"/>
  <c r="AK1117" i="2"/>
  <c r="AJ1117" i="2"/>
  <c r="AI1117" i="2"/>
  <c r="AG1117" i="2"/>
  <c r="AF1117" i="2"/>
  <c r="AE1117" i="2"/>
  <c r="A1117" i="2" a="1"/>
  <c r="A1117" i="2" s="1"/>
  <c r="B1117" i="2" s="1" a="1"/>
  <c r="B1117" i="2" s="1"/>
  <c r="BV1116" i="2"/>
  <c r="BU1116" i="2"/>
  <c r="BT1116" i="2"/>
  <c r="BS1116" i="2"/>
  <c r="BR1116" i="2"/>
  <c r="BQ1116" i="2"/>
  <c r="BP1116" i="2"/>
  <c r="BO1116" i="2"/>
  <c r="BM1116" i="2"/>
  <c r="BL1116" i="2"/>
  <c r="BK1116" i="2"/>
  <c r="BI1116" i="2"/>
  <c r="BH1116" i="2"/>
  <c r="BG1116" i="2"/>
  <c r="BD1116" i="2"/>
  <c r="BC1116" i="2"/>
  <c r="BB1116" i="2"/>
  <c r="BA1116" i="2"/>
  <c r="AZ1116" i="2"/>
  <c r="AY1116" i="2"/>
  <c r="AX1116" i="2"/>
  <c r="AW1116" i="2"/>
  <c r="AV1116" i="2"/>
  <c r="AU1116" i="2"/>
  <c r="AS1116" i="2"/>
  <c r="AR1116" i="2"/>
  <c r="AQ1116" i="2"/>
  <c r="AO1116" i="2"/>
  <c r="AN1116" i="2"/>
  <c r="AM1116" i="2"/>
  <c r="AK1116" i="2"/>
  <c r="AJ1116" i="2"/>
  <c r="AI1116" i="2"/>
  <c r="AH1116" i="2"/>
  <c r="AG1116" i="2"/>
  <c r="AF1116" i="2"/>
  <c r="AE1116" i="2"/>
  <c r="A1116" i="2" a="1"/>
  <c r="A1116" i="2" s="1"/>
  <c r="B1116" i="2" s="1" a="1"/>
  <c r="B1116" i="2" s="1"/>
  <c r="AX1115" i="2"/>
  <c r="A1115" i="2"/>
  <c r="B1115" i="2" s="1" a="1"/>
  <c r="B1115" i="2" s="1"/>
  <c r="BV1113" i="2"/>
  <c r="BU1113" i="2"/>
  <c r="BT1113" i="2"/>
  <c r="BT1112" i="2" s="1"/>
  <c r="BS1113" i="2"/>
  <c r="BR1113" i="2"/>
  <c r="BQ1113" i="2"/>
  <c r="BP1113" i="2"/>
  <c r="BP1112" i="2" s="1"/>
  <c r="BO1113" i="2"/>
  <c r="BM1113" i="2"/>
  <c r="BL1113" i="2"/>
  <c r="BL1112" i="2" s="1"/>
  <c r="BK1113" i="2"/>
  <c r="BK1112" i="2" s="1"/>
  <c r="BI1113" i="2"/>
  <c r="BH1113" i="2"/>
  <c r="BG1113" i="2"/>
  <c r="BG1112" i="2" s="1"/>
  <c r="BD1113" i="2"/>
  <c r="BD1112" i="2" s="1"/>
  <c r="BC1113" i="2"/>
  <c r="BA1113" i="2"/>
  <c r="AZ1113" i="2"/>
  <c r="AY1113" i="2"/>
  <c r="AY1112" i="2" s="1"/>
  <c r="AW1113" i="2"/>
  <c r="AV1113" i="2"/>
  <c r="AU1113" i="2"/>
  <c r="AU1112" i="2" s="1"/>
  <c r="AT1113" i="2"/>
  <c r="AS1113" i="2"/>
  <c r="AS1112" i="2" s="1"/>
  <c r="AR1113" i="2"/>
  <c r="AR1112" i="2" s="1"/>
  <c r="AQ1113" i="2"/>
  <c r="AQ1112" i="2" s="1"/>
  <c r="AP1113" i="2"/>
  <c r="AP1112" i="2" s="1"/>
  <c r="AO1113" i="2"/>
  <c r="AO1112" i="2" s="1"/>
  <c r="AN1113" i="2"/>
  <c r="AN1112" i="2" s="1"/>
  <c r="AM1113" i="2"/>
  <c r="AM1112" i="2" s="1"/>
  <c r="AK1113" i="2"/>
  <c r="AK1112" i="2" s="1"/>
  <c r="AJ1113" i="2"/>
  <c r="AJ1112" i="2" s="1"/>
  <c r="AI1113" i="2"/>
  <c r="AI1112" i="2" s="1"/>
  <c r="AH1113" i="2"/>
  <c r="AH1112" i="2" s="1"/>
  <c r="AF1113" i="2"/>
  <c r="AF1112" i="2" s="1"/>
  <c r="AE1113" i="2"/>
  <c r="AE1112" i="2" s="1"/>
  <c r="BV1112" i="2"/>
  <c r="BU1112" i="2"/>
  <c r="BS1112" i="2"/>
  <c r="BR1112" i="2"/>
  <c r="BQ1112" i="2"/>
  <c r="BO1112" i="2"/>
  <c r="BM1112" i="2"/>
  <c r="BI1112" i="2"/>
  <c r="BH1112" i="2"/>
  <c r="BC1112" i="2"/>
  <c r="BA1112" i="2"/>
  <c r="AZ1112" i="2"/>
  <c r="AX1112" i="2"/>
  <c r="AW1112" i="2"/>
  <c r="AV1112" i="2"/>
  <c r="BV1111" i="2"/>
  <c r="BR1111" i="2"/>
  <c r="BI1111" i="2"/>
  <c r="BG1111" i="2"/>
  <c r="BC1111" i="2"/>
  <c r="BB1111" i="2"/>
  <c r="AT1111" i="2"/>
  <c r="AP1111" i="2"/>
  <c r="AO1111" i="2"/>
  <c r="AN1111" i="2"/>
  <c r="AM1111" i="2"/>
  <c r="AF1111" i="2"/>
  <c r="BY1110" i="2"/>
  <c r="A1110" i="2"/>
  <c r="BY1109" i="2"/>
  <c r="A1109" i="2"/>
  <c r="B1109" i="2" s="1" a="1"/>
  <c r="B1109" i="2" s="1"/>
  <c r="BY1108" i="2"/>
  <c r="A1108" i="2"/>
  <c r="B1108" i="2" s="1" a="1"/>
  <c r="BV1107" i="2"/>
  <c r="BU1107" i="2"/>
  <c r="BT1107" i="2"/>
  <c r="BS1107" i="2"/>
  <c r="BR1107" i="2"/>
  <c r="BQ1107" i="2"/>
  <c r="BP1107" i="2"/>
  <c r="BO1107" i="2"/>
  <c r="BM1107" i="2"/>
  <c r="BL1107" i="2"/>
  <c r="BK1107" i="2"/>
  <c r="BG1107" i="2"/>
  <c r="BE1107" i="2"/>
  <c r="BD1107" i="2"/>
  <c r="BC1107" i="2"/>
  <c r="BB1107" i="2"/>
  <c r="BA1107" i="2"/>
  <c r="AZ1107" i="2"/>
  <c r="AY1107" i="2"/>
  <c r="AX1107" i="2"/>
  <c r="AW1107" i="2"/>
  <c r="AV1107" i="2"/>
  <c r="AU1107" i="2"/>
  <c r="AT1107" i="2"/>
  <c r="AS1107" i="2"/>
  <c r="AR1107" i="2"/>
  <c r="AQ1107" i="2"/>
  <c r="AP1107" i="2"/>
  <c r="AO1107" i="2"/>
  <c r="AN1107" i="2"/>
  <c r="AM1107" i="2"/>
  <c r="AK1107" i="2"/>
  <c r="AJ1107" i="2"/>
  <c r="AI1107" i="2"/>
  <c r="AH1107" i="2"/>
  <c r="AG1107" i="2"/>
  <c r="AF1107" i="2"/>
  <c r="AE1107" i="2"/>
  <c r="BV1106" i="2"/>
  <c r="BU1106" i="2"/>
  <c r="BT1106" i="2"/>
  <c r="BS1106" i="2"/>
  <c r="BR1106" i="2"/>
  <c r="BQ1106" i="2"/>
  <c r="BP1106" i="2"/>
  <c r="BO1106" i="2"/>
  <c r="BM1106" i="2"/>
  <c r="BL1106" i="2"/>
  <c r="BK1106" i="2"/>
  <c r="BJ1106" i="2"/>
  <c r="BI1106" i="2"/>
  <c r="BH1106" i="2"/>
  <c r="BG1106" i="2"/>
  <c r="BE1106" i="2"/>
  <c r="BD1106" i="2"/>
  <c r="BC1106" i="2"/>
  <c r="BB1106" i="2"/>
  <c r="BA1106" i="2"/>
  <c r="AZ1106" i="2"/>
  <c r="AY1106" i="2"/>
  <c r="AX1106" i="2"/>
  <c r="AW1106" i="2"/>
  <c r="AV1106" i="2"/>
  <c r="AU1106" i="2"/>
  <c r="AT1106" i="2"/>
  <c r="AS1106" i="2"/>
  <c r="AR1106" i="2"/>
  <c r="AQ1106" i="2"/>
  <c r="AP1106" i="2"/>
  <c r="AO1106" i="2"/>
  <c r="AN1106" i="2"/>
  <c r="AM1106" i="2"/>
  <c r="AK1106" i="2"/>
  <c r="AJ1106" i="2"/>
  <c r="AI1106" i="2"/>
  <c r="AH1106" i="2"/>
  <c r="AG1106" i="2"/>
  <c r="AF1106" i="2"/>
  <c r="AE1106" i="2"/>
  <c r="BV1105" i="2"/>
  <c r="BU1105" i="2"/>
  <c r="BT1105" i="2"/>
  <c r="BS1105" i="2"/>
  <c r="BR1105" i="2"/>
  <c r="BQ1105" i="2"/>
  <c r="BP1105" i="2"/>
  <c r="BO1105" i="2"/>
  <c r="BM1105" i="2"/>
  <c r="BL1105" i="2"/>
  <c r="BK1105" i="2"/>
  <c r="BI1105" i="2"/>
  <c r="BH1105" i="2"/>
  <c r="BG1105" i="2"/>
  <c r="BE1105" i="2"/>
  <c r="BD1105" i="2"/>
  <c r="BC1105" i="2"/>
  <c r="BB1105" i="2"/>
  <c r="BA1105" i="2"/>
  <c r="AZ1105" i="2"/>
  <c r="AY1105" i="2"/>
  <c r="AX1105" i="2"/>
  <c r="AW1105" i="2"/>
  <c r="AV1105" i="2"/>
  <c r="AU1105" i="2"/>
  <c r="AT1105" i="2"/>
  <c r="AS1105" i="2"/>
  <c r="AR1105" i="2"/>
  <c r="AQ1105" i="2"/>
  <c r="AP1105" i="2"/>
  <c r="AO1105" i="2"/>
  <c r="AN1105" i="2"/>
  <c r="AM1105" i="2"/>
  <c r="AK1105" i="2"/>
  <c r="AJ1105" i="2"/>
  <c r="AI1105" i="2"/>
  <c r="AH1105" i="2"/>
  <c r="AG1105" i="2"/>
  <c r="AE1105" i="2"/>
  <c r="BY1104" i="2"/>
  <c r="Y1104" i="2"/>
  <c r="BV1101" i="2"/>
  <c r="BU1101" i="2"/>
  <c r="BT1101" i="2"/>
  <c r="BS1101" i="2"/>
  <c r="BR1101" i="2"/>
  <c r="BQ1101" i="2"/>
  <c r="BP1101" i="2"/>
  <c r="BO1101" i="2"/>
  <c r="BM1101" i="2"/>
  <c r="BL1101" i="2"/>
  <c r="BK1101" i="2"/>
  <c r="BI1101" i="2"/>
  <c r="BI1100" i="2" s="1"/>
  <c r="BH1101" i="2"/>
  <c r="BG1101" i="2"/>
  <c r="BE1101" i="2"/>
  <c r="BD1101" i="2"/>
  <c r="BC1101" i="2"/>
  <c r="BB1101" i="2"/>
  <c r="BA1101" i="2"/>
  <c r="BA1100" i="2" s="1"/>
  <c r="AZ1101" i="2"/>
  <c r="AZ1100" i="2" s="1"/>
  <c r="AY1101" i="2"/>
  <c r="AX1101" i="2"/>
  <c r="AW1101" i="2"/>
  <c r="AW1100" i="2" s="1"/>
  <c r="AV1101" i="2"/>
  <c r="AU1101" i="2"/>
  <c r="AT1101" i="2"/>
  <c r="AT1100" i="2" s="1"/>
  <c r="AS1101" i="2"/>
  <c r="AS1100" i="2" s="1"/>
  <c r="AR1101" i="2"/>
  <c r="AR1100" i="2" s="1"/>
  <c r="AQ1101" i="2"/>
  <c r="AP1101" i="2"/>
  <c r="AP1100" i="2" s="1"/>
  <c r="AO1101" i="2"/>
  <c r="AN1101" i="2"/>
  <c r="AN1100" i="2" s="1"/>
  <c r="AM1101" i="2"/>
  <c r="AK1101" i="2"/>
  <c r="AK1100" i="2" s="1"/>
  <c r="AJ1101" i="2"/>
  <c r="AJ1100" i="2" s="1"/>
  <c r="AI1101" i="2"/>
  <c r="AI1100" i="2" s="1"/>
  <c r="AH1101" i="2"/>
  <c r="AG1101" i="2"/>
  <c r="AG1100" i="2" s="1"/>
  <c r="AF1101" i="2"/>
  <c r="BH1100" i="2"/>
  <c r="AH1099" i="2"/>
  <c r="AG1099" i="2"/>
  <c r="AF1099" i="2"/>
  <c r="AE1099" i="2"/>
  <c r="BY1099" i="2" s="1"/>
  <c r="AH1098" i="2"/>
  <c r="AG1098" i="2"/>
  <c r="AF1098" i="2"/>
  <c r="AE1098" i="2"/>
  <c r="BY1098" i="2" s="1"/>
  <c r="BV1097" i="2"/>
  <c r="BU1097" i="2"/>
  <c r="BT1097" i="2"/>
  <c r="BS1097" i="2"/>
  <c r="BR1097" i="2"/>
  <c r="BQ1097" i="2"/>
  <c r="BP1097" i="2"/>
  <c r="BO1097" i="2"/>
  <c r="BM1097" i="2"/>
  <c r="BL1097" i="2"/>
  <c r="BK1097" i="2"/>
  <c r="BH1097" i="2"/>
  <c r="BG1097" i="2"/>
  <c r="BE1097" i="2"/>
  <c r="BD1097" i="2"/>
  <c r="BC1097" i="2"/>
  <c r="BB1097" i="2"/>
  <c r="BA1097" i="2"/>
  <c r="AZ1097" i="2"/>
  <c r="AY1097" i="2"/>
  <c r="AX1097" i="2"/>
  <c r="AW1097" i="2"/>
  <c r="AV1097" i="2"/>
  <c r="AU1097" i="2"/>
  <c r="AT1097" i="2"/>
  <c r="AS1097" i="2"/>
  <c r="AR1097" i="2"/>
  <c r="AQ1097" i="2"/>
  <c r="AP1097" i="2"/>
  <c r="AO1097" i="2"/>
  <c r="AN1097" i="2"/>
  <c r="AM1097" i="2"/>
  <c r="AK1097" i="2"/>
  <c r="AJ1097" i="2"/>
  <c r="AI1097" i="2"/>
  <c r="AH1097" i="2"/>
  <c r="AG1097" i="2"/>
  <c r="AF1097" i="2"/>
  <c r="AE1097" i="2"/>
  <c r="BV1096" i="2"/>
  <c r="BU1096" i="2"/>
  <c r="BT1096" i="2"/>
  <c r="BS1096" i="2"/>
  <c r="BR1096" i="2"/>
  <c r="BQ1096" i="2"/>
  <c r="BP1096" i="2"/>
  <c r="BO1096" i="2"/>
  <c r="BM1096" i="2"/>
  <c r="BL1096" i="2"/>
  <c r="BK1096" i="2"/>
  <c r="BI1096" i="2"/>
  <c r="BH1096" i="2"/>
  <c r="BG1096" i="2"/>
  <c r="BF1096" i="2"/>
  <c r="BE1096" i="2"/>
  <c r="BD1096" i="2"/>
  <c r="BC1096" i="2"/>
  <c r="BB1096" i="2"/>
  <c r="BA1096" i="2"/>
  <c r="AZ1096" i="2"/>
  <c r="AY1096" i="2"/>
  <c r="AX1096" i="2"/>
  <c r="AW1096" i="2"/>
  <c r="AV1096" i="2"/>
  <c r="AU1096" i="2"/>
  <c r="AT1096" i="2"/>
  <c r="AS1096" i="2"/>
  <c r="AR1096" i="2"/>
  <c r="AQ1096" i="2"/>
  <c r="AP1096" i="2"/>
  <c r="AO1096" i="2"/>
  <c r="AN1096" i="2"/>
  <c r="AM1096" i="2"/>
  <c r="AK1096" i="2"/>
  <c r="AJ1096" i="2"/>
  <c r="AI1096" i="2"/>
  <c r="AH1096" i="2"/>
  <c r="AG1096" i="2"/>
  <c r="AF1096" i="2"/>
  <c r="AE1096" i="2"/>
  <c r="BV1095" i="2"/>
  <c r="BU1095" i="2"/>
  <c r="BT1095" i="2"/>
  <c r="BS1095" i="2"/>
  <c r="BR1095" i="2"/>
  <c r="BQ1095" i="2"/>
  <c r="BP1095" i="2"/>
  <c r="BO1095" i="2"/>
  <c r="BM1095" i="2"/>
  <c r="BL1095" i="2"/>
  <c r="BK1095" i="2"/>
  <c r="BI1095" i="2"/>
  <c r="BH1095" i="2"/>
  <c r="BG1095" i="2"/>
  <c r="BE1095" i="2"/>
  <c r="BD1095" i="2"/>
  <c r="BC1095" i="2"/>
  <c r="BB1095" i="2"/>
  <c r="BA1095" i="2"/>
  <c r="AZ1095" i="2"/>
  <c r="AY1095" i="2"/>
  <c r="AX1095" i="2"/>
  <c r="AW1095" i="2"/>
  <c r="AV1095" i="2"/>
  <c r="AU1095" i="2"/>
  <c r="AT1095" i="2"/>
  <c r="AS1095" i="2"/>
  <c r="AR1095" i="2"/>
  <c r="AQ1095" i="2"/>
  <c r="AP1095" i="2"/>
  <c r="AO1095" i="2"/>
  <c r="AN1095" i="2"/>
  <c r="AM1095" i="2"/>
  <c r="AK1095" i="2"/>
  <c r="AJ1095" i="2"/>
  <c r="AI1095" i="2"/>
  <c r="AH1095" i="2"/>
  <c r="AG1095" i="2"/>
  <c r="AF1095" i="2"/>
  <c r="AE1095" i="2"/>
  <c r="BV1094" i="2"/>
  <c r="BU1094" i="2"/>
  <c r="BT1094" i="2"/>
  <c r="BS1094" i="2"/>
  <c r="BR1094" i="2"/>
  <c r="BQ1094" i="2"/>
  <c r="BP1094" i="2"/>
  <c r="BO1094" i="2"/>
  <c r="BM1094" i="2"/>
  <c r="BL1094" i="2"/>
  <c r="BK1094" i="2"/>
  <c r="BJ1094" i="2"/>
  <c r="BI1094" i="2"/>
  <c r="BH1094" i="2"/>
  <c r="BG1094" i="2"/>
  <c r="BF1094" i="2"/>
  <c r="BE1094" i="2"/>
  <c r="BD1094" i="2"/>
  <c r="BC1094" i="2"/>
  <c r="BB1094" i="2"/>
  <c r="BA1094" i="2"/>
  <c r="AZ1094" i="2"/>
  <c r="AY1094" i="2"/>
  <c r="AX1094" i="2"/>
  <c r="AW1094" i="2"/>
  <c r="AV1094" i="2"/>
  <c r="AU1094" i="2"/>
  <c r="AT1094" i="2"/>
  <c r="AS1094" i="2"/>
  <c r="AQ1094" i="2"/>
  <c r="AP1094" i="2"/>
  <c r="AO1094" i="2"/>
  <c r="AN1094" i="2"/>
  <c r="AM1094" i="2"/>
  <c r="AK1094" i="2"/>
  <c r="AJ1094" i="2"/>
  <c r="AI1094" i="2"/>
  <c r="AH1094" i="2"/>
  <c r="AG1094" i="2"/>
  <c r="AF1094" i="2"/>
  <c r="AE1094" i="2"/>
  <c r="BY1093" i="2"/>
  <c r="BV1092" i="2"/>
  <c r="BU1092" i="2"/>
  <c r="BT1092" i="2"/>
  <c r="BS1092" i="2"/>
  <c r="BR1092" i="2"/>
  <c r="BQ1092" i="2"/>
  <c r="BP1092" i="2"/>
  <c r="BO1092" i="2"/>
  <c r="BM1092" i="2"/>
  <c r="BL1092" i="2"/>
  <c r="BK1092" i="2"/>
  <c r="BJ1092" i="2"/>
  <c r="BI1092" i="2"/>
  <c r="BH1092" i="2"/>
  <c r="BG1092" i="2"/>
  <c r="BF1092" i="2"/>
  <c r="BE1092" i="2"/>
  <c r="BD1092" i="2"/>
  <c r="BC1092" i="2"/>
  <c r="BB1092" i="2"/>
  <c r="BA1092" i="2"/>
  <c r="AZ1092" i="2"/>
  <c r="AY1092" i="2"/>
  <c r="AW1092" i="2"/>
  <c r="AV1092" i="2"/>
  <c r="AU1092" i="2"/>
  <c r="AS1092" i="2"/>
  <c r="AQ1092" i="2"/>
  <c r="AP1092" i="2"/>
  <c r="AO1092" i="2"/>
  <c r="AN1092" i="2"/>
  <c r="AM1092" i="2"/>
  <c r="AK1092" i="2"/>
  <c r="AJ1092" i="2"/>
  <c r="AI1092" i="2"/>
  <c r="AH1092" i="2"/>
  <c r="AG1092" i="2"/>
  <c r="AF1092" i="2"/>
  <c r="AE1092" i="2"/>
  <c r="Y1092" i="2"/>
  <c r="BV1089" i="2"/>
  <c r="BU1089" i="2"/>
  <c r="BT1089" i="2"/>
  <c r="BS1089" i="2"/>
  <c r="BR1089" i="2"/>
  <c r="BQ1089" i="2"/>
  <c r="BP1089" i="2"/>
  <c r="BO1089" i="2"/>
  <c r="BM1089" i="2"/>
  <c r="BL1089" i="2"/>
  <c r="BK1089" i="2"/>
  <c r="BJ1089" i="2"/>
  <c r="BI1089" i="2"/>
  <c r="BH1089" i="2"/>
  <c r="BG1089" i="2"/>
  <c r="BF1089" i="2"/>
  <c r="BE1089" i="2"/>
  <c r="BD1089" i="2"/>
  <c r="BC1089" i="2"/>
  <c r="BB1089" i="2"/>
  <c r="BA1089" i="2"/>
  <c r="AZ1089" i="2"/>
  <c r="AY1089" i="2"/>
  <c r="AW1089" i="2"/>
  <c r="AV1089" i="2"/>
  <c r="AU1089" i="2"/>
  <c r="AT1089" i="2"/>
  <c r="AS1089" i="2"/>
  <c r="AR1089" i="2"/>
  <c r="AQ1089" i="2"/>
  <c r="AO1089" i="2"/>
  <c r="AN1089" i="2"/>
  <c r="AM1089" i="2"/>
  <c r="AK1089" i="2"/>
  <c r="AJ1089" i="2"/>
  <c r="AI1089" i="2"/>
  <c r="AH1089" i="2"/>
  <c r="AG1089" i="2"/>
  <c r="AF1089" i="2"/>
  <c r="AE1089" i="2"/>
  <c r="BU1088" i="2"/>
  <c r="BT1088" i="2"/>
  <c r="BS1088" i="2"/>
  <c r="BQ1088" i="2"/>
  <c r="BP1088" i="2"/>
  <c r="BO1088" i="2"/>
  <c r="BM1088" i="2"/>
  <c r="BL1088" i="2"/>
  <c r="BK1088" i="2"/>
  <c r="BI1088" i="2"/>
  <c r="BH1088" i="2"/>
  <c r="BG1088" i="2"/>
  <c r="BE1088" i="2"/>
  <c r="BD1088" i="2"/>
  <c r="BC1088" i="2"/>
  <c r="BB1088" i="2"/>
  <c r="BA1088" i="2"/>
  <c r="AZ1088" i="2"/>
  <c r="AY1088" i="2"/>
  <c r="AX1088" i="2"/>
  <c r="AW1088" i="2"/>
  <c r="AV1088" i="2"/>
  <c r="AU1088" i="2"/>
  <c r="AT1088" i="2"/>
  <c r="AS1088" i="2"/>
  <c r="AR1088" i="2"/>
  <c r="AQ1088" i="2"/>
  <c r="AP1088" i="2"/>
  <c r="AO1088" i="2"/>
  <c r="AN1088" i="2"/>
  <c r="AM1088" i="2"/>
  <c r="AK1088" i="2"/>
  <c r="AJ1088" i="2"/>
  <c r="AI1088" i="2"/>
  <c r="AH1088" i="2"/>
  <c r="AG1088" i="2"/>
  <c r="AF1088" i="2"/>
  <c r="AE1088" i="2"/>
  <c r="BU1087" i="2"/>
  <c r="BT1087" i="2"/>
  <c r="BS1087" i="2"/>
  <c r="BQ1087" i="2"/>
  <c r="BP1087" i="2"/>
  <c r="BO1087" i="2"/>
  <c r="BM1087" i="2"/>
  <c r="BL1087" i="2"/>
  <c r="BK1087" i="2"/>
  <c r="BI1087" i="2"/>
  <c r="BH1087" i="2"/>
  <c r="BG1087" i="2"/>
  <c r="BE1087" i="2"/>
  <c r="BD1087" i="2"/>
  <c r="BC1087" i="2"/>
  <c r="BB1087" i="2"/>
  <c r="BA1087" i="2"/>
  <c r="AZ1087" i="2"/>
  <c r="AY1087" i="2"/>
  <c r="AX1087" i="2"/>
  <c r="AW1087" i="2"/>
  <c r="AV1087" i="2"/>
  <c r="AU1087" i="2"/>
  <c r="AT1087" i="2"/>
  <c r="AS1087" i="2"/>
  <c r="AR1087" i="2"/>
  <c r="AQ1087" i="2"/>
  <c r="AP1087" i="2"/>
  <c r="AO1087" i="2"/>
  <c r="AN1087" i="2"/>
  <c r="AM1087" i="2"/>
  <c r="AK1087" i="2"/>
  <c r="AJ1087" i="2"/>
  <c r="AI1087" i="2"/>
  <c r="AH1087" i="2"/>
  <c r="AG1087" i="2"/>
  <c r="AF1087" i="2"/>
  <c r="AE1087" i="2"/>
  <c r="BU1086" i="2"/>
  <c r="BT1086" i="2"/>
  <c r="BS1086" i="2"/>
  <c r="BQ1086" i="2"/>
  <c r="BP1086" i="2"/>
  <c r="BO1086" i="2"/>
  <c r="BM1086" i="2"/>
  <c r="BL1086" i="2"/>
  <c r="BK1086" i="2"/>
  <c r="BI1086" i="2"/>
  <c r="BH1086" i="2"/>
  <c r="BG1086" i="2"/>
  <c r="BE1086" i="2"/>
  <c r="BD1086" i="2"/>
  <c r="BC1086" i="2"/>
  <c r="BB1086" i="2"/>
  <c r="BA1086" i="2"/>
  <c r="AZ1086" i="2"/>
  <c r="AY1086" i="2"/>
  <c r="AX1086" i="2"/>
  <c r="AW1086" i="2"/>
  <c r="AV1086" i="2"/>
  <c r="AU1086" i="2"/>
  <c r="AT1086" i="2"/>
  <c r="AS1086" i="2"/>
  <c r="AR1086" i="2"/>
  <c r="AQ1086" i="2"/>
  <c r="AP1086" i="2"/>
  <c r="AO1086" i="2"/>
  <c r="AN1086" i="2"/>
  <c r="AM1086" i="2"/>
  <c r="AK1086" i="2"/>
  <c r="AJ1086" i="2"/>
  <c r="AI1086" i="2"/>
  <c r="AH1086" i="2"/>
  <c r="AG1086" i="2"/>
  <c r="AF1086" i="2"/>
  <c r="AE1086" i="2"/>
  <c r="BU1085" i="2"/>
  <c r="BT1085" i="2"/>
  <c r="BS1085" i="2"/>
  <c r="BQ1085" i="2"/>
  <c r="BP1085" i="2"/>
  <c r="BO1085" i="2"/>
  <c r="BM1085" i="2"/>
  <c r="BL1085" i="2"/>
  <c r="BK1085" i="2"/>
  <c r="BI1085" i="2"/>
  <c r="BH1085" i="2"/>
  <c r="BG1085" i="2"/>
  <c r="BE1085" i="2"/>
  <c r="BD1085" i="2"/>
  <c r="BC1085" i="2"/>
  <c r="BB1085" i="2"/>
  <c r="BA1085" i="2"/>
  <c r="AZ1085" i="2"/>
  <c r="AY1085" i="2"/>
  <c r="AX1085" i="2"/>
  <c r="AW1085" i="2"/>
  <c r="AV1085" i="2"/>
  <c r="AU1085" i="2"/>
  <c r="AT1085" i="2"/>
  <c r="AS1085" i="2"/>
  <c r="AR1085" i="2"/>
  <c r="AQ1085" i="2"/>
  <c r="AP1085" i="2"/>
  <c r="AO1085" i="2"/>
  <c r="AN1085" i="2"/>
  <c r="AM1085" i="2"/>
  <c r="AK1085" i="2"/>
  <c r="AJ1085" i="2"/>
  <c r="AI1085" i="2"/>
  <c r="AH1085" i="2"/>
  <c r="AG1085" i="2"/>
  <c r="AF1085" i="2"/>
  <c r="AE1085" i="2"/>
  <c r="BU1084" i="2"/>
  <c r="BT1084" i="2"/>
  <c r="BS1084" i="2"/>
  <c r="BQ1084" i="2"/>
  <c r="BP1084" i="2"/>
  <c r="BO1084" i="2"/>
  <c r="BM1084" i="2"/>
  <c r="BL1084" i="2"/>
  <c r="BK1084" i="2"/>
  <c r="BI1084" i="2"/>
  <c r="BH1084" i="2"/>
  <c r="BG1084" i="2"/>
  <c r="BE1084" i="2"/>
  <c r="BD1084" i="2"/>
  <c r="BC1084" i="2"/>
  <c r="BB1084" i="2"/>
  <c r="BA1084" i="2"/>
  <c r="AZ1084" i="2"/>
  <c r="AY1084" i="2"/>
  <c r="AX1084" i="2"/>
  <c r="AW1084" i="2"/>
  <c r="AV1084" i="2"/>
  <c r="AU1084" i="2"/>
  <c r="AT1084" i="2"/>
  <c r="AS1084" i="2"/>
  <c r="AR1084" i="2"/>
  <c r="AQ1084" i="2"/>
  <c r="AP1084" i="2"/>
  <c r="AO1084" i="2"/>
  <c r="AN1084" i="2"/>
  <c r="AM1084" i="2"/>
  <c r="AK1084" i="2"/>
  <c r="AJ1084" i="2"/>
  <c r="AI1084" i="2"/>
  <c r="AH1084" i="2"/>
  <c r="AG1084" i="2"/>
  <c r="AF1084" i="2"/>
  <c r="AE1084" i="2"/>
  <c r="BU1083" i="2"/>
  <c r="BT1083" i="2"/>
  <c r="BS1083" i="2"/>
  <c r="BQ1083" i="2"/>
  <c r="BP1083" i="2"/>
  <c r="BO1083" i="2"/>
  <c r="BM1083" i="2"/>
  <c r="BL1083" i="2"/>
  <c r="BK1083" i="2"/>
  <c r="BI1083" i="2"/>
  <c r="BH1083" i="2"/>
  <c r="BG1083" i="2"/>
  <c r="BE1083" i="2"/>
  <c r="BD1083" i="2"/>
  <c r="BC1083" i="2"/>
  <c r="BB1083" i="2"/>
  <c r="BA1083" i="2"/>
  <c r="AZ1083" i="2"/>
  <c r="AY1083" i="2"/>
  <c r="AX1083" i="2"/>
  <c r="AW1083" i="2"/>
  <c r="AV1083" i="2"/>
  <c r="AU1083" i="2"/>
  <c r="AT1083" i="2"/>
  <c r="AS1083" i="2"/>
  <c r="AR1083" i="2"/>
  <c r="AQ1083" i="2"/>
  <c r="AP1083" i="2"/>
  <c r="AO1083" i="2"/>
  <c r="AN1083" i="2"/>
  <c r="AM1083" i="2"/>
  <c r="AK1083" i="2"/>
  <c r="AJ1083" i="2"/>
  <c r="AI1083" i="2"/>
  <c r="AH1083" i="2"/>
  <c r="AG1083" i="2"/>
  <c r="AF1083" i="2"/>
  <c r="AE1083" i="2"/>
  <c r="BU1082" i="2"/>
  <c r="BT1082" i="2"/>
  <c r="BS1082" i="2"/>
  <c r="BQ1082" i="2"/>
  <c r="BP1082" i="2"/>
  <c r="BO1082" i="2"/>
  <c r="BM1082" i="2"/>
  <c r="BL1082" i="2"/>
  <c r="BK1082" i="2"/>
  <c r="BI1082" i="2"/>
  <c r="BH1082" i="2"/>
  <c r="BG1082" i="2"/>
  <c r="BE1082" i="2"/>
  <c r="BD1082" i="2"/>
  <c r="BC1082" i="2"/>
  <c r="BB1082" i="2"/>
  <c r="BA1082" i="2"/>
  <c r="AZ1082" i="2"/>
  <c r="AY1082" i="2"/>
  <c r="AX1082" i="2"/>
  <c r="AW1082" i="2"/>
  <c r="AV1082" i="2"/>
  <c r="AU1082" i="2"/>
  <c r="AT1082" i="2"/>
  <c r="AS1082" i="2"/>
  <c r="AR1082" i="2"/>
  <c r="AQ1082" i="2"/>
  <c r="AP1082" i="2"/>
  <c r="AO1082" i="2"/>
  <c r="AN1082" i="2"/>
  <c r="AM1082" i="2"/>
  <c r="AK1082" i="2"/>
  <c r="AJ1082" i="2"/>
  <c r="AI1082" i="2"/>
  <c r="AH1082" i="2"/>
  <c r="AG1082" i="2"/>
  <c r="AF1082" i="2"/>
  <c r="AE1082" i="2"/>
  <c r="BU1081" i="2"/>
  <c r="BT1081" i="2"/>
  <c r="BS1081" i="2"/>
  <c r="BQ1081" i="2"/>
  <c r="BP1081" i="2"/>
  <c r="BO1081" i="2"/>
  <c r="BM1081" i="2"/>
  <c r="BL1081" i="2"/>
  <c r="BK1081" i="2"/>
  <c r="BI1081" i="2"/>
  <c r="BH1081" i="2"/>
  <c r="BG1081" i="2"/>
  <c r="BE1081" i="2"/>
  <c r="BD1081" i="2"/>
  <c r="BC1081" i="2"/>
  <c r="BB1081" i="2"/>
  <c r="BA1081" i="2"/>
  <c r="AZ1081" i="2"/>
  <c r="AY1081" i="2"/>
  <c r="AX1081" i="2"/>
  <c r="AW1081" i="2"/>
  <c r="AV1081" i="2"/>
  <c r="AU1081" i="2"/>
  <c r="AT1081" i="2"/>
  <c r="AS1081" i="2"/>
  <c r="AQ1081" i="2"/>
  <c r="AP1081" i="2"/>
  <c r="AO1081" i="2"/>
  <c r="AN1081" i="2"/>
  <c r="AM1081" i="2"/>
  <c r="AK1081" i="2"/>
  <c r="AJ1081" i="2"/>
  <c r="AI1081" i="2"/>
  <c r="AH1081" i="2"/>
  <c r="AG1081" i="2"/>
  <c r="AF1081" i="2"/>
  <c r="AE1081" i="2"/>
  <c r="BU1080" i="2"/>
  <c r="BT1080" i="2"/>
  <c r="BS1080" i="2"/>
  <c r="BQ1080" i="2"/>
  <c r="BP1080" i="2"/>
  <c r="BO1080" i="2"/>
  <c r="BM1080" i="2"/>
  <c r="BL1080" i="2"/>
  <c r="BK1080" i="2"/>
  <c r="BI1080" i="2"/>
  <c r="BH1080" i="2"/>
  <c r="BG1080" i="2"/>
  <c r="BE1080" i="2"/>
  <c r="BD1080" i="2"/>
  <c r="BC1080" i="2"/>
  <c r="BB1080" i="2"/>
  <c r="BA1080" i="2"/>
  <c r="AZ1080" i="2"/>
  <c r="AY1080" i="2"/>
  <c r="AX1080" i="2"/>
  <c r="AW1080" i="2"/>
  <c r="AV1080" i="2"/>
  <c r="AU1080" i="2"/>
  <c r="AT1080" i="2"/>
  <c r="AS1080" i="2"/>
  <c r="AR1080" i="2"/>
  <c r="AQ1080" i="2"/>
  <c r="AP1080" i="2"/>
  <c r="AO1080" i="2"/>
  <c r="AN1080" i="2"/>
  <c r="AM1080" i="2"/>
  <c r="AK1080" i="2"/>
  <c r="AJ1080" i="2"/>
  <c r="AI1080" i="2"/>
  <c r="AH1080" i="2"/>
  <c r="AG1080" i="2"/>
  <c r="AF1080" i="2"/>
  <c r="AE1080" i="2"/>
  <c r="BU1079" i="2"/>
  <c r="BT1079" i="2"/>
  <c r="BS1079" i="2"/>
  <c r="BQ1079" i="2"/>
  <c r="BP1079" i="2"/>
  <c r="BO1079" i="2"/>
  <c r="BM1079" i="2"/>
  <c r="BL1079" i="2"/>
  <c r="BK1079" i="2"/>
  <c r="BJ1079" i="2"/>
  <c r="BI1079" i="2"/>
  <c r="BH1079" i="2"/>
  <c r="BG1079" i="2"/>
  <c r="BE1079" i="2"/>
  <c r="BD1079" i="2"/>
  <c r="BC1079" i="2"/>
  <c r="BB1079" i="2"/>
  <c r="BA1079" i="2"/>
  <c r="AZ1079" i="2"/>
  <c r="AY1079" i="2"/>
  <c r="AX1079" i="2"/>
  <c r="AW1079" i="2"/>
  <c r="AV1079" i="2"/>
  <c r="AU1079" i="2"/>
  <c r="AT1079" i="2"/>
  <c r="AS1079" i="2"/>
  <c r="AR1079" i="2"/>
  <c r="AQ1079" i="2"/>
  <c r="AP1079" i="2"/>
  <c r="AO1079" i="2"/>
  <c r="AN1079" i="2"/>
  <c r="AM1079" i="2"/>
  <c r="AK1079" i="2"/>
  <c r="AJ1079" i="2"/>
  <c r="AI1079" i="2"/>
  <c r="AH1079" i="2"/>
  <c r="AG1079" i="2"/>
  <c r="AF1079" i="2"/>
  <c r="AE1079" i="2"/>
  <c r="BU1078" i="2"/>
  <c r="BT1078" i="2"/>
  <c r="BS1078" i="2"/>
  <c r="BQ1078" i="2"/>
  <c r="BP1078" i="2"/>
  <c r="BO1078" i="2"/>
  <c r="BM1078" i="2"/>
  <c r="BL1078" i="2"/>
  <c r="BK1078" i="2"/>
  <c r="BI1078" i="2"/>
  <c r="BH1078" i="2"/>
  <c r="BG1078" i="2"/>
  <c r="BE1078" i="2"/>
  <c r="BD1078" i="2"/>
  <c r="BC1078" i="2"/>
  <c r="BB1078" i="2"/>
  <c r="BA1078" i="2"/>
  <c r="AZ1078" i="2"/>
  <c r="AY1078" i="2"/>
  <c r="AX1078" i="2"/>
  <c r="AW1078" i="2"/>
  <c r="AV1078" i="2"/>
  <c r="AU1078" i="2"/>
  <c r="AT1078" i="2"/>
  <c r="AS1078" i="2"/>
  <c r="AR1078" i="2"/>
  <c r="AQ1078" i="2"/>
  <c r="AP1078" i="2"/>
  <c r="AO1078" i="2"/>
  <c r="AN1078" i="2"/>
  <c r="AM1078" i="2"/>
  <c r="AK1078" i="2"/>
  <c r="AJ1078" i="2"/>
  <c r="AI1078" i="2"/>
  <c r="AH1078" i="2"/>
  <c r="AG1078" i="2"/>
  <c r="AF1078" i="2"/>
  <c r="AE1078" i="2"/>
  <c r="Y1078" i="2"/>
  <c r="Y1079" i="2" s="1"/>
  <c r="BU1077" i="2"/>
  <c r="BT1077" i="2"/>
  <c r="BS1077" i="2"/>
  <c r="BQ1077" i="2"/>
  <c r="BP1077" i="2"/>
  <c r="BO1077" i="2"/>
  <c r="BM1077" i="2"/>
  <c r="BL1077" i="2"/>
  <c r="BK1077" i="2"/>
  <c r="BJ1077" i="2"/>
  <c r="BI1077" i="2"/>
  <c r="BH1077" i="2"/>
  <c r="BG1077" i="2"/>
  <c r="BE1077" i="2"/>
  <c r="BD1077" i="2"/>
  <c r="BC1077" i="2"/>
  <c r="BB1077" i="2"/>
  <c r="BA1077" i="2"/>
  <c r="AZ1077" i="2"/>
  <c r="AY1077" i="2"/>
  <c r="AX1077" i="2"/>
  <c r="AW1077" i="2"/>
  <c r="AV1077" i="2"/>
  <c r="AU1077" i="2"/>
  <c r="AT1077" i="2"/>
  <c r="AS1077" i="2"/>
  <c r="AR1077" i="2"/>
  <c r="AQ1077" i="2"/>
  <c r="AP1077" i="2"/>
  <c r="AO1077" i="2"/>
  <c r="AN1077" i="2"/>
  <c r="AM1077" i="2"/>
  <c r="AK1077" i="2"/>
  <c r="AJ1077" i="2"/>
  <c r="AI1077" i="2"/>
  <c r="AH1077" i="2"/>
  <c r="AG1077" i="2"/>
  <c r="AF1077" i="2"/>
  <c r="AE1077" i="2"/>
  <c r="BF1076" i="2"/>
  <c r="AH1075" i="2"/>
  <c r="CB1074" i="2"/>
  <c r="CA1074" i="2"/>
  <c r="BZ1074" i="2"/>
  <c r="BY1074" i="2"/>
  <c r="CB1073" i="2"/>
  <c r="CA1073" i="2"/>
  <c r="BZ1073" i="2"/>
  <c r="BY1073" i="2"/>
  <c r="CB1072" i="2"/>
  <c r="CA1072" i="2"/>
  <c r="BZ1072" i="2"/>
  <c r="BY1072" i="2"/>
  <c r="Y1072" i="2"/>
  <c r="Y1073" i="2" s="1"/>
  <c r="Y1074" i="2" s="1"/>
  <c r="CA1070" i="2"/>
  <c r="BY1070" i="2"/>
  <c r="BD1070" i="2"/>
  <c r="BZ1070" i="2" s="1"/>
  <c r="BV1069" i="2"/>
  <c r="BU1069" i="2"/>
  <c r="BS1069" i="2"/>
  <c r="BR1069" i="2"/>
  <c r="BQ1069" i="2"/>
  <c r="BO1069" i="2"/>
  <c r="BM1069" i="2"/>
  <c r="BL1069" i="2"/>
  <c r="BK1069" i="2"/>
  <c r="BC1069" i="2"/>
  <c r="BB1069" i="2"/>
  <c r="BA1069" i="2"/>
  <c r="AZ1069" i="2"/>
  <c r="AY1069" i="2"/>
  <c r="AX1069" i="2"/>
  <c r="AW1069" i="2"/>
  <c r="AV1069" i="2"/>
  <c r="AU1069" i="2"/>
  <c r="AT1069" i="2"/>
  <c r="AS1069" i="2"/>
  <c r="AQ1069" i="2"/>
  <c r="AP1069" i="2"/>
  <c r="AO1069" i="2"/>
  <c r="AN1069" i="2"/>
  <c r="AM1069" i="2"/>
  <c r="AK1069" i="2"/>
  <c r="AI1069" i="2"/>
  <c r="AH1069" i="2"/>
  <c r="AG1069" i="2"/>
  <c r="AF1069" i="2"/>
  <c r="BZ1071" i="2" s="1"/>
  <c r="AE1069" i="2"/>
  <c r="CA1068" i="2"/>
  <c r="BY1068" i="2"/>
  <c r="CA1067" i="2"/>
  <c r="BZ1067" i="2"/>
  <c r="BY1067" i="2"/>
  <c r="BH1066" i="2"/>
  <c r="BZ1066" i="2" s="1"/>
  <c r="BG1066" i="2"/>
  <c r="AK1066" i="2"/>
  <c r="AI1066" i="2"/>
  <c r="BZ1065" i="2"/>
  <c r="BY1065" i="2"/>
  <c r="CA1064" i="2"/>
  <c r="BZ1063" i="2"/>
  <c r="BY1063" i="2"/>
  <c r="CA1062" i="2"/>
  <c r="BZ1062" i="2"/>
  <c r="BY1062" i="2"/>
  <c r="BU1061" i="2"/>
  <c r="BT1061" i="2"/>
  <c r="BS1061" i="2"/>
  <c r="BR1061" i="2"/>
  <c r="BQ1061" i="2"/>
  <c r="BP1061" i="2"/>
  <c r="BO1061" i="2"/>
  <c r="BM1061" i="2"/>
  <c r="BL1061" i="2"/>
  <c r="BK1061" i="2"/>
  <c r="BI1061" i="2"/>
  <c r="BI1065" i="2" s="1"/>
  <c r="BH1061" i="2"/>
  <c r="BG1061" i="2"/>
  <c r="BF1061" i="2"/>
  <c r="BE1061" i="2"/>
  <c r="BD1061" i="2"/>
  <c r="BD1068" i="2" s="1"/>
  <c r="BZ1068" i="2" s="1"/>
  <c r="BC1061" i="2"/>
  <c r="BA1061" i="2"/>
  <c r="AZ1061" i="2"/>
  <c r="AY1061" i="2"/>
  <c r="AX1061" i="2"/>
  <c r="AW1061" i="2"/>
  <c r="AV1061" i="2"/>
  <c r="AU1061" i="2"/>
  <c r="AT1061" i="2"/>
  <c r="AS1061" i="2"/>
  <c r="AR1061" i="2"/>
  <c r="AQ1061" i="2"/>
  <c r="AP1061" i="2"/>
  <c r="AO1061" i="2"/>
  <c r="AN1061" i="2"/>
  <c r="AM1061" i="2"/>
  <c r="AK1061" i="2"/>
  <c r="AI1061" i="2"/>
  <c r="AG1061" i="2"/>
  <c r="AF1061" i="2"/>
  <c r="AE1061" i="2"/>
  <c r="BJ1059" i="2"/>
  <c r="BJ1058" i="2" s="1"/>
  <c r="BH1059" i="2"/>
  <c r="BH1058" i="2" s="1"/>
  <c r="BD1059" i="2"/>
  <c r="BD1060" i="2" s="1"/>
  <c r="AJ1059" i="2"/>
  <c r="AJ1058" i="2" s="1"/>
  <c r="CA1057" i="2"/>
  <c r="BZ1057" i="2"/>
  <c r="BY1057" i="2"/>
  <c r="BV1056" i="2"/>
  <c r="BU1056" i="2"/>
  <c r="BT1056" i="2"/>
  <c r="BQ1056" i="2"/>
  <c r="BP1056" i="2"/>
  <c r="BO1056" i="2"/>
  <c r="BM1056" i="2"/>
  <c r="BL1056" i="2"/>
  <c r="BK1056" i="2"/>
  <c r="BH1056" i="2"/>
  <c r="BG1056" i="2"/>
  <c r="BF1056" i="2"/>
  <c r="BE1056" i="2"/>
  <c r="BD1056" i="2"/>
  <c r="BC1056" i="2"/>
  <c r="AZ1056" i="2"/>
  <c r="AY1056" i="2"/>
  <c r="AW1056" i="2"/>
  <c r="AV1056" i="2"/>
  <c r="AU1056" i="2"/>
  <c r="AT1056" i="2"/>
  <c r="AS1056" i="2"/>
  <c r="AR1056" i="2"/>
  <c r="AQ1056" i="2"/>
  <c r="AP1056" i="2"/>
  <c r="AO1056" i="2"/>
  <c r="AN1056" i="2"/>
  <c r="AM1056" i="2"/>
  <c r="AK1056" i="2"/>
  <c r="AJ1056" i="2"/>
  <c r="AI1056" i="2"/>
  <c r="AH1056" i="2"/>
  <c r="AG1056" i="2"/>
  <c r="AF1056" i="2"/>
  <c r="AE1056" i="2"/>
  <c r="BV1055" i="2"/>
  <c r="BU1055" i="2"/>
  <c r="BT1055" i="2"/>
  <c r="BS1055" i="2"/>
  <c r="BR1055" i="2"/>
  <c r="BQ1055" i="2"/>
  <c r="BP1055" i="2"/>
  <c r="BO1055" i="2"/>
  <c r="BM1055" i="2"/>
  <c r="BL1055" i="2"/>
  <c r="BK1055" i="2"/>
  <c r="BI1055" i="2"/>
  <c r="BH1055" i="2"/>
  <c r="BG1055" i="2"/>
  <c r="BE1055" i="2"/>
  <c r="BD1055" i="2"/>
  <c r="BC1055" i="2"/>
  <c r="BB1055" i="2"/>
  <c r="BA1055" i="2"/>
  <c r="AZ1055" i="2"/>
  <c r="AY1055" i="2"/>
  <c r="AW1055" i="2"/>
  <c r="AV1055" i="2"/>
  <c r="AU1055" i="2"/>
  <c r="AS1055" i="2"/>
  <c r="AR1055" i="2"/>
  <c r="AQ1055" i="2"/>
  <c r="AP1055" i="2"/>
  <c r="AO1055" i="2"/>
  <c r="AN1055" i="2"/>
  <c r="AM1055" i="2"/>
  <c r="AK1055" i="2"/>
  <c r="AJ1055" i="2"/>
  <c r="AI1055" i="2"/>
  <c r="AH1055" i="2"/>
  <c r="AG1055" i="2"/>
  <c r="AF1055" i="2"/>
  <c r="AE1055" i="2"/>
  <c r="BV1054" i="2"/>
  <c r="BU1054" i="2"/>
  <c r="BT1054" i="2"/>
  <c r="BS1054" i="2"/>
  <c r="BR1054" i="2"/>
  <c r="BQ1054" i="2"/>
  <c r="BP1054" i="2"/>
  <c r="BO1054" i="2"/>
  <c r="BM1054" i="2"/>
  <c r="BL1054" i="2"/>
  <c r="BK1054" i="2"/>
  <c r="BI1054" i="2"/>
  <c r="BH1054" i="2"/>
  <c r="BG1054" i="2"/>
  <c r="BD1054" i="2"/>
  <c r="BB1054" i="2"/>
  <c r="BA1054" i="2"/>
  <c r="AZ1054" i="2"/>
  <c r="AY1054" i="2"/>
  <c r="AW1054" i="2"/>
  <c r="AV1054" i="2"/>
  <c r="AU1054" i="2"/>
  <c r="AS1054" i="2"/>
  <c r="AR1054" i="2"/>
  <c r="AQ1054" i="2"/>
  <c r="AP1054" i="2"/>
  <c r="AO1054" i="2"/>
  <c r="AN1054" i="2"/>
  <c r="AM1054" i="2"/>
  <c r="AK1054" i="2"/>
  <c r="AJ1054" i="2"/>
  <c r="AI1054" i="2"/>
  <c r="AH1054" i="2"/>
  <c r="AG1054" i="2"/>
  <c r="AF1054" i="2"/>
  <c r="AE1054" i="2"/>
  <c r="CA1053" i="2"/>
  <c r="BZ1053" i="2"/>
  <c r="BY1053" i="2"/>
  <c r="BU1051" i="2"/>
  <c r="BT1051" i="2"/>
  <c r="BS1051" i="2"/>
  <c r="BP1051" i="2"/>
  <c r="BM1051" i="2"/>
  <c r="BL1051" i="2"/>
  <c r="BK1051" i="2"/>
  <c r="BD1051" i="2"/>
  <c r="BA1051" i="2"/>
  <c r="AZ1051" i="2"/>
  <c r="AY1051" i="2"/>
  <c r="AW1051" i="2"/>
  <c r="AV1051" i="2"/>
  <c r="AU1051" i="2"/>
  <c r="AS1051" i="2"/>
  <c r="AR1051" i="2"/>
  <c r="AQ1051" i="2"/>
  <c r="AO1051" i="2"/>
  <c r="AN1051" i="2"/>
  <c r="AM1051" i="2"/>
  <c r="AK1051" i="2"/>
  <c r="AJ1051" i="2"/>
  <c r="AI1051" i="2"/>
  <c r="BV1050" i="2"/>
  <c r="BU1050" i="2"/>
  <c r="BT1050" i="2"/>
  <c r="BS1050" i="2"/>
  <c r="BR1050" i="2"/>
  <c r="BQ1050" i="2"/>
  <c r="BP1050" i="2"/>
  <c r="BO1050" i="2"/>
  <c r="BN1050" i="2"/>
  <c r="BM1050" i="2"/>
  <c r="BL1050" i="2"/>
  <c r="BK1050" i="2"/>
  <c r="BJ1050" i="2"/>
  <c r="BI1050" i="2"/>
  <c r="BH1050" i="2"/>
  <c r="BG1050" i="2"/>
  <c r="BF1050" i="2"/>
  <c r="BE1050" i="2"/>
  <c r="BD1050" i="2"/>
  <c r="BC1050" i="2"/>
  <c r="BB1050" i="2"/>
  <c r="BA1050" i="2"/>
  <c r="AZ1050" i="2"/>
  <c r="AY1050" i="2"/>
  <c r="AW1050" i="2"/>
  <c r="AV1050" i="2"/>
  <c r="AU1050" i="2"/>
  <c r="AT1050" i="2"/>
  <c r="AS1050" i="2"/>
  <c r="AR1050" i="2"/>
  <c r="AQ1050" i="2"/>
  <c r="AP1050" i="2"/>
  <c r="AO1050" i="2"/>
  <c r="AN1050" i="2"/>
  <c r="AM1050" i="2"/>
  <c r="AK1050" i="2"/>
  <c r="AJ1050" i="2"/>
  <c r="AI1050" i="2"/>
  <c r="AH1050" i="2"/>
  <c r="AG1050" i="2"/>
  <c r="AF1050" i="2"/>
  <c r="AE1050" i="2"/>
  <c r="BV1048" i="2"/>
  <c r="BU1048" i="2"/>
  <c r="BT1048" i="2"/>
  <c r="BS1048" i="2"/>
  <c r="BQ1048" i="2"/>
  <c r="BP1048" i="2"/>
  <c r="BO1048" i="2"/>
  <c r="BN1048" i="2"/>
  <c r="BM1048" i="2"/>
  <c r="BL1048" i="2"/>
  <c r="BK1048" i="2"/>
  <c r="BI1048" i="2"/>
  <c r="BH1048" i="2"/>
  <c r="BG1048" i="2"/>
  <c r="BF1048" i="2"/>
  <c r="BE1048" i="2"/>
  <c r="BD1048" i="2"/>
  <c r="BC1048" i="2"/>
  <c r="BA1048" i="2"/>
  <c r="AZ1048" i="2"/>
  <c r="AY1048" i="2"/>
  <c r="AW1048" i="2"/>
  <c r="AV1048" i="2"/>
  <c r="AU1048" i="2"/>
  <c r="AT1048" i="2"/>
  <c r="AS1048" i="2"/>
  <c r="AR1048" i="2"/>
  <c r="AQ1048" i="2"/>
  <c r="AP1048" i="2"/>
  <c r="AO1048" i="2"/>
  <c r="AN1048" i="2"/>
  <c r="AM1048" i="2"/>
  <c r="AK1048" i="2"/>
  <c r="AJ1048" i="2"/>
  <c r="AI1048" i="2"/>
  <c r="AH1048" i="2"/>
  <c r="AG1048" i="2"/>
  <c r="AF1048" i="2"/>
  <c r="AE1048" i="2"/>
  <c r="G1048" i="2" a="1"/>
  <c r="G1048" i="2" s="1"/>
  <c r="BU1046" i="2"/>
  <c r="BT1046" i="2"/>
  <c r="BS1046" i="2"/>
  <c r="BQ1046" i="2"/>
  <c r="BP1046" i="2"/>
  <c r="BO1046" i="2"/>
  <c r="BM1046" i="2"/>
  <c r="BL1046" i="2"/>
  <c r="BK1046" i="2"/>
  <c r="BI1046" i="2"/>
  <c r="BH1046" i="2"/>
  <c r="BG1046" i="2"/>
  <c r="BE1046" i="2"/>
  <c r="BD1046" i="2"/>
  <c r="BC1046" i="2"/>
  <c r="BA1046" i="2"/>
  <c r="AZ1046" i="2"/>
  <c r="AY1046" i="2"/>
  <c r="AW1046" i="2"/>
  <c r="AV1046" i="2"/>
  <c r="AU1046" i="2"/>
  <c r="AT1046" i="2"/>
  <c r="AS1046" i="2"/>
  <c r="AR1046" i="2"/>
  <c r="AQ1046" i="2"/>
  <c r="AP1046" i="2"/>
  <c r="AO1046" i="2"/>
  <c r="AN1046" i="2"/>
  <c r="AM1046" i="2"/>
  <c r="AK1046" i="2"/>
  <c r="AJ1046" i="2"/>
  <c r="AI1046" i="2"/>
  <c r="AH1046" i="2"/>
  <c r="AG1046" i="2"/>
  <c r="AF1046" i="2"/>
  <c r="AE1046" i="2"/>
  <c r="CB1045" i="2"/>
  <c r="CA1045" i="2"/>
  <c r="BZ1045" i="2"/>
  <c r="BY1045" i="2"/>
  <c r="BV1043" i="2"/>
  <c r="BU1043" i="2"/>
  <c r="BT1043" i="2"/>
  <c r="BS1043" i="2"/>
  <c r="BR1043" i="2"/>
  <c r="BQ1043" i="2"/>
  <c r="BP1043" i="2"/>
  <c r="BO1043" i="2"/>
  <c r="BM1043" i="2"/>
  <c r="BL1043" i="2"/>
  <c r="BK1043" i="2"/>
  <c r="BI1043" i="2"/>
  <c r="BH1043" i="2"/>
  <c r="BE1043" i="2"/>
  <c r="BD1043" i="2"/>
  <c r="BC1043" i="2"/>
  <c r="BA1043" i="2"/>
  <c r="AZ1043" i="2"/>
  <c r="AY1043" i="2"/>
  <c r="AW1043" i="2"/>
  <c r="AV1043" i="2"/>
  <c r="AU1043" i="2"/>
  <c r="AT1043" i="2"/>
  <c r="AS1043" i="2"/>
  <c r="AR1043" i="2"/>
  <c r="AQ1043" i="2"/>
  <c r="AP1043" i="2"/>
  <c r="AO1043" i="2"/>
  <c r="AN1043" i="2"/>
  <c r="AM1043" i="2"/>
  <c r="AK1043" i="2"/>
  <c r="AJ1043" i="2"/>
  <c r="AI1043" i="2"/>
  <c r="AH1043" i="2"/>
  <c r="AG1043" i="2"/>
  <c r="AF1043" i="2"/>
  <c r="AE1043" i="2"/>
  <c r="BV1042" i="2"/>
  <c r="BU1042" i="2"/>
  <c r="BT1042" i="2"/>
  <c r="BS1042" i="2"/>
  <c r="BR1042" i="2"/>
  <c r="BQ1042" i="2"/>
  <c r="BP1042" i="2"/>
  <c r="BO1042" i="2"/>
  <c r="BM1042" i="2"/>
  <c r="BL1042" i="2"/>
  <c r="BK1042" i="2"/>
  <c r="BI1042" i="2"/>
  <c r="BH1042" i="2"/>
  <c r="BE1042" i="2"/>
  <c r="BD1042" i="2"/>
  <c r="BC1042" i="2"/>
  <c r="BA1042" i="2"/>
  <c r="AZ1042" i="2"/>
  <c r="AY1042" i="2"/>
  <c r="AW1042" i="2"/>
  <c r="AV1042" i="2"/>
  <c r="AU1042" i="2"/>
  <c r="AT1042" i="2"/>
  <c r="AS1042" i="2"/>
  <c r="AR1042" i="2"/>
  <c r="AQ1042" i="2"/>
  <c r="AP1042" i="2"/>
  <c r="AO1042" i="2"/>
  <c r="AN1042" i="2"/>
  <c r="AM1042" i="2"/>
  <c r="AK1042" i="2"/>
  <c r="AJ1042" i="2"/>
  <c r="AI1042" i="2"/>
  <c r="AH1042" i="2"/>
  <c r="AG1042" i="2"/>
  <c r="AF1042" i="2"/>
  <c r="AE1042" i="2"/>
  <c r="CA1041" i="2"/>
  <c r="BZ1041" i="2"/>
  <c r="BY1041" i="2"/>
  <c r="BV1041" i="2"/>
  <c r="BV1040" i="2"/>
  <c r="BU1040" i="2"/>
  <c r="BT1040" i="2"/>
  <c r="BS1040" i="2"/>
  <c r="BR1040" i="2"/>
  <c r="BQ1040" i="2"/>
  <c r="BP1040" i="2"/>
  <c r="BO1040" i="2"/>
  <c r="BM1040" i="2"/>
  <c r="BL1040" i="2"/>
  <c r="BK1040" i="2"/>
  <c r="BI1040" i="2"/>
  <c r="BH1040" i="2"/>
  <c r="BE1040" i="2"/>
  <c r="BD1040" i="2"/>
  <c r="BC1040" i="2"/>
  <c r="BA1040" i="2"/>
  <c r="AZ1040" i="2"/>
  <c r="AY1040" i="2"/>
  <c r="AW1040" i="2"/>
  <c r="AV1040" i="2"/>
  <c r="AU1040" i="2"/>
  <c r="AT1040" i="2"/>
  <c r="AS1040" i="2"/>
  <c r="AR1040" i="2"/>
  <c r="AQ1040" i="2"/>
  <c r="AP1040" i="2"/>
  <c r="AO1040" i="2"/>
  <c r="AN1040" i="2"/>
  <c r="AM1040" i="2"/>
  <c r="AK1040" i="2"/>
  <c r="AJ1040" i="2"/>
  <c r="AI1040" i="2"/>
  <c r="AH1040" i="2"/>
  <c r="AG1040" i="2"/>
  <c r="AF1040" i="2"/>
  <c r="AE1040" i="2"/>
  <c r="BV1039" i="2"/>
  <c r="BU1039" i="2"/>
  <c r="BT1039" i="2"/>
  <c r="BS1039" i="2"/>
  <c r="BR1039" i="2"/>
  <c r="BQ1039" i="2"/>
  <c r="BP1039" i="2"/>
  <c r="BO1039" i="2"/>
  <c r="BL1039" i="2"/>
  <c r="BK1039" i="2"/>
  <c r="BI1039" i="2"/>
  <c r="BH1039" i="2"/>
  <c r="BE1039" i="2"/>
  <c r="BD1039" i="2"/>
  <c r="BC1039" i="2"/>
  <c r="BA1039" i="2"/>
  <c r="AZ1039" i="2"/>
  <c r="AW1039" i="2"/>
  <c r="AV1039" i="2"/>
  <c r="AU1039" i="2"/>
  <c r="AT1039" i="2"/>
  <c r="AS1039" i="2"/>
  <c r="AR1039" i="2"/>
  <c r="AQ1039" i="2"/>
  <c r="AP1039" i="2"/>
  <c r="AO1039" i="2"/>
  <c r="AN1039" i="2"/>
  <c r="AM1039" i="2"/>
  <c r="AK1039" i="2"/>
  <c r="AJ1039" i="2"/>
  <c r="AI1039" i="2"/>
  <c r="AH1039" i="2"/>
  <c r="AF1039" i="2"/>
  <c r="AE1039" i="2"/>
  <c r="BV1038" i="2"/>
  <c r="BU1038" i="2"/>
  <c r="BT1038" i="2"/>
  <c r="BS1038" i="2"/>
  <c r="BR1038" i="2"/>
  <c r="BQ1038" i="2"/>
  <c r="BP1038" i="2"/>
  <c r="BO1038" i="2"/>
  <c r="BM1038" i="2"/>
  <c r="BL1038" i="2"/>
  <c r="BK1038" i="2"/>
  <c r="BI1038" i="2"/>
  <c r="BH1038" i="2"/>
  <c r="BE1038" i="2"/>
  <c r="BD1038" i="2"/>
  <c r="BC1038" i="2"/>
  <c r="BA1038" i="2"/>
  <c r="AZ1038" i="2"/>
  <c r="AY1038" i="2"/>
  <c r="AW1038" i="2"/>
  <c r="AV1038" i="2"/>
  <c r="AU1038" i="2"/>
  <c r="AT1038" i="2"/>
  <c r="AS1038" i="2"/>
  <c r="AR1038" i="2"/>
  <c r="AQ1038" i="2"/>
  <c r="AP1038" i="2"/>
  <c r="AO1038" i="2"/>
  <c r="AN1038" i="2"/>
  <c r="AM1038" i="2"/>
  <c r="AK1038" i="2"/>
  <c r="AJ1038" i="2"/>
  <c r="AI1038" i="2"/>
  <c r="AH1038" i="2"/>
  <c r="AG1038" i="2"/>
  <c r="AF1038" i="2"/>
  <c r="AE1038" i="2"/>
  <c r="BV1037" i="2"/>
  <c r="BU1037" i="2"/>
  <c r="BT1037" i="2"/>
  <c r="BS1037" i="2"/>
  <c r="BR1037" i="2"/>
  <c r="BQ1037" i="2"/>
  <c r="BP1037" i="2"/>
  <c r="BO1037" i="2"/>
  <c r="BM1037" i="2"/>
  <c r="BL1037" i="2"/>
  <c r="BK1037" i="2"/>
  <c r="BI1037" i="2"/>
  <c r="BH1037" i="2"/>
  <c r="BE1037" i="2"/>
  <c r="BD1037" i="2"/>
  <c r="BC1037" i="2"/>
  <c r="BA1037" i="2"/>
  <c r="AZ1037" i="2"/>
  <c r="AY1037" i="2"/>
  <c r="AV1037" i="2"/>
  <c r="AU1037" i="2"/>
  <c r="AT1037" i="2"/>
  <c r="AS1037" i="2"/>
  <c r="AR1037" i="2"/>
  <c r="AQ1037" i="2"/>
  <c r="AP1037" i="2"/>
  <c r="AO1037" i="2"/>
  <c r="AN1037" i="2"/>
  <c r="AM1037" i="2"/>
  <c r="AK1037" i="2"/>
  <c r="AJ1037" i="2"/>
  <c r="AI1037" i="2"/>
  <c r="AH1037" i="2"/>
  <c r="AG1037" i="2"/>
  <c r="AF1037" i="2"/>
  <c r="AE1037" i="2"/>
  <c r="BV1036" i="2"/>
  <c r="BU1036" i="2"/>
  <c r="BT1036" i="2"/>
  <c r="BS1036" i="2"/>
  <c r="BR1036" i="2"/>
  <c r="BQ1036" i="2"/>
  <c r="BP1036" i="2"/>
  <c r="BO1036" i="2"/>
  <c r="BM1036" i="2"/>
  <c r="BL1036" i="2"/>
  <c r="BK1036" i="2"/>
  <c r="BI1036" i="2"/>
  <c r="BH1036" i="2"/>
  <c r="BE1036" i="2"/>
  <c r="BD1036" i="2"/>
  <c r="BC1036" i="2"/>
  <c r="BA1036" i="2"/>
  <c r="AZ1036" i="2"/>
  <c r="AY1036" i="2"/>
  <c r="AW1036" i="2"/>
  <c r="AV1036" i="2"/>
  <c r="AU1036" i="2"/>
  <c r="AT1036" i="2"/>
  <c r="AS1036" i="2"/>
  <c r="AR1036" i="2"/>
  <c r="AQ1036" i="2"/>
  <c r="AP1036" i="2"/>
  <c r="AO1036" i="2"/>
  <c r="AN1036" i="2"/>
  <c r="AM1036" i="2"/>
  <c r="AK1036" i="2"/>
  <c r="AJ1036" i="2"/>
  <c r="AI1036" i="2"/>
  <c r="AH1036" i="2"/>
  <c r="AG1036" i="2"/>
  <c r="AF1036" i="2"/>
  <c r="AE1036" i="2"/>
  <c r="BV1035" i="2"/>
  <c r="BU1035" i="2"/>
  <c r="BT1035" i="2"/>
  <c r="BS1035" i="2"/>
  <c r="BR1035" i="2"/>
  <c r="BQ1035" i="2"/>
  <c r="BP1035" i="2"/>
  <c r="BO1035" i="2"/>
  <c r="BM1035" i="2"/>
  <c r="BL1035" i="2"/>
  <c r="BK1035" i="2"/>
  <c r="BI1035" i="2"/>
  <c r="BH1035" i="2"/>
  <c r="BE1035" i="2"/>
  <c r="BD1035" i="2"/>
  <c r="BC1035" i="2"/>
  <c r="BA1035" i="2"/>
  <c r="AZ1035" i="2"/>
  <c r="AY1035" i="2"/>
  <c r="AW1035" i="2"/>
  <c r="AV1035" i="2"/>
  <c r="AU1035" i="2"/>
  <c r="AT1035" i="2"/>
  <c r="AS1035" i="2"/>
  <c r="AR1035" i="2"/>
  <c r="AQ1035" i="2"/>
  <c r="AP1035" i="2"/>
  <c r="AO1035" i="2"/>
  <c r="AN1035" i="2"/>
  <c r="AM1035" i="2"/>
  <c r="AK1035" i="2"/>
  <c r="AJ1035" i="2"/>
  <c r="AI1035" i="2"/>
  <c r="AH1035" i="2"/>
  <c r="AG1035" i="2"/>
  <c r="AF1035" i="2"/>
  <c r="AE1035" i="2"/>
  <c r="BV1034" i="2"/>
  <c r="BU1034" i="2"/>
  <c r="BT1034" i="2"/>
  <c r="BS1034" i="2"/>
  <c r="BR1034" i="2"/>
  <c r="BQ1034" i="2"/>
  <c r="BP1034" i="2"/>
  <c r="BO1034" i="2"/>
  <c r="BM1034" i="2"/>
  <c r="BL1034" i="2"/>
  <c r="BK1034" i="2"/>
  <c r="BI1034" i="2"/>
  <c r="BH1034" i="2"/>
  <c r="BE1034" i="2"/>
  <c r="BD1034" i="2"/>
  <c r="BC1034" i="2"/>
  <c r="BA1034" i="2"/>
  <c r="AZ1034" i="2"/>
  <c r="AY1034" i="2"/>
  <c r="AW1034" i="2"/>
  <c r="AV1034" i="2"/>
  <c r="AU1034" i="2"/>
  <c r="AT1034" i="2"/>
  <c r="AS1034" i="2"/>
  <c r="AR1034" i="2"/>
  <c r="AQ1034" i="2"/>
  <c r="AP1034" i="2"/>
  <c r="AO1034" i="2"/>
  <c r="AN1034" i="2"/>
  <c r="AM1034" i="2"/>
  <c r="AK1034" i="2"/>
  <c r="AJ1034" i="2"/>
  <c r="AI1034" i="2"/>
  <c r="AH1034" i="2"/>
  <c r="AG1034" i="2"/>
  <c r="AF1034" i="2"/>
  <c r="AE1034" i="2"/>
  <c r="BV1033" i="2"/>
  <c r="BU1033" i="2"/>
  <c r="BT1033" i="2"/>
  <c r="BS1033" i="2"/>
  <c r="BR1033" i="2"/>
  <c r="BQ1033" i="2"/>
  <c r="BP1033" i="2"/>
  <c r="BO1033" i="2"/>
  <c r="BM1033" i="2"/>
  <c r="BL1033" i="2"/>
  <c r="BK1033" i="2"/>
  <c r="BI1033" i="2"/>
  <c r="BH1033" i="2"/>
  <c r="BE1033" i="2"/>
  <c r="BD1033" i="2"/>
  <c r="BC1033" i="2"/>
  <c r="BA1033" i="2"/>
  <c r="AZ1033" i="2"/>
  <c r="AY1033" i="2"/>
  <c r="AW1033" i="2"/>
  <c r="AV1033" i="2"/>
  <c r="AU1033" i="2"/>
  <c r="AT1033" i="2"/>
  <c r="AS1033" i="2"/>
  <c r="AR1033" i="2"/>
  <c r="AQ1033" i="2"/>
  <c r="AP1033" i="2"/>
  <c r="AO1033" i="2"/>
  <c r="AN1033" i="2"/>
  <c r="AM1033" i="2"/>
  <c r="AK1033" i="2"/>
  <c r="AJ1033" i="2"/>
  <c r="AI1033" i="2"/>
  <c r="AH1033" i="2"/>
  <c r="AG1033" i="2"/>
  <c r="AF1033" i="2"/>
  <c r="AE1033" i="2"/>
  <c r="BV1032" i="2"/>
  <c r="BU1032" i="2"/>
  <c r="BT1032" i="2"/>
  <c r="BS1032" i="2"/>
  <c r="BR1032" i="2"/>
  <c r="BQ1032" i="2"/>
  <c r="BP1032" i="2"/>
  <c r="BO1032" i="2"/>
  <c r="BM1032" i="2"/>
  <c r="BL1032" i="2"/>
  <c r="BK1032" i="2"/>
  <c r="BI1032" i="2"/>
  <c r="BH1032" i="2"/>
  <c r="BE1032" i="2"/>
  <c r="BD1032" i="2"/>
  <c r="BC1032" i="2"/>
  <c r="BA1032" i="2"/>
  <c r="AZ1032" i="2"/>
  <c r="AY1032" i="2"/>
  <c r="AW1032" i="2"/>
  <c r="AV1032" i="2"/>
  <c r="AU1032" i="2"/>
  <c r="AT1032" i="2"/>
  <c r="AS1032" i="2"/>
  <c r="AR1032" i="2"/>
  <c r="AQ1032" i="2"/>
  <c r="AP1032" i="2"/>
  <c r="AO1032" i="2"/>
  <c r="AN1032" i="2"/>
  <c r="AM1032" i="2"/>
  <c r="AK1032" i="2"/>
  <c r="AJ1032" i="2"/>
  <c r="AI1032" i="2"/>
  <c r="AH1032" i="2"/>
  <c r="AG1032" i="2"/>
  <c r="AF1032" i="2"/>
  <c r="AE1032" i="2"/>
  <c r="BV1031" i="2"/>
  <c r="BU1031" i="2"/>
  <c r="BT1031" i="2"/>
  <c r="BS1031" i="2"/>
  <c r="BR1031" i="2"/>
  <c r="BQ1031" i="2"/>
  <c r="BP1031" i="2"/>
  <c r="BO1031" i="2"/>
  <c r="BM1031" i="2"/>
  <c r="BL1031" i="2"/>
  <c r="BK1031" i="2"/>
  <c r="BI1031" i="2"/>
  <c r="BH1031" i="2"/>
  <c r="BE1031" i="2"/>
  <c r="BD1031" i="2"/>
  <c r="BC1031" i="2"/>
  <c r="BA1031" i="2"/>
  <c r="AZ1031" i="2"/>
  <c r="AY1031" i="2"/>
  <c r="AW1031" i="2"/>
  <c r="AV1031" i="2"/>
  <c r="AU1031" i="2"/>
  <c r="AT1031" i="2"/>
  <c r="AS1031" i="2"/>
  <c r="AR1031" i="2"/>
  <c r="AQ1031" i="2"/>
  <c r="AP1031" i="2"/>
  <c r="AO1031" i="2"/>
  <c r="AN1031" i="2"/>
  <c r="AM1031" i="2"/>
  <c r="AK1031" i="2"/>
  <c r="AJ1031" i="2"/>
  <c r="AI1031" i="2"/>
  <c r="AH1031" i="2"/>
  <c r="AG1031" i="2"/>
  <c r="AF1031" i="2"/>
  <c r="AE1031" i="2"/>
  <c r="BV1030" i="2"/>
  <c r="BU1030" i="2"/>
  <c r="BT1030" i="2"/>
  <c r="BS1030" i="2"/>
  <c r="BR1030" i="2"/>
  <c r="BQ1030" i="2"/>
  <c r="BP1030" i="2"/>
  <c r="BO1030" i="2"/>
  <c r="BM1030" i="2"/>
  <c r="BL1030" i="2"/>
  <c r="BK1030" i="2"/>
  <c r="BI1030" i="2"/>
  <c r="BH1030" i="2"/>
  <c r="BE1030" i="2"/>
  <c r="BD1030" i="2"/>
  <c r="BC1030" i="2"/>
  <c r="BA1030" i="2"/>
  <c r="AZ1030" i="2"/>
  <c r="AY1030" i="2"/>
  <c r="AW1030" i="2"/>
  <c r="AV1030" i="2"/>
  <c r="AU1030" i="2"/>
  <c r="AT1030" i="2"/>
  <c r="AS1030" i="2"/>
  <c r="AR1030" i="2"/>
  <c r="AQ1030" i="2"/>
  <c r="AP1030" i="2"/>
  <c r="AO1030" i="2"/>
  <c r="AN1030" i="2"/>
  <c r="AM1030" i="2"/>
  <c r="AK1030" i="2"/>
  <c r="AJ1030" i="2"/>
  <c r="AI1030" i="2"/>
  <c r="AH1030" i="2"/>
  <c r="AG1030" i="2"/>
  <c r="AF1030" i="2"/>
  <c r="AE1030" i="2"/>
  <c r="BV1029" i="2"/>
  <c r="BU1029" i="2"/>
  <c r="BT1029" i="2"/>
  <c r="BS1029" i="2"/>
  <c r="BR1029" i="2"/>
  <c r="BQ1029" i="2"/>
  <c r="BP1029" i="2"/>
  <c r="BO1029" i="2"/>
  <c r="BM1029" i="2"/>
  <c r="BL1029" i="2"/>
  <c r="BK1029" i="2"/>
  <c r="BI1029" i="2"/>
  <c r="BH1029" i="2"/>
  <c r="BE1029" i="2"/>
  <c r="BD1029" i="2"/>
  <c r="BC1029" i="2"/>
  <c r="BA1029" i="2"/>
  <c r="AZ1029" i="2"/>
  <c r="AY1029" i="2"/>
  <c r="AW1029" i="2"/>
  <c r="AV1029" i="2"/>
  <c r="AU1029" i="2"/>
  <c r="AT1029" i="2"/>
  <c r="AS1029" i="2"/>
  <c r="AR1029" i="2"/>
  <c r="AQ1029" i="2"/>
  <c r="AP1029" i="2"/>
  <c r="AO1029" i="2"/>
  <c r="AN1029" i="2"/>
  <c r="AM1029" i="2"/>
  <c r="AK1029" i="2"/>
  <c r="AJ1029" i="2"/>
  <c r="AI1029" i="2"/>
  <c r="AH1029" i="2"/>
  <c r="AG1029" i="2"/>
  <c r="AF1029" i="2"/>
  <c r="AE1029" i="2"/>
  <c r="BV1028" i="2"/>
  <c r="BU1028" i="2"/>
  <c r="BT1028" i="2"/>
  <c r="BS1028" i="2"/>
  <c r="BR1028" i="2"/>
  <c r="BQ1028" i="2"/>
  <c r="BP1028" i="2"/>
  <c r="BO1028" i="2"/>
  <c r="BM1028" i="2"/>
  <c r="BL1028" i="2"/>
  <c r="BK1028" i="2"/>
  <c r="BI1028" i="2"/>
  <c r="BH1028" i="2"/>
  <c r="BE1028" i="2"/>
  <c r="BD1028" i="2"/>
  <c r="BC1028" i="2"/>
  <c r="BA1028" i="2"/>
  <c r="AZ1028" i="2"/>
  <c r="AY1028" i="2"/>
  <c r="AW1028" i="2"/>
  <c r="AV1028" i="2"/>
  <c r="AU1028" i="2"/>
  <c r="AT1028" i="2"/>
  <c r="AS1028" i="2"/>
  <c r="AR1028" i="2"/>
  <c r="AQ1028" i="2"/>
  <c r="AP1028" i="2"/>
  <c r="AO1028" i="2"/>
  <c r="AN1028" i="2"/>
  <c r="AM1028" i="2"/>
  <c r="AK1028" i="2"/>
  <c r="AJ1028" i="2"/>
  <c r="AI1028" i="2"/>
  <c r="AH1028" i="2"/>
  <c r="AG1028" i="2"/>
  <c r="AF1028" i="2"/>
  <c r="AE1028" i="2"/>
  <c r="BV1027" i="2"/>
  <c r="BU1027" i="2"/>
  <c r="BT1027" i="2"/>
  <c r="BS1027" i="2"/>
  <c r="BR1027" i="2"/>
  <c r="BQ1027" i="2"/>
  <c r="BP1027" i="2"/>
  <c r="BO1027" i="2"/>
  <c r="BM1027" i="2"/>
  <c r="BL1027" i="2"/>
  <c r="BK1027" i="2"/>
  <c r="BI1027" i="2"/>
  <c r="BH1027" i="2"/>
  <c r="BE1027" i="2"/>
  <c r="BD1027" i="2"/>
  <c r="BC1027" i="2"/>
  <c r="BA1027" i="2"/>
  <c r="AZ1027" i="2"/>
  <c r="AY1027" i="2"/>
  <c r="AW1027" i="2"/>
  <c r="AV1027" i="2"/>
  <c r="AU1027" i="2"/>
  <c r="AT1027" i="2"/>
  <c r="AS1027" i="2"/>
  <c r="AR1027" i="2"/>
  <c r="AQ1027" i="2"/>
  <c r="AP1027" i="2"/>
  <c r="AO1027" i="2"/>
  <c r="AN1027" i="2"/>
  <c r="AM1027" i="2"/>
  <c r="AK1027" i="2"/>
  <c r="AJ1027" i="2"/>
  <c r="AI1027" i="2"/>
  <c r="AH1027" i="2"/>
  <c r="AG1027" i="2"/>
  <c r="AF1027" i="2"/>
  <c r="AE1027" i="2"/>
  <c r="BV1026" i="2"/>
  <c r="BU1026" i="2"/>
  <c r="BT1026" i="2"/>
  <c r="BS1026" i="2"/>
  <c r="BR1026" i="2"/>
  <c r="BQ1026" i="2"/>
  <c r="BP1026" i="2"/>
  <c r="BO1026" i="2"/>
  <c r="BM1026" i="2"/>
  <c r="BL1026" i="2"/>
  <c r="BK1026" i="2"/>
  <c r="BI1026" i="2"/>
  <c r="BH1026" i="2"/>
  <c r="BE1026" i="2"/>
  <c r="BD1026" i="2"/>
  <c r="BC1026" i="2"/>
  <c r="BA1026" i="2"/>
  <c r="AZ1026" i="2"/>
  <c r="AY1026" i="2"/>
  <c r="AW1026" i="2"/>
  <c r="AV1026" i="2"/>
  <c r="AU1026" i="2"/>
  <c r="AT1026" i="2"/>
  <c r="AS1026" i="2"/>
  <c r="AR1026" i="2"/>
  <c r="AQ1026" i="2"/>
  <c r="AP1026" i="2"/>
  <c r="AO1026" i="2"/>
  <c r="AN1026" i="2"/>
  <c r="AM1026" i="2"/>
  <c r="AK1026" i="2"/>
  <c r="AJ1026" i="2"/>
  <c r="AI1026" i="2"/>
  <c r="AH1026" i="2"/>
  <c r="AG1026" i="2"/>
  <c r="AF1026" i="2"/>
  <c r="AE1026" i="2"/>
  <c r="BV1025" i="2"/>
  <c r="BU1025" i="2"/>
  <c r="BT1025" i="2"/>
  <c r="BS1025" i="2"/>
  <c r="BR1025" i="2"/>
  <c r="BQ1025" i="2"/>
  <c r="BP1025" i="2"/>
  <c r="BO1025" i="2"/>
  <c r="BM1025" i="2"/>
  <c r="BL1025" i="2"/>
  <c r="BK1025" i="2"/>
  <c r="BI1025" i="2"/>
  <c r="BH1025" i="2"/>
  <c r="BE1025" i="2"/>
  <c r="BD1025" i="2"/>
  <c r="BC1025" i="2"/>
  <c r="BA1025" i="2"/>
  <c r="AZ1025" i="2"/>
  <c r="AY1025" i="2"/>
  <c r="AW1025" i="2"/>
  <c r="AV1025" i="2"/>
  <c r="AU1025" i="2"/>
  <c r="AT1025" i="2"/>
  <c r="AS1025" i="2"/>
  <c r="AR1025" i="2"/>
  <c r="AQ1025" i="2"/>
  <c r="AP1025" i="2"/>
  <c r="AO1025" i="2"/>
  <c r="AN1025" i="2"/>
  <c r="AM1025" i="2"/>
  <c r="AK1025" i="2"/>
  <c r="AJ1025" i="2"/>
  <c r="AI1025" i="2"/>
  <c r="AH1025" i="2"/>
  <c r="CB1025" i="2" s="1"/>
  <c r="AG1025" i="2"/>
  <c r="AF1025" i="2"/>
  <c r="AE1025" i="2"/>
  <c r="BV1024" i="2"/>
  <c r="BU1024" i="2"/>
  <c r="BT1024" i="2"/>
  <c r="BS1024" i="2"/>
  <c r="BR1024" i="2"/>
  <c r="BQ1024" i="2"/>
  <c r="BP1024" i="2"/>
  <c r="BO1024" i="2"/>
  <c r="BM1024" i="2"/>
  <c r="BL1024" i="2"/>
  <c r="BK1024" i="2"/>
  <c r="BI1024" i="2"/>
  <c r="BH1024" i="2"/>
  <c r="BE1024" i="2"/>
  <c r="BD1024" i="2"/>
  <c r="BC1024" i="2"/>
  <c r="BA1024" i="2"/>
  <c r="AZ1024" i="2"/>
  <c r="AY1024" i="2"/>
  <c r="AW1024" i="2"/>
  <c r="AV1024" i="2"/>
  <c r="AU1024" i="2"/>
  <c r="AT1024" i="2"/>
  <c r="AS1024" i="2"/>
  <c r="AR1024" i="2"/>
  <c r="AQ1024" i="2"/>
  <c r="AP1024" i="2"/>
  <c r="AO1024" i="2"/>
  <c r="AN1024" i="2"/>
  <c r="AM1024" i="2"/>
  <c r="AK1024" i="2"/>
  <c r="AJ1024" i="2"/>
  <c r="AI1024" i="2"/>
  <c r="AH1024" i="2"/>
  <c r="AG1024" i="2"/>
  <c r="AF1024" i="2"/>
  <c r="AE1024" i="2"/>
  <c r="BV1023" i="2"/>
  <c r="BU1023" i="2"/>
  <c r="BT1023" i="2"/>
  <c r="BS1023" i="2"/>
  <c r="BR1023" i="2"/>
  <c r="BQ1023" i="2"/>
  <c r="BP1023" i="2"/>
  <c r="BO1023" i="2"/>
  <c r="BM1023" i="2"/>
  <c r="BL1023" i="2"/>
  <c r="BK1023" i="2"/>
  <c r="BI1023" i="2"/>
  <c r="BH1023" i="2"/>
  <c r="BE1023" i="2"/>
  <c r="BD1023" i="2"/>
  <c r="BC1023" i="2"/>
  <c r="BA1023" i="2"/>
  <c r="AZ1023" i="2"/>
  <c r="AY1023" i="2"/>
  <c r="AW1023" i="2"/>
  <c r="AV1023" i="2"/>
  <c r="AU1023" i="2"/>
  <c r="AT1023" i="2"/>
  <c r="AS1023" i="2"/>
  <c r="AR1023" i="2"/>
  <c r="AQ1023" i="2"/>
  <c r="AP1023" i="2"/>
  <c r="AO1023" i="2"/>
  <c r="AN1023" i="2"/>
  <c r="AM1023" i="2"/>
  <c r="AK1023" i="2"/>
  <c r="AJ1023" i="2"/>
  <c r="AI1023" i="2"/>
  <c r="AH1023" i="2"/>
  <c r="AG1023" i="2"/>
  <c r="AF1023" i="2"/>
  <c r="AE1023" i="2"/>
  <c r="BU1022" i="2"/>
  <c r="BT1022" i="2"/>
  <c r="BS1022" i="2"/>
  <c r="BR1022" i="2"/>
  <c r="BQ1022" i="2"/>
  <c r="BP1022" i="2"/>
  <c r="BO1022" i="2"/>
  <c r="BM1022" i="2"/>
  <c r="BL1022" i="2"/>
  <c r="BK1022" i="2"/>
  <c r="BI1022" i="2"/>
  <c r="BH1022" i="2"/>
  <c r="BE1022" i="2"/>
  <c r="BD1022" i="2"/>
  <c r="BC1022" i="2"/>
  <c r="BA1022" i="2"/>
  <c r="AZ1022" i="2"/>
  <c r="AY1022" i="2"/>
  <c r="AV1022" i="2"/>
  <c r="AU1022" i="2"/>
  <c r="AT1022" i="2"/>
  <c r="AS1022" i="2"/>
  <c r="AR1022" i="2"/>
  <c r="AQ1022" i="2"/>
  <c r="AP1022" i="2"/>
  <c r="AO1022" i="2"/>
  <c r="AN1022" i="2"/>
  <c r="AM1022" i="2"/>
  <c r="AK1022" i="2"/>
  <c r="AJ1022" i="2"/>
  <c r="AI1022" i="2"/>
  <c r="AH1022" i="2"/>
  <c r="CB1022" i="2" s="1"/>
  <c r="AG1022" i="2"/>
  <c r="AF1022" i="2"/>
  <c r="AE1022" i="2"/>
  <c r="BV1021" i="2"/>
  <c r="BT1021" i="2"/>
  <c r="BR1021" i="2"/>
  <c r="BP1021" i="2"/>
  <c r="BO1021" i="2"/>
  <c r="BM1021" i="2"/>
  <c r="BL1021" i="2"/>
  <c r="BK1021" i="2"/>
  <c r="BD1021" i="2"/>
  <c r="BA1021" i="2"/>
  <c r="AZ1021" i="2"/>
  <c r="AY1021" i="2"/>
  <c r="AV1021" i="2"/>
  <c r="AU1021" i="2"/>
  <c r="AT1021" i="2"/>
  <c r="AS1021" i="2"/>
  <c r="AR1021" i="2"/>
  <c r="AQ1021" i="2"/>
  <c r="AP1021" i="2"/>
  <c r="AO1021" i="2"/>
  <c r="AN1021" i="2"/>
  <c r="AM1021" i="2"/>
  <c r="AK1021" i="2"/>
  <c r="AJ1021" i="2"/>
  <c r="AI1021" i="2"/>
  <c r="AH1021" i="2"/>
  <c r="AG1021" i="2"/>
  <c r="AF1021" i="2"/>
  <c r="AE1021" i="2"/>
  <c r="CA1019" i="2"/>
  <c r="BZ1019" i="2"/>
  <c r="BY1019" i="2"/>
  <c r="CA1018" i="2"/>
  <c r="BZ1018" i="2"/>
  <c r="BY1018" i="2"/>
  <c r="CA1017" i="2"/>
  <c r="BZ1017" i="2"/>
  <c r="BY1017" i="2"/>
  <c r="BV1016" i="2"/>
  <c r="BU1016" i="2"/>
  <c r="BT1016" i="2"/>
  <c r="BS1016" i="2"/>
  <c r="BR1016" i="2"/>
  <c r="BQ1016" i="2"/>
  <c r="BP1016" i="2"/>
  <c r="BO1016" i="2"/>
  <c r="BM1016" i="2"/>
  <c r="BL1016" i="2"/>
  <c r="BK1016" i="2"/>
  <c r="BI1016" i="2"/>
  <c r="BH1016" i="2"/>
  <c r="BG1016" i="2"/>
  <c r="BE1016" i="2"/>
  <c r="BD1016" i="2"/>
  <c r="BC1016" i="2"/>
  <c r="BA1016" i="2"/>
  <c r="AZ1016" i="2"/>
  <c r="AY1016" i="2"/>
  <c r="AW1016" i="2"/>
  <c r="AV1016" i="2"/>
  <c r="AU1016" i="2"/>
  <c r="AT1016" i="2"/>
  <c r="AS1016" i="2"/>
  <c r="AR1016" i="2"/>
  <c r="AQ1016" i="2"/>
  <c r="AP1016" i="2"/>
  <c r="AO1016" i="2"/>
  <c r="AN1016" i="2"/>
  <c r="AM1016" i="2"/>
  <c r="AK1016" i="2"/>
  <c r="AJ1016" i="2"/>
  <c r="AI1016" i="2"/>
  <c r="AG1016" i="2"/>
  <c r="AF1016" i="2"/>
  <c r="AE1016" i="2"/>
  <c r="BV1015" i="2"/>
  <c r="BU1015" i="2"/>
  <c r="BT1015" i="2"/>
  <c r="BS1015" i="2"/>
  <c r="BR1015" i="2"/>
  <c r="BQ1015" i="2"/>
  <c r="BP1015" i="2"/>
  <c r="BO1015" i="2"/>
  <c r="BM1015" i="2"/>
  <c r="BL1015" i="2"/>
  <c r="BK1015" i="2"/>
  <c r="BI1015" i="2"/>
  <c r="BH1015" i="2"/>
  <c r="BG1015" i="2"/>
  <c r="BE1015" i="2"/>
  <c r="BD1015" i="2"/>
  <c r="BC1015" i="2"/>
  <c r="BA1015" i="2"/>
  <c r="AZ1015" i="2"/>
  <c r="AY1015" i="2"/>
  <c r="AW1015" i="2"/>
  <c r="AV1015" i="2"/>
  <c r="AU1015" i="2"/>
  <c r="AT1015" i="2"/>
  <c r="AS1015" i="2"/>
  <c r="AR1015" i="2"/>
  <c r="AQ1015" i="2"/>
  <c r="AP1015" i="2"/>
  <c r="AO1015" i="2"/>
  <c r="AN1015" i="2"/>
  <c r="AM1015" i="2"/>
  <c r="AK1015" i="2"/>
  <c r="AJ1015" i="2"/>
  <c r="AI1015" i="2"/>
  <c r="AG1015" i="2"/>
  <c r="AF1015" i="2"/>
  <c r="AE1015" i="2"/>
  <c r="BV1014" i="2"/>
  <c r="BU1014" i="2"/>
  <c r="BT1014" i="2"/>
  <c r="BS1014" i="2"/>
  <c r="BR1014" i="2"/>
  <c r="BQ1014" i="2"/>
  <c r="BP1014" i="2"/>
  <c r="BO1014" i="2"/>
  <c r="BM1014" i="2"/>
  <c r="BL1014" i="2"/>
  <c r="BK1014" i="2"/>
  <c r="BI1014" i="2"/>
  <c r="BH1014" i="2"/>
  <c r="BG1014" i="2"/>
  <c r="BE1014" i="2"/>
  <c r="BD1014" i="2"/>
  <c r="BC1014" i="2"/>
  <c r="BA1014" i="2"/>
  <c r="AZ1014" i="2"/>
  <c r="AY1014" i="2"/>
  <c r="AW1014" i="2"/>
  <c r="AV1014" i="2"/>
  <c r="AU1014" i="2"/>
  <c r="AT1014" i="2"/>
  <c r="AS1014" i="2"/>
  <c r="AR1014" i="2"/>
  <c r="AQ1014" i="2"/>
  <c r="AP1014" i="2"/>
  <c r="AO1014" i="2"/>
  <c r="AN1014" i="2"/>
  <c r="AM1014" i="2"/>
  <c r="AK1014" i="2"/>
  <c r="AJ1014" i="2"/>
  <c r="AI1014" i="2"/>
  <c r="AG1014" i="2"/>
  <c r="AF1014" i="2"/>
  <c r="AE1014" i="2"/>
  <c r="CA1012" i="2"/>
  <c r="BZ1012" i="2"/>
  <c r="BY1012" i="2"/>
  <c r="BV1011" i="2"/>
  <c r="BU1011" i="2"/>
  <c r="BT1011" i="2"/>
  <c r="BS1011" i="2"/>
  <c r="BR1011" i="2"/>
  <c r="BQ1011" i="2"/>
  <c r="BP1011" i="2"/>
  <c r="BO1011" i="2"/>
  <c r="BM1011" i="2"/>
  <c r="BL1011" i="2"/>
  <c r="BK1011" i="2"/>
  <c r="BI1011" i="2"/>
  <c r="BH1011" i="2"/>
  <c r="BG1011" i="2"/>
  <c r="BE1011" i="2"/>
  <c r="BD1011" i="2"/>
  <c r="BC1011" i="2"/>
  <c r="BA1011" i="2"/>
  <c r="AZ1011" i="2"/>
  <c r="AY1011" i="2"/>
  <c r="AW1011" i="2"/>
  <c r="AV1011" i="2"/>
  <c r="AU1011" i="2"/>
  <c r="AT1011" i="2"/>
  <c r="AS1011" i="2"/>
  <c r="AR1011" i="2"/>
  <c r="AQ1011" i="2"/>
  <c r="AP1011" i="2"/>
  <c r="AO1011" i="2"/>
  <c r="AN1011" i="2"/>
  <c r="AM1011" i="2"/>
  <c r="AK1011" i="2"/>
  <c r="AJ1011" i="2"/>
  <c r="AI1011" i="2"/>
  <c r="AG1011" i="2"/>
  <c r="AF1011" i="2"/>
  <c r="AE1011" i="2"/>
  <c r="BV1010" i="2"/>
  <c r="BU1010" i="2"/>
  <c r="BT1010" i="2"/>
  <c r="BS1010" i="2"/>
  <c r="BR1010" i="2"/>
  <c r="BQ1010" i="2"/>
  <c r="BP1010" i="2"/>
  <c r="BO1010" i="2"/>
  <c r="BM1010" i="2"/>
  <c r="BL1010" i="2"/>
  <c r="BK1010" i="2"/>
  <c r="BI1010" i="2"/>
  <c r="BH1010" i="2"/>
  <c r="BG1010" i="2"/>
  <c r="BE1010" i="2"/>
  <c r="BD1010" i="2"/>
  <c r="BC1010" i="2"/>
  <c r="BA1010" i="2"/>
  <c r="AZ1010" i="2"/>
  <c r="AY1010" i="2"/>
  <c r="AW1010" i="2"/>
  <c r="AV1010" i="2"/>
  <c r="AU1010" i="2"/>
  <c r="AT1010" i="2"/>
  <c r="AS1010" i="2"/>
  <c r="AR1010" i="2"/>
  <c r="AQ1010" i="2"/>
  <c r="AP1010" i="2"/>
  <c r="CB1010" i="2" s="1"/>
  <c r="AO1010" i="2"/>
  <c r="AN1010" i="2"/>
  <c r="AM1010" i="2"/>
  <c r="AK1010" i="2"/>
  <c r="AJ1010" i="2"/>
  <c r="AI1010" i="2"/>
  <c r="AG1010" i="2"/>
  <c r="AF1010" i="2"/>
  <c r="AE1010" i="2"/>
  <c r="CA1009" i="2"/>
  <c r="BZ1009" i="2"/>
  <c r="BY1009" i="2"/>
  <c r="BV1007" i="2"/>
  <c r="BT1007" i="2"/>
  <c r="BS1007" i="2"/>
  <c r="BR1007" i="2"/>
  <c r="BP1007" i="2"/>
  <c r="BO1007" i="2"/>
  <c r="BM1007" i="2"/>
  <c r="BL1007" i="2"/>
  <c r="BK1007" i="2"/>
  <c r="BC1007" i="2"/>
  <c r="BA1007" i="2"/>
  <c r="AZ1007" i="2"/>
  <c r="AY1007" i="2"/>
  <c r="AW1007" i="2"/>
  <c r="AV1007" i="2"/>
  <c r="AU1007" i="2"/>
  <c r="AS1007" i="2"/>
  <c r="AQ1007" i="2"/>
  <c r="AO1007" i="2"/>
  <c r="AN1007" i="2"/>
  <c r="AM1007" i="2"/>
  <c r="AK1007" i="2"/>
  <c r="AJ1007" i="2"/>
  <c r="AI1007" i="2"/>
  <c r="AG1007" i="2"/>
  <c r="AF1007" i="2"/>
  <c r="AE1007" i="2"/>
  <c r="BV1006" i="2"/>
  <c r="BU1006" i="2"/>
  <c r="BT1006" i="2"/>
  <c r="BS1006" i="2"/>
  <c r="BR1006" i="2"/>
  <c r="BQ1006" i="2"/>
  <c r="BP1006" i="2"/>
  <c r="BO1006" i="2"/>
  <c r="BM1006" i="2"/>
  <c r="BL1006" i="2"/>
  <c r="BK1006" i="2"/>
  <c r="BJ1006" i="2"/>
  <c r="BH1006" i="2"/>
  <c r="BG1006" i="2"/>
  <c r="BF1006" i="2"/>
  <c r="BE1006" i="2"/>
  <c r="BD1006" i="2"/>
  <c r="BC1006" i="2"/>
  <c r="BB1006" i="2"/>
  <c r="BA1006" i="2"/>
  <c r="AZ1006" i="2"/>
  <c r="AY1006" i="2"/>
  <c r="AX1006" i="2"/>
  <c r="AW1006" i="2"/>
  <c r="AV1006" i="2"/>
  <c r="AU1006" i="2"/>
  <c r="AT1006" i="2"/>
  <c r="AS1006" i="2"/>
  <c r="AQ1006" i="2"/>
  <c r="AP1006" i="2"/>
  <c r="AO1006" i="2"/>
  <c r="AN1006" i="2"/>
  <c r="AM1006" i="2"/>
  <c r="AK1006" i="2"/>
  <c r="AJ1006" i="2"/>
  <c r="AI1006" i="2"/>
  <c r="AH1006" i="2"/>
  <c r="AG1006" i="2"/>
  <c r="AF1006" i="2"/>
  <c r="AE1006" i="2"/>
  <c r="BV1004" i="2"/>
  <c r="BU1004" i="2"/>
  <c r="BT1004" i="2"/>
  <c r="BS1004" i="2"/>
  <c r="BR1004" i="2"/>
  <c r="BR1003" i="2" s="1"/>
  <c r="BQ1004" i="2"/>
  <c r="BQ1005" i="2" s="1"/>
  <c r="BP1004" i="2"/>
  <c r="BO1004" i="2"/>
  <c r="BM1004" i="2"/>
  <c r="BL1004" i="2"/>
  <c r="BK1004" i="2"/>
  <c r="BI1004" i="2"/>
  <c r="BH1004" i="2"/>
  <c r="BH1005" i="2" s="1"/>
  <c r="BG1004" i="2"/>
  <c r="BF1004" i="2"/>
  <c r="BE1004" i="2"/>
  <c r="BD1004" i="2"/>
  <c r="BD1005" i="2" s="1"/>
  <c r="BC1004" i="2"/>
  <c r="BA1004" i="2"/>
  <c r="AZ1004" i="2"/>
  <c r="AY1004" i="2"/>
  <c r="AX1004" i="2"/>
  <c r="AW1004" i="2"/>
  <c r="AV1004" i="2"/>
  <c r="AU1004" i="2"/>
  <c r="AT1004" i="2"/>
  <c r="AS1004" i="2"/>
  <c r="AR1004" i="2"/>
  <c r="AQ1004" i="2"/>
  <c r="AQ1005" i="2" s="1"/>
  <c r="AP1004" i="2"/>
  <c r="AO1004" i="2"/>
  <c r="AN1004" i="2"/>
  <c r="AM1004" i="2"/>
  <c r="AK1004" i="2"/>
  <c r="AJ1004" i="2"/>
  <c r="AI1004" i="2"/>
  <c r="AI1005" i="2" s="1"/>
  <c r="AH1004" i="2"/>
  <c r="AG1004" i="2"/>
  <c r="AG1003" i="2" s="1"/>
  <c r="AF1004" i="2"/>
  <c r="AE1004" i="2"/>
  <c r="BV1002" i="2"/>
  <c r="BU1002" i="2"/>
  <c r="BT1002" i="2"/>
  <c r="BS1002" i="2"/>
  <c r="BR1002" i="2"/>
  <c r="BQ1002" i="2"/>
  <c r="BP1002" i="2"/>
  <c r="BO1002" i="2"/>
  <c r="BM1002" i="2"/>
  <c r="BL1002" i="2"/>
  <c r="BK1002" i="2"/>
  <c r="BI1002" i="2"/>
  <c r="BH1002" i="2"/>
  <c r="BE1002" i="2"/>
  <c r="BD1002" i="2"/>
  <c r="BC1002" i="2"/>
  <c r="BA1002" i="2"/>
  <c r="AZ1002" i="2"/>
  <c r="AY1002" i="2"/>
  <c r="AX1002" i="2"/>
  <c r="AW1002" i="2"/>
  <c r="AV1002" i="2"/>
  <c r="AU1002" i="2"/>
  <c r="AT1002" i="2"/>
  <c r="AS1002" i="2"/>
  <c r="AR1002" i="2"/>
  <c r="AQ1002" i="2"/>
  <c r="AP1002" i="2"/>
  <c r="AO1002" i="2"/>
  <c r="AN1002" i="2"/>
  <c r="AM1002" i="2"/>
  <c r="AJ1002" i="2"/>
  <c r="AH1002" i="2"/>
  <c r="AE1002" i="2"/>
  <c r="BV1001" i="2"/>
  <c r="BU1001" i="2"/>
  <c r="BT1001" i="2"/>
  <c r="BS1001" i="2"/>
  <c r="BR1001" i="2"/>
  <c r="BQ1001" i="2"/>
  <c r="BP1001" i="2"/>
  <c r="BO1001" i="2"/>
  <c r="BM1001" i="2"/>
  <c r="BL1001" i="2"/>
  <c r="BK1001" i="2"/>
  <c r="BI1001" i="2"/>
  <c r="BH1001" i="2"/>
  <c r="BE1001" i="2"/>
  <c r="BD1001" i="2"/>
  <c r="BC1001" i="2"/>
  <c r="BA1001" i="2"/>
  <c r="AZ1001" i="2"/>
  <c r="AY1001" i="2"/>
  <c r="AX1001" i="2"/>
  <c r="AW1001" i="2"/>
  <c r="AV1001" i="2"/>
  <c r="AU1001" i="2"/>
  <c r="AT1001" i="2"/>
  <c r="AS1001" i="2"/>
  <c r="AR1001" i="2"/>
  <c r="AQ1001" i="2"/>
  <c r="AP1001" i="2"/>
  <c r="AO1001" i="2"/>
  <c r="AN1001" i="2"/>
  <c r="AM1001" i="2"/>
  <c r="AK1001" i="2"/>
  <c r="AJ1001" i="2"/>
  <c r="AI1001" i="2"/>
  <c r="AH1001" i="2"/>
  <c r="CB1001" i="2" s="1"/>
  <c r="AF1001" i="2"/>
  <c r="AE1001" i="2"/>
  <c r="BV1000" i="2"/>
  <c r="BU1000" i="2"/>
  <c r="BT1000" i="2"/>
  <c r="BS1000" i="2"/>
  <c r="BQ1000" i="2"/>
  <c r="BP1000" i="2"/>
  <c r="BO1000" i="2"/>
  <c r="BM1000" i="2"/>
  <c r="BL1000" i="2"/>
  <c r="BK1000" i="2"/>
  <c r="BI1000" i="2"/>
  <c r="BH1000" i="2"/>
  <c r="BE1000" i="2"/>
  <c r="BD1000" i="2"/>
  <c r="BC1000" i="2"/>
  <c r="BA1000" i="2"/>
  <c r="AZ1000" i="2"/>
  <c r="AY1000" i="2"/>
  <c r="AX1000" i="2"/>
  <c r="AW1000" i="2"/>
  <c r="AV1000" i="2"/>
  <c r="AU1000" i="2"/>
  <c r="AT1000" i="2"/>
  <c r="AS1000" i="2"/>
  <c r="AR1000" i="2"/>
  <c r="AQ1000" i="2"/>
  <c r="AP1000" i="2"/>
  <c r="AO1000" i="2"/>
  <c r="AN1000" i="2"/>
  <c r="AM1000" i="2"/>
  <c r="AK1000" i="2"/>
  <c r="AJ1000" i="2"/>
  <c r="AI1000" i="2"/>
  <c r="AH1000" i="2"/>
  <c r="AG1000" i="2"/>
  <c r="AF1000" i="2"/>
  <c r="AE1000" i="2"/>
  <c r="BV999" i="2"/>
  <c r="BU999" i="2"/>
  <c r="BT999" i="2"/>
  <c r="BS999" i="2"/>
  <c r="BR999" i="2"/>
  <c r="BQ999" i="2"/>
  <c r="BP999" i="2"/>
  <c r="BO999" i="2"/>
  <c r="BM999" i="2"/>
  <c r="BL999" i="2"/>
  <c r="BK999" i="2"/>
  <c r="BI999" i="2"/>
  <c r="BH999" i="2"/>
  <c r="BE999" i="2"/>
  <c r="BD999" i="2"/>
  <c r="BC999" i="2"/>
  <c r="BA999" i="2"/>
  <c r="AZ999" i="2"/>
  <c r="AY999" i="2"/>
  <c r="AX999" i="2"/>
  <c r="AW999" i="2"/>
  <c r="AV999" i="2"/>
  <c r="AU999" i="2"/>
  <c r="AT999" i="2"/>
  <c r="AS999" i="2"/>
  <c r="AR999" i="2"/>
  <c r="AQ999" i="2"/>
  <c r="AP999" i="2"/>
  <c r="AO999" i="2"/>
  <c r="AN999" i="2"/>
  <c r="AM999" i="2"/>
  <c r="AK999" i="2"/>
  <c r="AJ999" i="2"/>
  <c r="AI999" i="2"/>
  <c r="AH999" i="2"/>
  <c r="CB999" i="2" s="1"/>
  <c r="AG999" i="2"/>
  <c r="AF999" i="2"/>
  <c r="AE999" i="2"/>
  <c r="BV998" i="2"/>
  <c r="BU998" i="2"/>
  <c r="BT998" i="2"/>
  <c r="BS998" i="2"/>
  <c r="BR998" i="2"/>
  <c r="BQ998" i="2"/>
  <c r="BP998" i="2"/>
  <c r="BO998" i="2"/>
  <c r="BM998" i="2"/>
  <c r="BL998" i="2"/>
  <c r="BK998" i="2"/>
  <c r="BI998" i="2"/>
  <c r="BH998" i="2"/>
  <c r="BE998" i="2"/>
  <c r="BD998" i="2"/>
  <c r="BC998" i="2"/>
  <c r="BA998" i="2"/>
  <c r="AZ998" i="2"/>
  <c r="AY998" i="2"/>
  <c r="AX998" i="2"/>
  <c r="AW998" i="2"/>
  <c r="AV998" i="2"/>
  <c r="AU998" i="2"/>
  <c r="AT998" i="2"/>
  <c r="AS998" i="2"/>
  <c r="AR998" i="2"/>
  <c r="AQ998" i="2"/>
  <c r="AP998" i="2"/>
  <c r="AO998" i="2"/>
  <c r="AN998" i="2"/>
  <c r="AM998" i="2"/>
  <c r="AK998" i="2"/>
  <c r="AJ998" i="2"/>
  <c r="AI998" i="2"/>
  <c r="AH998" i="2"/>
  <c r="AG998" i="2"/>
  <c r="AF998" i="2"/>
  <c r="AE998" i="2"/>
  <c r="BV997" i="2"/>
  <c r="BU997" i="2"/>
  <c r="BT997" i="2"/>
  <c r="BS997" i="2"/>
  <c r="BR997" i="2"/>
  <c r="BQ997" i="2"/>
  <c r="BP997" i="2"/>
  <c r="BO997" i="2"/>
  <c r="BM997" i="2"/>
  <c r="BL997" i="2"/>
  <c r="BK997" i="2"/>
  <c r="BI997" i="2"/>
  <c r="BH997" i="2"/>
  <c r="BE997" i="2"/>
  <c r="BD997" i="2"/>
  <c r="BC997" i="2"/>
  <c r="BA997" i="2"/>
  <c r="AZ997" i="2"/>
  <c r="AY997" i="2"/>
  <c r="AX997" i="2"/>
  <c r="AW997" i="2"/>
  <c r="AV997" i="2"/>
  <c r="AU997" i="2"/>
  <c r="AT997" i="2"/>
  <c r="AS997" i="2"/>
  <c r="AR997" i="2"/>
  <c r="AQ997" i="2"/>
  <c r="AP997" i="2"/>
  <c r="CB997" i="2" s="1"/>
  <c r="AO997" i="2"/>
  <c r="AN997" i="2"/>
  <c r="AM997" i="2"/>
  <c r="AK997" i="2"/>
  <c r="AJ997" i="2"/>
  <c r="AI997" i="2"/>
  <c r="AG997" i="2"/>
  <c r="AF997" i="2"/>
  <c r="AE997" i="2"/>
  <c r="CA996" i="2"/>
  <c r="BZ996" i="2"/>
  <c r="BY996" i="2"/>
  <c r="BN994" i="2"/>
  <c r="BM992" i="2"/>
  <c r="BL992" i="2"/>
  <c r="BK992" i="2"/>
  <c r="BA992" i="2"/>
  <c r="AZ992" i="2"/>
  <c r="AY992" i="2"/>
  <c r="AW992" i="2"/>
  <c r="AV992" i="2"/>
  <c r="AU992" i="2"/>
  <c r="AS992" i="2"/>
  <c r="AQ992" i="2"/>
  <c r="AO992" i="2"/>
  <c r="AN992" i="2"/>
  <c r="AM992" i="2"/>
  <c r="AJ992" i="2"/>
  <c r="AF992" i="2"/>
  <c r="BV991" i="2"/>
  <c r="BU991" i="2"/>
  <c r="BT991" i="2"/>
  <c r="BS991" i="2"/>
  <c r="BR991" i="2"/>
  <c r="BQ991" i="2"/>
  <c r="BP991" i="2"/>
  <c r="BO991" i="2"/>
  <c r="BN991" i="2"/>
  <c r="BM991" i="2"/>
  <c r="BL991" i="2"/>
  <c r="BK991" i="2"/>
  <c r="BJ991" i="2"/>
  <c r="BH991" i="2"/>
  <c r="BG991" i="2"/>
  <c r="BF991" i="2"/>
  <c r="BE991" i="2"/>
  <c r="BD991" i="2"/>
  <c r="BC991" i="2"/>
  <c r="BB991" i="2"/>
  <c r="BA991" i="2"/>
  <c r="AZ991" i="2"/>
  <c r="AY991" i="2"/>
  <c r="AX991" i="2"/>
  <c r="AW991" i="2"/>
  <c r="AV991" i="2"/>
  <c r="AU991" i="2"/>
  <c r="AT991" i="2"/>
  <c r="AS991" i="2"/>
  <c r="AR991" i="2"/>
  <c r="AQ991" i="2"/>
  <c r="AP991" i="2"/>
  <c r="AO991" i="2"/>
  <c r="AN991" i="2"/>
  <c r="AM991" i="2"/>
  <c r="AL991" i="2"/>
  <c r="AK991" i="2"/>
  <c r="AJ991" i="2"/>
  <c r="AI991" i="2"/>
  <c r="AH991" i="2"/>
  <c r="AG991" i="2"/>
  <c r="AF991" i="2"/>
  <c r="AE991" i="2"/>
  <c r="BV989" i="2"/>
  <c r="BU989" i="2"/>
  <c r="BT989" i="2"/>
  <c r="BS989" i="2"/>
  <c r="BQ989" i="2"/>
  <c r="BP989" i="2"/>
  <c r="BO989" i="2"/>
  <c r="BN989" i="2"/>
  <c r="BM989" i="2"/>
  <c r="BL989" i="2"/>
  <c r="BK989" i="2"/>
  <c r="BI989" i="2"/>
  <c r="BH989" i="2"/>
  <c r="BG989" i="2"/>
  <c r="BF989" i="2"/>
  <c r="BE989" i="2"/>
  <c r="BD989" i="2"/>
  <c r="BC989" i="2"/>
  <c r="BA989" i="2"/>
  <c r="AZ989" i="2"/>
  <c r="AY989" i="2"/>
  <c r="AX989" i="2"/>
  <c r="AW989" i="2"/>
  <c r="AV989" i="2"/>
  <c r="AU989" i="2"/>
  <c r="AT989" i="2"/>
  <c r="AS989" i="2"/>
  <c r="AQ989" i="2"/>
  <c r="AP989" i="2"/>
  <c r="AO989" i="2"/>
  <c r="AN989" i="2"/>
  <c r="AM989" i="2"/>
  <c r="AL989" i="2"/>
  <c r="AK989" i="2"/>
  <c r="AJ989" i="2"/>
  <c r="AI989" i="2"/>
  <c r="AH989" i="2"/>
  <c r="AF989" i="2"/>
  <c r="BV987" i="2"/>
  <c r="BU987" i="2"/>
  <c r="BT987" i="2"/>
  <c r="BS987" i="2"/>
  <c r="BQ987" i="2"/>
  <c r="BP987" i="2"/>
  <c r="BO987" i="2"/>
  <c r="BL987" i="2"/>
  <c r="BK987" i="2"/>
  <c r="BH987" i="2"/>
  <c r="BG987" i="2"/>
  <c r="BF987" i="2"/>
  <c r="BE987" i="2"/>
  <c r="BD987" i="2"/>
  <c r="BC987" i="2"/>
  <c r="BA987" i="2"/>
  <c r="AZ987" i="2"/>
  <c r="AY987" i="2"/>
  <c r="AX987" i="2"/>
  <c r="AW987" i="2"/>
  <c r="AV987" i="2"/>
  <c r="AU987" i="2"/>
  <c r="AT987" i="2"/>
  <c r="AS987" i="2"/>
  <c r="AR987" i="2"/>
  <c r="AQ987" i="2"/>
  <c r="AP987" i="2"/>
  <c r="AO987" i="2"/>
  <c r="AN987" i="2"/>
  <c r="AM987" i="2"/>
  <c r="AK987" i="2"/>
  <c r="AJ987" i="2"/>
  <c r="AI987" i="2"/>
  <c r="AH987" i="2"/>
  <c r="AG987" i="2"/>
  <c r="AF987" i="2"/>
  <c r="AE987" i="2"/>
  <c r="BV986" i="2"/>
  <c r="BU986" i="2"/>
  <c r="BT986" i="2"/>
  <c r="BS986" i="2"/>
  <c r="BQ986" i="2"/>
  <c r="BP986" i="2"/>
  <c r="BO986" i="2"/>
  <c r="BM986" i="2"/>
  <c r="BL986" i="2"/>
  <c r="BK986" i="2"/>
  <c r="BI986" i="2"/>
  <c r="BH986" i="2"/>
  <c r="BG986" i="2"/>
  <c r="BF986" i="2"/>
  <c r="BE986" i="2"/>
  <c r="BD986" i="2"/>
  <c r="BC986" i="2"/>
  <c r="BA986" i="2"/>
  <c r="AZ986" i="2"/>
  <c r="AY986" i="2"/>
  <c r="AX986" i="2"/>
  <c r="AW986" i="2"/>
  <c r="AV986" i="2"/>
  <c r="AU986" i="2"/>
  <c r="AT986" i="2"/>
  <c r="AS986" i="2"/>
  <c r="AR986" i="2"/>
  <c r="AQ986" i="2"/>
  <c r="AP986" i="2"/>
  <c r="AO986" i="2"/>
  <c r="AN986" i="2"/>
  <c r="AM986" i="2"/>
  <c r="AK986" i="2"/>
  <c r="AJ986" i="2"/>
  <c r="AI986" i="2"/>
  <c r="AH986" i="2"/>
  <c r="AG986" i="2"/>
  <c r="AF986" i="2"/>
  <c r="AE986" i="2"/>
  <c r="BV984" i="2"/>
  <c r="BU984" i="2"/>
  <c r="BT984" i="2"/>
  <c r="BS984" i="2"/>
  <c r="BR984" i="2"/>
  <c r="BQ984" i="2"/>
  <c r="BP984" i="2"/>
  <c r="BO984" i="2"/>
  <c r="BM984" i="2"/>
  <c r="BL984" i="2"/>
  <c r="BK984" i="2"/>
  <c r="BI984" i="2"/>
  <c r="BH984" i="2"/>
  <c r="BG984" i="2"/>
  <c r="BE984" i="2"/>
  <c r="BD984" i="2"/>
  <c r="BC984" i="2"/>
  <c r="BA984" i="2"/>
  <c r="AZ984" i="2"/>
  <c r="AY984" i="2"/>
  <c r="AW984" i="2"/>
  <c r="AV984" i="2"/>
  <c r="AU984" i="2"/>
  <c r="AT984" i="2"/>
  <c r="AS984" i="2"/>
  <c r="AR984" i="2"/>
  <c r="AQ984" i="2"/>
  <c r="AO984" i="2"/>
  <c r="AN984" i="2"/>
  <c r="AM984" i="2"/>
  <c r="AK984" i="2"/>
  <c r="AJ984" i="2"/>
  <c r="AI984" i="2"/>
  <c r="AH984" i="2"/>
  <c r="AG984" i="2"/>
  <c r="AF984" i="2"/>
  <c r="AE984" i="2"/>
  <c r="BV983" i="2"/>
  <c r="BU983" i="2"/>
  <c r="BT983" i="2"/>
  <c r="BS983" i="2"/>
  <c r="BR983" i="2"/>
  <c r="BQ983" i="2"/>
  <c r="BP983" i="2"/>
  <c r="BO983" i="2"/>
  <c r="BM983" i="2"/>
  <c r="BL983" i="2"/>
  <c r="BK983" i="2"/>
  <c r="BI983" i="2"/>
  <c r="BH983" i="2"/>
  <c r="BG983" i="2"/>
  <c r="BE983" i="2"/>
  <c r="BD983" i="2"/>
  <c r="BC983" i="2"/>
  <c r="BA983" i="2"/>
  <c r="AZ983" i="2"/>
  <c r="AY983" i="2"/>
  <c r="AW983" i="2"/>
  <c r="AV983" i="2"/>
  <c r="AU983" i="2"/>
  <c r="AT983" i="2"/>
  <c r="AS983" i="2"/>
  <c r="AR983" i="2"/>
  <c r="AQ983" i="2"/>
  <c r="AO983" i="2"/>
  <c r="AN983" i="2"/>
  <c r="AM983" i="2"/>
  <c r="AK983" i="2"/>
  <c r="AJ983" i="2"/>
  <c r="AI983" i="2"/>
  <c r="AH983" i="2"/>
  <c r="AG983" i="2"/>
  <c r="AF983" i="2"/>
  <c r="AE983" i="2"/>
  <c r="BV982" i="2"/>
  <c r="BU982" i="2"/>
  <c r="BT982" i="2"/>
  <c r="BS982" i="2"/>
  <c r="BR982" i="2"/>
  <c r="BQ982" i="2"/>
  <c r="BP982" i="2"/>
  <c r="BO982" i="2"/>
  <c r="BM982" i="2"/>
  <c r="BL982" i="2"/>
  <c r="BK982" i="2"/>
  <c r="BI982" i="2"/>
  <c r="BH982" i="2"/>
  <c r="BG982" i="2"/>
  <c r="BE982" i="2"/>
  <c r="BD982" i="2"/>
  <c r="BC982" i="2"/>
  <c r="BA982" i="2"/>
  <c r="AZ982" i="2"/>
  <c r="AY982" i="2"/>
  <c r="AW982" i="2"/>
  <c r="AV982" i="2"/>
  <c r="AU982" i="2"/>
  <c r="AT982" i="2"/>
  <c r="AS982" i="2"/>
  <c r="AR982" i="2"/>
  <c r="AQ982" i="2"/>
  <c r="AO982" i="2"/>
  <c r="AN982" i="2"/>
  <c r="AM982" i="2"/>
  <c r="AK982" i="2"/>
  <c r="AJ982" i="2"/>
  <c r="AI982" i="2"/>
  <c r="AH982" i="2"/>
  <c r="AG982" i="2"/>
  <c r="AF982" i="2"/>
  <c r="AE982" i="2"/>
  <c r="BV981" i="2"/>
  <c r="BU981" i="2"/>
  <c r="BT981" i="2"/>
  <c r="BS981" i="2"/>
  <c r="BR981" i="2"/>
  <c r="BQ981" i="2"/>
  <c r="BP981" i="2"/>
  <c r="BO981" i="2"/>
  <c r="BM981" i="2"/>
  <c r="BL981" i="2"/>
  <c r="BK981" i="2"/>
  <c r="BI981" i="2"/>
  <c r="BH981" i="2"/>
  <c r="BG981" i="2"/>
  <c r="BE981" i="2"/>
  <c r="BD981" i="2"/>
  <c r="BC981" i="2"/>
  <c r="BA981" i="2"/>
  <c r="AZ981" i="2"/>
  <c r="AY981" i="2"/>
  <c r="AW981" i="2"/>
  <c r="AV981" i="2"/>
  <c r="AU981" i="2"/>
  <c r="AT981" i="2"/>
  <c r="AS981" i="2"/>
  <c r="AR981" i="2"/>
  <c r="AQ981" i="2"/>
  <c r="AO981" i="2"/>
  <c r="AN981" i="2"/>
  <c r="AM981" i="2"/>
  <c r="AK981" i="2"/>
  <c r="AJ981" i="2"/>
  <c r="AI981" i="2"/>
  <c r="AH981" i="2"/>
  <c r="AG981" i="2"/>
  <c r="AF981" i="2"/>
  <c r="AE981" i="2"/>
  <c r="BV980" i="2"/>
  <c r="BU980" i="2"/>
  <c r="BT980" i="2"/>
  <c r="BS980" i="2"/>
  <c r="BR980" i="2"/>
  <c r="BQ980" i="2"/>
  <c r="BP980" i="2"/>
  <c r="BO980" i="2"/>
  <c r="BM980" i="2"/>
  <c r="BL980" i="2"/>
  <c r="BK980" i="2"/>
  <c r="BI980" i="2"/>
  <c r="BH980" i="2"/>
  <c r="BD980" i="2"/>
  <c r="BA980" i="2"/>
  <c r="AZ980" i="2"/>
  <c r="AY980" i="2"/>
  <c r="AW980" i="2"/>
  <c r="AV980" i="2"/>
  <c r="AU980" i="2"/>
  <c r="AT980" i="2"/>
  <c r="AS980" i="2"/>
  <c r="AR980" i="2"/>
  <c r="AQ980" i="2"/>
  <c r="AO980" i="2"/>
  <c r="AN980" i="2"/>
  <c r="AM980" i="2"/>
  <c r="AK980" i="2"/>
  <c r="AJ980" i="2"/>
  <c r="AI980" i="2"/>
  <c r="AH980" i="2"/>
  <c r="AG980" i="2"/>
  <c r="AF980" i="2"/>
  <c r="AE980" i="2"/>
  <c r="BV979" i="2"/>
  <c r="BU979" i="2"/>
  <c r="BT979" i="2"/>
  <c r="BS979" i="2"/>
  <c r="BR979" i="2"/>
  <c r="BQ979" i="2"/>
  <c r="BP979" i="2"/>
  <c r="BO979" i="2"/>
  <c r="BL979" i="2"/>
  <c r="BI979" i="2"/>
  <c r="BH979" i="2"/>
  <c r="BG979" i="2"/>
  <c r="BE979" i="2"/>
  <c r="BD979" i="2"/>
  <c r="BC979" i="2"/>
  <c r="AZ979" i="2"/>
  <c r="AW979" i="2"/>
  <c r="AV979" i="2"/>
  <c r="AU979" i="2"/>
  <c r="AT979" i="2"/>
  <c r="AS979" i="2"/>
  <c r="AR979" i="2"/>
  <c r="AQ979" i="2"/>
  <c r="AO979" i="2"/>
  <c r="AN979" i="2"/>
  <c r="AM979" i="2"/>
  <c r="AJ979" i="2"/>
  <c r="AH979" i="2"/>
  <c r="AG979" i="2"/>
  <c r="AF979" i="2"/>
  <c r="AE979" i="2"/>
  <c r="BV978" i="2"/>
  <c r="BU978" i="2"/>
  <c r="BT978" i="2"/>
  <c r="BS978" i="2"/>
  <c r="BR978" i="2"/>
  <c r="BQ978" i="2"/>
  <c r="BP978" i="2"/>
  <c r="BO978" i="2"/>
  <c r="BL978" i="2"/>
  <c r="BH978" i="2"/>
  <c r="BD978" i="2"/>
  <c r="AZ978" i="2"/>
  <c r="AY978" i="2"/>
  <c r="AW978" i="2"/>
  <c r="AV978" i="2"/>
  <c r="AU978" i="2"/>
  <c r="AT978" i="2"/>
  <c r="AS978" i="2"/>
  <c r="AR978" i="2"/>
  <c r="AQ978" i="2"/>
  <c r="AO978" i="2"/>
  <c r="AN978" i="2"/>
  <c r="AM978" i="2"/>
  <c r="AJ978" i="2"/>
  <c r="AH978" i="2"/>
  <c r="CB978" i="2" s="1"/>
  <c r="AG978" i="2"/>
  <c r="AF978" i="2"/>
  <c r="AE978" i="2"/>
  <c r="BV977" i="2"/>
  <c r="BU977" i="2"/>
  <c r="BT977" i="2"/>
  <c r="BS977" i="2"/>
  <c r="BR977" i="2"/>
  <c r="BQ977" i="2"/>
  <c r="BP977" i="2"/>
  <c r="BO977" i="2"/>
  <c r="BM977" i="2"/>
  <c r="BL977" i="2"/>
  <c r="BK977" i="2"/>
  <c r="BI977" i="2"/>
  <c r="BH977" i="2"/>
  <c r="BG977" i="2"/>
  <c r="BE977" i="2"/>
  <c r="BD977" i="2"/>
  <c r="BC977" i="2"/>
  <c r="BA977" i="2"/>
  <c r="AZ977" i="2"/>
  <c r="AY977" i="2"/>
  <c r="AW977" i="2"/>
  <c r="AV977" i="2"/>
  <c r="AU977" i="2"/>
  <c r="AT977" i="2"/>
  <c r="AS977" i="2"/>
  <c r="AR977" i="2"/>
  <c r="AQ977" i="2"/>
  <c r="AO977" i="2"/>
  <c r="AN977" i="2"/>
  <c r="AM977" i="2"/>
  <c r="AK977" i="2"/>
  <c r="AJ977" i="2"/>
  <c r="AI977" i="2"/>
  <c r="AH977" i="2"/>
  <c r="AG977" i="2"/>
  <c r="AF977" i="2"/>
  <c r="AE977" i="2"/>
  <c r="BV976" i="2"/>
  <c r="BU976" i="2"/>
  <c r="BT976" i="2"/>
  <c r="BS976" i="2"/>
  <c r="BR976" i="2"/>
  <c r="BQ976" i="2"/>
  <c r="BP976" i="2"/>
  <c r="BO976" i="2"/>
  <c r="BM976" i="2"/>
  <c r="BL976" i="2"/>
  <c r="BK976" i="2"/>
  <c r="BI976" i="2"/>
  <c r="BH976" i="2"/>
  <c r="BG976" i="2"/>
  <c r="BE976" i="2"/>
  <c r="BD976" i="2"/>
  <c r="BC976" i="2"/>
  <c r="BA976" i="2"/>
  <c r="AZ976" i="2"/>
  <c r="AY976" i="2"/>
  <c r="AW976" i="2"/>
  <c r="AV976" i="2"/>
  <c r="AU976" i="2"/>
  <c r="AT976" i="2"/>
  <c r="AS976" i="2"/>
  <c r="AR976" i="2"/>
  <c r="AQ976" i="2"/>
  <c r="AO976" i="2"/>
  <c r="AN976" i="2"/>
  <c r="AM976" i="2"/>
  <c r="AK976" i="2"/>
  <c r="AJ976" i="2"/>
  <c r="AI976" i="2"/>
  <c r="AH976" i="2"/>
  <c r="AG976" i="2"/>
  <c r="AF976" i="2"/>
  <c r="AE976" i="2"/>
  <c r="BV975" i="2"/>
  <c r="BU975" i="2"/>
  <c r="BT975" i="2"/>
  <c r="BS975" i="2"/>
  <c r="BR975" i="2"/>
  <c r="BQ975" i="2"/>
  <c r="BP975" i="2"/>
  <c r="BO975" i="2"/>
  <c r="BM975" i="2"/>
  <c r="BL975" i="2"/>
  <c r="BH975" i="2"/>
  <c r="BE975" i="2"/>
  <c r="BD975" i="2"/>
  <c r="BC975" i="2"/>
  <c r="BA975" i="2"/>
  <c r="AZ975" i="2"/>
  <c r="AY975" i="2"/>
  <c r="AW975" i="2"/>
  <c r="AV975" i="2"/>
  <c r="AU975" i="2"/>
  <c r="AT975" i="2"/>
  <c r="AS975" i="2"/>
  <c r="AR975" i="2"/>
  <c r="AQ975" i="2"/>
  <c r="AO975" i="2"/>
  <c r="AN975" i="2"/>
  <c r="AM975" i="2"/>
  <c r="AK975" i="2"/>
  <c r="AJ975" i="2"/>
  <c r="AI975" i="2"/>
  <c r="AH975" i="2"/>
  <c r="AG975" i="2"/>
  <c r="AF975" i="2"/>
  <c r="AE975" i="2"/>
  <c r="BV974" i="2"/>
  <c r="BU974" i="2"/>
  <c r="BT974" i="2"/>
  <c r="BS974" i="2"/>
  <c r="BR974" i="2"/>
  <c r="BQ974" i="2"/>
  <c r="BP974" i="2"/>
  <c r="BO974" i="2"/>
  <c r="BM974" i="2"/>
  <c r="BL974" i="2"/>
  <c r="BK974" i="2"/>
  <c r="BI974" i="2"/>
  <c r="BH974" i="2"/>
  <c r="BG974" i="2"/>
  <c r="BE974" i="2"/>
  <c r="BD974" i="2"/>
  <c r="BC974" i="2"/>
  <c r="BA974" i="2"/>
  <c r="AZ974" i="2"/>
  <c r="AY974" i="2"/>
  <c r="AW974" i="2"/>
  <c r="AV974" i="2"/>
  <c r="AU974" i="2"/>
  <c r="AT974" i="2"/>
  <c r="AS974" i="2"/>
  <c r="AR974" i="2"/>
  <c r="AQ974" i="2"/>
  <c r="AO974" i="2"/>
  <c r="AN974" i="2"/>
  <c r="AM974" i="2"/>
  <c r="AK974" i="2"/>
  <c r="AJ974" i="2"/>
  <c r="AI974" i="2"/>
  <c r="AH974" i="2"/>
  <c r="AG974" i="2"/>
  <c r="AF974" i="2"/>
  <c r="AE974" i="2"/>
  <c r="BV973" i="2"/>
  <c r="BU973" i="2"/>
  <c r="BT973" i="2"/>
  <c r="BS973" i="2"/>
  <c r="BR973" i="2"/>
  <c r="BQ973" i="2"/>
  <c r="BP973" i="2"/>
  <c r="BO973" i="2"/>
  <c r="BM973" i="2"/>
  <c r="BL973" i="2"/>
  <c r="BK973" i="2"/>
  <c r="BI973" i="2"/>
  <c r="BH973" i="2"/>
  <c r="BG973" i="2"/>
  <c r="BE973" i="2"/>
  <c r="BD973" i="2"/>
  <c r="BC973" i="2"/>
  <c r="BA973" i="2"/>
  <c r="AZ973" i="2"/>
  <c r="AY973" i="2"/>
  <c r="AW973" i="2"/>
  <c r="AV973" i="2"/>
  <c r="AU973" i="2"/>
  <c r="AT973" i="2"/>
  <c r="AS973" i="2"/>
  <c r="AR973" i="2"/>
  <c r="AQ973" i="2"/>
  <c r="AO973" i="2"/>
  <c r="AN973" i="2"/>
  <c r="AM973" i="2"/>
  <c r="AK973" i="2"/>
  <c r="AJ973" i="2"/>
  <c r="AI973" i="2"/>
  <c r="AH973" i="2"/>
  <c r="AG973" i="2"/>
  <c r="AF973" i="2"/>
  <c r="AE973" i="2"/>
  <c r="BV972" i="2"/>
  <c r="BU972" i="2"/>
  <c r="BT972" i="2"/>
  <c r="BS972" i="2"/>
  <c r="BR972" i="2"/>
  <c r="BQ972" i="2"/>
  <c r="BP972" i="2"/>
  <c r="BO972" i="2"/>
  <c r="BM972" i="2"/>
  <c r="BL972" i="2"/>
  <c r="BK972" i="2"/>
  <c r="BI972" i="2"/>
  <c r="BH972" i="2"/>
  <c r="BG972" i="2"/>
  <c r="BE972" i="2"/>
  <c r="BD972" i="2"/>
  <c r="BC972" i="2"/>
  <c r="BA972" i="2"/>
  <c r="AZ972" i="2"/>
  <c r="AY972" i="2"/>
  <c r="AW972" i="2"/>
  <c r="AV972" i="2"/>
  <c r="AU972" i="2"/>
  <c r="AT972" i="2"/>
  <c r="AS972" i="2"/>
  <c r="AR972" i="2"/>
  <c r="AQ972" i="2"/>
  <c r="AO972" i="2"/>
  <c r="AN972" i="2"/>
  <c r="AM972" i="2"/>
  <c r="AK972" i="2"/>
  <c r="AJ972" i="2"/>
  <c r="AI972" i="2"/>
  <c r="AH972" i="2"/>
  <c r="AG972" i="2"/>
  <c r="AF972" i="2"/>
  <c r="AE972" i="2"/>
  <c r="BV971" i="2"/>
  <c r="BU971" i="2"/>
  <c r="BT971" i="2"/>
  <c r="BS971" i="2"/>
  <c r="BR971" i="2"/>
  <c r="BQ971" i="2"/>
  <c r="BP971" i="2"/>
  <c r="BO971" i="2"/>
  <c r="BL971" i="2"/>
  <c r="BI971" i="2"/>
  <c r="BH971" i="2"/>
  <c r="BG971" i="2"/>
  <c r="BE971" i="2"/>
  <c r="BD971" i="2"/>
  <c r="BC971" i="2"/>
  <c r="BA971" i="2"/>
  <c r="AZ971" i="2"/>
  <c r="AY971" i="2"/>
  <c r="AW971" i="2"/>
  <c r="AV971" i="2"/>
  <c r="AU971" i="2"/>
  <c r="AT971" i="2"/>
  <c r="AS971" i="2"/>
  <c r="AR971" i="2"/>
  <c r="AQ971" i="2"/>
  <c r="AO971" i="2"/>
  <c r="AN971" i="2"/>
  <c r="AM971" i="2"/>
  <c r="AK971" i="2"/>
  <c r="AJ971" i="2"/>
  <c r="AI971" i="2"/>
  <c r="AH971" i="2"/>
  <c r="CB971" i="2" s="1"/>
  <c r="AG971" i="2"/>
  <c r="AE971" i="2"/>
  <c r="BV970" i="2"/>
  <c r="BU970" i="2"/>
  <c r="BT970" i="2"/>
  <c r="BS970" i="2"/>
  <c r="BR970" i="2"/>
  <c r="BQ970" i="2"/>
  <c r="BP970" i="2"/>
  <c r="BO970" i="2"/>
  <c r="BM970" i="2"/>
  <c r="BL970" i="2"/>
  <c r="BK970" i="2"/>
  <c r="BI970" i="2"/>
  <c r="BH970" i="2"/>
  <c r="BG970" i="2"/>
  <c r="BE970" i="2"/>
  <c r="BD970" i="2"/>
  <c r="BC970" i="2"/>
  <c r="BA970" i="2"/>
  <c r="AZ970" i="2"/>
  <c r="AY970" i="2"/>
  <c r="AW970" i="2"/>
  <c r="AV970" i="2"/>
  <c r="AU970" i="2"/>
  <c r="AT970" i="2"/>
  <c r="AS970" i="2"/>
  <c r="AR970" i="2"/>
  <c r="AQ970" i="2"/>
  <c r="AO970" i="2"/>
  <c r="AN970" i="2"/>
  <c r="AM970" i="2"/>
  <c r="AK970" i="2"/>
  <c r="AJ970" i="2"/>
  <c r="AI970" i="2"/>
  <c r="AH970" i="2"/>
  <c r="AG970" i="2"/>
  <c r="AF970" i="2"/>
  <c r="AE970" i="2"/>
  <c r="BV969" i="2"/>
  <c r="BU969" i="2"/>
  <c r="BT969" i="2"/>
  <c r="BS969" i="2"/>
  <c r="BR969" i="2"/>
  <c r="BQ969" i="2"/>
  <c r="BP969" i="2"/>
  <c r="BO969" i="2"/>
  <c r="BM969" i="2"/>
  <c r="BL969" i="2"/>
  <c r="BK969" i="2"/>
  <c r="BI969" i="2"/>
  <c r="BH969" i="2"/>
  <c r="BG969" i="2"/>
  <c r="BE969" i="2"/>
  <c r="BD969" i="2"/>
  <c r="BC969" i="2"/>
  <c r="BA969" i="2"/>
  <c r="AZ969" i="2"/>
  <c r="AY969" i="2"/>
  <c r="AV969" i="2"/>
  <c r="AU969" i="2"/>
  <c r="AT969" i="2"/>
  <c r="AS969" i="2"/>
  <c r="AR969" i="2"/>
  <c r="AQ969" i="2"/>
  <c r="AO969" i="2"/>
  <c r="AN969" i="2"/>
  <c r="AM969" i="2"/>
  <c r="AK969" i="2"/>
  <c r="AJ969" i="2"/>
  <c r="AH969" i="2"/>
  <c r="AG969" i="2"/>
  <c r="AF969" i="2"/>
  <c r="AE969" i="2"/>
  <c r="BV968" i="2"/>
  <c r="BU968" i="2"/>
  <c r="BT968" i="2"/>
  <c r="BS968" i="2"/>
  <c r="BR968" i="2"/>
  <c r="BQ968" i="2"/>
  <c r="BP968" i="2"/>
  <c r="BO968" i="2"/>
  <c r="BM968" i="2"/>
  <c r="BL968" i="2"/>
  <c r="BK968" i="2"/>
  <c r="BI968" i="2"/>
  <c r="BH968" i="2"/>
  <c r="BG968" i="2"/>
  <c r="BE968" i="2"/>
  <c r="BD968" i="2"/>
  <c r="BC968" i="2"/>
  <c r="BA968" i="2"/>
  <c r="AZ968" i="2"/>
  <c r="AY968" i="2"/>
  <c r="AW968" i="2"/>
  <c r="AV968" i="2"/>
  <c r="AU968" i="2"/>
  <c r="AT968" i="2"/>
  <c r="AS968" i="2"/>
  <c r="AR968" i="2"/>
  <c r="AQ968" i="2"/>
  <c r="AO968" i="2"/>
  <c r="AN968" i="2"/>
  <c r="AM968" i="2"/>
  <c r="AK968" i="2"/>
  <c r="AJ968" i="2"/>
  <c r="AI968" i="2"/>
  <c r="AH968" i="2"/>
  <c r="AG968" i="2"/>
  <c r="AF968" i="2"/>
  <c r="AE968" i="2"/>
  <c r="BV967" i="2"/>
  <c r="BU967" i="2"/>
  <c r="BT967" i="2"/>
  <c r="BS967" i="2"/>
  <c r="BR967" i="2"/>
  <c r="BQ967" i="2"/>
  <c r="BP967" i="2"/>
  <c r="BO967" i="2"/>
  <c r="BM967" i="2"/>
  <c r="BL967" i="2"/>
  <c r="BK967" i="2"/>
  <c r="BI967" i="2"/>
  <c r="BH967" i="2"/>
  <c r="BG967" i="2"/>
  <c r="BE967" i="2"/>
  <c r="BD967" i="2"/>
  <c r="BC967" i="2"/>
  <c r="BA967" i="2"/>
  <c r="AZ967" i="2"/>
  <c r="AY967" i="2"/>
  <c r="AW967" i="2"/>
  <c r="AV967" i="2"/>
  <c r="AU967" i="2"/>
  <c r="AT967" i="2"/>
  <c r="AS967" i="2"/>
  <c r="AR967" i="2"/>
  <c r="AQ967" i="2"/>
  <c r="AO967" i="2"/>
  <c r="AN967" i="2"/>
  <c r="AM967" i="2"/>
  <c r="AK967" i="2"/>
  <c r="AJ967" i="2"/>
  <c r="AI967" i="2"/>
  <c r="AH967" i="2"/>
  <c r="AG967" i="2"/>
  <c r="AF967" i="2"/>
  <c r="AE967" i="2"/>
  <c r="BV966" i="2"/>
  <c r="BU966" i="2"/>
  <c r="BT966" i="2"/>
  <c r="BS966" i="2"/>
  <c r="BR966" i="2"/>
  <c r="BQ966" i="2"/>
  <c r="BP966" i="2"/>
  <c r="BO966" i="2"/>
  <c r="BM966" i="2"/>
  <c r="BL966" i="2"/>
  <c r="BK966" i="2"/>
  <c r="BI966" i="2"/>
  <c r="BH966" i="2"/>
  <c r="BG966" i="2"/>
  <c r="BE966" i="2"/>
  <c r="BD966" i="2"/>
  <c r="BC966" i="2"/>
  <c r="BA966" i="2"/>
  <c r="AZ966" i="2"/>
  <c r="AY966" i="2"/>
  <c r="AW966" i="2"/>
  <c r="AV966" i="2"/>
  <c r="AU966" i="2"/>
  <c r="AT966" i="2"/>
  <c r="AS966" i="2"/>
  <c r="AR966" i="2"/>
  <c r="AQ966" i="2"/>
  <c r="AO966" i="2"/>
  <c r="AN966" i="2"/>
  <c r="AM966" i="2"/>
  <c r="AK966" i="2"/>
  <c r="AJ966" i="2"/>
  <c r="AI966" i="2"/>
  <c r="AH966" i="2"/>
  <c r="AG966" i="2"/>
  <c r="AF966" i="2"/>
  <c r="AE966" i="2"/>
  <c r="BV965" i="2"/>
  <c r="BU965" i="2"/>
  <c r="BT965" i="2"/>
  <c r="BS965" i="2"/>
  <c r="BR965" i="2"/>
  <c r="BQ965" i="2"/>
  <c r="BP965" i="2"/>
  <c r="BO965" i="2"/>
  <c r="BM965" i="2"/>
  <c r="BL965" i="2"/>
  <c r="BK965" i="2"/>
  <c r="BI965" i="2"/>
  <c r="BH965" i="2"/>
  <c r="BG965" i="2"/>
  <c r="BE965" i="2"/>
  <c r="BD965" i="2"/>
  <c r="BC965" i="2"/>
  <c r="BA965" i="2"/>
  <c r="AZ965" i="2"/>
  <c r="AY965" i="2"/>
  <c r="AW965" i="2"/>
  <c r="AV965" i="2"/>
  <c r="AU965" i="2"/>
  <c r="AT965" i="2"/>
  <c r="AS965" i="2"/>
  <c r="AR965" i="2"/>
  <c r="AQ965" i="2"/>
  <c r="AO965" i="2"/>
  <c r="AN965" i="2"/>
  <c r="AM965" i="2"/>
  <c r="AK965" i="2"/>
  <c r="AJ965" i="2"/>
  <c r="AI965" i="2"/>
  <c r="AH965" i="2"/>
  <c r="AG965" i="2"/>
  <c r="AF965" i="2"/>
  <c r="AE965" i="2"/>
  <c r="BV964" i="2"/>
  <c r="BU964" i="2"/>
  <c r="BT964" i="2"/>
  <c r="BS964" i="2"/>
  <c r="BR964" i="2"/>
  <c r="BQ964" i="2"/>
  <c r="BP964" i="2"/>
  <c r="BO964" i="2"/>
  <c r="BM964" i="2"/>
  <c r="BL964" i="2"/>
  <c r="BK964" i="2"/>
  <c r="BI964" i="2"/>
  <c r="BH964" i="2"/>
  <c r="BG964" i="2"/>
  <c r="BE964" i="2"/>
  <c r="BD964" i="2"/>
  <c r="BC964" i="2"/>
  <c r="BA964" i="2"/>
  <c r="AZ964" i="2"/>
  <c r="AY964" i="2"/>
  <c r="AW964" i="2"/>
  <c r="AV964" i="2"/>
  <c r="AU964" i="2"/>
  <c r="AT964" i="2"/>
  <c r="AS964" i="2"/>
  <c r="AR964" i="2"/>
  <c r="AQ964" i="2"/>
  <c r="AO964" i="2"/>
  <c r="AN964" i="2"/>
  <c r="AM964" i="2"/>
  <c r="AJ964" i="2"/>
  <c r="AI964" i="2"/>
  <c r="AH964" i="2"/>
  <c r="AG964" i="2"/>
  <c r="AF964" i="2"/>
  <c r="AE964" i="2"/>
  <c r="BV963" i="2"/>
  <c r="BU963" i="2"/>
  <c r="BT963" i="2"/>
  <c r="BS963" i="2"/>
  <c r="BR963" i="2"/>
  <c r="BQ963" i="2"/>
  <c r="BP963" i="2"/>
  <c r="BO963" i="2"/>
  <c r="BL963" i="2"/>
  <c r="BK963" i="2"/>
  <c r="BH963" i="2"/>
  <c r="BG963" i="2"/>
  <c r="BE963" i="2"/>
  <c r="BD963" i="2"/>
  <c r="BC963" i="2"/>
  <c r="BA963" i="2"/>
  <c r="AZ963" i="2"/>
  <c r="AW963" i="2"/>
  <c r="AV963" i="2"/>
  <c r="AU963" i="2"/>
  <c r="AT963" i="2"/>
  <c r="AS963" i="2"/>
  <c r="AR963" i="2"/>
  <c r="AQ963" i="2"/>
  <c r="AO963" i="2"/>
  <c r="AN963" i="2"/>
  <c r="AM963" i="2"/>
  <c r="AK963" i="2"/>
  <c r="AJ963" i="2"/>
  <c r="AI963" i="2"/>
  <c r="AH963" i="2"/>
  <c r="AG963" i="2"/>
  <c r="AF963" i="2"/>
  <c r="AE963" i="2"/>
  <c r="BV962" i="2"/>
  <c r="BU962" i="2"/>
  <c r="BT962" i="2"/>
  <c r="BS962" i="2"/>
  <c r="BR962" i="2"/>
  <c r="BQ962" i="2"/>
  <c r="BP962" i="2"/>
  <c r="BO962" i="2"/>
  <c r="BM962" i="2"/>
  <c r="BL962" i="2"/>
  <c r="BK962" i="2"/>
  <c r="BI962" i="2"/>
  <c r="BH962" i="2"/>
  <c r="BG962" i="2"/>
  <c r="BE962" i="2"/>
  <c r="BD962" i="2"/>
  <c r="BC962" i="2"/>
  <c r="BA962" i="2"/>
  <c r="AZ962" i="2"/>
  <c r="AY962" i="2"/>
  <c r="AW962" i="2"/>
  <c r="AV962" i="2"/>
  <c r="AU962" i="2"/>
  <c r="AT962" i="2"/>
  <c r="AS962" i="2"/>
  <c r="AR962" i="2"/>
  <c r="AQ962" i="2"/>
  <c r="AO962" i="2"/>
  <c r="AN962" i="2"/>
  <c r="AM962" i="2"/>
  <c r="AK962" i="2"/>
  <c r="AJ962" i="2"/>
  <c r="AI962" i="2"/>
  <c r="AH962" i="2"/>
  <c r="AG962" i="2"/>
  <c r="AF962" i="2"/>
  <c r="AE962" i="2"/>
  <c r="BV961" i="2"/>
  <c r="BU961" i="2"/>
  <c r="BT961" i="2"/>
  <c r="BS961" i="2"/>
  <c r="BR961" i="2"/>
  <c r="BQ961" i="2"/>
  <c r="BP961" i="2"/>
  <c r="BO961" i="2"/>
  <c r="BM961" i="2"/>
  <c r="BL961" i="2"/>
  <c r="BK961" i="2"/>
  <c r="BI961" i="2"/>
  <c r="BH961" i="2"/>
  <c r="BG961" i="2"/>
  <c r="BE961" i="2"/>
  <c r="BD961" i="2"/>
  <c r="BC961" i="2"/>
  <c r="BA961" i="2"/>
  <c r="AZ961" i="2"/>
  <c r="AY961" i="2"/>
  <c r="AW961" i="2"/>
  <c r="AV961" i="2"/>
  <c r="AU961" i="2"/>
  <c r="AT961" i="2"/>
  <c r="AR961" i="2"/>
  <c r="AO961" i="2"/>
  <c r="AN961" i="2"/>
  <c r="AM961" i="2"/>
  <c r="AK961" i="2"/>
  <c r="AJ961" i="2"/>
  <c r="AI961" i="2"/>
  <c r="AH961" i="2"/>
  <c r="AG961" i="2"/>
  <c r="AF961" i="2"/>
  <c r="AE961" i="2"/>
  <c r="BV960" i="2"/>
  <c r="BU960" i="2"/>
  <c r="BT960" i="2"/>
  <c r="BS960" i="2"/>
  <c r="BR960" i="2"/>
  <c r="BQ960" i="2"/>
  <c r="BP960" i="2"/>
  <c r="BO960" i="2"/>
  <c r="BM960" i="2"/>
  <c r="BL960" i="2"/>
  <c r="BK960" i="2"/>
  <c r="BI960" i="2"/>
  <c r="BH960" i="2"/>
  <c r="BG960" i="2"/>
  <c r="BE960" i="2"/>
  <c r="BD960" i="2"/>
  <c r="BC960" i="2"/>
  <c r="BA960" i="2"/>
  <c r="AZ960" i="2"/>
  <c r="AY960" i="2"/>
  <c r="AW960" i="2"/>
  <c r="AV960" i="2"/>
  <c r="AU960" i="2"/>
  <c r="AT960" i="2"/>
  <c r="AS960" i="2"/>
  <c r="AR960" i="2"/>
  <c r="AQ960" i="2"/>
  <c r="AO960" i="2"/>
  <c r="AN960" i="2"/>
  <c r="AM960" i="2"/>
  <c r="AK960" i="2"/>
  <c r="AJ960" i="2"/>
  <c r="AI960" i="2"/>
  <c r="AH960" i="2"/>
  <c r="AG960" i="2"/>
  <c r="AF960" i="2"/>
  <c r="AE960" i="2"/>
  <c r="BV959" i="2"/>
  <c r="BU959" i="2"/>
  <c r="BT959" i="2"/>
  <c r="BR959" i="2"/>
  <c r="BQ959" i="2"/>
  <c r="BP959" i="2"/>
  <c r="BO959" i="2"/>
  <c r="BL959" i="2"/>
  <c r="BH959" i="2"/>
  <c r="BF959" i="2"/>
  <c r="BE959" i="2"/>
  <c r="BD959" i="2"/>
  <c r="BC959" i="2"/>
  <c r="BA959" i="2"/>
  <c r="AZ959" i="2"/>
  <c r="AW959" i="2"/>
  <c r="AV959" i="2"/>
  <c r="AU959" i="2"/>
  <c r="AT959" i="2"/>
  <c r="AR959" i="2"/>
  <c r="AQ959" i="2"/>
  <c r="AO959" i="2"/>
  <c r="AN959" i="2"/>
  <c r="AM959" i="2"/>
  <c r="AK959" i="2"/>
  <c r="AJ959" i="2"/>
  <c r="AI959" i="2"/>
  <c r="AH959" i="2"/>
  <c r="AG959" i="2"/>
  <c r="AF959" i="2"/>
  <c r="AE959" i="2"/>
  <c r="BV958" i="2"/>
  <c r="BU958" i="2"/>
  <c r="BT958" i="2"/>
  <c r="BS958" i="2"/>
  <c r="BR958" i="2"/>
  <c r="BQ958" i="2"/>
  <c r="BP958" i="2"/>
  <c r="BO958" i="2"/>
  <c r="BM958" i="2"/>
  <c r="BL958" i="2"/>
  <c r="BI958" i="2"/>
  <c r="BH958" i="2"/>
  <c r="BG958" i="2"/>
  <c r="BE958" i="2"/>
  <c r="BD958" i="2"/>
  <c r="BC958" i="2"/>
  <c r="BA958" i="2"/>
  <c r="AZ958" i="2"/>
  <c r="AY958" i="2"/>
  <c r="AW958" i="2"/>
  <c r="AV958" i="2"/>
  <c r="AU958" i="2"/>
  <c r="AT958" i="2"/>
  <c r="AS958" i="2"/>
  <c r="AR958" i="2"/>
  <c r="AQ958" i="2"/>
  <c r="AO958" i="2"/>
  <c r="AN958" i="2"/>
  <c r="AM958" i="2"/>
  <c r="AK958" i="2"/>
  <c r="AJ958" i="2"/>
  <c r="AI958" i="2"/>
  <c r="AH958" i="2"/>
  <c r="AG958" i="2"/>
  <c r="AF958" i="2"/>
  <c r="AE958" i="2"/>
  <c r="BV957" i="2"/>
  <c r="BU957" i="2"/>
  <c r="BT957" i="2"/>
  <c r="BS957" i="2"/>
  <c r="BR957" i="2"/>
  <c r="BQ957" i="2"/>
  <c r="BP957" i="2"/>
  <c r="BO957" i="2"/>
  <c r="BM957" i="2"/>
  <c r="BL957" i="2"/>
  <c r="BK957" i="2"/>
  <c r="BI957" i="2"/>
  <c r="BH957" i="2"/>
  <c r="BG957" i="2"/>
  <c r="BE957" i="2"/>
  <c r="BD957" i="2"/>
  <c r="BC957" i="2"/>
  <c r="BA957" i="2"/>
  <c r="AZ957" i="2"/>
  <c r="AY957" i="2"/>
  <c r="AW957" i="2"/>
  <c r="AV957" i="2"/>
  <c r="AU957" i="2"/>
  <c r="AT957" i="2"/>
  <c r="AS957" i="2"/>
  <c r="AR957" i="2"/>
  <c r="AQ957" i="2"/>
  <c r="AO957" i="2"/>
  <c r="AN957" i="2"/>
  <c r="AM957" i="2"/>
  <c r="AK957" i="2"/>
  <c r="AJ957" i="2"/>
  <c r="AI957" i="2"/>
  <c r="AH957" i="2"/>
  <c r="AG957" i="2"/>
  <c r="AF957" i="2"/>
  <c r="AE957" i="2"/>
  <c r="BV956" i="2"/>
  <c r="BU956" i="2"/>
  <c r="BT956" i="2"/>
  <c r="BS956" i="2"/>
  <c r="BR956" i="2"/>
  <c r="BQ956" i="2"/>
  <c r="BP956" i="2"/>
  <c r="BO956" i="2"/>
  <c r="BM956" i="2"/>
  <c r="BL956" i="2"/>
  <c r="BK956" i="2"/>
  <c r="BI956" i="2"/>
  <c r="BH956" i="2"/>
  <c r="BG956" i="2"/>
  <c r="BD956" i="2"/>
  <c r="BA956" i="2"/>
  <c r="AZ956" i="2"/>
  <c r="AY956" i="2"/>
  <c r="AW956" i="2"/>
  <c r="AV956" i="2"/>
  <c r="AU956" i="2"/>
  <c r="AT956" i="2"/>
  <c r="AS956" i="2"/>
  <c r="AR956" i="2"/>
  <c r="AQ956" i="2"/>
  <c r="AO956" i="2"/>
  <c r="AN956" i="2"/>
  <c r="AM956" i="2"/>
  <c r="AK956" i="2"/>
  <c r="AJ956" i="2"/>
  <c r="AI956" i="2"/>
  <c r="AH956" i="2"/>
  <c r="AG956" i="2"/>
  <c r="AF956" i="2"/>
  <c r="AE956" i="2"/>
  <c r="BV955" i="2"/>
  <c r="BU955" i="2"/>
  <c r="BT955" i="2"/>
  <c r="BS955" i="2"/>
  <c r="BR955" i="2"/>
  <c r="BQ955" i="2"/>
  <c r="BP955" i="2"/>
  <c r="BO955" i="2"/>
  <c r="BM955" i="2"/>
  <c r="BL955" i="2"/>
  <c r="BK955" i="2"/>
  <c r="BI955" i="2"/>
  <c r="BH955" i="2"/>
  <c r="BG955" i="2"/>
  <c r="BE955" i="2"/>
  <c r="BD955" i="2"/>
  <c r="BC955" i="2"/>
  <c r="BA955" i="2"/>
  <c r="AZ955" i="2"/>
  <c r="AY955" i="2"/>
  <c r="AW955" i="2"/>
  <c r="AV955" i="2"/>
  <c r="AU955" i="2"/>
  <c r="AT955" i="2"/>
  <c r="AS955" i="2"/>
  <c r="AR955" i="2"/>
  <c r="AQ955" i="2"/>
  <c r="AO955" i="2"/>
  <c r="AN955" i="2"/>
  <c r="AM955" i="2"/>
  <c r="AJ955" i="2"/>
  <c r="AH955" i="2"/>
  <c r="AG955" i="2"/>
  <c r="AF955" i="2"/>
  <c r="AE955" i="2"/>
  <c r="BV954" i="2"/>
  <c r="BU954" i="2"/>
  <c r="BT954" i="2"/>
  <c r="BS954" i="2"/>
  <c r="BR954" i="2"/>
  <c r="BQ954" i="2"/>
  <c r="BP954" i="2"/>
  <c r="BO954" i="2"/>
  <c r="BM954" i="2"/>
  <c r="BL954" i="2"/>
  <c r="BK954" i="2"/>
  <c r="BI954" i="2"/>
  <c r="BH954" i="2"/>
  <c r="BG954" i="2"/>
  <c r="BE954" i="2"/>
  <c r="BD954" i="2"/>
  <c r="BC954" i="2"/>
  <c r="BA954" i="2"/>
  <c r="AZ954" i="2"/>
  <c r="AY954" i="2"/>
  <c r="AW954" i="2"/>
  <c r="AV954" i="2"/>
  <c r="AU954" i="2"/>
  <c r="AT954" i="2"/>
  <c r="AS954" i="2"/>
  <c r="AR954" i="2"/>
  <c r="AQ954" i="2"/>
  <c r="AO954" i="2"/>
  <c r="AN954" i="2"/>
  <c r="AM954" i="2"/>
  <c r="AK954" i="2"/>
  <c r="AJ954" i="2"/>
  <c r="AI954" i="2"/>
  <c r="AH954" i="2"/>
  <c r="AG954" i="2"/>
  <c r="AF954" i="2"/>
  <c r="AE954" i="2"/>
  <c r="BV953" i="2"/>
  <c r="BU953" i="2"/>
  <c r="BT953" i="2"/>
  <c r="BS953" i="2"/>
  <c r="BR953" i="2"/>
  <c r="BQ953" i="2"/>
  <c r="BP953" i="2"/>
  <c r="BO953" i="2"/>
  <c r="BM953" i="2"/>
  <c r="BL953" i="2"/>
  <c r="BK953" i="2"/>
  <c r="BI953" i="2"/>
  <c r="BH953" i="2"/>
  <c r="BG953" i="2"/>
  <c r="BE953" i="2"/>
  <c r="BD953" i="2"/>
  <c r="BC953" i="2"/>
  <c r="BA953" i="2"/>
  <c r="AZ953" i="2"/>
  <c r="AY953" i="2"/>
  <c r="AW953" i="2"/>
  <c r="AV953" i="2"/>
  <c r="AU953" i="2"/>
  <c r="AT953" i="2"/>
  <c r="AS953" i="2"/>
  <c r="AR953" i="2"/>
  <c r="AQ953" i="2"/>
  <c r="AO953" i="2"/>
  <c r="AN953" i="2"/>
  <c r="AM953" i="2"/>
  <c r="AK953" i="2"/>
  <c r="AJ953" i="2"/>
  <c r="AI953" i="2"/>
  <c r="AH953" i="2"/>
  <c r="AG953" i="2"/>
  <c r="AF953" i="2"/>
  <c r="AE953" i="2"/>
  <c r="BV952" i="2"/>
  <c r="BU952" i="2"/>
  <c r="BT952" i="2"/>
  <c r="BS952" i="2"/>
  <c r="BR952" i="2"/>
  <c r="BQ952" i="2"/>
  <c r="BP952" i="2"/>
  <c r="BO952" i="2"/>
  <c r="BM952" i="2"/>
  <c r="BL952" i="2"/>
  <c r="BI952" i="2"/>
  <c r="BH952" i="2"/>
  <c r="BG952" i="2"/>
  <c r="BE952" i="2"/>
  <c r="BD952" i="2"/>
  <c r="BC952" i="2"/>
  <c r="BA952" i="2"/>
  <c r="AZ952" i="2"/>
  <c r="AY952" i="2"/>
  <c r="AW952" i="2"/>
  <c r="AV952" i="2"/>
  <c r="AU952" i="2"/>
  <c r="AT952" i="2"/>
  <c r="AS952" i="2"/>
  <c r="AR952" i="2"/>
  <c r="AQ952" i="2"/>
  <c r="AO952" i="2"/>
  <c r="AN952" i="2"/>
  <c r="AM952" i="2"/>
  <c r="AK952" i="2"/>
  <c r="AJ952" i="2"/>
  <c r="AI952" i="2"/>
  <c r="AH952" i="2"/>
  <c r="AG952" i="2"/>
  <c r="AF952" i="2"/>
  <c r="AE952" i="2"/>
  <c r="BV951" i="2"/>
  <c r="BU951" i="2"/>
  <c r="BT951" i="2"/>
  <c r="BS951" i="2"/>
  <c r="BR951" i="2"/>
  <c r="BQ951" i="2"/>
  <c r="BP951" i="2"/>
  <c r="BO951" i="2"/>
  <c r="BM951" i="2"/>
  <c r="BL951" i="2"/>
  <c r="BI951" i="2"/>
  <c r="BH951" i="2"/>
  <c r="BG951" i="2"/>
  <c r="BE951" i="2"/>
  <c r="BD951" i="2"/>
  <c r="BC951" i="2"/>
  <c r="AZ951" i="2"/>
  <c r="AY951" i="2"/>
  <c r="AW951" i="2"/>
  <c r="AV951" i="2"/>
  <c r="AU951" i="2"/>
  <c r="AT951" i="2"/>
  <c r="AS951" i="2"/>
  <c r="AR951" i="2"/>
  <c r="AQ951" i="2"/>
  <c r="AO951" i="2"/>
  <c r="AN951" i="2"/>
  <c r="AM951" i="2"/>
  <c r="AK951" i="2"/>
  <c r="AJ951" i="2"/>
  <c r="AI951" i="2"/>
  <c r="AH951" i="2"/>
  <c r="AG951" i="2"/>
  <c r="AF951" i="2"/>
  <c r="AE951" i="2"/>
  <c r="BV950" i="2"/>
  <c r="BU950" i="2"/>
  <c r="BT950" i="2"/>
  <c r="BS950" i="2"/>
  <c r="BR950" i="2"/>
  <c r="BQ950" i="2"/>
  <c r="BP950" i="2"/>
  <c r="BO950" i="2"/>
  <c r="BM950" i="2"/>
  <c r="BL950" i="2"/>
  <c r="BK950" i="2"/>
  <c r="BI950" i="2"/>
  <c r="BH950" i="2"/>
  <c r="BG950" i="2"/>
  <c r="BE950" i="2"/>
  <c r="BD950" i="2"/>
  <c r="BC950" i="2"/>
  <c r="BA950" i="2"/>
  <c r="AZ950" i="2"/>
  <c r="AY950" i="2"/>
  <c r="AW950" i="2"/>
  <c r="AV950" i="2"/>
  <c r="AU950" i="2"/>
  <c r="AT950" i="2"/>
  <c r="AS950" i="2"/>
  <c r="AR950" i="2"/>
  <c r="AQ950" i="2"/>
  <c r="AO950" i="2"/>
  <c r="AN950" i="2"/>
  <c r="AM950" i="2"/>
  <c r="AK950" i="2"/>
  <c r="AJ950" i="2"/>
  <c r="AI950" i="2"/>
  <c r="AH950" i="2"/>
  <c r="AG950" i="2"/>
  <c r="AF950" i="2"/>
  <c r="AE950" i="2"/>
  <c r="BV949" i="2"/>
  <c r="BU949" i="2"/>
  <c r="BT949" i="2"/>
  <c r="BS949" i="2"/>
  <c r="BR949" i="2"/>
  <c r="BQ949" i="2"/>
  <c r="BP949" i="2"/>
  <c r="BO949" i="2"/>
  <c r="BM949" i="2"/>
  <c r="BL949" i="2"/>
  <c r="BK949" i="2"/>
  <c r="BI949" i="2"/>
  <c r="BH949" i="2"/>
  <c r="BG949" i="2"/>
  <c r="BE949" i="2"/>
  <c r="BD949" i="2"/>
  <c r="BC949" i="2"/>
  <c r="BA949" i="2"/>
  <c r="AZ949" i="2"/>
  <c r="AY949" i="2"/>
  <c r="AW949" i="2"/>
  <c r="AV949" i="2"/>
  <c r="AU949" i="2"/>
  <c r="AT949" i="2"/>
  <c r="AS949" i="2"/>
  <c r="AR949" i="2"/>
  <c r="AQ949" i="2"/>
  <c r="AO949" i="2"/>
  <c r="AN949" i="2"/>
  <c r="AM949" i="2"/>
  <c r="AK949" i="2"/>
  <c r="AJ949" i="2"/>
  <c r="AI949" i="2"/>
  <c r="AH949" i="2"/>
  <c r="AG949" i="2"/>
  <c r="AF949" i="2"/>
  <c r="AE949" i="2"/>
  <c r="BV948" i="2"/>
  <c r="BU948" i="2"/>
  <c r="BT948" i="2"/>
  <c r="BS948" i="2"/>
  <c r="BR948" i="2"/>
  <c r="BQ948" i="2"/>
  <c r="BP948" i="2"/>
  <c r="BO948" i="2"/>
  <c r="BM948" i="2"/>
  <c r="BL948" i="2"/>
  <c r="BK948" i="2"/>
  <c r="BI948" i="2"/>
  <c r="BH948" i="2"/>
  <c r="BG948" i="2"/>
  <c r="BE948" i="2"/>
  <c r="BD948" i="2"/>
  <c r="BC948" i="2"/>
  <c r="BA948" i="2"/>
  <c r="AZ948" i="2"/>
  <c r="AY948" i="2"/>
  <c r="AW948" i="2"/>
  <c r="AV948" i="2"/>
  <c r="AU948" i="2"/>
  <c r="AT948" i="2"/>
  <c r="AS948" i="2"/>
  <c r="AR948" i="2"/>
  <c r="AQ948" i="2"/>
  <c r="AO948" i="2"/>
  <c r="AN948" i="2"/>
  <c r="AM948" i="2"/>
  <c r="AK948" i="2"/>
  <c r="AJ948" i="2"/>
  <c r="AI948" i="2"/>
  <c r="AH948" i="2"/>
  <c r="AG948" i="2"/>
  <c r="AF948" i="2"/>
  <c r="AE948" i="2"/>
  <c r="BV947" i="2"/>
  <c r="BU947" i="2"/>
  <c r="BT947" i="2"/>
  <c r="BS947" i="2"/>
  <c r="BR947" i="2"/>
  <c r="BQ947" i="2"/>
  <c r="BP947" i="2"/>
  <c r="BO947" i="2"/>
  <c r="BM947" i="2"/>
  <c r="BL947" i="2"/>
  <c r="BK947" i="2"/>
  <c r="BI947" i="2"/>
  <c r="BH947" i="2"/>
  <c r="BG947" i="2"/>
  <c r="BE947" i="2"/>
  <c r="BD947" i="2"/>
  <c r="BC947" i="2"/>
  <c r="BA947" i="2"/>
  <c r="AZ947" i="2"/>
  <c r="AY947" i="2"/>
  <c r="AW947" i="2"/>
  <c r="AV947" i="2"/>
  <c r="AU947" i="2"/>
  <c r="AT947" i="2"/>
  <c r="AS947" i="2"/>
  <c r="AQ947" i="2"/>
  <c r="AO947" i="2"/>
  <c r="AN947" i="2"/>
  <c r="AM947" i="2"/>
  <c r="AK947" i="2"/>
  <c r="AJ947" i="2"/>
  <c r="AI947" i="2"/>
  <c r="AH947" i="2"/>
  <c r="AG947" i="2"/>
  <c r="AF947" i="2"/>
  <c r="AE947" i="2"/>
  <c r="BV946" i="2"/>
  <c r="BU946" i="2"/>
  <c r="BT946" i="2"/>
  <c r="BS946" i="2"/>
  <c r="BR946" i="2"/>
  <c r="BQ946" i="2"/>
  <c r="BP946" i="2"/>
  <c r="BO946" i="2"/>
  <c r="BM946" i="2"/>
  <c r="BL946" i="2"/>
  <c r="BK946" i="2"/>
  <c r="BI946" i="2"/>
  <c r="BH946" i="2"/>
  <c r="BG946" i="2"/>
  <c r="BD946" i="2"/>
  <c r="BA946" i="2"/>
  <c r="AZ946" i="2"/>
  <c r="AY946" i="2"/>
  <c r="AV946" i="2"/>
  <c r="AU946" i="2"/>
  <c r="AT946" i="2"/>
  <c r="AS946" i="2"/>
  <c r="AR946" i="2"/>
  <c r="AQ946" i="2"/>
  <c r="AO946" i="2"/>
  <c r="AN946" i="2"/>
  <c r="AM946" i="2"/>
  <c r="AK946" i="2"/>
  <c r="AJ946" i="2"/>
  <c r="AI946" i="2"/>
  <c r="AH946" i="2"/>
  <c r="AG946" i="2"/>
  <c r="AF946" i="2"/>
  <c r="AE946" i="2"/>
  <c r="BV945" i="2"/>
  <c r="BU945" i="2"/>
  <c r="BT945" i="2"/>
  <c r="BS945" i="2"/>
  <c r="BR945" i="2"/>
  <c r="BQ945" i="2"/>
  <c r="BP945" i="2"/>
  <c r="BO945" i="2"/>
  <c r="BM945" i="2"/>
  <c r="BL945" i="2"/>
  <c r="BK945" i="2"/>
  <c r="BI945" i="2"/>
  <c r="BH945" i="2"/>
  <c r="BG945" i="2"/>
  <c r="BE945" i="2"/>
  <c r="BD945" i="2"/>
  <c r="BC945" i="2"/>
  <c r="BA945" i="2"/>
  <c r="AZ945" i="2"/>
  <c r="AY945" i="2"/>
  <c r="AW945" i="2"/>
  <c r="AV945" i="2"/>
  <c r="AU945" i="2"/>
  <c r="AT945" i="2"/>
  <c r="AS945" i="2"/>
  <c r="AR945" i="2"/>
  <c r="AQ945" i="2"/>
  <c r="AO945" i="2"/>
  <c r="AN945" i="2"/>
  <c r="AM945" i="2"/>
  <c r="AK945" i="2"/>
  <c r="AJ945" i="2"/>
  <c r="AI945" i="2"/>
  <c r="AH945" i="2"/>
  <c r="AG945" i="2"/>
  <c r="AF945" i="2"/>
  <c r="AE945" i="2"/>
  <c r="BV944" i="2"/>
  <c r="BU944" i="2"/>
  <c r="BT944" i="2"/>
  <c r="BS944" i="2"/>
  <c r="BR944" i="2"/>
  <c r="BQ944" i="2"/>
  <c r="BP944" i="2"/>
  <c r="BO944" i="2"/>
  <c r="BM944" i="2"/>
  <c r="BL944" i="2"/>
  <c r="BK944" i="2"/>
  <c r="BI944" i="2"/>
  <c r="BH944" i="2"/>
  <c r="BG944" i="2"/>
  <c r="BE944" i="2"/>
  <c r="BD944" i="2"/>
  <c r="BC944" i="2"/>
  <c r="BA944" i="2"/>
  <c r="AZ944" i="2"/>
  <c r="AY944" i="2"/>
  <c r="AW944" i="2"/>
  <c r="AV944" i="2"/>
  <c r="AU944" i="2"/>
  <c r="AT944" i="2"/>
  <c r="AS944" i="2"/>
  <c r="AR944" i="2"/>
  <c r="AQ944" i="2"/>
  <c r="AO944" i="2"/>
  <c r="AN944" i="2"/>
  <c r="AM944" i="2"/>
  <c r="AK944" i="2"/>
  <c r="AJ944" i="2"/>
  <c r="AI944" i="2"/>
  <c r="AH944" i="2"/>
  <c r="CB944" i="2" s="1"/>
  <c r="AG944" i="2"/>
  <c r="AF944" i="2"/>
  <c r="AE944" i="2"/>
  <c r="BV943" i="2"/>
  <c r="BU943" i="2"/>
  <c r="BT943" i="2"/>
  <c r="BS943" i="2"/>
  <c r="BR943" i="2"/>
  <c r="BQ943" i="2"/>
  <c r="BP943" i="2"/>
  <c r="BO943" i="2"/>
  <c r="BM943" i="2"/>
  <c r="BL943" i="2"/>
  <c r="BK943" i="2"/>
  <c r="BI943" i="2"/>
  <c r="BH943" i="2"/>
  <c r="BG943" i="2"/>
  <c r="BE943" i="2"/>
  <c r="BD943" i="2"/>
  <c r="BC943" i="2"/>
  <c r="BA943" i="2"/>
  <c r="AZ943" i="2"/>
  <c r="AY943" i="2"/>
  <c r="AW943" i="2"/>
  <c r="AV943" i="2"/>
  <c r="AU943" i="2"/>
  <c r="AT943" i="2"/>
  <c r="AS943" i="2"/>
  <c r="AR943" i="2"/>
  <c r="AQ943" i="2"/>
  <c r="AO943" i="2"/>
  <c r="AN943" i="2"/>
  <c r="AM943" i="2"/>
  <c r="AK943" i="2"/>
  <c r="AJ943" i="2"/>
  <c r="AI943" i="2"/>
  <c r="AH943" i="2"/>
  <c r="AG943" i="2"/>
  <c r="AF943" i="2"/>
  <c r="AE943" i="2"/>
  <c r="BV942" i="2"/>
  <c r="BU942" i="2"/>
  <c r="BT942" i="2"/>
  <c r="BS942" i="2"/>
  <c r="BR942" i="2"/>
  <c r="BQ942" i="2"/>
  <c r="BP942" i="2"/>
  <c r="BO942" i="2"/>
  <c r="BM942" i="2"/>
  <c r="BL942" i="2"/>
  <c r="BK942" i="2"/>
  <c r="BI942" i="2"/>
  <c r="BH942" i="2"/>
  <c r="BG942" i="2"/>
  <c r="BE942" i="2"/>
  <c r="BD942" i="2"/>
  <c r="BC942" i="2"/>
  <c r="BA942" i="2"/>
  <c r="AZ942" i="2"/>
  <c r="AY942" i="2"/>
  <c r="AW942" i="2"/>
  <c r="AV942" i="2"/>
  <c r="AU942" i="2"/>
  <c r="AT942" i="2"/>
  <c r="AS942" i="2"/>
  <c r="AR942" i="2"/>
  <c r="AQ942" i="2"/>
  <c r="AO942" i="2"/>
  <c r="AN942" i="2"/>
  <c r="AM942" i="2"/>
  <c r="AK942" i="2"/>
  <c r="AJ942" i="2"/>
  <c r="AI942" i="2"/>
  <c r="AH942" i="2"/>
  <c r="AG942" i="2"/>
  <c r="AF942" i="2"/>
  <c r="AE942" i="2"/>
  <c r="BV941" i="2"/>
  <c r="BU941" i="2"/>
  <c r="BT941" i="2"/>
  <c r="BS941" i="2"/>
  <c r="BR941" i="2"/>
  <c r="BQ941" i="2"/>
  <c r="BP941" i="2"/>
  <c r="BO941" i="2"/>
  <c r="BM941" i="2"/>
  <c r="BL941" i="2"/>
  <c r="BK941" i="2"/>
  <c r="BI941" i="2"/>
  <c r="BH941" i="2"/>
  <c r="BG941" i="2"/>
  <c r="BE941" i="2"/>
  <c r="BD941" i="2"/>
  <c r="BC941" i="2"/>
  <c r="BA941" i="2"/>
  <c r="AZ941" i="2"/>
  <c r="AY941" i="2"/>
  <c r="AW941" i="2"/>
  <c r="AV941" i="2"/>
  <c r="AU941" i="2"/>
  <c r="AT941" i="2"/>
  <c r="AS941" i="2"/>
  <c r="AR941" i="2"/>
  <c r="AQ941" i="2"/>
  <c r="AO941" i="2"/>
  <c r="AN941" i="2"/>
  <c r="AM941" i="2"/>
  <c r="AK941" i="2"/>
  <c r="AJ941" i="2"/>
  <c r="AI941" i="2"/>
  <c r="AH941" i="2"/>
  <c r="AG941" i="2"/>
  <c r="AF941" i="2"/>
  <c r="AE941" i="2"/>
  <c r="BV940" i="2"/>
  <c r="BU940" i="2"/>
  <c r="BT940" i="2"/>
  <c r="BS940" i="2"/>
  <c r="BR940" i="2"/>
  <c r="BQ940" i="2"/>
  <c r="BP940" i="2"/>
  <c r="BO940" i="2"/>
  <c r="BM940" i="2"/>
  <c r="BL940" i="2"/>
  <c r="BK940" i="2"/>
  <c r="BI940" i="2"/>
  <c r="BH940" i="2"/>
  <c r="BG940" i="2"/>
  <c r="BE940" i="2"/>
  <c r="BD940" i="2"/>
  <c r="BC940" i="2"/>
  <c r="BA940" i="2"/>
  <c r="AZ940" i="2"/>
  <c r="AY940" i="2"/>
  <c r="AW940" i="2"/>
  <c r="AV940" i="2"/>
  <c r="AU940" i="2"/>
  <c r="AT940" i="2"/>
  <c r="AS940" i="2"/>
  <c r="AR940" i="2"/>
  <c r="AQ940" i="2"/>
  <c r="AO940" i="2"/>
  <c r="AN940" i="2"/>
  <c r="AM940" i="2"/>
  <c r="AK940" i="2"/>
  <c r="AJ940" i="2"/>
  <c r="AI940" i="2"/>
  <c r="AH940" i="2"/>
  <c r="AG940" i="2"/>
  <c r="AF940" i="2"/>
  <c r="AE940" i="2"/>
  <c r="BV939" i="2"/>
  <c r="BU939" i="2"/>
  <c r="BT939" i="2"/>
  <c r="BS939" i="2"/>
  <c r="BR939" i="2"/>
  <c r="BQ939" i="2"/>
  <c r="BP939" i="2"/>
  <c r="BO939" i="2"/>
  <c r="BM939" i="2"/>
  <c r="BL939" i="2"/>
  <c r="BK939" i="2"/>
  <c r="BI939" i="2"/>
  <c r="BH939" i="2"/>
  <c r="BG939" i="2"/>
  <c r="BE939" i="2"/>
  <c r="BD939" i="2"/>
  <c r="BC939" i="2"/>
  <c r="BA939" i="2"/>
  <c r="AZ939" i="2"/>
  <c r="AY939" i="2"/>
  <c r="AW939" i="2"/>
  <c r="AV939" i="2"/>
  <c r="AU939" i="2"/>
  <c r="AT939" i="2"/>
  <c r="AS939" i="2"/>
  <c r="AR939" i="2"/>
  <c r="AQ939" i="2"/>
  <c r="AO939" i="2"/>
  <c r="AN939" i="2"/>
  <c r="AM939" i="2"/>
  <c r="AK939" i="2"/>
  <c r="AJ939" i="2"/>
  <c r="AI939" i="2"/>
  <c r="AH939" i="2"/>
  <c r="AG939" i="2"/>
  <c r="AF939" i="2"/>
  <c r="AE939" i="2"/>
  <c r="BV938" i="2"/>
  <c r="BU938" i="2"/>
  <c r="BT938" i="2"/>
  <c r="BS938" i="2"/>
  <c r="BR938" i="2"/>
  <c r="BQ938" i="2"/>
  <c r="BP938" i="2"/>
  <c r="BO938" i="2"/>
  <c r="BM938" i="2"/>
  <c r="BL938" i="2"/>
  <c r="BK938" i="2"/>
  <c r="BI938" i="2"/>
  <c r="BH938" i="2"/>
  <c r="BG938" i="2"/>
  <c r="BE938" i="2"/>
  <c r="BD938" i="2"/>
  <c r="BC938" i="2"/>
  <c r="BA938" i="2"/>
  <c r="AZ938" i="2"/>
  <c r="AY938" i="2"/>
  <c r="AW938" i="2"/>
  <c r="AV938" i="2"/>
  <c r="AU938" i="2"/>
  <c r="AT938" i="2"/>
  <c r="AS938" i="2"/>
  <c r="AR938" i="2"/>
  <c r="AQ938" i="2"/>
  <c r="AO938" i="2"/>
  <c r="AN938" i="2"/>
  <c r="AM938" i="2"/>
  <c r="AK938" i="2"/>
  <c r="AJ938" i="2"/>
  <c r="AI938" i="2"/>
  <c r="AH938" i="2"/>
  <c r="AG938" i="2"/>
  <c r="AF938" i="2"/>
  <c r="AE938" i="2"/>
  <c r="BV937" i="2"/>
  <c r="BU937" i="2"/>
  <c r="BT937" i="2"/>
  <c r="BS937" i="2"/>
  <c r="BR937" i="2"/>
  <c r="BQ937" i="2"/>
  <c r="BP937" i="2"/>
  <c r="BO937" i="2"/>
  <c r="BL937" i="2"/>
  <c r="BK937" i="2"/>
  <c r="BI937" i="2"/>
  <c r="BH937" i="2"/>
  <c r="BG937" i="2"/>
  <c r="BE937" i="2"/>
  <c r="BD937" i="2"/>
  <c r="BC937" i="2"/>
  <c r="BA937" i="2"/>
  <c r="AZ937" i="2"/>
  <c r="AY937" i="2"/>
  <c r="AW937" i="2"/>
  <c r="AV937" i="2"/>
  <c r="AU937" i="2"/>
  <c r="AT937" i="2"/>
  <c r="AS937" i="2"/>
  <c r="AR937" i="2"/>
  <c r="AQ937" i="2"/>
  <c r="AO937" i="2"/>
  <c r="AN937" i="2"/>
  <c r="AM937" i="2"/>
  <c r="AK937" i="2"/>
  <c r="AJ937" i="2"/>
  <c r="AI937" i="2"/>
  <c r="AH937" i="2"/>
  <c r="AG937" i="2"/>
  <c r="AF937" i="2"/>
  <c r="AE937" i="2"/>
  <c r="BV936" i="2"/>
  <c r="BU936" i="2"/>
  <c r="BT936" i="2"/>
  <c r="BS936" i="2"/>
  <c r="BR936" i="2"/>
  <c r="BQ936" i="2"/>
  <c r="BP936" i="2"/>
  <c r="BO936" i="2"/>
  <c r="BM936" i="2"/>
  <c r="BL936" i="2"/>
  <c r="BK936" i="2"/>
  <c r="BI936" i="2"/>
  <c r="BH936" i="2"/>
  <c r="BG936" i="2"/>
  <c r="BE936" i="2"/>
  <c r="BD936" i="2"/>
  <c r="BC936" i="2"/>
  <c r="BA936" i="2"/>
  <c r="AZ936" i="2"/>
  <c r="AY936" i="2"/>
  <c r="AW936" i="2"/>
  <c r="AV936" i="2"/>
  <c r="AU936" i="2"/>
  <c r="AT936" i="2"/>
  <c r="AS936" i="2"/>
  <c r="AR936" i="2"/>
  <c r="AQ936" i="2"/>
  <c r="AO936" i="2"/>
  <c r="AN936" i="2"/>
  <c r="AM936" i="2"/>
  <c r="AK936" i="2"/>
  <c r="AJ936" i="2"/>
  <c r="AI936" i="2"/>
  <c r="AH936" i="2"/>
  <c r="AG936" i="2"/>
  <c r="AF936" i="2"/>
  <c r="AE936" i="2"/>
  <c r="BV935" i="2"/>
  <c r="BU935" i="2"/>
  <c r="BT935" i="2"/>
  <c r="BS935" i="2"/>
  <c r="BR935" i="2"/>
  <c r="BQ935" i="2"/>
  <c r="BP935" i="2"/>
  <c r="BO935" i="2"/>
  <c r="BM935" i="2"/>
  <c r="BL935" i="2"/>
  <c r="BK935" i="2"/>
  <c r="BI935" i="2"/>
  <c r="BH935" i="2"/>
  <c r="BG935" i="2"/>
  <c r="BE935" i="2"/>
  <c r="BD935" i="2"/>
  <c r="BC935" i="2"/>
  <c r="BA935" i="2"/>
  <c r="AZ935" i="2"/>
  <c r="AY935" i="2"/>
  <c r="AW935" i="2"/>
  <c r="AV935" i="2"/>
  <c r="AU935" i="2"/>
  <c r="AT935" i="2"/>
  <c r="AS935" i="2"/>
  <c r="AR935" i="2"/>
  <c r="AQ935" i="2"/>
  <c r="AO935" i="2"/>
  <c r="AN935" i="2"/>
  <c r="AM935" i="2"/>
  <c r="AK935" i="2"/>
  <c r="AJ935" i="2"/>
  <c r="AI935" i="2"/>
  <c r="AH935" i="2"/>
  <c r="AG935" i="2"/>
  <c r="AF935" i="2"/>
  <c r="AE935" i="2"/>
  <c r="BV934" i="2"/>
  <c r="BU934" i="2"/>
  <c r="BT934" i="2"/>
  <c r="BS934" i="2"/>
  <c r="BQ934" i="2"/>
  <c r="BP934" i="2"/>
  <c r="BO934" i="2"/>
  <c r="BM934" i="2"/>
  <c r="BL934" i="2"/>
  <c r="BK934" i="2"/>
  <c r="BI934" i="2"/>
  <c r="BH934" i="2"/>
  <c r="BG934" i="2"/>
  <c r="BE934" i="2"/>
  <c r="BD934" i="2"/>
  <c r="BC934" i="2"/>
  <c r="BA934" i="2"/>
  <c r="AZ934" i="2"/>
  <c r="AY934" i="2"/>
  <c r="AW934" i="2"/>
  <c r="AV934" i="2"/>
  <c r="AU934" i="2"/>
  <c r="AT934" i="2"/>
  <c r="AS934" i="2"/>
  <c r="AR934" i="2"/>
  <c r="AQ934" i="2"/>
  <c r="AO934" i="2"/>
  <c r="AM934" i="2"/>
  <c r="AK934" i="2"/>
  <c r="AJ934" i="2"/>
  <c r="AI934" i="2"/>
  <c r="AG934" i="2"/>
  <c r="AF934" i="2"/>
  <c r="AE934" i="2"/>
  <c r="BV933" i="2"/>
  <c r="BU933" i="2"/>
  <c r="BT933" i="2"/>
  <c r="BS933" i="2"/>
  <c r="BR933" i="2"/>
  <c r="BQ933" i="2"/>
  <c r="BP933" i="2"/>
  <c r="BO933" i="2"/>
  <c r="BM933" i="2"/>
  <c r="BL933" i="2"/>
  <c r="BI933" i="2"/>
  <c r="BH933" i="2"/>
  <c r="BG933" i="2"/>
  <c r="BD933" i="2"/>
  <c r="BA933" i="2"/>
  <c r="AZ933" i="2"/>
  <c r="AY933" i="2"/>
  <c r="AV933" i="2"/>
  <c r="AT933" i="2"/>
  <c r="AS933" i="2"/>
  <c r="AQ933" i="2"/>
  <c r="AO933" i="2"/>
  <c r="AN933" i="2"/>
  <c r="AM933" i="2"/>
  <c r="AK933" i="2"/>
  <c r="AJ933" i="2"/>
  <c r="AI933" i="2"/>
  <c r="AG933" i="2"/>
  <c r="AF933" i="2"/>
  <c r="AE933" i="2"/>
  <c r="G932" i="2"/>
  <c r="A932" i="2"/>
  <c r="BV931" i="2"/>
  <c r="BU931" i="2"/>
  <c r="BT931" i="2"/>
  <c r="BS931" i="2"/>
  <c r="BR931" i="2"/>
  <c r="BQ931" i="2"/>
  <c r="BP931" i="2"/>
  <c r="BO931" i="2"/>
  <c r="BM931" i="2"/>
  <c r="BL931" i="2"/>
  <c r="BK931" i="2"/>
  <c r="BI931" i="2"/>
  <c r="BH931" i="2"/>
  <c r="BG931" i="2"/>
  <c r="BE931" i="2"/>
  <c r="BD931" i="2"/>
  <c r="BC931" i="2"/>
  <c r="BA931" i="2"/>
  <c r="AZ931" i="2"/>
  <c r="AY931" i="2"/>
  <c r="AW931" i="2"/>
  <c r="AV931" i="2"/>
  <c r="AU931" i="2"/>
  <c r="AT931" i="2"/>
  <c r="AS931" i="2"/>
  <c r="AR931" i="2"/>
  <c r="AQ931" i="2"/>
  <c r="AO931" i="2"/>
  <c r="AN931" i="2"/>
  <c r="AM931" i="2"/>
  <c r="AK931" i="2"/>
  <c r="AJ931" i="2"/>
  <c r="AI931" i="2"/>
  <c r="AG931" i="2"/>
  <c r="AF931" i="2"/>
  <c r="AE931" i="2"/>
  <c r="BV930" i="2"/>
  <c r="BU930" i="2"/>
  <c r="BT930" i="2"/>
  <c r="BS930" i="2"/>
  <c r="BR930" i="2"/>
  <c r="BQ930" i="2"/>
  <c r="BP930" i="2"/>
  <c r="BO930" i="2"/>
  <c r="BM930" i="2"/>
  <c r="BL930" i="2"/>
  <c r="BK930" i="2"/>
  <c r="BI930" i="2"/>
  <c r="BH930" i="2"/>
  <c r="BG930" i="2"/>
  <c r="BE930" i="2"/>
  <c r="BD930" i="2"/>
  <c r="BC930" i="2"/>
  <c r="BA930" i="2"/>
  <c r="AZ930" i="2"/>
  <c r="AY930" i="2"/>
  <c r="AW930" i="2"/>
  <c r="AV930" i="2"/>
  <c r="AU930" i="2"/>
  <c r="AT930" i="2"/>
  <c r="AS930" i="2"/>
  <c r="AR930" i="2"/>
  <c r="AQ930" i="2"/>
  <c r="AO930" i="2"/>
  <c r="AN930" i="2"/>
  <c r="AM930" i="2"/>
  <c r="AK930" i="2"/>
  <c r="AJ930" i="2"/>
  <c r="AI930" i="2"/>
  <c r="AG930" i="2"/>
  <c r="AF930" i="2"/>
  <c r="AE930" i="2"/>
  <c r="BV929" i="2"/>
  <c r="BU929" i="2"/>
  <c r="BT929" i="2"/>
  <c r="BS929" i="2"/>
  <c r="BR929" i="2"/>
  <c r="BQ929" i="2"/>
  <c r="BP929" i="2"/>
  <c r="BO929" i="2"/>
  <c r="BM929" i="2"/>
  <c r="BL929" i="2"/>
  <c r="BK929" i="2"/>
  <c r="BI929" i="2"/>
  <c r="BH929" i="2"/>
  <c r="BG929" i="2"/>
  <c r="BE929" i="2"/>
  <c r="BD929" i="2"/>
  <c r="BC929" i="2"/>
  <c r="BA929" i="2"/>
  <c r="AZ929" i="2"/>
  <c r="AY929" i="2"/>
  <c r="AW929" i="2"/>
  <c r="AV929" i="2"/>
  <c r="AU929" i="2"/>
  <c r="AT929" i="2"/>
  <c r="AS929" i="2"/>
  <c r="AR929" i="2"/>
  <c r="AQ929" i="2"/>
  <c r="AO929" i="2"/>
  <c r="AN929" i="2"/>
  <c r="AM929" i="2"/>
  <c r="AK929" i="2"/>
  <c r="AJ929" i="2"/>
  <c r="AI929" i="2"/>
  <c r="AG929" i="2"/>
  <c r="AF929" i="2"/>
  <c r="AE929" i="2"/>
  <c r="BV928" i="2"/>
  <c r="BU928" i="2"/>
  <c r="BT928" i="2"/>
  <c r="BS928" i="2"/>
  <c r="BR928" i="2"/>
  <c r="BQ928" i="2"/>
  <c r="BP928" i="2"/>
  <c r="BO928" i="2"/>
  <c r="BM928" i="2"/>
  <c r="BL928" i="2"/>
  <c r="BK928" i="2"/>
  <c r="BI928" i="2"/>
  <c r="BH928" i="2"/>
  <c r="BG928" i="2"/>
  <c r="BE928" i="2"/>
  <c r="BD928" i="2"/>
  <c r="BC928" i="2"/>
  <c r="BA928" i="2"/>
  <c r="AZ928" i="2"/>
  <c r="AY928" i="2"/>
  <c r="AW928" i="2"/>
  <c r="AV928" i="2"/>
  <c r="AU928" i="2"/>
  <c r="AT928" i="2"/>
  <c r="AS928" i="2"/>
  <c r="AR928" i="2"/>
  <c r="AQ928" i="2"/>
  <c r="AO928" i="2"/>
  <c r="AN928" i="2"/>
  <c r="AM928" i="2"/>
  <c r="AK928" i="2"/>
  <c r="AJ928" i="2"/>
  <c r="AI928" i="2"/>
  <c r="AG928" i="2"/>
  <c r="AF928" i="2"/>
  <c r="AE928" i="2"/>
  <c r="BV927" i="2"/>
  <c r="BU927" i="2"/>
  <c r="BT927" i="2"/>
  <c r="BS927" i="2"/>
  <c r="BR927" i="2"/>
  <c r="BQ927" i="2"/>
  <c r="BP927" i="2"/>
  <c r="BO927" i="2"/>
  <c r="BM927" i="2"/>
  <c r="BL927" i="2"/>
  <c r="BK927" i="2"/>
  <c r="BI927" i="2"/>
  <c r="BH927" i="2"/>
  <c r="BG927" i="2"/>
  <c r="BE927" i="2"/>
  <c r="BD927" i="2"/>
  <c r="BC927" i="2"/>
  <c r="BA927" i="2"/>
  <c r="AZ927" i="2"/>
  <c r="AY927" i="2"/>
  <c r="AW927" i="2"/>
  <c r="AV927" i="2"/>
  <c r="AU927" i="2"/>
  <c r="AT927" i="2"/>
  <c r="AS927" i="2"/>
  <c r="AR927" i="2"/>
  <c r="AQ927" i="2"/>
  <c r="AO927" i="2"/>
  <c r="AN927" i="2"/>
  <c r="AM927" i="2"/>
  <c r="AK927" i="2"/>
  <c r="AJ927" i="2"/>
  <c r="AI927" i="2"/>
  <c r="AG927" i="2"/>
  <c r="AF927" i="2"/>
  <c r="AE927" i="2"/>
  <c r="BV926" i="2"/>
  <c r="BU926" i="2"/>
  <c r="BT926" i="2"/>
  <c r="BS926" i="2"/>
  <c r="BR926" i="2"/>
  <c r="BQ926" i="2"/>
  <c r="BP926" i="2"/>
  <c r="BO926" i="2"/>
  <c r="BM926" i="2"/>
  <c r="BL926" i="2"/>
  <c r="BK926" i="2"/>
  <c r="BI926" i="2"/>
  <c r="BH926" i="2"/>
  <c r="BG926" i="2"/>
  <c r="BE926" i="2"/>
  <c r="BD926" i="2"/>
  <c r="BC926" i="2"/>
  <c r="BA926" i="2"/>
  <c r="AZ926" i="2"/>
  <c r="AY926" i="2"/>
  <c r="AW926" i="2"/>
  <c r="AV926" i="2"/>
  <c r="AU926" i="2"/>
  <c r="AT926" i="2"/>
  <c r="AS926" i="2"/>
  <c r="AR926" i="2"/>
  <c r="AQ926" i="2"/>
  <c r="AO926" i="2"/>
  <c r="AN926" i="2"/>
  <c r="AM926" i="2"/>
  <c r="AK926" i="2"/>
  <c r="AJ926" i="2"/>
  <c r="AI926" i="2"/>
  <c r="AG926" i="2"/>
  <c r="AF926" i="2"/>
  <c r="AE926" i="2"/>
  <c r="BV925" i="2"/>
  <c r="BU925" i="2"/>
  <c r="BT925" i="2"/>
  <c r="BS925" i="2"/>
  <c r="BR925" i="2"/>
  <c r="BQ925" i="2"/>
  <c r="BP925" i="2"/>
  <c r="BO925" i="2"/>
  <c r="BM925" i="2"/>
  <c r="BL925" i="2"/>
  <c r="BK925" i="2"/>
  <c r="BI925" i="2"/>
  <c r="BH925" i="2"/>
  <c r="BG925" i="2"/>
  <c r="BE925" i="2"/>
  <c r="BD925" i="2"/>
  <c r="BC925" i="2"/>
  <c r="BA925" i="2"/>
  <c r="AZ925" i="2"/>
  <c r="AY925" i="2"/>
  <c r="AW925" i="2"/>
  <c r="AV925" i="2"/>
  <c r="AU925" i="2"/>
  <c r="AT925" i="2"/>
  <c r="AS925" i="2"/>
  <c r="AR925" i="2"/>
  <c r="AQ925" i="2"/>
  <c r="AO925" i="2"/>
  <c r="AN925" i="2"/>
  <c r="AM925" i="2"/>
  <c r="AK925" i="2"/>
  <c r="AJ925" i="2"/>
  <c r="AI925" i="2"/>
  <c r="AG925" i="2"/>
  <c r="AF925" i="2"/>
  <c r="AE925" i="2"/>
  <c r="BV924" i="2"/>
  <c r="BU924" i="2"/>
  <c r="BT924" i="2"/>
  <c r="BS924" i="2"/>
  <c r="BR924" i="2"/>
  <c r="BQ924" i="2"/>
  <c r="BP924" i="2"/>
  <c r="BO924" i="2"/>
  <c r="BM924" i="2"/>
  <c r="BL924" i="2"/>
  <c r="BK924" i="2"/>
  <c r="BI924" i="2"/>
  <c r="BH924" i="2"/>
  <c r="BG924" i="2"/>
  <c r="BE924" i="2"/>
  <c r="BD924" i="2"/>
  <c r="BC924" i="2"/>
  <c r="BA924" i="2"/>
  <c r="AZ924" i="2"/>
  <c r="AY924" i="2"/>
  <c r="AW924" i="2"/>
  <c r="AV924" i="2"/>
  <c r="AU924" i="2"/>
  <c r="AT924" i="2"/>
  <c r="AS924" i="2"/>
  <c r="AR924" i="2"/>
  <c r="AQ924" i="2"/>
  <c r="AO924" i="2"/>
  <c r="AN924" i="2"/>
  <c r="AM924" i="2"/>
  <c r="AK924" i="2"/>
  <c r="AJ924" i="2"/>
  <c r="AI924" i="2"/>
  <c r="AG924" i="2"/>
  <c r="AF924" i="2"/>
  <c r="AE924" i="2"/>
  <c r="BV923" i="2"/>
  <c r="BU923" i="2"/>
  <c r="BT923" i="2"/>
  <c r="BS923" i="2"/>
  <c r="BR923" i="2"/>
  <c r="BQ923" i="2"/>
  <c r="BP923" i="2"/>
  <c r="BO923" i="2"/>
  <c r="BM923" i="2"/>
  <c r="BL923" i="2"/>
  <c r="BK923" i="2"/>
  <c r="BI923" i="2"/>
  <c r="BH923" i="2"/>
  <c r="BG923" i="2"/>
  <c r="BE923" i="2"/>
  <c r="BD923" i="2"/>
  <c r="BC923" i="2"/>
  <c r="BA923" i="2"/>
  <c r="AZ923" i="2"/>
  <c r="AY923" i="2"/>
  <c r="AW923" i="2"/>
  <c r="AV923" i="2"/>
  <c r="AU923" i="2"/>
  <c r="AT923" i="2"/>
  <c r="AS923" i="2"/>
  <c r="AR923" i="2"/>
  <c r="AQ923" i="2"/>
  <c r="AO923" i="2"/>
  <c r="AN923" i="2"/>
  <c r="AM923" i="2"/>
  <c r="AK923" i="2"/>
  <c r="AJ923" i="2"/>
  <c r="AI923" i="2"/>
  <c r="AG923" i="2"/>
  <c r="AF923" i="2"/>
  <c r="AE923" i="2"/>
  <c r="BV922" i="2"/>
  <c r="BU922" i="2"/>
  <c r="BT922" i="2"/>
  <c r="BS922" i="2"/>
  <c r="BR922" i="2"/>
  <c r="BQ922" i="2"/>
  <c r="BP922" i="2"/>
  <c r="BO922" i="2"/>
  <c r="BM922" i="2"/>
  <c r="BL922" i="2"/>
  <c r="BK922" i="2"/>
  <c r="BI922" i="2"/>
  <c r="BH922" i="2"/>
  <c r="BG922" i="2"/>
  <c r="BE922" i="2"/>
  <c r="BD922" i="2"/>
  <c r="BC922" i="2"/>
  <c r="BA922" i="2"/>
  <c r="AZ922" i="2"/>
  <c r="AY922" i="2"/>
  <c r="AW922" i="2"/>
  <c r="AV922" i="2"/>
  <c r="AU922" i="2"/>
  <c r="AT922" i="2"/>
  <c r="AS922" i="2"/>
  <c r="AR922" i="2"/>
  <c r="AQ922" i="2"/>
  <c r="AO922" i="2"/>
  <c r="AN922" i="2"/>
  <c r="AM922" i="2"/>
  <c r="AK922" i="2"/>
  <c r="AJ922" i="2"/>
  <c r="AI922" i="2"/>
  <c r="AG922" i="2"/>
  <c r="AF922" i="2"/>
  <c r="AE922" i="2"/>
  <c r="BV921" i="2"/>
  <c r="BU921" i="2"/>
  <c r="BT921" i="2"/>
  <c r="BS921" i="2"/>
  <c r="BR921" i="2"/>
  <c r="BQ921" i="2"/>
  <c r="BP921" i="2"/>
  <c r="BO921" i="2"/>
  <c r="BM921" i="2"/>
  <c r="BL921" i="2"/>
  <c r="BK921" i="2"/>
  <c r="BI921" i="2"/>
  <c r="BH921" i="2"/>
  <c r="BG921" i="2"/>
  <c r="BE921" i="2"/>
  <c r="BD921" i="2"/>
  <c r="BC921" i="2"/>
  <c r="BA921" i="2"/>
  <c r="AZ921" i="2"/>
  <c r="AY921" i="2"/>
  <c r="AW921" i="2"/>
  <c r="AV921" i="2"/>
  <c r="AU921" i="2"/>
  <c r="AT921" i="2"/>
  <c r="AS921" i="2"/>
  <c r="AR921" i="2"/>
  <c r="AQ921" i="2"/>
  <c r="AO921" i="2"/>
  <c r="AN921" i="2"/>
  <c r="AM921" i="2"/>
  <c r="AK921" i="2"/>
  <c r="AJ921" i="2"/>
  <c r="AI921" i="2"/>
  <c r="AG921" i="2"/>
  <c r="AF921" i="2"/>
  <c r="AE921" i="2"/>
  <c r="BV920" i="2"/>
  <c r="BU920" i="2"/>
  <c r="BT920" i="2"/>
  <c r="BS920" i="2"/>
  <c r="BR920" i="2"/>
  <c r="BQ920" i="2"/>
  <c r="BP920" i="2"/>
  <c r="BO920" i="2"/>
  <c r="BM920" i="2"/>
  <c r="BL920" i="2"/>
  <c r="BK920" i="2"/>
  <c r="BI920" i="2"/>
  <c r="BH920" i="2"/>
  <c r="BG920" i="2"/>
  <c r="BE920" i="2"/>
  <c r="BD920" i="2"/>
  <c r="BC920" i="2"/>
  <c r="BA920" i="2"/>
  <c r="AZ920" i="2"/>
  <c r="AY920" i="2"/>
  <c r="AW920" i="2"/>
  <c r="AV920" i="2"/>
  <c r="AU920" i="2"/>
  <c r="AT920" i="2"/>
  <c r="AS920" i="2"/>
  <c r="AR920" i="2"/>
  <c r="AQ920" i="2"/>
  <c r="AO920" i="2"/>
  <c r="AN920" i="2"/>
  <c r="AM920" i="2"/>
  <c r="AK920" i="2"/>
  <c r="AJ920" i="2"/>
  <c r="AI920" i="2"/>
  <c r="AG920" i="2"/>
  <c r="AF920" i="2"/>
  <c r="AE920" i="2"/>
  <c r="BV919" i="2"/>
  <c r="BU919" i="2"/>
  <c r="BT919" i="2"/>
  <c r="BS919" i="2"/>
  <c r="BR919" i="2"/>
  <c r="BQ919" i="2"/>
  <c r="BP919" i="2"/>
  <c r="BO919" i="2"/>
  <c r="BM919" i="2"/>
  <c r="BL919" i="2"/>
  <c r="BK919" i="2"/>
  <c r="BI919" i="2"/>
  <c r="BH919" i="2"/>
  <c r="BG919" i="2"/>
  <c r="BE919" i="2"/>
  <c r="BD919" i="2"/>
  <c r="BC919" i="2"/>
  <c r="BA919" i="2"/>
  <c r="AZ919" i="2"/>
  <c r="AY919" i="2"/>
  <c r="AW919" i="2"/>
  <c r="AV919" i="2"/>
  <c r="AU919" i="2"/>
  <c r="AT919" i="2"/>
  <c r="AS919" i="2"/>
  <c r="AR919" i="2"/>
  <c r="AQ919" i="2"/>
  <c r="AO919" i="2"/>
  <c r="AN919" i="2"/>
  <c r="AM919" i="2"/>
  <c r="AK919" i="2"/>
  <c r="AJ919" i="2"/>
  <c r="AI919" i="2"/>
  <c r="AG919" i="2"/>
  <c r="AF919" i="2"/>
  <c r="AE919" i="2"/>
  <c r="BV918" i="2"/>
  <c r="BU918" i="2"/>
  <c r="BT918" i="2"/>
  <c r="BS918" i="2"/>
  <c r="BR918" i="2"/>
  <c r="BQ918" i="2"/>
  <c r="BP918" i="2"/>
  <c r="BO918" i="2"/>
  <c r="BM918" i="2"/>
  <c r="BL918" i="2"/>
  <c r="BK918" i="2"/>
  <c r="BI918" i="2"/>
  <c r="BH918" i="2"/>
  <c r="BG918" i="2"/>
  <c r="BE918" i="2"/>
  <c r="BD918" i="2"/>
  <c r="BC918" i="2"/>
  <c r="BA918" i="2"/>
  <c r="AZ918" i="2"/>
  <c r="AY918" i="2"/>
  <c r="AW918" i="2"/>
  <c r="AV918" i="2"/>
  <c r="AU918" i="2"/>
  <c r="AT918" i="2"/>
  <c r="AS918" i="2"/>
  <c r="AR918" i="2"/>
  <c r="AQ918" i="2"/>
  <c r="AO918" i="2"/>
  <c r="AN918" i="2"/>
  <c r="AM918" i="2"/>
  <c r="AK918" i="2"/>
  <c r="AJ918" i="2"/>
  <c r="AI918" i="2"/>
  <c r="AG918" i="2"/>
  <c r="AF918" i="2"/>
  <c r="AE918" i="2"/>
  <c r="BV917" i="2"/>
  <c r="BU917" i="2"/>
  <c r="BT917" i="2"/>
  <c r="BS917" i="2"/>
  <c r="BR917" i="2"/>
  <c r="BQ917" i="2"/>
  <c r="BP917" i="2"/>
  <c r="BO917" i="2"/>
  <c r="BM917" i="2"/>
  <c r="BL917" i="2"/>
  <c r="BK917" i="2"/>
  <c r="BI917" i="2"/>
  <c r="BH917" i="2"/>
  <c r="BG917" i="2"/>
  <c r="BE917" i="2"/>
  <c r="BD917" i="2"/>
  <c r="BC917" i="2"/>
  <c r="BA917" i="2"/>
  <c r="AZ917" i="2"/>
  <c r="AY917" i="2"/>
  <c r="AW917" i="2"/>
  <c r="AV917" i="2"/>
  <c r="AU917" i="2"/>
  <c r="AT917" i="2"/>
  <c r="AS917" i="2"/>
  <c r="AR917" i="2"/>
  <c r="AQ917" i="2"/>
  <c r="AO917" i="2"/>
  <c r="AN917" i="2"/>
  <c r="AM917" i="2"/>
  <c r="AK917" i="2"/>
  <c r="AJ917" i="2"/>
  <c r="AI917" i="2"/>
  <c r="AG917" i="2"/>
  <c r="AF917" i="2"/>
  <c r="AE917" i="2"/>
  <c r="BV916" i="2"/>
  <c r="BU916" i="2"/>
  <c r="BT916" i="2"/>
  <c r="BS916" i="2"/>
  <c r="BR916" i="2"/>
  <c r="BQ916" i="2"/>
  <c r="BP916" i="2"/>
  <c r="BO916" i="2"/>
  <c r="BM916" i="2"/>
  <c r="BL916" i="2"/>
  <c r="BK916" i="2"/>
  <c r="BI916" i="2"/>
  <c r="BH916" i="2"/>
  <c r="BG916" i="2"/>
  <c r="BE916" i="2"/>
  <c r="BD916" i="2"/>
  <c r="BC916" i="2"/>
  <c r="BA916" i="2"/>
  <c r="AZ916" i="2"/>
  <c r="AY916" i="2"/>
  <c r="AW916" i="2"/>
  <c r="AV916" i="2"/>
  <c r="AU916" i="2"/>
  <c r="AT916" i="2"/>
  <c r="AS916" i="2"/>
  <c r="AR916" i="2"/>
  <c r="AQ916" i="2"/>
  <c r="AO916" i="2"/>
  <c r="AN916" i="2"/>
  <c r="AM916" i="2"/>
  <c r="AK916" i="2"/>
  <c r="AJ916" i="2"/>
  <c r="AI916" i="2"/>
  <c r="AG916" i="2"/>
  <c r="AF916" i="2"/>
  <c r="AE916" i="2"/>
  <c r="BV915" i="2"/>
  <c r="BU915" i="2"/>
  <c r="BT915" i="2"/>
  <c r="BS915" i="2"/>
  <c r="BR915" i="2"/>
  <c r="BQ915" i="2"/>
  <c r="BP915" i="2"/>
  <c r="BO915" i="2"/>
  <c r="BM915" i="2"/>
  <c r="BL915" i="2"/>
  <c r="BK915" i="2"/>
  <c r="BI915" i="2"/>
  <c r="BH915" i="2"/>
  <c r="BG915" i="2"/>
  <c r="BE915" i="2"/>
  <c r="BD915" i="2"/>
  <c r="BC915" i="2"/>
  <c r="BA915" i="2"/>
  <c r="AZ915" i="2"/>
  <c r="AY915" i="2"/>
  <c r="AW915" i="2"/>
  <c r="AV915" i="2"/>
  <c r="AU915" i="2"/>
  <c r="AT915" i="2"/>
  <c r="AS915" i="2"/>
  <c r="AR915" i="2"/>
  <c r="AQ915" i="2"/>
  <c r="AO915" i="2"/>
  <c r="AN915" i="2"/>
  <c r="AM915" i="2"/>
  <c r="AK915" i="2"/>
  <c r="AJ915" i="2"/>
  <c r="AI915" i="2"/>
  <c r="AG915" i="2"/>
  <c r="AF915" i="2"/>
  <c r="AE915" i="2"/>
  <c r="BV914" i="2"/>
  <c r="BU914" i="2"/>
  <c r="BT914" i="2"/>
  <c r="BS914" i="2"/>
  <c r="BR914" i="2"/>
  <c r="BQ914" i="2"/>
  <c r="BP914" i="2"/>
  <c r="BO914" i="2"/>
  <c r="BM914" i="2"/>
  <c r="BL914" i="2"/>
  <c r="BK914" i="2"/>
  <c r="BI914" i="2"/>
  <c r="BH914" i="2"/>
  <c r="BG914" i="2"/>
  <c r="BE914" i="2"/>
  <c r="BD914" i="2"/>
  <c r="BC914" i="2"/>
  <c r="BA914" i="2"/>
  <c r="AZ914" i="2"/>
  <c r="AY914" i="2"/>
  <c r="AW914" i="2"/>
  <c r="AV914" i="2"/>
  <c r="AU914" i="2"/>
  <c r="AT914" i="2"/>
  <c r="AS914" i="2"/>
  <c r="AR914" i="2"/>
  <c r="AQ914" i="2"/>
  <c r="AO914" i="2"/>
  <c r="AN914" i="2"/>
  <c r="AM914" i="2"/>
  <c r="AK914" i="2"/>
  <c r="AJ914" i="2"/>
  <c r="AI914" i="2"/>
  <c r="AG914" i="2"/>
  <c r="AF914" i="2"/>
  <c r="AE914" i="2"/>
  <c r="BV913" i="2"/>
  <c r="BU913" i="2"/>
  <c r="BT913" i="2"/>
  <c r="BS913" i="2"/>
  <c r="BR913" i="2"/>
  <c r="BQ913" i="2"/>
  <c r="BP913" i="2"/>
  <c r="BO913" i="2"/>
  <c r="BM913" i="2"/>
  <c r="BL913" i="2"/>
  <c r="BK913" i="2"/>
  <c r="BI913" i="2"/>
  <c r="BH913" i="2"/>
  <c r="BG913" i="2"/>
  <c r="BE913" i="2"/>
  <c r="BD913" i="2"/>
  <c r="BC913" i="2"/>
  <c r="BA913" i="2"/>
  <c r="AZ913" i="2"/>
  <c r="AY913" i="2"/>
  <c r="AW913" i="2"/>
  <c r="AV913" i="2"/>
  <c r="AU913" i="2"/>
  <c r="AT913" i="2"/>
  <c r="AS913" i="2"/>
  <c r="AR913" i="2"/>
  <c r="AQ913" i="2"/>
  <c r="AO913" i="2"/>
  <c r="AN913" i="2"/>
  <c r="AM913" i="2"/>
  <c r="AK913" i="2"/>
  <c r="AJ913" i="2"/>
  <c r="AI913" i="2"/>
  <c r="AG913" i="2"/>
  <c r="AF913" i="2"/>
  <c r="AE913" i="2"/>
  <c r="BV912" i="2"/>
  <c r="BU912" i="2"/>
  <c r="BT912" i="2"/>
  <c r="BS912" i="2"/>
  <c r="BR912" i="2"/>
  <c r="BQ912" i="2"/>
  <c r="BP912" i="2"/>
  <c r="BO912" i="2"/>
  <c r="BM912" i="2"/>
  <c r="BL912" i="2"/>
  <c r="BK912" i="2"/>
  <c r="BI912" i="2"/>
  <c r="BH912" i="2"/>
  <c r="BG912" i="2"/>
  <c r="BE912" i="2"/>
  <c r="BD912" i="2"/>
  <c r="BC912" i="2"/>
  <c r="BA912" i="2"/>
  <c r="AZ912" i="2"/>
  <c r="AY912" i="2"/>
  <c r="AW912" i="2"/>
  <c r="AV912" i="2"/>
  <c r="AU912" i="2"/>
  <c r="AT912" i="2"/>
  <c r="AS912" i="2"/>
  <c r="AR912" i="2"/>
  <c r="AQ912" i="2"/>
  <c r="AO912" i="2"/>
  <c r="AN912" i="2"/>
  <c r="AM912" i="2"/>
  <c r="AK912" i="2"/>
  <c r="AJ912" i="2"/>
  <c r="AI912" i="2"/>
  <c r="AG912" i="2"/>
  <c r="AF912" i="2"/>
  <c r="AE912" i="2"/>
  <c r="BV911" i="2"/>
  <c r="BU911" i="2"/>
  <c r="BT911" i="2"/>
  <c r="BS911" i="2"/>
  <c r="BR911" i="2"/>
  <c r="BQ911" i="2"/>
  <c r="BP911" i="2"/>
  <c r="BO911" i="2"/>
  <c r="BM911" i="2"/>
  <c r="BL911" i="2"/>
  <c r="BK911" i="2"/>
  <c r="BI911" i="2"/>
  <c r="BH911" i="2"/>
  <c r="BG911" i="2"/>
  <c r="BE911" i="2"/>
  <c r="BD911" i="2"/>
  <c r="BC911" i="2"/>
  <c r="BA911" i="2"/>
  <c r="AZ911" i="2"/>
  <c r="AY911" i="2"/>
  <c r="AW911" i="2"/>
  <c r="AV911" i="2"/>
  <c r="AU911" i="2"/>
  <c r="AT911" i="2"/>
  <c r="AS911" i="2"/>
  <c r="AR911" i="2"/>
  <c r="AQ911" i="2"/>
  <c r="AO911" i="2"/>
  <c r="AN911" i="2"/>
  <c r="AM911" i="2"/>
  <c r="AK911" i="2"/>
  <c r="AJ911" i="2"/>
  <c r="AI911" i="2"/>
  <c r="AG911" i="2"/>
  <c r="AF911" i="2"/>
  <c r="AE911" i="2"/>
  <c r="BV910" i="2"/>
  <c r="BU910" i="2"/>
  <c r="BT910" i="2"/>
  <c r="BS910" i="2"/>
  <c r="BR910" i="2"/>
  <c r="BQ910" i="2"/>
  <c r="BP910" i="2"/>
  <c r="BO910" i="2"/>
  <c r="BM910" i="2"/>
  <c r="BL910" i="2"/>
  <c r="BK910" i="2"/>
  <c r="BI910" i="2"/>
  <c r="BH910" i="2"/>
  <c r="BG910" i="2"/>
  <c r="BE910" i="2"/>
  <c r="BD910" i="2"/>
  <c r="BC910" i="2"/>
  <c r="BA910" i="2"/>
  <c r="AZ910" i="2"/>
  <c r="AY910" i="2"/>
  <c r="AW910" i="2"/>
  <c r="AV910" i="2"/>
  <c r="AU910" i="2"/>
  <c r="AT910" i="2"/>
  <c r="AS910" i="2"/>
  <c r="AR910" i="2"/>
  <c r="AQ910" i="2"/>
  <c r="AO910" i="2"/>
  <c r="AN910" i="2"/>
  <c r="AM910" i="2"/>
  <c r="AK910" i="2"/>
  <c r="AJ910" i="2"/>
  <c r="AI910" i="2"/>
  <c r="AG910" i="2"/>
  <c r="AF910" i="2"/>
  <c r="AE910" i="2"/>
  <c r="BV909" i="2"/>
  <c r="BU909" i="2"/>
  <c r="BT909" i="2"/>
  <c r="BS909" i="2"/>
  <c r="BR909" i="2"/>
  <c r="BQ909" i="2"/>
  <c r="BP909" i="2"/>
  <c r="BO909" i="2"/>
  <c r="BM909" i="2"/>
  <c r="BL909" i="2"/>
  <c r="BK909" i="2"/>
  <c r="BI909" i="2"/>
  <c r="BH909" i="2"/>
  <c r="BG909" i="2"/>
  <c r="BE909" i="2"/>
  <c r="BD909" i="2"/>
  <c r="BC909" i="2"/>
  <c r="BA909" i="2"/>
  <c r="AZ909" i="2"/>
  <c r="AY909" i="2"/>
  <c r="AW909" i="2"/>
  <c r="AV909" i="2"/>
  <c r="AU909" i="2"/>
  <c r="AT909" i="2"/>
  <c r="AS909" i="2"/>
  <c r="AR909" i="2"/>
  <c r="AQ909" i="2"/>
  <c r="AO909" i="2"/>
  <c r="AN909" i="2"/>
  <c r="AM909" i="2"/>
  <c r="AK909" i="2"/>
  <c r="AJ909" i="2"/>
  <c r="AI909" i="2"/>
  <c r="AG909" i="2"/>
  <c r="AF909" i="2"/>
  <c r="AE909" i="2"/>
  <c r="BV908" i="2"/>
  <c r="BU908" i="2"/>
  <c r="BT908" i="2"/>
  <c r="BS908" i="2"/>
  <c r="BR908" i="2"/>
  <c r="BQ908" i="2"/>
  <c r="BP908" i="2"/>
  <c r="BO908" i="2"/>
  <c r="BM908" i="2"/>
  <c r="BL908" i="2"/>
  <c r="BK908" i="2"/>
  <c r="BI908" i="2"/>
  <c r="BH908" i="2"/>
  <c r="BG908" i="2"/>
  <c r="BE908" i="2"/>
  <c r="BD908" i="2"/>
  <c r="BC908" i="2"/>
  <c r="BA908" i="2"/>
  <c r="AZ908" i="2"/>
  <c r="AY908" i="2"/>
  <c r="AW908" i="2"/>
  <c r="AV908" i="2"/>
  <c r="AU908" i="2"/>
  <c r="AT908" i="2"/>
  <c r="AS908" i="2"/>
  <c r="AR908" i="2"/>
  <c r="AQ908" i="2"/>
  <c r="AO908" i="2"/>
  <c r="AN908" i="2"/>
  <c r="AM908" i="2"/>
  <c r="AK908" i="2"/>
  <c r="AJ908" i="2"/>
  <c r="AI908" i="2"/>
  <c r="AG908" i="2"/>
  <c r="AF908" i="2"/>
  <c r="AE908" i="2"/>
  <c r="BV907" i="2"/>
  <c r="BU907" i="2"/>
  <c r="BT907" i="2"/>
  <c r="BS907" i="2"/>
  <c r="BR907" i="2"/>
  <c r="BQ907" i="2"/>
  <c r="BP907" i="2"/>
  <c r="BO907" i="2"/>
  <c r="BM907" i="2"/>
  <c r="BL907" i="2"/>
  <c r="BK907" i="2"/>
  <c r="BI907" i="2"/>
  <c r="BH907" i="2"/>
  <c r="BG907" i="2"/>
  <c r="BE907" i="2"/>
  <c r="BD907" i="2"/>
  <c r="BC907" i="2"/>
  <c r="BA907" i="2"/>
  <c r="AZ907" i="2"/>
  <c r="AY907" i="2"/>
  <c r="AW907" i="2"/>
  <c r="AV907" i="2"/>
  <c r="AU907" i="2"/>
  <c r="AT907" i="2"/>
  <c r="AS907" i="2"/>
  <c r="AR907" i="2"/>
  <c r="AQ907" i="2"/>
  <c r="AO907" i="2"/>
  <c r="AN907" i="2"/>
  <c r="AM907" i="2"/>
  <c r="AK907" i="2"/>
  <c r="AJ907" i="2"/>
  <c r="AI907" i="2"/>
  <c r="AG907" i="2"/>
  <c r="AF907" i="2"/>
  <c r="AE907" i="2"/>
  <c r="BV906" i="2"/>
  <c r="BU906" i="2"/>
  <c r="BT906" i="2"/>
  <c r="BS906" i="2"/>
  <c r="BR906" i="2"/>
  <c r="BQ906" i="2"/>
  <c r="BP906" i="2"/>
  <c r="BO906" i="2"/>
  <c r="BM906" i="2"/>
  <c r="BL906" i="2"/>
  <c r="BK906" i="2"/>
  <c r="BI906" i="2"/>
  <c r="BH906" i="2"/>
  <c r="BG906" i="2"/>
  <c r="BE906" i="2"/>
  <c r="BD906" i="2"/>
  <c r="BC906" i="2"/>
  <c r="BA906" i="2"/>
  <c r="AZ906" i="2"/>
  <c r="AY906" i="2"/>
  <c r="AW906" i="2"/>
  <c r="AV906" i="2"/>
  <c r="AU906" i="2"/>
  <c r="AT906" i="2"/>
  <c r="AS906" i="2"/>
  <c r="AR906" i="2"/>
  <c r="AQ906" i="2"/>
  <c r="AO906" i="2"/>
  <c r="AN906" i="2"/>
  <c r="AM906" i="2"/>
  <c r="AK906" i="2"/>
  <c r="AJ906" i="2"/>
  <c r="AI906" i="2"/>
  <c r="AG906" i="2"/>
  <c r="AF906" i="2"/>
  <c r="AE906" i="2"/>
  <c r="BV905" i="2"/>
  <c r="BU905" i="2"/>
  <c r="BT905" i="2"/>
  <c r="BS905" i="2"/>
  <c r="BR905" i="2"/>
  <c r="BQ905" i="2"/>
  <c r="BP905" i="2"/>
  <c r="BO905" i="2"/>
  <c r="BM905" i="2"/>
  <c r="BL905" i="2"/>
  <c r="BK905" i="2"/>
  <c r="BI905" i="2"/>
  <c r="BH905" i="2"/>
  <c r="BG905" i="2"/>
  <c r="BE905" i="2"/>
  <c r="BD905" i="2"/>
  <c r="BC905" i="2"/>
  <c r="BA905" i="2"/>
  <c r="AZ905" i="2"/>
  <c r="AY905" i="2"/>
  <c r="AW905" i="2"/>
  <c r="AV905" i="2"/>
  <c r="AU905" i="2"/>
  <c r="AT905" i="2"/>
  <c r="AS905" i="2"/>
  <c r="AR905" i="2"/>
  <c r="AQ905" i="2"/>
  <c r="AO905" i="2"/>
  <c r="AN905" i="2"/>
  <c r="AM905" i="2"/>
  <c r="AK905" i="2"/>
  <c r="AJ905" i="2"/>
  <c r="AI905" i="2"/>
  <c r="AG905" i="2"/>
  <c r="AF905" i="2"/>
  <c r="AE905" i="2"/>
  <c r="BV904" i="2"/>
  <c r="BU904" i="2"/>
  <c r="BT904" i="2"/>
  <c r="BS904" i="2"/>
  <c r="BR904" i="2"/>
  <c r="BQ904" i="2"/>
  <c r="BP904" i="2"/>
  <c r="BO904" i="2"/>
  <c r="BM904" i="2"/>
  <c r="BL904" i="2"/>
  <c r="BK904" i="2"/>
  <c r="BI904" i="2"/>
  <c r="BH904" i="2"/>
  <c r="BG904" i="2"/>
  <c r="BE904" i="2"/>
  <c r="BD904" i="2"/>
  <c r="BC904" i="2"/>
  <c r="BA904" i="2"/>
  <c r="AZ904" i="2"/>
  <c r="AY904" i="2"/>
  <c r="AW904" i="2"/>
  <c r="AV904" i="2"/>
  <c r="AU904" i="2"/>
  <c r="AT904" i="2"/>
  <c r="AS904" i="2"/>
  <c r="AR904" i="2"/>
  <c r="AQ904" i="2"/>
  <c r="AO904" i="2"/>
  <c r="AN904" i="2"/>
  <c r="AM904" i="2"/>
  <c r="AK904" i="2"/>
  <c r="AJ904" i="2"/>
  <c r="AI904" i="2"/>
  <c r="AG904" i="2"/>
  <c r="AF904" i="2"/>
  <c r="AE904" i="2"/>
  <c r="BV903" i="2"/>
  <c r="BU903" i="2"/>
  <c r="BT903" i="2"/>
  <c r="BS903" i="2"/>
  <c r="BR903" i="2"/>
  <c r="BQ903" i="2"/>
  <c r="BP903" i="2"/>
  <c r="BO903" i="2"/>
  <c r="BM903" i="2"/>
  <c r="BL903" i="2"/>
  <c r="BK903" i="2"/>
  <c r="BI903" i="2"/>
  <c r="BH903" i="2"/>
  <c r="BG903" i="2"/>
  <c r="BE903" i="2"/>
  <c r="BD903" i="2"/>
  <c r="BC903" i="2"/>
  <c r="BA903" i="2"/>
  <c r="AZ903" i="2"/>
  <c r="AY903" i="2"/>
  <c r="AW903" i="2"/>
  <c r="AV903" i="2"/>
  <c r="AU903" i="2"/>
  <c r="AT903" i="2"/>
  <c r="AS903" i="2"/>
  <c r="AR903" i="2"/>
  <c r="AQ903" i="2"/>
  <c r="AO903" i="2"/>
  <c r="AN903" i="2"/>
  <c r="AM903" i="2"/>
  <c r="AK903" i="2"/>
  <c r="AJ903" i="2"/>
  <c r="AI903" i="2"/>
  <c r="AG903" i="2"/>
  <c r="AF903" i="2"/>
  <c r="AE903" i="2"/>
  <c r="BV902" i="2"/>
  <c r="BU902" i="2"/>
  <c r="BT902" i="2"/>
  <c r="BS902" i="2"/>
  <c r="BR902" i="2"/>
  <c r="BQ902" i="2"/>
  <c r="BP902" i="2"/>
  <c r="BO902" i="2"/>
  <c r="BM902" i="2"/>
  <c r="BL902" i="2"/>
  <c r="BK902" i="2"/>
  <c r="BI902" i="2"/>
  <c r="BH902" i="2"/>
  <c r="BG902" i="2"/>
  <c r="BE902" i="2"/>
  <c r="BD902" i="2"/>
  <c r="BC902" i="2"/>
  <c r="BA902" i="2"/>
  <c r="AZ902" i="2"/>
  <c r="AY902" i="2"/>
  <c r="AW902" i="2"/>
  <c r="AV902" i="2"/>
  <c r="AU902" i="2"/>
  <c r="AT902" i="2"/>
  <c r="AS902" i="2"/>
  <c r="AR902" i="2"/>
  <c r="AQ902" i="2"/>
  <c r="AO902" i="2"/>
  <c r="AN902" i="2"/>
  <c r="AM902" i="2"/>
  <c r="AK902" i="2"/>
  <c r="AJ902" i="2"/>
  <c r="AI902" i="2"/>
  <c r="AG902" i="2"/>
  <c r="AF902" i="2"/>
  <c r="AE902" i="2"/>
  <c r="BV901" i="2"/>
  <c r="BU901" i="2"/>
  <c r="BT901" i="2"/>
  <c r="BS901" i="2"/>
  <c r="BR901" i="2"/>
  <c r="BQ901" i="2"/>
  <c r="BP901" i="2"/>
  <c r="BO901" i="2"/>
  <c r="BM901" i="2"/>
  <c r="BL901" i="2"/>
  <c r="BK901" i="2"/>
  <c r="BI901" i="2"/>
  <c r="BH901" i="2"/>
  <c r="BG901" i="2"/>
  <c r="BE901" i="2"/>
  <c r="BD901" i="2"/>
  <c r="BC901" i="2"/>
  <c r="BA901" i="2"/>
  <c r="AZ901" i="2"/>
  <c r="AY901" i="2"/>
  <c r="AW901" i="2"/>
  <c r="AV901" i="2"/>
  <c r="AU901" i="2"/>
  <c r="AT901" i="2"/>
  <c r="AS901" i="2"/>
  <c r="AR901" i="2"/>
  <c r="AQ901" i="2"/>
  <c r="AO901" i="2"/>
  <c r="AN901" i="2"/>
  <c r="AM901" i="2"/>
  <c r="AK901" i="2"/>
  <c r="AJ901" i="2"/>
  <c r="AI901" i="2"/>
  <c r="AG901" i="2"/>
  <c r="AF901" i="2"/>
  <c r="AE901" i="2"/>
  <c r="BV900" i="2"/>
  <c r="BU900" i="2"/>
  <c r="BT900" i="2"/>
  <c r="BS900" i="2"/>
  <c r="BR900" i="2"/>
  <c r="BQ900" i="2"/>
  <c r="BP900" i="2"/>
  <c r="BO900" i="2"/>
  <c r="BM900" i="2"/>
  <c r="BL900" i="2"/>
  <c r="BK900" i="2"/>
  <c r="BI900" i="2"/>
  <c r="BH900" i="2"/>
  <c r="BG900" i="2"/>
  <c r="BE900" i="2"/>
  <c r="BD900" i="2"/>
  <c r="BC900" i="2"/>
  <c r="BA900" i="2"/>
  <c r="AZ900" i="2"/>
  <c r="AY900" i="2"/>
  <c r="AW900" i="2"/>
  <c r="AV900" i="2"/>
  <c r="AU900" i="2"/>
  <c r="AT900" i="2"/>
  <c r="AS900" i="2"/>
  <c r="AR900" i="2"/>
  <c r="AQ900" i="2"/>
  <c r="AO900" i="2"/>
  <c r="AN900" i="2"/>
  <c r="AM900" i="2"/>
  <c r="AK900" i="2"/>
  <c r="AJ900" i="2"/>
  <c r="AI900" i="2"/>
  <c r="AG900" i="2"/>
  <c r="AF900" i="2"/>
  <c r="AE900" i="2"/>
  <c r="BV899" i="2"/>
  <c r="BU899" i="2"/>
  <c r="BT899" i="2"/>
  <c r="BS899" i="2"/>
  <c r="BR899" i="2"/>
  <c r="BQ899" i="2"/>
  <c r="BP899" i="2"/>
  <c r="BO899" i="2"/>
  <c r="BM899" i="2"/>
  <c r="BL899" i="2"/>
  <c r="BK899" i="2"/>
  <c r="BI899" i="2"/>
  <c r="BH899" i="2"/>
  <c r="BG899" i="2"/>
  <c r="BE899" i="2"/>
  <c r="BD899" i="2"/>
  <c r="BC899" i="2"/>
  <c r="BA899" i="2"/>
  <c r="AZ899" i="2"/>
  <c r="AY899" i="2"/>
  <c r="AW899" i="2"/>
  <c r="AV899" i="2"/>
  <c r="AU899" i="2"/>
  <c r="AT899" i="2"/>
  <c r="AS899" i="2"/>
  <c r="AR899" i="2"/>
  <c r="AQ899" i="2"/>
  <c r="AO899" i="2"/>
  <c r="AN899" i="2"/>
  <c r="AM899" i="2"/>
  <c r="AK899" i="2"/>
  <c r="AJ899" i="2"/>
  <c r="AI899" i="2"/>
  <c r="AG899" i="2"/>
  <c r="AF899" i="2"/>
  <c r="AE899" i="2"/>
  <c r="CA897" i="2"/>
  <c r="BZ897" i="2"/>
  <c r="BY897" i="2"/>
  <c r="BU896" i="2"/>
  <c r="BT896" i="2"/>
  <c r="BS896" i="2"/>
  <c r="BQ896" i="2"/>
  <c r="BP896" i="2"/>
  <c r="BO896" i="2"/>
  <c r="BM896" i="2"/>
  <c r="BL896" i="2"/>
  <c r="BK896" i="2"/>
  <c r="BI896" i="2"/>
  <c r="BH896" i="2"/>
  <c r="BG896" i="2"/>
  <c r="BE896" i="2"/>
  <c r="BD896" i="2"/>
  <c r="BC896" i="2"/>
  <c r="BA896" i="2"/>
  <c r="AZ896" i="2"/>
  <c r="AY896" i="2"/>
  <c r="AW896" i="2"/>
  <c r="AV896" i="2"/>
  <c r="AU896" i="2"/>
  <c r="AS896" i="2"/>
  <c r="AR896" i="2"/>
  <c r="AQ896" i="2"/>
  <c r="AO896" i="2"/>
  <c r="AN896" i="2"/>
  <c r="AM896" i="2"/>
  <c r="AK896" i="2"/>
  <c r="AJ896" i="2"/>
  <c r="AI896" i="2"/>
  <c r="AG896" i="2"/>
  <c r="AF896" i="2"/>
  <c r="AE896" i="2"/>
  <c r="CB895" i="2"/>
  <c r="CA895" i="2"/>
  <c r="BZ895" i="2"/>
  <c r="BY895" i="2"/>
  <c r="CB894" i="2"/>
  <c r="CA894" i="2"/>
  <c r="BZ894" i="2"/>
  <c r="BY894" i="2"/>
  <c r="CB893" i="2"/>
  <c r="CA893" i="2"/>
  <c r="BZ893" i="2"/>
  <c r="BY893" i="2"/>
  <c r="CB892" i="2"/>
  <c r="CA892" i="2"/>
  <c r="BZ892" i="2"/>
  <c r="BY892" i="2"/>
  <c r="CB890" i="2"/>
  <c r="CA890" i="2"/>
  <c r="BZ890" i="2"/>
  <c r="BY890" i="2"/>
  <c r="CB889" i="2"/>
  <c r="CA889" i="2"/>
  <c r="BZ889" i="2"/>
  <c r="BY889" i="2"/>
  <c r="CB888" i="2"/>
  <c r="CA888" i="2"/>
  <c r="BZ888" i="2"/>
  <c r="BY888" i="2"/>
  <c r="CB887" i="2"/>
  <c r="CA887" i="2"/>
  <c r="BZ887" i="2"/>
  <c r="BY887" i="2"/>
  <c r="CB886" i="2"/>
  <c r="CA886" i="2"/>
  <c r="BZ886" i="2"/>
  <c r="BY886" i="2"/>
  <c r="CB885" i="2"/>
  <c r="CA885" i="2"/>
  <c r="BZ885" i="2"/>
  <c r="BY885" i="2"/>
  <c r="CB884" i="2"/>
  <c r="CA884" i="2"/>
  <c r="BZ884" i="2"/>
  <c r="BY884" i="2"/>
  <c r="CB883" i="2"/>
  <c r="CA883" i="2"/>
  <c r="BZ883" i="2"/>
  <c r="BY883" i="2"/>
  <c r="BU882" i="2"/>
  <c r="BT882" i="2"/>
  <c r="BS882" i="2"/>
  <c r="BR882" i="2"/>
  <c r="BQ882" i="2"/>
  <c r="BP882" i="2"/>
  <c r="BO882" i="2"/>
  <c r="BL882" i="2"/>
  <c r="BK882" i="2"/>
  <c r="BI882" i="2"/>
  <c r="BH882" i="2"/>
  <c r="BG882" i="2"/>
  <c r="BE882" i="2"/>
  <c r="BD882" i="2"/>
  <c r="BC882" i="2"/>
  <c r="BA882" i="2"/>
  <c r="AZ882" i="2"/>
  <c r="AY882" i="2"/>
  <c r="AW882" i="2"/>
  <c r="AV882" i="2"/>
  <c r="AU882" i="2"/>
  <c r="AT882" i="2"/>
  <c r="AS882" i="2"/>
  <c r="AR882" i="2"/>
  <c r="AQ882" i="2"/>
  <c r="AP882" i="2"/>
  <c r="AO882" i="2"/>
  <c r="AN882" i="2"/>
  <c r="AM882" i="2"/>
  <c r="AK882" i="2"/>
  <c r="AJ882" i="2"/>
  <c r="AI882" i="2"/>
  <c r="AH882" i="2"/>
  <c r="AG882" i="2"/>
  <c r="AF882" i="2"/>
  <c r="AE882" i="2"/>
  <c r="BQ880" i="2"/>
  <c r="BP880" i="2"/>
  <c r="BO880" i="2"/>
  <c r="BM880" i="2"/>
  <c r="BL880" i="2"/>
  <c r="BK880" i="2"/>
  <c r="BA880" i="2"/>
  <c r="AZ880" i="2"/>
  <c r="AY880" i="2"/>
  <c r="AW880" i="2"/>
  <c r="AV880" i="2"/>
  <c r="AU880" i="2"/>
  <c r="AS880" i="2"/>
  <c r="AQ880" i="2"/>
  <c r="AO880" i="2"/>
  <c r="AN880" i="2"/>
  <c r="AM880" i="2"/>
  <c r="AJ880" i="2"/>
  <c r="AF880" i="2"/>
  <c r="BV879" i="2"/>
  <c r="BU879" i="2"/>
  <c r="BT879" i="2"/>
  <c r="BS879" i="2"/>
  <c r="BR879" i="2"/>
  <c r="BQ879" i="2"/>
  <c r="BP879" i="2"/>
  <c r="BO879" i="2"/>
  <c r="BN879" i="2"/>
  <c r="BM879" i="2"/>
  <c r="BL879" i="2"/>
  <c r="BK879" i="2"/>
  <c r="BJ879" i="2"/>
  <c r="BH879" i="2"/>
  <c r="BG879" i="2"/>
  <c r="BF879" i="2"/>
  <c r="BE879" i="2"/>
  <c r="BD879" i="2"/>
  <c r="BC879" i="2"/>
  <c r="BB879" i="2"/>
  <c r="BA879" i="2"/>
  <c r="AZ879" i="2"/>
  <c r="AY879" i="2"/>
  <c r="AX879" i="2"/>
  <c r="AW879" i="2"/>
  <c r="AV879" i="2"/>
  <c r="AU879" i="2"/>
  <c r="AT879" i="2"/>
  <c r="AS879" i="2"/>
  <c r="AR879" i="2"/>
  <c r="AQ879" i="2"/>
  <c r="AP879" i="2"/>
  <c r="AO879" i="2"/>
  <c r="AN879" i="2"/>
  <c r="AM879" i="2"/>
  <c r="AL879" i="2"/>
  <c r="AK879" i="2"/>
  <c r="AJ879" i="2"/>
  <c r="AI879" i="2"/>
  <c r="AH879" i="2"/>
  <c r="AG879" i="2"/>
  <c r="AF879" i="2"/>
  <c r="AE879" i="2"/>
  <c r="BV877" i="2"/>
  <c r="BU877" i="2"/>
  <c r="BT877" i="2"/>
  <c r="BS877" i="2"/>
  <c r="BQ877" i="2"/>
  <c r="BP877" i="2"/>
  <c r="BO877" i="2"/>
  <c r="BN877" i="2"/>
  <c r="BM877" i="2"/>
  <c r="BL877" i="2"/>
  <c r="BK877" i="2"/>
  <c r="BI877" i="2"/>
  <c r="BH877" i="2"/>
  <c r="BG877" i="2"/>
  <c r="BF877" i="2"/>
  <c r="BE877" i="2"/>
  <c r="BD877" i="2"/>
  <c r="BC877" i="2"/>
  <c r="BA877" i="2"/>
  <c r="AZ877" i="2"/>
  <c r="AY877" i="2"/>
  <c r="AX877" i="2"/>
  <c r="AW877" i="2"/>
  <c r="AV877" i="2"/>
  <c r="AU877" i="2"/>
  <c r="AT877" i="2"/>
  <c r="AS877" i="2"/>
  <c r="AQ877" i="2"/>
  <c r="AP877" i="2"/>
  <c r="AO877" i="2"/>
  <c r="AN877" i="2"/>
  <c r="AM877" i="2"/>
  <c r="AL877" i="2"/>
  <c r="AK877" i="2"/>
  <c r="AJ877" i="2"/>
  <c r="AI877" i="2"/>
  <c r="AH877" i="2"/>
  <c r="AG877" i="2"/>
  <c r="AF877" i="2"/>
  <c r="BY875" i="2"/>
  <c r="BU875" i="2"/>
  <c r="BT875" i="2"/>
  <c r="BQ875" i="2"/>
  <c r="BP875" i="2"/>
  <c r="BM875" i="2"/>
  <c r="BL875" i="2"/>
  <c r="BI875" i="2"/>
  <c r="BH875" i="2"/>
  <c r="BE875" i="2"/>
  <c r="BD875" i="2"/>
  <c r="BA875" i="2"/>
  <c r="AZ875" i="2"/>
  <c r="AX875" i="2"/>
  <c r="AW875" i="2"/>
  <c r="AV875" i="2"/>
  <c r="AT875" i="2"/>
  <c r="AS875" i="2"/>
  <c r="AR875" i="2"/>
  <c r="AP875" i="2"/>
  <c r="AO875" i="2"/>
  <c r="AN875" i="2"/>
  <c r="AK875" i="2"/>
  <c r="AJ875" i="2"/>
  <c r="AH875" i="2"/>
  <c r="CB875" i="2" s="1"/>
  <c r="AG875" i="2"/>
  <c r="AF875" i="2"/>
  <c r="BV874" i="2"/>
  <c r="BU874" i="2"/>
  <c r="BT874" i="2"/>
  <c r="BS874" i="2"/>
  <c r="BQ874" i="2"/>
  <c r="BP874" i="2"/>
  <c r="BO874" i="2"/>
  <c r="BL874" i="2"/>
  <c r="BK874" i="2"/>
  <c r="BI874" i="2"/>
  <c r="BH874" i="2"/>
  <c r="BG874" i="2"/>
  <c r="BE874" i="2"/>
  <c r="BD874" i="2"/>
  <c r="BC874" i="2"/>
  <c r="BA874" i="2"/>
  <c r="AZ874" i="2"/>
  <c r="AY874" i="2"/>
  <c r="AX874" i="2"/>
  <c r="AW874" i="2"/>
  <c r="AV874" i="2"/>
  <c r="AU874" i="2"/>
  <c r="AT874" i="2"/>
  <c r="AS874" i="2"/>
  <c r="AR874" i="2"/>
  <c r="AQ874" i="2"/>
  <c r="AP874" i="2"/>
  <c r="AO874" i="2"/>
  <c r="AN874" i="2"/>
  <c r="AM874" i="2"/>
  <c r="AK874" i="2"/>
  <c r="AJ874" i="2"/>
  <c r="AI874" i="2"/>
  <c r="AE874" i="2"/>
  <c r="BV873" i="2"/>
  <c r="BU873" i="2"/>
  <c r="BT873" i="2"/>
  <c r="BS873" i="2"/>
  <c r="BQ873" i="2"/>
  <c r="BP873" i="2"/>
  <c r="BO873" i="2"/>
  <c r="BM873" i="2"/>
  <c r="BL873" i="2"/>
  <c r="BK873" i="2"/>
  <c r="BI873" i="2"/>
  <c r="BH873" i="2"/>
  <c r="BG873" i="2"/>
  <c r="BF873" i="2"/>
  <c r="BF871" i="2" s="1"/>
  <c r="BE873" i="2"/>
  <c r="BE871" i="2" s="1"/>
  <c r="BD873" i="2"/>
  <c r="BD871" i="2" s="1"/>
  <c r="BC873" i="2"/>
  <c r="BA873" i="2"/>
  <c r="BA871" i="2" s="1"/>
  <c r="AZ873" i="2"/>
  <c r="AZ871" i="2" s="1"/>
  <c r="AX873" i="2"/>
  <c r="AW873" i="2"/>
  <c r="AU873" i="2"/>
  <c r="AT873" i="2"/>
  <c r="AS873" i="2"/>
  <c r="AR873" i="2"/>
  <c r="AQ873" i="2"/>
  <c r="AP873" i="2"/>
  <c r="AO873" i="2"/>
  <c r="AN873" i="2"/>
  <c r="AM873" i="2"/>
  <c r="AK873" i="2"/>
  <c r="AJ873" i="2"/>
  <c r="AI873" i="2"/>
  <c r="AG873" i="2"/>
  <c r="AE873" i="2"/>
  <c r="CA872" i="2"/>
  <c r="BZ872" i="2"/>
  <c r="BY872" i="2"/>
  <c r="AT872" i="2"/>
  <c r="CB872" i="2" s="1"/>
  <c r="AX871" i="2"/>
  <c r="AT871" i="2"/>
  <c r="CA866" i="2"/>
  <c r="BZ866" i="2"/>
  <c r="BY866" i="2"/>
  <c r="CA865" i="2"/>
  <c r="BZ865" i="2"/>
  <c r="BY865" i="2"/>
  <c r="CA864" i="2"/>
  <c r="BZ864" i="2"/>
  <c r="BY864" i="2"/>
  <c r="CA863" i="2"/>
  <c r="BZ863" i="2"/>
  <c r="BY863" i="2"/>
  <c r="CA862" i="2"/>
  <c r="BZ862" i="2"/>
  <c r="BY862" i="2"/>
  <c r="CA861" i="2"/>
  <c r="BZ861" i="2"/>
  <c r="BY861" i="2"/>
  <c r="CA860" i="2"/>
  <c r="BZ860" i="2"/>
  <c r="BY860" i="2"/>
  <c r="CA859" i="2"/>
  <c r="BZ859" i="2"/>
  <c r="BY859" i="2"/>
  <c r="CA858" i="2"/>
  <c r="BZ858" i="2"/>
  <c r="BY858" i="2"/>
  <c r="CA857" i="2"/>
  <c r="BZ857" i="2"/>
  <c r="BY857" i="2"/>
  <c r="CA856" i="2"/>
  <c r="BZ856" i="2"/>
  <c r="BY856" i="2"/>
  <c r="CA855" i="2"/>
  <c r="BZ855" i="2"/>
  <c r="BY855" i="2"/>
  <c r="CA854" i="2"/>
  <c r="BZ854" i="2"/>
  <c r="BY854" i="2"/>
  <c r="CA853" i="2"/>
  <c r="BZ853" i="2"/>
  <c r="BY853" i="2"/>
  <c r="CA852" i="2"/>
  <c r="BZ852" i="2"/>
  <c r="BY852" i="2"/>
  <c r="CA851" i="2"/>
  <c r="BZ851" i="2"/>
  <c r="BY851" i="2"/>
  <c r="CA850" i="2"/>
  <c r="BZ850" i="2"/>
  <c r="BY850" i="2"/>
  <c r="CA849" i="2"/>
  <c r="BZ849" i="2"/>
  <c r="BY849" i="2"/>
  <c r="CA848" i="2"/>
  <c r="BZ848" i="2"/>
  <c r="BY848" i="2"/>
  <c r="CA847" i="2"/>
  <c r="BZ847" i="2"/>
  <c r="BY847" i="2"/>
  <c r="BF847" i="2"/>
  <c r="CB847" i="2" s="1"/>
  <c r="CA846" i="2"/>
  <c r="BZ846" i="2"/>
  <c r="BY846" i="2"/>
  <c r="BF846" i="2"/>
  <c r="CB846" i="2" s="1"/>
  <c r="CA845" i="2"/>
  <c r="BZ845" i="2"/>
  <c r="BY845" i="2"/>
  <c r="BF845" i="2"/>
  <c r="CB845" i="2" s="1"/>
  <c r="BV844" i="2"/>
  <c r="BU844" i="2"/>
  <c r="BT844" i="2"/>
  <c r="BS844" i="2"/>
  <c r="BR844" i="2"/>
  <c r="BQ844" i="2"/>
  <c r="BP844" i="2"/>
  <c r="BO844" i="2"/>
  <c r="BM844" i="2"/>
  <c r="BL844" i="2"/>
  <c r="BK844" i="2"/>
  <c r="BJ844" i="2"/>
  <c r="BI844" i="2"/>
  <c r="BH844" i="2"/>
  <c r="BG844" i="2"/>
  <c r="BE844" i="2"/>
  <c r="BD844" i="2"/>
  <c r="BC844" i="2"/>
  <c r="BB844" i="2"/>
  <c r="BA844" i="2"/>
  <c r="AZ844" i="2"/>
  <c r="AY844" i="2"/>
  <c r="AX844" i="2"/>
  <c r="AW844" i="2"/>
  <c r="AV844" i="2"/>
  <c r="AU844" i="2"/>
  <c r="AT844" i="2"/>
  <c r="AS844" i="2"/>
  <c r="AR844" i="2"/>
  <c r="AQ844" i="2"/>
  <c r="AP844" i="2"/>
  <c r="AO844" i="2"/>
  <c r="AN844" i="2"/>
  <c r="AM844" i="2"/>
  <c r="AK844" i="2"/>
  <c r="AJ844" i="2"/>
  <c r="AH844" i="2"/>
  <c r="AG844" i="2"/>
  <c r="AF844" i="2"/>
  <c r="AE844" i="2"/>
  <c r="CA843" i="2"/>
  <c r="BZ843" i="2"/>
  <c r="BY843" i="2"/>
  <c r="BF843" i="2"/>
  <c r="CB843" i="2" s="1"/>
  <c r="BV842" i="2"/>
  <c r="BV832" i="2" s="1"/>
  <c r="BU842" i="2"/>
  <c r="BT842" i="2"/>
  <c r="BS842" i="2"/>
  <c r="BS832" i="2" s="1"/>
  <c r="BR842" i="2"/>
  <c r="BR838" i="2" s="1"/>
  <c r="BR841" i="2" s="1"/>
  <c r="BQ842" i="2"/>
  <c r="BP842" i="2"/>
  <c r="BP838" i="2" s="1"/>
  <c r="BP835" i="2" s="1"/>
  <c r="BO842" i="2"/>
  <c r="BO832" i="2" s="1"/>
  <c r="BM842" i="2"/>
  <c r="BM832" i="2" s="1" a="1"/>
  <c r="BM832" i="2" s="1"/>
  <c r="BL842" i="2"/>
  <c r="BL838" i="2" s="1"/>
  <c r="BK842" i="2"/>
  <c r="BJ842" i="2"/>
  <c r="BJ832" i="2" s="1" a="1"/>
  <c r="BJ832" i="2" s="1"/>
  <c r="BI842" i="2"/>
  <c r="BH842" i="2"/>
  <c r="BH838" i="2" s="1"/>
  <c r="BG842" i="2"/>
  <c r="BG838" i="2" s="1"/>
  <c r="BG835" i="2" s="1"/>
  <c r="BE842" i="2"/>
  <c r="BD842" i="2"/>
  <c r="BD832" i="2" s="1" a="1"/>
  <c r="BD832" i="2" s="1"/>
  <c r="BC842" i="2"/>
  <c r="BC832" i="2" s="1"/>
  <c r="BB842" i="2"/>
  <c r="BA842" i="2"/>
  <c r="BA832" i="2" s="1" a="1"/>
  <c r="BA832" i="2" s="1"/>
  <c r="AZ842" i="2"/>
  <c r="AZ832" i="2" s="1" a="1"/>
  <c r="AZ832" i="2" s="1"/>
  <c r="AY842" i="2"/>
  <c r="AY832" i="2" s="1"/>
  <c r="AX842" i="2"/>
  <c r="AX838" i="2" s="1"/>
  <c r="AX835" i="2" s="1"/>
  <c r="AX834" i="2" s="1"/>
  <c r="AW842" i="2"/>
  <c r="AW832" i="2" s="1" a="1"/>
  <c r="AW832" i="2" s="1"/>
  <c r="AV842" i="2"/>
  <c r="AU842" i="2"/>
  <c r="AU838" i="2" s="1"/>
  <c r="AU835" i="2" s="1"/>
  <c r="AT842" i="2"/>
  <c r="AT832" i="2" s="1"/>
  <c r="AS842" i="2"/>
  <c r="AS832" i="2" s="1" a="1"/>
  <c r="AS832" i="2" s="1"/>
  <c r="AR842" i="2"/>
  <c r="AR832" i="2" s="1" a="1"/>
  <c r="AR832" i="2" s="1"/>
  <c r="AQ842" i="2"/>
  <c r="AQ832" i="2" s="1"/>
  <c r="AP842" i="2"/>
  <c r="AO842" i="2"/>
  <c r="AN842" i="2"/>
  <c r="AM842" i="2"/>
  <c r="AM832" i="2" s="1"/>
  <c r="AK842" i="2"/>
  <c r="AK838" i="2" s="1"/>
  <c r="AK841" i="2" s="1"/>
  <c r="AE842" i="2"/>
  <c r="BP841" i="2"/>
  <c r="BC841" i="2"/>
  <c r="BB841" i="2"/>
  <c r="BA841" i="2"/>
  <c r="AZ841" i="2"/>
  <c r="AY841" i="2"/>
  <c r="AS841" i="2"/>
  <c r="AR841" i="2"/>
  <c r="AQ841" i="2"/>
  <c r="AP841" i="2"/>
  <c r="AI841" i="2"/>
  <c r="CA840" i="2"/>
  <c r="BZ840" i="2"/>
  <c r="BY840" i="2"/>
  <c r="BF840" i="2"/>
  <c r="CB840" i="2" s="1"/>
  <c r="CA839" i="2"/>
  <c r="BZ839" i="2"/>
  <c r="BY839" i="2"/>
  <c r="BO838" i="2"/>
  <c r="BF838" i="2"/>
  <c r="AJ838" i="2"/>
  <c r="AJ841" i="2" s="1"/>
  <c r="CA837" i="2"/>
  <c r="BZ837" i="2"/>
  <c r="BY837" i="2"/>
  <c r="BF837" i="2"/>
  <c r="CB837" i="2" s="1"/>
  <c r="CA836" i="2"/>
  <c r="BZ836" i="2"/>
  <c r="BY836" i="2"/>
  <c r="BF836" i="2"/>
  <c r="CB836" i="2" s="1"/>
  <c r="Y836" i="2"/>
  <c r="BF835" i="2"/>
  <c r="BB835" i="2"/>
  <c r="BB834" i="2" s="1"/>
  <c r="BA835" i="2"/>
  <c r="AZ835" i="2"/>
  <c r="AY835" i="2"/>
  <c r="AT835" i="2"/>
  <c r="AS835" i="2"/>
  <c r="AR835" i="2"/>
  <c r="AQ835" i="2"/>
  <c r="AP835" i="2"/>
  <c r="AP833" i="2" s="1"/>
  <c r="BF834" i="2"/>
  <c r="BF833" i="2"/>
  <c r="BT832" i="2" a="1"/>
  <c r="BH832" i="2" a="1"/>
  <c r="BG832" i="2"/>
  <c r="AP832" i="2" a="1"/>
  <c r="AJ832" i="2" a="1"/>
  <c r="AJ832" i="2" s="1"/>
  <c r="AB832" i="2"/>
  <c r="AG831" i="2"/>
  <c r="AF831" i="2"/>
  <c r="AE831" i="2"/>
  <c r="AB831" i="2"/>
  <c r="AF830" i="2"/>
  <c r="AE830" i="2" a="1"/>
  <c r="AE830" i="2" s="1"/>
  <c r="AG827" i="2"/>
  <c r="AE827" i="2"/>
  <c r="AG825" i="2"/>
  <c r="AF825" i="2"/>
  <c r="AE825" i="2"/>
  <c r="AG824" i="2" a="1"/>
  <c r="AG824" i="2" s="1"/>
  <c r="AE824" i="2" a="1"/>
  <c r="AE824" i="2" s="1"/>
  <c r="AF823" i="2"/>
  <c r="AE823" i="2"/>
  <c r="AB823" i="2"/>
  <c r="E823" i="2" a="1"/>
  <c r="E823" i="2" s="1"/>
  <c r="AB822" i="2"/>
  <c r="AB830" i="2" s="1"/>
  <c r="E822" i="2" a="1"/>
  <c r="E822" i="2" s="1"/>
  <c r="AB820" i="2"/>
  <c r="A819" i="2"/>
  <c r="A820" i="2" s="1" a="1"/>
  <c r="A820" i="2" s="1"/>
  <c r="A821" i="2" s="1" a="1"/>
  <c r="A821" i="2" s="1"/>
  <c r="A822" i="2" s="1" a="1"/>
  <c r="A822" i="2" s="1"/>
  <c r="Y818" i="2" a="1"/>
  <c r="Y818" i="2" s="1"/>
  <c r="B818" i="2"/>
  <c r="M817" i="2"/>
  <c r="A817" i="2"/>
  <c r="B817" i="2" s="1"/>
  <c r="M816" i="2"/>
  <c r="A816" i="2"/>
  <c r="B816" i="2" s="1"/>
  <c r="M815" i="2"/>
  <c r="A815" i="2"/>
  <c r="B815" i="2" s="1"/>
  <c r="M814" i="2"/>
  <c r="A814" i="2"/>
  <c r="B814" i="2" s="1"/>
  <c r="M813" i="2"/>
  <c r="A813" i="2"/>
  <c r="B813" i="2" s="1" a="1"/>
  <c r="B813" i="2" s="1"/>
  <c r="M812" i="2"/>
  <c r="A812" i="2"/>
  <c r="B812" i="2" s="1" a="1"/>
  <c r="B812" i="2" s="1"/>
  <c r="M811" i="2"/>
  <c r="A811" i="2"/>
  <c r="B811" i="2" s="1" a="1"/>
  <c r="B811" i="2" s="1"/>
  <c r="M810" i="2"/>
  <c r="A810" i="2"/>
  <c r="B810" i="2" s="1" a="1"/>
  <c r="B810" i="2" s="1"/>
  <c r="M809" i="2"/>
  <c r="A809" i="2"/>
  <c r="B809" i="2" s="1" a="1"/>
  <c r="B809" i="2" s="1"/>
  <c r="M808" i="2"/>
  <c r="A808" i="2"/>
  <c r="B808" i="2" s="1" a="1"/>
  <c r="B808" i="2" s="1"/>
  <c r="M807" i="2"/>
  <c r="A807" i="2"/>
  <c r="B807" i="2" s="1" a="1"/>
  <c r="B807" i="2" s="1"/>
  <c r="M806" i="2"/>
  <c r="A806" i="2"/>
  <c r="B806" i="2" s="1" a="1"/>
  <c r="B806" i="2" s="1"/>
  <c r="M805" i="2"/>
  <c r="A805" i="2"/>
  <c r="B805" i="2" s="1" a="1"/>
  <c r="B805" i="2" s="1"/>
  <c r="M804" i="2"/>
  <c r="A804" i="2"/>
  <c r="B804" i="2" s="1" a="1"/>
  <c r="B804" i="2" s="1"/>
  <c r="M803" i="2"/>
  <c r="A803" i="2"/>
  <c r="B803" i="2" s="1" a="1"/>
  <c r="B803" i="2" s="1"/>
  <c r="M802" i="2"/>
  <c r="AG801" i="2" a="1"/>
  <c r="AG801" i="2" s="1"/>
  <c r="AF801" i="2" a="1"/>
  <c r="AF801" i="2" s="1"/>
  <c r="AE801" i="2" a="1"/>
  <c r="AE801" i="2" s="1"/>
  <c r="B801" i="2"/>
  <c r="AF800" i="2"/>
  <c r="AE800" i="2"/>
  <c r="B800" i="2"/>
  <c r="AH799" i="2"/>
  <c r="AF799" i="2"/>
  <c r="B799" i="2"/>
  <c r="BU796" i="2"/>
  <c r="BT796" i="2"/>
  <c r="BS796" i="2"/>
  <c r="BQ796" i="2"/>
  <c r="BP796" i="2"/>
  <c r="BO796" i="2"/>
  <c r="BM796" i="2"/>
  <c r="BL796" i="2"/>
  <c r="BK796" i="2"/>
  <c r="BA796" i="2"/>
  <c r="AZ796" i="2"/>
  <c r="AY796" i="2"/>
  <c r="AW796" i="2"/>
  <c r="AV796" i="2"/>
  <c r="AU796" i="2"/>
  <c r="AS796" i="2"/>
  <c r="AR796" i="2"/>
  <c r="AQ796" i="2"/>
  <c r="AO796" i="2"/>
  <c r="AN796" i="2"/>
  <c r="AM796" i="2"/>
  <c r="AK796" i="2"/>
  <c r="AJ796" i="2"/>
  <c r="AI796" i="2"/>
  <c r="AG796" i="2"/>
  <c r="AG800" i="2" s="1"/>
  <c r="AE796" i="2"/>
  <c r="BV776" i="2"/>
  <c r="BU776" i="2"/>
  <c r="BT776" i="2"/>
  <c r="BR776" i="2"/>
  <c r="BQ776" i="2"/>
  <c r="BP776" i="2"/>
  <c r="BM776" i="2"/>
  <c r="BL776" i="2"/>
  <c r="BJ776" i="2"/>
  <c r="BI776" i="2"/>
  <c r="BH776" i="2"/>
  <c r="BF776" i="2"/>
  <c r="BE776" i="2"/>
  <c r="BD776" i="2"/>
  <c r="BB776" i="2"/>
  <c r="BA776" i="2"/>
  <c r="AZ776" i="2"/>
  <c r="AX776" i="2"/>
  <c r="AW776" i="2"/>
  <c r="AV776" i="2"/>
  <c r="AT776" i="2"/>
  <c r="AS776" i="2"/>
  <c r="AR776" i="2"/>
  <c r="AK776" i="2"/>
  <c r="AJ776" i="2"/>
  <c r="AH776" i="2"/>
  <c r="AG776" i="2"/>
  <c r="AF776" i="2"/>
  <c r="CA772" i="2"/>
  <c r="BZ772" i="2"/>
  <c r="BY772" i="2"/>
  <c r="G772" i="2"/>
  <c r="A772" i="2"/>
  <c r="B772" i="2" s="1" a="1"/>
  <c r="B772" i="2" s="1"/>
  <c r="CA771" i="2"/>
  <c r="BZ771" i="2"/>
  <c r="BY771" i="2"/>
  <c r="G771" i="2"/>
  <c r="A771" i="2"/>
  <c r="B771" i="2" s="1" a="1"/>
  <c r="B771" i="2" s="1"/>
  <c r="CA770" i="2"/>
  <c r="BZ770" i="2"/>
  <c r="BY770" i="2"/>
  <c r="G770" i="2"/>
  <c r="CA769" i="2"/>
  <c r="BZ769" i="2"/>
  <c r="BY769" i="2"/>
  <c r="G769" i="2"/>
  <c r="CA768" i="2"/>
  <c r="BZ768" i="2"/>
  <c r="BY768" i="2"/>
  <c r="G768" i="2"/>
  <c r="BZ766" i="2"/>
  <c r="BY766" i="2"/>
  <c r="BZ765" i="2"/>
  <c r="BY765" i="2"/>
  <c r="BY764" i="2"/>
  <c r="BZ763" i="2"/>
  <c r="BY763" i="2"/>
  <c r="BZ762" i="2"/>
  <c r="BY762" i="2"/>
  <c r="BY761" i="2"/>
  <c r="BV761" i="2"/>
  <c r="BT761" i="2"/>
  <c r="BR761" i="2"/>
  <c r="BQ761" i="2"/>
  <c r="CA761" i="2" s="1"/>
  <c r="BP761" i="2"/>
  <c r="BJ761" i="2"/>
  <c r="BH761" i="2"/>
  <c r="BF761" i="2"/>
  <c r="BD761" i="2"/>
  <c r="AZ761" i="2"/>
  <c r="CB760" i="2"/>
  <c r="CA760" i="2"/>
  <c r="BZ760" i="2"/>
  <c r="BY760" i="2"/>
  <c r="CB759" i="2"/>
  <c r="CA759" i="2"/>
  <c r="BZ759" i="2"/>
  <c r="BY759" i="2"/>
  <c r="CB758" i="2"/>
  <c r="CA758" i="2"/>
  <c r="BZ758" i="2"/>
  <c r="BY758" i="2"/>
  <c r="CB757" i="2"/>
  <c r="CA757" i="2"/>
  <c r="BZ757" i="2"/>
  <c r="BY757" i="2"/>
  <c r="A757" i="2"/>
  <c r="CB756" i="2"/>
  <c r="CA756" i="2"/>
  <c r="BZ756" i="2"/>
  <c r="BY756" i="2"/>
  <c r="A756" i="2"/>
  <c r="B756" i="2" s="1" a="1"/>
  <c r="B756" i="2" s="1"/>
  <c r="BZ755" i="2"/>
  <c r="BZ754" i="2"/>
  <c r="BZ752" i="2"/>
  <c r="AJ751" i="2"/>
  <c r="BZ750" i="2"/>
  <c r="AF749" i="2"/>
  <c r="AF748" i="2"/>
  <c r="BZ748" i="2" s="1"/>
  <c r="CC747" i="2"/>
  <c r="BZ747" i="2"/>
  <c r="AR746" i="2"/>
  <c r="CC746" i="2" s="1"/>
  <c r="BT744" i="2"/>
  <c r="BP744" i="2"/>
  <c r="AV744" i="2"/>
  <c r="AV751" i="2" s="1"/>
  <c r="AV753" i="2" s="1"/>
  <c r="BZ753" i="2" s="1"/>
  <c r="AR744" i="2"/>
  <c r="AR745" i="2" s="1"/>
  <c r="AJ744" i="2"/>
  <c r="CC743" i="2"/>
  <c r="BZ743" i="2"/>
  <c r="BP742" i="2"/>
  <c r="CC742" i="2" s="1"/>
  <c r="CC741" i="2"/>
  <c r="BZ741" i="2"/>
  <c r="CC740" i="2"/>
  <c r="BZ740" i="2"/>
  <c r="CC739" i="2"/>
  <c r="CB739" i="2"/>
  <c r="CA739" i="2"/>
  <c r="BZ739" i="2"/>
  <c r="BY739" i="2"/>
  <c r="CC738" i="2"/>
  <c r="CB738" i="2"/>
  <c r="CA738" i="2"/>
  <c r="BZ738" i="2"/>
  <c r="BY738" i="2"/>
  <c r="CC737" i="2"/>
  <c r="CB737" i="2"/>
  <c r="CA737" i="2"/>
  <c r="BZ737" i="2"/>
  <c r="BY737" i="2"/>
  <c r="CC736" i="2"/>
  <c r="CB736" i="2"/>
  <c r="CA736" i="2"/>
  <c r="BZ736" i="2"/>
  <c r="BY736" i="2"/>
  <c r="CC735" i="2"/>
  <c r="CB735" i="2"/>
  <c r="CA735" i="2"/>
  <c r="BZ735" i="2"/>
  <c r="BY735" i="2"/>
  <c r="CC734" i="2"/>
  <c r="CB734" i="2"/>
  <c r="CA734" i="2"/>
  <c r="BZ734" i="2"/>
  <c r="BY734" i="2"/>
  <c r="CC733" i="2"/>
  <c r="CB733" i="2"/>
  <c r="CA733" i="2"/>
  <c r="BZ733" i="2"/>
  <c r="BY733" i="2"/>
  <c r="BV732" i="2"/>
  <c r="BU732" i="2"/>
  <c r="BT732" i="2"/>
  <c r="BR732" i="2"/>
  <c r="BQ732" i="2"/>
  <c r="BM732" i="2"/>
  <c r="BL732" i="2"/>
  <c r="BK732" i="2"/>
  <c r="BY732" i="2" s="1"/>
  <c r="BJ732" i="2"/>
  <c r="BI732" i="2"/>
  <c r="BH732" i="2"/>
  <c r="BF732" i="2"/>
  <c r="BE732" i="2"/>
  <c r="BD732" i="2"/>
  <c r="BA732" i="2"/>
  <c r="AZ732" i="2"/>
  <c r="AW732" i="2"/>
  <c r="AV732" i="2"/>
  <c r="AS732" i="2"/>
  <c r="AK732" i="2"/>
  <c r="AJ732" i="2"/>
  <c r="AG732" i="2"/>
  <c r="A732" i="2"/>
  <c r="A733" i="2" s="1" a="1"/>
  <c r="A733" i="2" s="1"/>
  <c r="CB731" i="2"/>
  <c r="CA731" i="2"/>
  <c r="BZ731" i="2"/>
  <c r="BY731" i="2"/>
  <c r="CB730" i="2"/>
  <c r="CA730" i="2"/>
  <c r="BZ730" i="2"/>
  <c r="BY730" i="2"/>
  <c r="CB728" i="2"/>
  <c r="CA728" i="2"/>
  <c r="BZ728" i="2"/>
  <c r="BY728" i="2"/>
  <c r="CB727" i="2"/>
  <c r="CA727" i="2"/>
  <c r="BZ727" i="2"/>
  <c r="BY727" i="2"/>
  <c r="A727" i="2"/>
  <c r="A728" i="2" s="1" a="1"/>
  <c r="A728" i="2" s="1"/>
  <c r="B728" i="2" s="1" a="1"/>
  <c r="B728" i="2" s="1"/>
  <c r="CB726" i="2"/>
  <c r="BZ726" i="2"/>
  <c r="BY726" i="2"/>
  <c r="AG726" i="2"/>
  <c r="AG1113" i="2" s="1"/>
  <c r="CB725" i="2"/>
  <c r="CA725" i="2"/>
  <c r="BZ725" i="2"/>
  <c r="BY725" i="2"/>
  <c r="CB724" i="2"/>
  <c r="CA724" i="2"/>
  <c r="BZ724" i="2"/>
  <c r="BY724" i="2"/>
  <c r="CB723" i="2"/>
  <c r="CA723" i="2"/>
  <c r="BZ723" i="2"/>
  <c r="BY723" i="2"/>
  <c r="CB722" i="2"/>
  <c r="CA722" i="2"/>
  <c r="BZ722" i="2"/>
  <c r="BY722" i="2"/>
  <c r="BV721" i="2"/>
  <c r="BU721" i="2"/>
  <c r="BT721" i="2"/>
  <c r="BS721" i="2"/>
  <c r="BQ721" i="2"/>
  <c r="BP721" i="2"/>
  <c r="BO721" i="2"/>
  <c r="BM721" i="2"/>
  <c r="BL721" i="2"/>
  <c r="BK721" i="2"/>
  <c r="BJ721" i="2"/>
  <c r="BI721" i="2"/>
  <c r="BH721" i="2"/>
  <c r="BH715" i="2" s="1"/>
  <c r="BH714" i="2" s="1"/>
  <c r="BH1111" i="2" s="1"/>
  <c r="BG721" i="2"/>
  <c r="BF721" i="2"/>
  <c r="BE721" i="2"/>
  <c r="BD721" i="2"/>
  <c r="BD715" i="2" s="1"/>
  <c r="BD714" i="2" s="1"/>
  <c r="BD1111" i="2" s="1"/>
  <c r="BC721" i="2"/>
  <c r="BA721" i="2"/>
  <c r="AZ721" i="2"/>
  <c r="AW721" i="2"/>
  <c r="AV721" i="2"/>
  <c r="AT721" i="2"/>
  <c r="AS721" i="2"/>
  <c r="AR721" i="2"/>
  <c r="AK721" i="2"/>
  <c r="AJ721" i="2"/>
  <c r="AG721" i="2"/>
  <c r="AF721" i="2"/>
  <c r="CB720" i="2"/>
  <c r="CA720" i="2"/>
  <c r="BZ720" i="2"/>
  <c r="BY720" i="2"/>
  <c r="CB719" i="2"/>
  <c r="CA719" i="2"/>
  <c r="BZ719" i="2"/>
  <c r="BY719" i="2"/>
  <c r="CB718" i="2"/>
  <c r="CA718" i="2"/>
  <c r="BZ718" i="2"/>
  <c r="BY718" i="2"/>
  <c r="CB717" i="2"/>
  <c r="CA717" i="2"/>
  <c r="BZ717" i="2"/>
  <c r="BY717" i="2"/>
  <c r="Y717" i="2"/>
  <c r="Y718" i="2" s="1"/>
  <c r="Y719" i="2" s="1"/>
  <c r="CB716" i="2"/>
  <c r="CA716" i="2"/>
  <c r="BZ716" i="2"/>
  <c r="BY716" i="2"/>
  <c r="AB716" i="2"/>
  <c r="CB715" i="2"/>
  <c r="CA715" i="2"/>
  <c r="BY715" i="2"/>
  <c r="BT715" i="2"/>
  <c r="BT714" i="2" s="1"/>
  <c r="BT1111" i="2" s="1"/>
  <c r="AF715" i="2"/>
  <c r="BU714" i="2"/>
  <c r="BU1111" i="2" s="1"/>
  <c r="BS714" i="2"/>
  <c r="BS1111" i="2" s="1"/>
  <c r="BQ714" i="2"/>
  <c r="BQ1111" i="2" s="1"/>
  <c r="BP714" i="2"/>
  <c r="BP1111" i="2" s="1"/>
  <c r="BO714" i="2"/>
  <c r="BO1111" i="2" s="1"/>
  <c r="BM714" i="2"/>
  <c r="BM1111" i="2" s="1"/>
  <c r="BL714" i="2"/>
  <c r="BL1111" i="2" s="1"/>
  <c r="BK714" i="2"/>
  <c r="BK1111" i="2" s="1"/>
  <c r="BJ714" i="2"/>
  <c r="BJ1111" i="2" s="1"/>
  <c r="BF714" i="2"/>
  <c r="BA714" i="2"/>
  <c r="BA1111" i="2" s="1"/>
  <c r="AZ714" i="2"/>
  <c r="AZ1111" i="2" s="1"/>
  <c r="AY714" i="2"/>
  <c r="AY1111" i="2" s="1"/>
  <c r="AX714" i="2"/>
  <c r="AX1111" i="2" s="1"/>
  <c r="AW714" i="2"/>
  <c r="AW1111" i="2" s="1"/>
  <c r="AV714" i="2"/>
  <c r="AV1111" i="2" s="1"/>
  <c r="AU714" i="2"/>
  <c r="AU1111" i="2" s="1"/>
  <c r="AS714" i="2"/>
  <c r="AS1111" i="2" s="1"/>
  <c r="AR714" i="2"/>
  <c r="AR1111" i="2" s="1"/>
  <c r="AQ714" i="2"/>
  <c r="AQ1111" i="2" s="1"/>
  <c r="AK714" i="2"/>
  <c r="AK1111" i="2" s="1"/>
  <c r="AJ714" i="2"/>
  <c r="AJ1111" i="2" s="1"/>
  <c r="AI714" i="2"/>
  <c r="AI1111" i="2" s="1"/>
  <c r="AH714" i="2"/>
  <c r="AH1111" i="2" s="1"/>
  <c r="AG714" i="2"/>
  <c r="AG1111" i="2" s="1"/>
  <c r="AE714" i="2"/>
  <c r="AE1111" i="2" s="1"/>
  <c r="CB713" i="2"/>
  <c r="CA713" i="2"/>
  <c r="BZ713" i="2"/>
  <c r="BY713" i="2"/>
  <c r="CB712" i="2"/>
  <c r="CA712" i="2"/>
  <c r="BZ712" i="2"/>
  <c r="BY712" i="2"/>
  <c r="CB711" i="2"/>
  <c r="CA711" i="2"/>
  <c r="BZ711" i="2"/>
  <c r="BY711" i="2"/>
  <c r="CB710" i="2"/>
  <c r="CA710" i="2"/>
  <c r="BZ710" i="2"/>
  <c r="BY710" i="2"/>
  <c r="CB709" i="2"/>
  <c r="CA709" i="2"/>
  <c r="BZ709" i="2"/>
  <c r="BY709" i="2"/>
  <c r="A709" i="2"/>
  <c r="B709" i="2" s="1" a="1"/>
  <c r="B709" i="2" s="1"/>
  <c r="CB708" i="2"/>
  <c r="CA708" i="2"/>
  <c r="BZ708" i="2"/>
  <c r="BY708" i="2"/>
  <c r="CB707" i="2"/>
  <c r="CA707" i="2"/>
  <c r="BZ707" i="2"/>
  <c r="BY707" i="2"/>
  <c r="CB706" i="2"/>
  <c r="CA706" i="2"/>
  <c r="BZ706" i="2"/>
  <c r="BY706" i="2"/>
  <c r="A706" i="2"/>
  <c r="A707" i="2" s="1" a="1"/>
  <c r="A707" i="2" s="1"/>
  <c r="B707" i="2" s="1" a="1"/>
  <c r="B707" i="2" s="1"/>
  <c r="CB705" i="2"/>
  <c r="CA705" i="2"/>
  <c r="BZ705" i="2"/>
  <c r="BY705" i="2"/>
  <c r="A705" i="2"/>
  <c r="CB704" i="2"/>
  <c r="CA704" i="2"/>
  <c r="BZ704" i="2"/>
  <c r="BY704" i="2"/>
  <c r="A704" i="2"/>
  <c r="B704" i="2" s="1" a="1"/>
  <c r="B704" i="2" s="1"/>
  <c r="CB703" i="2"/>
  <c r="CA703" i="2"/>
  <c r="BZ703" i="2"/>
  <c r="BY703" i="2"/>
  <c r="A703" i="2"/>
  <c r="B703" i="2" s="1" a="1"/>
  <c r="B703" i="2" s="1"/>
  <c r="CB702" i="2"/>
  <c r="CA702" i="2"/>
  <c r="BZ702" i="2"/>
  <c r="BY702" i="2"/>
  <c r="CB701" i="2"/>
  <c r="CA701" i="2"/>
  <c r="BZ701" i="2"/>
  <c r="BY701" i="2"/>
  <c r="CB700" i="2"/>
  <c r="CA700" i="2"/>
  <c r="BZ700" i="2"/>
  <c r="BY700" i="2"/>
  <c r="CB699" i="2"/>
  <c r="CA699" i="2"/>
  <c r="BZ699" i="2"/>
  <c r="BY699" i="2"/>
  <c r="Y699" i="2"/>
  <c r="CB698" i="2"/>
  <c r="CA698" i="2"/>
  <c r="BZ698" i="2"/>
  <c r="BY698" i="2"/>
  <c r="CB697" i="2"/>
  <c r="CA697" i="2"/>
  <c r="BZ697" i="2"/>
  <c r="BY697" i="2"/>
  <c r="CA696" i="2"/>
  <c r="BZ696" i="2"/>
  <c r="BY696" i="2"/>
  <c r="BF696" i="2"/>
  <c r="CB696" i="2" s="1"/>
  <c r="BU695" i="2"/>
  <c r="BT695" i="2"/>
  <c r="BS695" i="2"/>
  <c r="BQ695" i="2"/>
  <c r="BP695" i="2"/>
  <c r="BO695" i="2"/>
  <c r="BM695" i="2"/>
  <c r="BL695" i="2"/>
  <c r="BK695" i="2"/>
  <c r="BI695" i="2"/>
  <c r="BH695" i="2"/>
  <c r="BG695" i="2"/>
  <c r="BE695" i="2"/>
  <c r="BC695" i="2"/>
  <c r="BA695" i="2"/>
  <c r="AZ695" i="2"/>
  <c r="AY695" i="2"/>
  <c r="AW695" i="2"/>
  <c r="AU695" i="2"/>
  <c r="AS695" i="2"/>
  <c r="AR695" i="2"/>
  <c r="AQ695" i="2"/>
  <c r="AK695" i="2"/>
  <c r="AJ695" i="2"/>
  <c r="AI695" i="2"/>
  <c r="AG695" i="2"/>
  <c r="CB694" i="2"/>
  <c r="CA694" i="2"/>
  <c r="BZ694" i="2"/>
  <c r="BY694" i="2"/>
  <c r="CB693" i="2"/>
  <c r="CA693" i="2"/>
  <c r="BZ693" i="2"/>
  <c r="BY693" i="2"/>
  <c r="CB692" i="2"/>
  <c r="BZ692" i="2"/>
  <c r="BY692" i="2"/>
  <c r="BI692" i="2"/>
  <c r="CB691" i="2"/>
  <c r="CA691" i="2"/>
  <c r="BZ691" i="2"/>
  <c r="BY691" i="2"/>
  <c r="CB690" i="2"/>
  <c r="CA690" i="2"/>
  <c r="BZ690" i="2"/>
  <c r="BY690" i="2"/>
  <c r="CB689" i="2"/>
  <c r="CA689" i="2"/>
  <c r="BZ689" i="2"/>
  <c r="BY689" i="2"/>
  <c r="CB688" i="2"/>
  <c r="CA688" i="2"/>
  <c r="BZ688" i="2"/>
  <c r="BY688" i="2"/>
  <c r="CA687" i="2"/>
  <c r="BZ687" i="2"/>
  <c r="BY687" i="2"/>
  <c r="AX687" i="2"/>
  <c r="Y687" i="2"/>
  <c r="CB686" i="2"/>
  <c r="CA686" i="2"/>
  <c r="BZ686" i="2"/>
  <c r="BY686" i="2"/>
  <c r="BV685" i="2"/>
  <c r="BU685" i="2"/>
  <c r="BT685" i="2"/>
  <c r="BS685" i="2"/>
  <c r="BQ685" i="2"/>
  <c r="BP685" i="2"/>
  <c r="BO685" i="2"/>
  <c r="BM685" i="2"/>
  <c r="BL685" i="2"/>
  <c r="BK685" i="2"/>
  <c r="BJ685" i="2"/>
  <c r="BH685" i="2"/>
  <c r="BG685" i="2"/>
  <c r="BF685" i="2"/>
  <c r="BE685" i="2"/>
  <c r="BD685" i="2"/>
  <c r="BC685" i="2"/>
  <c r="BB685" i="2"/>
  <c r="BB670" i="2" s="1"/>
  <c r="BA685" i="2"/>
  <c r="AZ685" i="2"/>
  <c r="AY685" i="2"/>
  <c r="AW685" i="2"/>
  <c r="AV685" i="2"/>
  <c r="AU685" i="2"/>
  <c r="AT685" i="2"/>
  <c r="AS685" i="2"/>
  <c r="AR685" i="2"/>
  <c r="AQ685" i="2"/>
  <c r="AK685" i="2"/>
  <c r="AJ685" i="2"/>
  <c r="AI685" i="2"/>
  <c r="AG685" i="2"/>
  <c r="AF685" i="2"/>
  <c r="AE685" i="2"/>
  <c r="CB684" i="2"/>
  <c r="CA684" i="2"/>
  <c r="BZ684" i="2"/>
  <c r="BY684" i="2"/>
  <c r="CB683" i="2"/>
  <c r="CA683" i="2"/>
  <c r="BZ683" i="2"/>
  <c r="BY683" i="2"/>
  <c r="CB682" i="2"/>
  <c r="CA682" i="2"/>
  <c r="BZ682" i="2"/>
  <c r="BY682" i="2"/>
  <c r="CB681" i="2"/>
  <c r="CA681" i="2"/>
  <c r="BZ681" i="2"/>
  <c r="BY681" i="2"/>
  <c r="CB680" i="2"/>
  <c r="CA680" i="2"/>
  <c r="BZ680" i="2"/>
  <c r="BY680" i="2"/>
  <c r="CB679" i="2"/>
  <c r="CA679" i="2"/>
  <c r="BZ679" i="2"/>
  <c r="BY679" i="2"/>
  <c r="CB678" i="2"/>
  <c r="CA678" i="2"/>
  <c r="BZ678" i="2"/>
  <c r="BY678" i="2"/>
  <c r="CB677" i="2"/>
  <c r="CA677" i="2"/>
  <c r="BZ677" i="2"/>
  <c r="BY677" i="2"/>
  <c r="CB676" i="2"/>
  <c r="CA676" i="2"/>
  <c r="BZ676" i="2"/>
  <c r="BY676" i="2"/>
  <c r="CB675" i="2"/>
  <c r="CA675" i="2"/>
  <c r="BZ675" i="2"/>
  <c r="BY675" i="2"/>
  <c r="CB674" i="2"/>
  <c r="CA674" i="2"/>
  <c r="BZ674" i="2"/>
  <c r="BY674" i="2"/>
  <c r="CB673" i="2"/>
  <c r="CA673" i="2"/>
  <c r="BZ673" i="2"/>
  <c r="BY673" i="2"/>
  <c r="Y673" i="2"/>
  <c r="Y674" i="2" s="1"/>
  <c r="CB672" i="2"/>
  <c r="CA672" i="2"/>
  <c r="BZ672" i="2"/>
  <c r="BY672" i="2"/>
  <c r="BV671" i="2"/>
  <c r="BU671" i="2"/>
  <c r="BT671" i="2"/>
  <c r="BS671" i="2"/>
  <c r="BQ671" i="2"/>
  <c r="BP671" i="2"/>
  <c r="BO671" i="2"/>
  <c r="BM671" i="2"/>
  <c r="BL671" i="2"/>
  <c r="BK671" i="2"/>
  <c r="BJ671" i="2"/>
  <c r="BI671" i="2"/>
  <c r="BH671" i="2"/>
  <c r="BG671" i="2"/>
  <c r="BE671" i="2"/>
  <c r="BD671" i="2"/>
  <c r="BC671" i="2"/>
  <c r="BA671" i="2"/>
  <c r="AZ671" i="2"/>
  <c r="AY671" i="2"/>
  <c r="AW671" i="2"/>
  <c r="AV671" i="2"/>
  <c r="AU671" i="2"/>
  <c r="AS671" i="2"/>
  <c r="AR671" i="2"/>
  <c r="AQ671" i="2"/>
  <c r="AK671" i="2"/>
  <c r="AJ671" i="2"/>
  <c r="AI671" i="2"/>
  <c r="AG671" i="2"/>
  <c r="AF671" i="2"/>
  <c r="AE671" i="2"/>
  <c r="CB669" i="2"/>
  <c r="CA669" i="2"/>
  <c r="BZ669" i="2"/>
  <c r="BY669" i="2"/>
  <c r="CB668" i="2"/>
  <c r="CA668" i="2"/>
  <c r="BZ668" i="2"/>
  <c r="BY668" i="2"/>
  <c r="CB667" i="2"/>
  <c r="CA667" i="2"/>
  <c r="BZ667" i="2"/>
  <c r="BY667" i="2"/>
  <c r="Y667" i="2"/>
  <c r="Y668" i="2" s="1"/>
  <c r="Y669" i="2" s="1"/>
  <c r="CB666" i="2"/>
  <c r="CA666" i="2"/>
  <c r="BZ666" i="2"/>
  <c r="BY666" i="2"/>
  <c r="BV665" i="2"/>
  <c r="BV663" i="2" s="1"/>
  <c r="BV656" i="2" s="1"/>
  <c r="BV655" i="2" s="1"/>
  <c r="AX665" i="2"/>
  <c r="AT665" i="2"/>
  <c r="AS665" i="2"/>
  <c r="AQ665" i="2"/>
  <c r="BG664" i="2"/>
  <c r="AX664" i="2"/>
  <c r="BE663" i="2"/>
  <c r="BE664" i="2" s="1"/>
  <c r="BC663" i="2"/>
  <c r="BC664" i="2" s="1"/>
  <c r="AW663" i="2"/>
  <c r="AV663" i="2"/>
  <c r="AU663" i="2"/>
  <c r="AT663" i="2"/>
  <c r="AS663" i="2"/>
  <c r="AR663" i="2"/>
  <c r="BZ663" i="2" s="1"/>
  <c r="AQ663" i="2"/>
  <c r="CB662" i="2"/>
  <c r="BA662" i="2"/>
  <c r="AZ662" i="2"/>
  <c r="AY662" i="2"/>
  <c r="CB661" i="2"/>
  <c r="BG661" i="2"/>
  <c r="AK661" i="2"/>
  <c r="CA661" i="2" s="1"/>
  <c r="AJ661" i="2"/>
  <c r="BZ661" i="2" s="1"/>
  <c r="AI661" i="2"/>
  <c r="BB660" i="2"/>
  <c r="CB660" i="2" s="1"/>
  <c r="BA660" i="2"/>
  <c r="CA660" i="2" s="1"/>
  <c r="AZ660" i="2"/>
  <c r="BZ660" i="2" s="1"/>
  <c r="AY660" i="2"/>
  <c r="BY660" i="2" s="1"/>
  <c r="CB659" i="2"/>
  <c r="CA659" i="2"/>
  <c r="BZ659" i="2"/>
  <c r="BY659" i="2"/>
  <c r="BI658" i="2"/>
  <c r="AK658" i="2"/>
  <c r="AJ658" i="2"/>
  <c r="BZ658" i="2" s="1"/>
  <c r="AI658" i="2"/>
  <c r="BY658" i="2" s="1"/>
  <c r="CB657" i="2"/>
  <c r="CA657" i="2"/>
  <c r="BZ657" i="2"/>
  <c r="BY657" i="2"/>
  <c r="CA656" i="2"/>
  <c r="BY656" i="2"/>
  <c r="AJ656" i="2"/>
  <c r="BZ656" i="2" s="1"/>
  <c r="BH655" i="2"/>
  <c r="BD655" i="2"/>
  <c r="AH655" i="2"/>
  <c r="AH656" i="2" s="1"/>
  <c r="BF654" i="2"/>
  <c r="BF653" i="2" s="1"/>
  <c r="BE654" i="2"/>
  <c r="BE653" i="2" s="1"/>
  <c r="BC654" i="2"/>
  <c r="BC653" i="2" s="1"/>
  <c r="BB654" i="2"/>
  <c r="BB1059" i="2" s="1"/>
  <c r="AX654" i="2"/>
  <c r="AX653" i="2" s="1"/>
  <c r="AW654" i="2"/>
  <c r="AW653" i="2" s="1"/>
  <c r="AV654" i="2"/>
  <c r="AU654" i="2"/>
  <c r="AU653" i="2" s="1"/>
  <c r="AT654" i="2"/>
  <c r="AK654" i="2"/>
  <c r="AI654" i="2"/>
  <c r="AF654" i="2"/>
  <c r="BV653" i="2"/>
  <c r="BU653" i="2"/>
  <c r="BT653" i="2"/>
  <c r="BS653" i="2"/>
  <c r="BQ653" i="2"/>
  <c r="BP653" i="2"/>
  <c r="BO653" i="2"/>
  <c r="BM653" i="2"/>
  <c r="BL653" i="2"/>
  <c r="BK653" i="2"/>
  <c r="BJ653" i="2"/>
  <c r="BI653" i="2"/>
  <c r="BH653" i="2"/>
  <c r="BG653" i="2"/>
  <c r="BD653" i="2"/>
  <c r="BB653" i="2"/>
  <c r="BA653" i="2"/>
  <c r="AY653" i="2"/>
  <c r="AS653" i="2"/>
  <c r="AR653" i="2"/>
  <c r="AQ653" i="2"/>
  <c r="AJ653" i="2"/>
  <c r="AH653" i="2"/>
  <c r="AG653" i="2"/>
  <c r="AE653" i="2"/>
  <c r="CB652" i="2"/>
  <c r="CA652" i="2"/>
  <c r="BZ652" i="2"/>
  <c r="BY652" i="2"/>
  <c r="BZ651" i="2"/>
  <c r="BS651" i="2"/>
  <c r="BS1056" i="2" s="1"/>
  <c r="BI651" i="2"/>
  <c r="BI1056" i="2" s="1"/>
  <c r="BB651" i="2"/>
  <c r="CB651" i="2" s="1"/>
  <c r="BA651" i="2"/>
  <c r="CB650" i="2"/>
  <c r="CA650" i="2"/>
  <c r="BZ650" i="2"/>
  <c r="BY650" i="2"/>
  <c r="CB649" i="2"/>
  <c r="BZ649" i="2"/>
  <c r="BE649" i="2"/>
  <c r="CA649" i="2" s="1"/>
  <c r="BC649" i="2"/>
  <c r="CB648" i="2"/>
  <c r="CA648" i="2"/>
  <c r="BZ648" i="2"/>
  <c r="BY648" i="2"/>
  <c r="BV646" i="2"/>
  <c r="BV642" i="2" s="1"/>
  <c r="BV639" i="2" s="1"/>
  <c r="BR646" i="2"/>
  <c r="BN646" i="2"/>
  <c r="BN642" i="2" s="1"/>
  <c r="BN639" i="2" s="1"/>
  <c r="BI646" i="2"/>
  <c r="BH646" i="2"/>
  <c r="BH642" i="2" s="1"/>
  <c r="BH639" i="2" s="1"/>
  <c r="BG646" i="2"/>
  <c r="BG642" i="2" s="1"/>
  <c r="BG639" i="2" s="1"/>
  <c r="BF646" i="2"/>
  <c r="BE646" i="2"/>
  <c r="BE642" i="2" s="1"/>
  <c r="BC646" i="2"/>
  <c r="BC642" i="2" s="1"/>
  <c r="AX646" i="2"/>
  <c r="AT646" i="2"/>
  <c r="AT642" i="2" s="1"/>
  <c r="AT639" i="2" s="1"/>
  <c r="AH646" i="2"/>
  <c r="AH642" i="2" s="1"/>
  <c r="AH639" i="2" s="1"/>
  <c r="AG646" i="2"/>
  <c r="AE646" i="2"/>
  <c r="CB645" i="2"/>
  <c r="CA645" i="2"/>
  <c r="BZ645" i="2"/>
  <c r="BY645" i="2"/>
  <c r="BV644" i="2"/>
  <c r="BU644" i="2"/>
  <c r="BT644" i="2"/>
  <c r="BS644" i="2"/>
  <c r="BR644" i="2"/>
  <c r="BQ644" i="2"/>
  <c r="BP644" i="2"/>
  <c r="BO644" i="2"/>
  <c r="BM644" i="2"/>
  <c r="BL644" i="2"/>
  <c r="BK644" i="2"/>
  <c r="BI644" i="2"/>
  <c r="BH644" i="2"/>
  <c r="BG644" i="2"/>
  <c r="BF644" i="2"/>
  <c r="BE644" i="2"/>
  <c r="BC644" i="2"/>
  <c r="BA644" i="2"/>
  <c r="AZ644" i="2"/>
  <c r="AY644" i="2"/>
  <c r="AX644" i="2"/>
  <c r="AW644" i="2"/>
  <c r="AV644" i="2"/>
  <c r="AU644" i="2"/>
  <c r="AT644" i="2"/>
  <c r="AS644" i="2"/>
  <c r="AR644" i="2"/>
  <c r="AQ644" i="2"/>
  <c r="AH644" i="2"/>
  <c r="AG644" i="2"/>
  <c r="AF644" i="2"/>
  <c r="AE644" i="2"/>
  <c r="CA643" i="2"/>
  <c r="BZ643" i="2"/>
  <c r="BY643" i="2"/>
  <c r="BJ643" i="2"/>
  <c r="BB643" i="2"/>
  <c r="BB1225" i="2" s="1"/>
  <c r="BB1227" i="2" s="1"/>
  <c r="G643" i="2" a="1"/>
  <c r="G643" i="2" s="1"/>
  <c r="BS642" i="2"/>
  <c r="BS639" i="2" s="1"/>
  <c r="BR642" i="2"/>
  <c r="BR639" i="2" s="1"/>
  <c r="BO642" i="2"/>
  <c r="BO639" i="2" s="1"/>
  <c r="BM642" i="2"/>
  <c r="BM639" i="2" s="1"/>
  <c r="BL642" i="2"/>
  <c r="BL639" i="2" s="1"/>
  <c r="BK642" i="2"/>
  <c r="BK639" i="2" s="1"/>
  <c r="BF642" i="2"/>
  <c r="BF639" i="2" s="1"/>
  <c r="BA642" i="2"/>
  <c r="BA639" i="2" s="1"/>
  <c r="AZ642" i="2"/>
  <c r="AZ639" i="2" s="1"/>
  <c r="AY642" i="2"/>
  <c r="AY639" i="2" s="1"/>
  <c r="AW642" i="2"/>
  <c r="AW639" i="2" s="1"/>
  <c r="AV642" i="2"/>
  <c r="AV639" i="2" s="1"/>
  <c r="AU642" i="2"/>
  <c r="AU639" i="2" s="1"/>
  <c r="AQ642" i="2"/>
  <c r="AQ639" i="2" s="1"/>
  <c r="AK642" i="2"/>
  <c r="AJ642" i="2"/>
  <c r="AJ639" i="2" s="1"/>
  <c r="AI642" i="2"/>
  <c r="AI639" i="2" s="1"/>
  <c r="AF642" i="2"/>
  <c r="AF639" i="2" s="1"/>
  <c r="CB641" i="2"/>
  <c r="CA641" i="2"/>
  <c r="BZ641" i="2"/>
  <c r="BY641" i="2"/>
  <c r="CB640" i="2"/>
  <c r="CA640" i="2"/>
  <c r="BZ640" i="2"/>
  <c r="BY640" i="2"/>
  <c r="BU639" i="2"/>
  <c r="BT639" i="2"/>
  <c r="BQ639" i="2"/>
  <c r="BP639" i="2"/>
  <c r="BD639" i="2"/>
  <c r="AS639" i="2"/>
  <c r="AR639" i="2"/>
  <c r="AO639" i="2"/>
  <c r="AN639" i="2"/>
  <c r="AM639" i="2"/>
  <c r="AG639" i="2"/>
  <c r="CB638" i="2"/>
  <c r="CA638" i="2"/>
  <c r="BZ638" i="2"/>
  <c r="BY638" i="2"/>
  <c r="CB637" i="2"/>
  <c r="BZ637" i="2"/>
  <c r="BM637" i="2"/>
  <c r="CA637" i="2" s="1"/>
  <c r="AY637" i="2"/>
  <c r="AY1039" i="2" s="1"/>
  <c r="CB636" i="2"/>
  <c r="CA636" i="2"/>
  <c r="BZ636" i="2"/>
  <c r="BY636" i="2"/>
  <c r="CB635" i="2"/>
  <c r="CA635" i="2"/>
  <c r="BZ635" i="2"/>
  <c r="BY635" i="2"/>
  <c r="BZ634" i="2"/>
  <c r="BY634" i="2"/>
  <c r="AW634" i="2"/>
  <c r="AW1037" i="2" s="1"/>
  <c r="CB633" i="2"/>
  <c r="CA633" i="2"/>
  <c r="BZ633" i="2"/>
  <c r="BY633" i="2"/>
  <c r="BU632" i="2"/>
  <c r="BU1021" i="2" s="1"/>
  <c r="BS632" i="2"/>
  <c r="BQ632" i="2"/>
  <c r="BI632" i="2"/>
  <c r="BH632" i="2"/>
  <c r="BG632" i="2"/>
  <c r="BE632" i="2"/>
  <c r="AW632" i="2"/>
  <c r="CB631" i="2"/>
  <c r="CA631" i="2"/>
  <c r="BZ631" i="2"/>
  <c r="BY631" i="2"/>
  <c r="CB630" i="2"/>
  <c r="BZ630" i="2"/>
  <c r="BY630" i="2"/>
  <c r="AW630" i="2"/>
  <c r="AW1022" i="2" s="1"/>
  <c r="CB629" i="2"/>
  <c r="CA629" i="2"/>
  <c r="BZ629" i="2"/>
  <c r="BY629" i="2"/>
  <c r="BV628" i="2"/>
  <c r="BV621" i="2" s="1"/>
  <c r="BU628" i="2"/>
  <c r="BU621" i="2" s="1"/>
  <c r="BT628" i="2"/>
  <c r="BT621" i="2" s="1"/>
  <c r="BP628" i="2"/>
  <c r="BP621" i="2" s="1"/>
  <c r="BO628" i="2"/>
  <c r="BO621" i="2" s="1"/>
  <c r="BM628" i="2"/>
  <c r="BM621" i="2" s="1"/>
  <c r="BL628" i="2"/>
  <c r="BL621" i="2" s="1"/>
  <c r="BK628" i="2"/>
  <c r="BK621" i="2" s="1"/>
  <c r="BI628" i="2"/>
  <c r="BI621" i="2" s="1"/>
  <c r="BE628" i="2"/>
  <c r="BE621" i="2" s="1"/>
  <c r="BD628" i="2"/>
  <c r="BD621" i="2" s="1"/>
  <c r="BC628" i="2"/>
  <c r="BC621" i="2" s="1"/>
  <c r="BA628" i="2"/>
  <c r="BA621" i="2" s="1"/>
  <c r="AZ628" i="2"/>
  <c r="AZ621" i="2" s="1"/>
  <c r="AV628" i="2"/>
  <c r="AV621" i="2" s="1"/>
  <c r="AU628" i="2"/>
  <c r="AU621" i="2" s="1"/>
  <c r="AS628" i="2"/>
  <c r="AS621" i="2" s="1"/>
  <c r="AR628" i="2"/>
  <c r="AQ628" i="2"/>
  <c r="AQ621" i="2" s="1"/>
  <c r="AO628" i="2"/>
  <c r="AO621" i="2" s="1"/>
  <c r="AN628" i="2"/>
  <c r="AN621" i="2" s="1"/>
  <c r="AM628" i="2"/>
  <c r="AM621" i="2" s="1"/>
  <c r="AK628" i="2"/>
  <c r="AK621" i="2" s="1"/>
  <c r="AJ628" i="2"/>
  <c r="AJ621" i="2" s="1"/>
  <c r="AI628" i="2"/>
  <c r="AG628" i="2"/>
  <c r="AG621" i="2" s="1"/>
  <c r="AF628" i="2"/>
  <c r="AF621" i="2" s="1"/>
  <c r="AE628" i="2"/>
  <c r="AE621" i="2" s="1"/>
  <c r="CB627" i="2"/>
  <c r="CA627" i="2"/>
  <c r="BZ627" i="2"/>
  <c r="BY627" i="2"/>
  <c r="CB626" i="2"/>
  <c r="CA626" i="2"/>
  <c r="BZ626" i="2"/>
  <c r="BY626" i="2"/>
  <c r="CB625" i="2"/>
  <c r="CA625" i="2"/>
  <c r="BZ625" i="2"/>
  <c r="BY625" i="2"/>
  <c r="CB624" i="2"/>
  <c r="CA624" i="2"/>
  <c r="BZ624" i="2"/>
  <c r="BY624" i="2"/>
  <c r="CB623" i="2"/>
  <c r="CA623" i="2"/>
  <c r="BZ623" i="2"/>
  <c r="BY623" i="2"/>
  <c r="CB622" i="2"/>
  <c r="CA622" i="2"/>
  <c r="BZ622" i="2"/>
  <c r="BY622" i="2"/>
  <c r="AR621" i="2"/>
  <c r="CB620" i="2"/>
  <c r="CA620" i="2"/>
  <c r="BZ620" i="2"/>
  <c r="BY620" i="2"/>
  <c r="CA619" i="2"/>
  <c r="BZ619" i="2"/>
  <c r="BY619" i="2"/>
  <c r="CB618" i="2"/>
  <c r="CA618" i="2"/>
  <c r="BZ618" i="2"/>
  <c r="BY618" i="2"/>
  <c r="CB617" i="2"/>
  <c r="CA617" i="2"/>
  <c r="BZ617" i="2"/>
  <c r="BY617" i="2"/>
  <c r="BI615" i="2"/>
  <c r="BI611" i="2" s="1"/>
  <c r="BH615" i="2"/>
  <c r="BZ615" i="2" s="1"/>
  <c r="BG615" i="2"/>
  <c r="BY615" i="2" s="1"/>
  <c r="BF615" i="2"/>
  <c r="BF1007" i="2" s="1"/>
  <c r="BE615" i="2"/>
  <c r="AX615" i="2"/>
  <c r="AX611" i="2" s="1"/>
  <c r="AX602" i="2" s="1"/>
  <c r="AT615" i="2"/>
  <c r="AT611" i="2" s="1"/>
  <c r="AT602" i="2" s="1"/>
  <c r="AH615" i="2"/>
  <c r="AH611" i="2" s="1"/>
  <c r="CB614" i="2"/>
  <c r="CA614" i="2"/>
  <c r="BZ614" i="2"/>
  <c r="BY614" i="2"/>
  <c r="BU613" i="2"/>
  <c r="BT613" i="2"/>
  <c r="BS613" i="2"/>
  <c r="BQ613" i="2"/>
  <c r="BP613" i="2"/>
  <c r="BO613" i="2"/>
  <c r="BI613" i="2"/>
  <c r="BH613" i="2"/>
  <c r="BG613" i="2"/>
  <c r="BF613" i="2"/>
  <c r="BE613" i="2"/>
  <c r="BD613" i="2"/>
  <c r="BC613" i="2"/>
  <c r="BA613" i="2"/>
  <c r="AZ613" i="2"/>
  <c r="AY613" i="2"/>
  <c r="AX613" i="2"/>
  <c r="AW613" i="2"/>
  <c r="AV613" i="2"/>
  <c r="AU613" i="2"/>
  <c r="AT613" i="2"/>
  <c r="AS613" i="2"/>
  <c r="AR613" i="2"/>
  <c r="AQ613" i="2"/>
  <c r="AH613" i="2"/>
  <c r="AG613" i="2"/>
  <c r="AF613" i="2"/>
  <c r="AE613" i="2"/>
  <c r="CA612" i="2"/>
  <c r="BZ612" i="2"/>
  <c r="BY612" i="2"/>
  <c r="BJ612" i="2"/>
  <c r="BJ1222" i="2" s="1"/>
  <c r="BJ1224" i="2" s="1"/>
  <c r="BB612" i="2"/>
  <c r="BB1222" i="2" s="1"/>
  <c r="BB1224" i="2" s="1"/>
  <c r="BU611" i="2"/>
  <c r="BT611" i="2"/>
  <c r="BS611" i="2"/>
  <c r="BQ611" i="2"/>
  <c r="BP611" i="2"/>
  <c r="BO611" i="2"/>
  <c r="BM611" i="2"/>
  <c r="BL611" i="2"/>
  <c r="BK611" i="2"/>
  <c r="BD611" i="2"/>
  <c r="BC611" i="2"/>
  <c r="BA611" i="2"/>
  <c r="AZ611" i="2"/>
  <c r="AY611" i="2"/>
  <c r="AW611" i="2"/>
  <c r="AV611" i="2"/>
  <c r="AU611" i="2"/>
  <c r="AS611" i="2"/>
  <c r="AR611" i="2"/>
  <c r="AQ611" i="2"/>
  <c r="AK611" i="2"/>
  <c r="AJ611" i="2"/>
  <c r="AI611" i="2"/>
  <c r="AG611" i="2"/>
  <c r="AF611" i="2"/>
  <c r="AE611" i="2"/>
  <c r="CB610" i="2"/>
  <c r="CA610" i="2"/>
  <c r="BZ610" i="2"/>
  <c r="BY610" i="2"/>
  <c r="CB609" i="2"/>
  <c r="CA609" i="2"/>
  <c r="BZ609" i="2"/>
  <c r="BY609" i="2"/>
  <c r="CB608" i="2"/>
  <c r="CA608" i="2"/>
  <c r="BZ608" i="2"/>
  <c r="BY608" i="2"/>
  <c r="CB607" i="2"/>
  <c r="CA607" i="2"/>
  <c r="BZ607" i="2"/>
  <c r="BY607" i="2"/>
  <c r="CB606" i="2"/>
  <c r="CA606" i="2"/>
  <c r="BZ606" i="2"/>
  <c r="BY606" i="2"/>
  <c r="CB605" i="2"/>
  <c r="CA605" i="2"/>
  <c r="BZ605" i="2"/>
  <c r="BY605" i="2"/>
  <c r="CB604" i="2"/>
  <c r="CA604" i="2"/>
  <c r="BZ604" i="2"/>
  <c r="BY604" i="2"/>
  <c r="BV603" i="2"/>
  <c r="BU603" i="2"/>
  <c r="BT603" i="2"/>
  <c r="BS603" i="2"/>
  <c r="BQ603" i="2"/>
  <c r="BP603" i="2"/>
  <c r="BO603" i="2"/>
  <c r="BM603" i="2"/>
  <c r="BL603" i="2"/>
  <c r="BK603" i="2"/>
  <c r="BI603" i="2"/>
  <c r="BH603" i="2"/>
  <c r="BG603" i="2"/>
  <c r="BF603" i="2"/>
  <c r="BE603" i="2"/>
  <c r="BD603" i="2"/>
  <c r="BC603" i="2"/>
  <c r="BA603" i="2"/>
  <c r="AZ603" i="2"/>
  <c r="AY603" i="2"/>
  <c r="AW603" i="2"/>
  <c r="AV603" i="2"/>
  <c r="AU603" i="2"/>
  <c r="AS603" i="2"/>
  <c r="AR603" i="2"/>
  <c r="AR602" i="2" s="1"/>
  <c r="AQ603" i="2"/>
  <c r="AK603" i="2"/>
  <c r="AJ603" i="2"/>
  <c r="AI603" i="2"/>
  <c r="AH603" i="2"/>
  <c r="AG603" i="2"/>
  <c r="AF603" i="2"/>
  <c r="AE603" i="2"/>
  <c r="BR602" i="2"/>
  <c r="BN602" i="2"/>
  <c r="AL602" i="2"/>
  <c r="AJ601" i="2"/>
  <c r="BV600" i="2"/>
  <c r="BV596" i="2" s="1"/>
  <c r="BV593" i="2" s="1"/>
  <c r="BR600" i="2"/>
  <c r="BR596" i="2" s="1"/>
  <c r="BR593" i="2" s="1"/>
  <c r="BN600" i="2"/>
  <c r="BN596" i="2" s="1"/>
  <c r="BN593" i="2" s="1"/>
  <c r="BI600" i="2"/>
  <c r="BI596" i="2" s="1"/>
  <c r="BI593" i="2" s="1"/>
  <c r="BH600" i="2"/>
  <c r="BZ600" i="2" s="1"/>
  <c r="BG600" i="2"/>
  <c r="BG596" i="2" s="1"/>
  <c r="BG593" i="2" s="1"/>
  <c r="BF600" i="2"/>
  <c r="BF596" i="2" s="1"/>
  <c r="BF593" i="2" s="1"/>
  <c r="BE600" i="2"/>
  <c r="BE596" i="2" s="1"/>
  <c r="BE593" i="2" s="1"/>
  <c r="BC600" i="2"/>
  <c r="AX600" i="2"/>
  <c r="AX596" i="2" s="1"/>
  <c r="AX593" i="2" s="1"/>
  <c r="AT600" i="2"/>
  <c r="AT596" i="2" s="1"/>
  <c r="AT593" i="2" s="1"/>
  <c r="AL600" i="2"/>
  <c r="AL601" i="2" s="1"/>
  <c r="AK600" i="2"/>
  <c r="AI600" i="2"/>
  <c r="AI601" i="2" s="1"/>
  <c r="AH600" i="2"/>
  <c r="AH596" i="2" s="1"/>
  <c r="AH593" i="2" s="1"/>
  <c r="AE600" i="2"/>
  <c r="CB599" i="2"/>
  <c r="CA599" i="2"/>
  <c r="BZ599" i="2"/>
  <c r="BY599" i="2"/>
  <c r="BV598" i="2"/>
  <c r="BU598" i="2"/>
  <c r="BT598" i="2"/>
  <c r="BS598" i="2"/>
  <c r="BR598" i="2"/>
  <c r="BQ598" i="2"/>
  <c r="BP598" i="2"/>
  <c r="BO598" i="2"/>
  <c r="BN598" i="2"/>
  <c r="BM598" i="2"/>
  <c r="BL598" i="2"/>
  <c r="BK598" i="2"/>
  <c r="BI598" i="2"/>
  <c r="BH598" i="2"/>
  <c r="BG598" i="2"/>
  <c r="BF598" i="2"/>
  <c r="BE598" i="2"/>
  <c r="BD598" i="2"/>
  <c r="BC598" i="2"/>
  <c r="BA598" i="2"/>
  <c r="AZ598" i="2"/>
  <c r="AY598" i="2"/>
  <c r="AX598" i="2"/>
  <c r="AW598" i="2"/>
  <c r="AV598" i="2"/>
  <c r="AU598" i="2"/>
  <c r="AT598" i="2"/>
  <c r="AS598" i="2"/>
  <c r="AQ598" i="2"/>
  <c r="AK598" i="2"/>
  <c r="AJ598" i="2"/>
  <c r="AI598" i="2"/>
  <c r="AH598" i="2"/>
  <c r="AG598" i="2"/>
  <c r="AF598" i="2"/>
  <c r="CA597" i="2"/>
  <c r="BZ597" i="2"/>
  <c r="BJ597" i="2"/>
  <c r="BJ1219" i="2" s="1"/>
  <c r="BJ1221" i="2" s="1"/>
  <c r="BB597" i="2"/>
  <c r="BB1219" i="2" s="1"/>
  <c r="AE597" i="2"/>
  <c r="AE1219" i="2" s="1"/>
  <c r="BU596" i="2"/>
  <c r="BU593" i="2" s="1"/>
  <c r="BT596" i="2"/>
  <c r="BT593" i="2" s="1"/>
  <c r="BS596" i="2"/>
  <c r="BS593" i="2" s="1"/>
  <c r="BQ596" i="2"/>
  <c r="BQ593" i="2" s="1"/>
  <c r="BP596" i="2"/>
  <c r="BP593" i="2" s="1"/>
  <c r="BO596" i="2"/>
  <c r="BO593" i="2" s="1"/>
  <c r="BM596" i="2"/>
  <c r="BM593" i="2" s="1"/>
  <c r="BL596" i="2"/>
  <c r="BL593" i="2" s="1"/>
  <c r="BK596" i="2"/>
  <c r="BK593" i="2" s="1"/>
  <c r="BD596" i="2"/>
  <c r="BD593" i="2" s="1"/>
  <c r="BC596" i="2"/>
  <c r="BC593" i="2" s="1"/>
  <c r="BA596" i="2"/>
  <c r="BA593" i="2" s="1"/>
  <c r="AZ596" i="2"/>
  <c r="AZ593" i="2" s="1"/>
  <c r="AY596" i="2"/>
  <c r="AY593" i="2" s="1"/>
  <c r="AW596" i="2"/>
  <c r="AW593" i="2" s="1"/>
  <c r="AV596" i="2"/>
  <c r="AV593" i="2" s="1"/>
  <c r="AU596" i="2"/>
  <c r="AU593" i="2" s="1"/>
  <c r="AS596" i="2"/>
  <c r="AS593" i="2" s="1"/>
  <c r="AR596" i="2"/>
  <c r="AR593" i="2" s="1"/>
  <c r="AQ596" i="2"/>
  <c r="AQ593" i="2" s="1"/>
  <c r="AJ596" i="2"/>
  <c r="AJ593" i="2" s="1"/>
  <c r="AG596" i="2"/>
  <c r="AG593" i="2" s="1"/>
  <c r="AF596" i="2"/>
  <c r="AF593" i="2" s="1"/>
  <c r="CA595" i="2"/>
  <c r="BZ595" i="2"/>
  <c r="BY595" i="2"/>
  <c r="BB595" i="2"/>
  <c r="CB595" i="2" s="1"/>
  <c r="CA594" i="2"/>
  <c r="BZ594" i="2"/>
  <c r="BY594" i="2"/>
  <c r="BB594" i="2"/>
  <c r="CB594" i="2" s="1"/>
  <c r="AO593" i="2"/>
  <c r="AN593" i="2"/>
  <c r="AM593" i="2"/>
  <c r="CA592" i="2"/>
  <c r="BZ592" i="2"/>
  <c r="BY592" i="2"/>
  <c r="CA591" i="2"/>
  <c r="BZ591" i="2"/>
  <c r="BY591" i="2"/>
  <c r="BZ590" i="2"/>
  <c r="AK590" i="2"/>
  <c r="AK955" i="2" s="1"/>
  <c r="AI590" i="2"/>
  <c r="AI955" i="2" s="1"/>
  <c r="CA589" i="2"/>
  <c r="BZ589" i="2"/>
  <c r="BY589" i="2"/>
  <c r="CA588" i="2"/>
  <c r="BZ588" i="2"/>
  <c r="BY588" i="2"/>
  <c r="CA587" i="2"/>
  <c r="BZ587" i="2"/>
  <c r="BY587" i="2"/>
  <c r="CA586" i="2"/>
  <c r="BZ586" i="2"/>
  <c r="BY586" i="2"/>
  <c r="CA585" i="2"/>
  <c r="BZ585" i="2"/>
  <c r="BY585" i="2"/>
  <c r="BZ584" i="2"/>
  <c r="BY584" i="2"/>
  <c r="BI584" i="2"/>
  <c r="BI963" i="2" s="1"/>
  <c r="BZ583" i="2"/>
  <c r="BK583" i="2"/>
  <c r="BK975" i="2" s="1"/>
  <c r="BI583" i="2"/>
  <c r="BI975" i="2" s="1"/>
  <c r="BG583" i="2"/>
  <c r="BG975" i="2" s="1"/>
  <c r="BZ582" i="2"/>
  <c r="BF582" i="2"/>
  <c r="CB582" i="2" s="1"/>
  <c r="BE582" i="2"/>
  <c r="BE956" i="2" s="1"/>
  <c r="BC582" i="2"/>
  <c r="BZ581" i="2"/>
  <c r="BM581" i="2"/>
  <c r="BM979" i="2" s="1"/>
  <c r="BK581" i="2"/>
  <c r="BK979" i="2" s="1"/>
  <c r="BA581" i="2"/>
  <c r="BA979" i="2" s="1"/>
  <c r="AY581" i="2"/>
  <c r="AY979" i="2" s="1"/>
  <c r="CA580" i="2"/>
  <c r="BZ580" i="2"/>
  <c r="BY580" i="2"/>
  <c r="CA579" i="2"/>
  <c r="BZ579" i="2"/>
  <c r="BY579" i="2"/>
  <c r="CA578" i="2"/>
  <c r="BZ578" i="2"/>
  <c r="BK578" i="2"/>
  <c r="BK971" i="2" s="1"/>
  <c r="CA577" i="2"/>
  <c r="BZ577" i="2"/>
  <c r="BK577" i="2"/>
  <c r="CA576" i="2"/>
  <c r="BZ576" i="2"/>
  <c r="BK576" i="2"/>
  <c r="BK958" i="2" s="1"/>
  <c r="BZ575" i="2"/>
  <c r="BM575" i="2"/>
  <c r="BM978" i="2" s="1"/>
  <c r="BK575" i="2"/>
  <c r="BK978" i="2" s="1"/>
  <c r="BI575" i="2"/>
  <c r="BG575" i="2"/>
  <c r="BE575" i="2"/>
  <c r="BC575" i="2"/>
  <c r="BC978" i="2" s="1"/>
  <c r="BA575" i="2"/>
  <c r="BA978" i="2" s="1"/>
  <c r="CA574" i="2"/>
  <c r="BZ574" i="2"/>
  <c r="BK574" i="2"/>
  <c r="CA573" i="2"/>
  <c r="BZ573" i="2"/>
  <c r="BY573" i="2"/>
  <c r="CA572" i="2"/>
  <c r="BZ572" i="2"/>
  <c r="BY572" i="2"/>
  <c r="CA571" i="2"/>
  <c r="BZ571" i="2"/>
  <c r="AI571" i="2"/>
  <c r="AI969" i="2" s="1"/>
  <c r="CA570" i="2"/>
  <c r="BZ570" i="2"/>
  <c r="BK570" i="2"/>
  <c r="CA569" i="2"/>
  <c r="BZ569" i="2"/>
  <c r="BY569" i="2"/>
  <c r="CA568" i="2"/>
  <c r="BZ568" i="2"/>
  <c r="BY568" i="2"/>
  <c r="BZ567" i="2"/>
  <c r="BS567" i="2"/>
  <c r="BS959" i="2" s="1"/>
  <c r="BM567" i="2"/>
  <c r="BM959" i="2" s="1"/>
  <c r="BK567" i="2"/>
  <c r="BK959" i="2" s="1"/>
  <c r="BI567" i="2"/>
  <c r="BI959" i="2" s="1"/>
  <c r="BG567" i="2"/>
  <c r="BG959" i="2" s="1"/>
  <c r="AY567" i="2"/>
  <c r="AS567" i="2"/>
  <c r="BZ566" i="2"/>
  <c r="AW566" i="2"/>
  <c r="AW933" i="2" s="1"/>
  <c r="AU566" i="2"/>
  <c r="AU933" i="2" s="1"/>
  <c r="CA565" i="2"/>
  <c r="BZ565" i="2"/>
  <c r="BY565" i="2"/>
  <c r="CA564" i="2"/>
  <c r="BZ564" i="2"/>
  <c r="BY564" i="2"/>
  <c r="BZ563" i="2"/>
  <c r="BE563" i="2"/>
  <c r="BE946" i="2" s="1"/>
  <c r="BC563" i="2"/>
  <c r="BC946" i="2" s="1"/>
  <c r="AW563" i="2"/>
  <c r="AW946" i="2" s="1"/>
  <c r="CA562" i="2"/>
  <c r="BZ562" i="2"/>
  <c r="BY562" i="2"/>
  <c r="BV561" i="2"/>
  <c r="BU561" i="2"/>
  <c r="BT561" i="2"/>
  <c r="BR561" i="2"/>
  <c r="BQ561" i="2"/>
  <c r="BP561" i="2"/>
  <c r="BO561" i="2"/>
  <c r="BL561" i="2"/>
  <c r="BJ561" i="2"/>
  <c r="BH561" i="2"/>
  <c r="BF561" i="2"/>
  <c r="BD561" i="2"/>
  <c r="AZ561" i="2"/>
  <c r="AV561" i="2"/>
  <c r="AR561" i="2"/>
  <c r="AQ561" i="2"/>
  <c r="AO561" i="2"/>
  <c r="AN561" i="2"/>
  <c r="AM561" i="2"/>
  <c r="AJ561" i="2"/>
  <c r="AG561" i="2"/>
  <c r="AF561" i="2"/>
  <c r="AE561" i="2"/>
  <c r="G561" i="2"/>
  <c r="A561" i="2"/>
  <c r="CA560" i="2"/>
  <c r="BZ560" i="2"/>
  <c r="BY560" i="2"/>
  <c r="CA559" i="2"/>
  <c r="BZ559" i="2"/>
  <c r="BY559" i="2"/>
  <c r="CA558" i="2"/>
  <c r="BZ558" i="2"/>
  <c r="BY558" i="2"/>
  <c r="CA557" i="2"/>
  <c r="BZ557" i="2"/>
  <c r="BY557" i="2"/>
  <c r="CA556" i="2"/>
  <c r="BZ556" i="2"/>
  <c r="BY556" i="2"/>
  <c r="CA555" i="2"/>
  <c r="BZ555" i="2"/>
  <c r="BY555" i="2"/>
  <c r="CA554" i="2"/>
  <c r="BZ554" i="2"/>
  <c r="BY554" i="2"/>
  <c r="CA553" i="2"/>
  <c r="BZ553" i="2"/>
  <c r="BY553" i="2"/>
  <c r="CA552" i="2"/>
  <c r="BZ552" i="2"/>
  <c r="BY552" i="2"/>
  <c r="CA551" i="2"/>
  <c r="BZ551" i="2"/>
  <c r="BY551" i="2"/>
  <c r="CA550" i="2"/>
  <c r="BZ550" i="2"/>
  <c r="BY550" i="2"/>
  <c r="CA549" i="2"/>
  <c r="BZ549" i="2"/>
  <c r="BY549" i="2"/>
  <c r="CA548" i="2"/>
  <c r="BZ548" i="2"/>
  <c r="BY548" i="2"/>
  <c r="CA547" i="2"/>
  <c r="BZ547" i="2"/>
  <c r="BY547" i="2"/>
  <c r="CA546" i="2"/>
  <c r="BZ546" i="2"/>
  <c r="BY546" i="2"/>
  <c r="CA545" i="2"/>
  <c r="BZ545" i="2"/>
  <c r="BY545" i="2"/>
  <c r="CA544" i="2"/>
  <c r="BZ544" i="2"/>
  <c r="BY544" i="2"/>
  <c r="CA543" i="2"/>
  <c r="BZ543" i="2"/>
  <c r="BY543" i="2"/>
  <c r="CA542" i="2"/>
  <c r="BZ542" i="2"/>
  <c r="BY542" i="2"/>
  <c r="CA541" i="2"/>
  <c r="BZ541" i="2"/>
  <c r="BY541" i="2"/>
  <c r="CA540" i="2"/>
  <c r="BZ540" i="2"/>
  <c r="BY540" i="2"/>
  <c r="CA539" i="2"/>
  <c r="BZ539" i="2"/>
  <c r="BY539" i="2"/>
  <c r="BV538" i="2"/>
  <c r="BU538" i="2"/>
  <c r="BT538" i="2"/>
  <c r="BS538" i="2"/>
  <c r="BR538" i="2"/>
  <c r="BQ538" i="2"/>
  <c r="BP538" i="2"/>
  <c r="BO538" i="2"/>
  <c r="BM538" i="2"/>
  <c r="BL538" i="2"/>
  <c r="BK538" i="2"/>
  <c r="BJ538" i="2"/>
  <c r="BI538" i="2"/>
  <c r="BH538" i="2"/>
  <c r="BG538" i="2"/>
  <c r="BE538" i="2"/>
  <c r="BD538" i="2"/>
  <c r="BC538" i="2"/>
  <c r="BA538" i="2"/>
  <c r="AZ538" i="2"/>
  <c r="AY538" i="2"/>
  <c r="AW538" i="2"/>
  <c r="AV538" i="2"/>
  <c r="AU538" i="2"/>
  <c r="AS538" i="2"/>
  <c r="AR538" i="2"/>
  <c r="AQ538" i="2"/>
  <c r="AO538" i="2"/>
  <c r="AN538" i="2"/>
  <c r="AM538" i="2"/>
  <c r="AK538" i="2"/>
  <c r="AJ538" i="2"/>
  <c r="AI538" i="2"/>
  <c r="AG538" i="2"/>
  <c r="AF538" i="2"/>
  <c r="AE538" i="2"/>
  <c r="CA537" i="2"/>
  <c r="BZ537" i="2"/>
  <c r="BY537" i="2"/>
  <c r="CA536" i="2"/>
  <c r="BZ536" i="2"/>
  <c r="BY536" i="2"/>
  <c r="CA535" i="2"/>
  <c r="BZ535" i="2"/>
  <c r="BY535" i="2"/>
  <c r="CA534" i="2"/>
  <c r="BZ534" i="2"/>
  <c r="BY534" i="2"/>
  <c r="CA533" i="2"/>
  <c r="BZ533" i="2"/>
  <c r="BY533" i="2"/>
  <c r="CA532" i="2"/>
  <c r="BZ532" i="2"/>
  <c r="BY532" i="2"/>
  <c r="CB530" i="2"/>
  <c r="CA530" i="2"/>
  <c r="BZ530" i="2"/>
  <c r="BY530" i="2"/>
  <c r="CB529" i="2"/>
  <c r="CA529" i="2"/>
  <c r="BZ529" i="2"/>
  <c r="BY529" i="2"/>
  <c r="CB528" i="2"/>
  <c r="CA528" i="2"/>
  <c r="BZ528" i="2"/>
  <c r="BY528" i="2"/>
  <c r="CB527" i="2"/>
  <c r="CA527" i="2"/>
  <c r="BZ527" i="2"/>
  <c r="BY527" i="2"/>
  <c r="CB526" i="2"/>
  <c r="CA526" i="2"/>
  <c r="BZ526" i="2"/>
  <c r="BY526" i="2"/>
  <c r="CB525" i="2"/>
  <c r="CA525" i="2"/>
  <c r="BZ525" i="2"/>
  <c r="BY525" i="2"/>
  <c r="CB524" i="2"/>
  <c r="CA524" i="2"/>
  <c r="BZ524" i="2"/>
  <c r="BY524" i="2"/>
  <c r="A524" i="2"/>
  <c r="A525" i="2" s="1" a="1"/>
  <c r="A525" i="2" s="1"/>
  <c r="A526" i="2" s="1" a="1"/>
  <c r="A526" i="2" s="1"/>
  <c r="A527" i="2" s="1" a="1"/>
  <c r="A527" i="2" s="1"/>
  <c r="A528" i="2" s="1" a="1"/>
  <c r="A528" i="2" s="1"/>
  <c r="A529" i="2" s="1" a="1"/>
  <c r="A529" i="2" s="1"/>
  <c r="A530" i="2" s="1" a="1"/>
  <c r="A530" i="2" s="1"/>
  <c r="CB523" i="2"/>
  <c r="CA523" i="2"/>
  <c r="BZ523" i="2"/>
  <c r="BY523" i="2"/>
  <c r="CB522" i="2"/>
  <c r="CA522" i="2"/>
  <c r="BZ522" i="2"/>
  <c r="BY522" i="2"/>
  <c r="BV520" i="2"/>
  <c r="BV516" i="2" s="1"/>
  <c r="BR520" i="2"/>
  <c r="BR516" i="2" s="1"/>
  <c r="BN520" i="2"/>
  <c r="BN516" i="2" s="1"/>
  <c r="BN510" i="2" s="1"/>
  <c r="BI520" i="2"/>
  <c r="BI516" i="2" s="1"/>
  <c r="BH520" i="2"/>
  <c r="BH516" i="2" s="1"/>
  <c r="BG520" i="2"/>
  <c r="BG516" i="2" s="1"/>
  <c r="BF520" i="2"/>
  <c r="BF516" i="2" s="1"/>
  <c r="BE520" i="2"/>
  <c r="BE516" i="2" s="1"/>
  <c r="BD520" i="2"/>
  <c r="BZ520" i="2" s="1"/>
  <c r="BC520" i="2"/>
  <c r="BC516" i="2" s="1"/>
  <c r="AX520" i="2"/>
  <c r="AX516" i="2" s="1"/>
  <c r="AX510" i="2" s="1"/>
  <c r="AT520" i="2"/>
  <c r="AT516" i="2" s="1"/>
  <c r="AT510" i="2" s="1"/>
  <c r="AL520" i="2"/>
  <c r="AL880" i="2" s="1"/>
  <c r="AK520" i="2"/>
  <c r="AK521" i="2" s="1"/>
  <c r="AI520" i="2"/>
  <c r="AH520" i="2"/>
  <c r="AH880" i="2" s="1"/>
  <c r="AE520" i="2"/>
  <c r="CB519" i="2"/>
  <c r="CA519" i="2"/>
  <c r="BZ519" i="2"/>
  <c r="BY519" i="2"/>
  <c r="BV518" i="2"/>
  <c r="BU518" i="2"/>
  <c r="BT518" i="2"/>
  <c r="BS518" i="2"/>
  <c r="BR518" i="2"/>
  <c r="BQ518" i="2"/>
  <c r="BP518" i="2"/>
  <c r="BO518" i="2"/>
  <c r="BN518" i="2"/>
  <c r="BM518" i="2"/>
  <c r="BL518" i="2"/>
  <c r="BK518" i="2"/>
  <c r="BI518" i="2"/>
  <c r="BH518" i="2"/>
  <c r="BG518" i="2"/>
  <c r="BF518" i="2"/>
  <c r="BE518" i="2"/>
  <c r="BD518" i="2"/>
  <c r="BC518" i="2"/>
  <c r="BA518" i="2"/>
  <c r="AZ518" i="2"/>
  <c r="AY518" i="2"/>
  <c r="AX518" i="2"/>
  <c r="AW518" i="2"/>
  <c r="AV518" i="2"/>
  <c r="AU518" i="2"/>
  <c r="AT518" i="2"/>
  <c r="AS518" i="2"/>
  <c r="AR518" i="2"/>
  <c r="AQ518" i="2"/>
  <c r="AL518" i="2"/>
  <c r="AK518" i="2"/>
  <c r="AJ518" i="2"/>
  <c r="AI518" i="2"/>
  <c r="AH518" i="2"/>
  <c r="AG518" i="2"/>
  <c r="AF518" i="2"/>
  <c r="CA517" i="2"/>
  <c r="BZ517" i="2"/>
  <c r="BJ517" i="2"/>
  <c r="BB517" i="2"/>
  <c r="AE517" i="2"/>
  <c r="BY517" i="2" s="1"/>
  <c r="BU516" i="2"/>
  <c r="BT516" i="2"/>
  <c r="BS516" i="2"/>
  <c r="BQ516" i="2"/>
  <c r="BP516" i="2"/>
  <c r="BO516" i="2"/>
  <c r="BM516" i="2"/>
  <c r="BL516" i="2"/>
  <c r="BK516" i="2"/>
  <c r="BA516" i="2"/>
  <c r="AZ516" i="2"/>
  <c r="AY516" i="2"/>
  <c r="AW516" i="2"/>
  <c r="AV516" i="2"/>
  <c r="AU516" i="2"/>
  <c r="AS516" i="2"/>
  <c r="AR516" i="2"/>
  <c r="AQ516" i="2"/>
  <c r="AJ516" i="2"/>
  <c r="AG516" i="2"/>
  <c r="AF516" i="2"/>
  <c r="CB515" i="2"/>
  <c r="CA515" i="2"/>
  <c r="BZ515" i="2"/>
  <c r="BY515" i="2"/>
  <c r="CB514" i="2"/>
  <c r="BZ514" i="2"/>
  <c r="BY514" i="2"/>
  <c r="BM514" i="2"/>
  <c r="CA514" i="2" s="1"/>
  <c r="CA513" i="2"/>
  <c r="BY513" i="2"/>
  <c r="AF513" i="2"/>
  <c r="AF873" i="2" s="1"/>
  <c r="CB512" i="2"/>
  <c r="CA512" i="2"/>
  <c r="BZ512" i="2"/>
  <c r="BY512" i="2"/>
  <c r="BV511" i="2"/>
  <c r="BU511" i="2"/>
  <c r="BT511" i="2"/>
  <c r="BS511" i="2"/>
  <c r="BR511" i="2"/>
  <c r="BQ511" i="2"/>
  <c r="BP511" i="2"/>
  <c r="BO511" i="2"/>
  <c r="BM511" i="2"/>
  <c r="BL511" i="2"/>
  <c r="BK511" i="2"/>
  <c r="BI511" i="2"/>
  <c r="BH511" i="2"/>
  <c r="BG511" i="2"/>
  <c r="BF511" i="2"/>
  <c r="BE511" i="2"/>
  <c r="BD511" i="2"/>
  <c r="BC511" i="2"/>
  <c r="BA511" i="2"/>
  <c r="AZ511" i="2"/>
  <c r="AY511" i="2"/>
  <c r="AW511" i="2"/>
  <c r="AV511" i="2"/>
  <c r="AU511" i="2"/>
  <c r="AS511" i="2"/>
  <c r="AR511" i="2"/>
  <c r="AQ511" i="2"/>
  <c r="AK511" i="2"/>
  <c r="AJ511" i="2"/>
  <c r="AI511" i="2"/>
  <c r="AG511" i="2"/>
  <c r="AF511" i="2"/>
  <c r="AE511" i="2"/>
  <c r="CB506" i="2"/>
  <c r="CB505" i="2"/>
  <c r="CA505" i="2"/>
  <c r="BZ505" i="2"/>
  <c r="BY505" i="2"/>
  <c r="AR504" i="2"/>
  <c r="CB502" i="2"/>
  <c r="CA502" i="2"/>
  <c r="BZ502" i="2"/>
  <c r="BY502" i="2"/>
  <c r="BB501" i="2"/>
  <c r="BB503" i="2" s="1"/>
  <c r="BA501" i="2"/>
  <c r="CA501" i="2" s="1"/>
  <c r="AZ501" i="2"/>
  <c r="BZ501" i="2" s="1"/>
  <c r="AY501" i="2"/>
  <c r="BY501" i="2" s="1"/>
  <c r="CB500" i="2"/>
  <c r="CA500" i="2"/>
  <c r="BZ500" i="2"/>
  <c r="BY500" i="2"/>
  <c r="CB499" i="2"/>
  <c r="CA499" i="2"/>
  <c r="BZ499" i="2"/>
  <c r="BY499" i="2"/>
  <c r="CB498" i="2"/>
  <c r="CA498" i="2"/>
  <c r="BZ498" i="2"/>
  <c r="BY498" i="2"/>
  <c r="BV497" i="2"/>
  <c r="BV496" i="2" s="1"/>
  <c r="BU497" i="2"/>
  <c r="BU496" i="2" s="1"/>
  <c r="BT497" i="2"/>
  <c r="BT496" i="2" s="1"/>
  <c r="BS497" i="2"/>
  <c r="BS496" i="2" s="1"/>
  <c r="BR497" i="2"/>
  <c r="BR496" i="2" s="1"/>
  <c r="BQ497" i="2"/>
  <c r="BQ496" i="2" s="1"/>
  <c r="BP497" i="2"/>
  <c r="BP496" i="2" s="1"/>
  <c r="BO497" i="2"/>
  <c r="BO496" i="2" s="1"/>
  <c r="BM497" i="2"/>
  <c r="BM496" i="2" s="1"/>
  <c r="BL497" i="2"/>
  <c r="BL496" i="2" s="1"/>
  <c r="BK497" i="2"/>
  <c r="BK496" i="2" s="1"/>
  <c r="BJ497" i="2"/>
  <c r="BJ496" i="2" s="1"/>
  <c r="BI497" i="2"/>
  <c r="BI496" i="2" s="1"/>
  <c r="BH497" i="2"/>
  <c r="BH496" i="2" s="1"/>
  <c r="BG497" i="2"/>
  <c r="BG496" i="2" s="1"/>
  <c r="BE497" i="2"/>
  <c r="BE496" i="2" s="1"/>
  <c r="BE494" i="2" s="1"/>
  <c r="CA494" i="2" s="1"/>
  <c r="BD497" i="2"/>
  <c r="BD496" i="2" s="1"/>
  <c r="BD494" i="2" s="1"/>
  <c r="BD489" i="2" s="1" a="1"/>
  <c r="BD489" i="2" s="1"/>
  <c r="BC497" i="2"/>
  <c r="BC496" i="2" s="1"/>
  <c r="BC494" i="2" s="1"/>
  <c r="BY494" i="2" s="1"/>
  <c r="BB497" i="2"/>
  <c r="BA497" i="2"/>
  <c r="AZ497" i="2"/>
  <c r="AY497" i="2"/>
  <c r="AX497" i="2"/>
  <c r="AX496" i="2" s="1"/>
  <c r="AW497" i="2"/>
  <c r="AW496" i="2" s="1"/>
  <c r="AV497" i="2"/>
  <c r="AV496" i="2" s="1"/>
  <c r="AU497" i="2"/>
  <c r="AU496" i="2" s="1"/>
  <c r="AT497" i="2"/>
  <c r="AT496" i="2" s="1"/>
  <c r="AS497" i="2"/>
  <c r="AS496" i="2" s="1"/>
  <c r="AR497" i="2"/>
  <c r="AR496" i="2" s="1"/>
  <c r="AQ497" i="2"/>
  <c r="AQ496" i="2" s="1"/>
  <c r="AQ503" i="2" s="1"/>
  <c r="AK497" i="2"/>
  <c r="AK496" i="2" s="1"/>
  <c r="AI497" i="2"/>
  <c r="AI496" i="2" s="1"/>
  <c r="AH497" i="2"/>
  <c r="AG497" i="2"/>
  <c r="AF497" i="2"/>
  <c r="AF496" i="2" s="1"/>
  <c r="AE497" i="2"/>
  <c r="BF496" i="2"/>
  <c r="BF503" i="2" s="1"/>
  <c r="AJ496" i="2"/>
  <c r="AH496" i="2"/>
  <c r="CB495" i="2"/>
  <c r="CA495" i="2"/>
  <c r="BZ495" i="2"/>
  <c r="BY495" i="2"/>
  <c r="CB493" i="2"/>
  <c r="CA493" i="2"/>
  <c r="BZ493" i="2"/>
  <c r="BY493" i="2"/>
  <c r="CB492" i="2"/>
  <c r="CA492" i="2"/>
  <c r="BZ492" i="2"/>
  <c r="BY492" i="2"/>
  <c r="BB491" i="2"/>
  <c r="AT491" i="2"/>
  <c r="BB490" i="2"/>
  <c r="AT490" i="2"/>
  <c r="BV489" i="2"/>
  <c r="BU489" i="2" a="1"/>
  <c r="BU489" i="2"/>
  <c r="BT489" i="2" a="1"/>
  <c r="BT489" i="2" s="1"/>
  <c r="BS489" i="2" a="1"/>
  <c r="BS489" i="2" s="1"/>
  <c r="BR489" i="2" a="1"/>
  <c r="BR489" i="2" s="1"/>
  <c r="BQ489" i="2" a="1"/>
  <c r="BQ489" i="2" s="1"/>
  <c r="BP489" i="2" a="1"/>
  <c r="BP489" i="2" s="1"/>
  <c r="BO489" i="2" a="1"/>
  <c r="BO489" i="2" s="1"/>
  <c r="BM489" i="2" a="1"/>
  <c r="BM489" i="2" s="1"/>
  <c r="BL489" i="2" a="1"/>
  <c r="BL489" i="2"/>
  <c r="BK489" i="2" a="1"/>
  <c r="BK489" i="2" s="1"/>
  <c r="BJ489" i="2" a="1"/>
  <c r="BJ489" i="2" s="1"/>
  <c r="BJ656" i="2" s="1"/>
  <c r="BI489" i="2" a="1"/>
  <c r="BI489" i="2" s="1"/>
  <c r="BH489" i="2" a="1"/>
  <c r="BH489" i="2" s="1"/>
  <c r="BG489" i="2" a="1"/>
  <c r="BG489" i="2" s="1"/>
  <c r="BG490" i="2" s="1"/>
  <c r="BB489" i="2" a="1"/>
  <c r="BB489" i="2" s="1"/>
  <c r="BA489" i="2" a="1"/>
  <c r="BA489" i="2" s="1"/>
  <c r="AZ489" i="2" a="1"/>
  <c r="AZ489" i="2" s="1"/>
  <c r="AY489" i="2" a="1"/>
  <c r="AY489" i="2" s="1"/>
  <c r="AX489" i="2" a="1"/>
  <c r="AX489" i="2" s="1"/>
  <c r="AW489" i="2" a="1"/>
  <c r="AW489" i="2" s="1"/>
  <c r="AW662" i="2" s="1"/>
  <c r="AV489" i="2" a="1"/>
  <c r="AV489" i="2" s="1"/>
  <c r="AV662" i="2" s="1"/>
  <c r="AU489" i="2" a="1"/>
  <c r="AU489" i="2" s="1"/>
  <c r="AU662" i="2" s="1"/>
  <c r="AT489" i="2" a="1"/>
  <c r="AT489" i="2" s="1"/>
  <c r="AS489" i="2" a="1"/>
  <c r="AS489" i="2" s="1"/>
  <c r="AR489" i="2" a="1"/>
  <c r="AR489" i="2" s="1"/>
  <c r="AQ489" i="2" a="1"/>
  <c r="AQ489" i="2" s="1"/>
  <c r="AK489" i="2" a="1"/>
  <c r="AK489" i="2" s="1"/>
  <c r="AJ489" i="2" a="1"/>
  <c r="AJ489" i="2" s="1"/>
  <c r="AJ490" i="2" s="1"/>
  <c r="AI489" i="2" a="1"/>
  <c r="AI489" i="2" s="1"/>
  <c r="AH489" i="2" a="1"/>
  <c r="AH489" i="2" s="1"/>
  <c r="AG489" i="2" a="1"/>
  <c r="AG489" i="2" s="1"/>
  <c r="AF489" i="2" a="1"/>
  <c r="AF489" i="2" s="1"/>
  <c r="AE489" i="2" a="1"/>
  <c r="AE489" i="2" s="1"/>
  <c r="AB489" i="2"/>
  <c r="Y476" i="2"/>
  <c r="Y477" i="2" s="1"/>
  <c r="AB471" i="2"/>
  <c r="AF470" i="2"/>
  <c r="AE470" i="2" a="1"/>
  <c r="AE470" i="2" s="1"/>
  <c r="AE465" i="2"/>
  <c r="AE464" i="2"/>
  <c r="AE463" i="2"/>
  <c r="AB463" i="2"/>
  <c r="E463" i="2" a="1"/>
  <c r="E463" i="2" s="1"/>
  <c r="AG462" i="2"/>
  <c r="AF462" i="2"/>
  <c r="AB462" i="2"/>
  <c r="AB470" i="2" s="1"/>
  <c r="E462" i="2" a="1"/>
  <c r="E462" i="2"/>
  <c r="AB460" i="2"/>
  <c r="A459" i="2"/>
  <c r="Y458" i="2" a="1"/>
  <c r="Y458" i="2" s="1"/>
  <c r="B458" i="2"/>
  <c r="M457" i="2"/>
  <c r="A457" i="2"/>
  <c r="B457" i="2" s="1"/>
  <c r="M456" i="2"/>
  <c r="A456" i="2"/>
  <c r="B456" i="2" s="1"/>
  <c r="M455" i="2"/>
  <c r="A455" i="2"/>
  <c r="B455" i="2" s="1"/>
  <c r="M454" i="2"/>
  <c r="A454" i="2"/>
  <c r="B454" i="2" s="1"/>
  <c r="M453" i="2"/>
  <c r="A453" i="2"/>
  <c r="B453" i="2" s="1" a="1"/>
  <c r="B453" i="2" s="1"/>
  <c r="M452" i="2"/>
  <c r="A452" i="2"/>
  <c r="B452" i="2" s="1" a="1"/>
  <c r="B452" i="2" s="1"/>
  <c r="M451" i="2"/>
  <c r="A451" i="2"/>
  <c r="B451" i="2" s="1" a="1"/>
  <c r="B451" i="2" s="1"/>
  <c r="M450" i="2"/>
  <c r="A450" i="2"/>
  <c r="B450" i="2" s="1" a="1"/>
  <c r="B450" i="2" s="1"/>
  <c r="M449" i="2"/>
  <c r="A449" i="2"/>
  <c r="B449" i="2" s="1" a="1"/>
  <c r="B449" i="2" s="1"/>
  <c r="M448" i="2"/>
  <c r="A448" i="2"/>
  <c r="B448" i="2" s="1" a="1"/>
  <c r="B448" i="2" s="1"/>
  <c r="M447" i="2"/>
  <c r="A447" i="2"/>
  <c r="B447" i="2" s="1" a="1"/>
  <c r="B447" i="2" s="1"/>
  <c r="M446" i="2"/>
  <c r="A446" i="2"/>
  <c r="B446" i="2" s="1" a="1"/>
  <c r="B446" i="2" s="1"/>
  <c r="M445" i="2"/>
  <c r="A445" i="2"/>
  <c r="B445" i="2" s="1" a="1"/>
  <c r="B445" i="2" s="1"/>
  <c r="M444" i="2"/>
  <c r="A444" i="2"/>
  <c r="B444" i="2" s="1" a="1"/>
  <c r="B444" i="2" s="1"/>
  <c r="M443" i="2"/>
  <c r="A443" i="2"/>
  <c r="B443" i="2" s="1" a="1"/>
  <c r="B443" i="2" s="1"/>
  <c r="M442" i="2"/>
  <c r="B442" i="2"/>
  <c r="M441" i="2"/>
  <c r="AG440" i="2" a="1"/>
  <c r="AG440" i="2" s="1"/>
  <c r="AF440" i="2" a="1"/>
  <c r="AF440" i="2" s="1"/>
  <c r="AE440" i="2" a="1"/>
  <c r="AE440" i="2" s="1"/>
  <c r="B440" i="2"/>
  <c r="AG439" i="2"/>
  <c r="AF439" i="2"/>
  <c r="AE439" i="2"/>
  <c r="B439" i="2"/>
  <c r="AG438" i="2"/>
  <c r="AF438" i="2"/>
  <c r="AE438" i="2"/>
  <c r="B438" i="2"/>
  <c r="CA435" i="2"/>
  <c r="BZ435" i="2"/>
  <c r="BY435" i="2"/>
  <c r="BU435" i="2"/>
  <c r="BT435" i="2"/>
  <c r="BS435" i="2"/>
  <c r="BQ435" i="2"/>
  <c r="BP435" i="2"/>
  <c r="BO435" i="2"/>
  <c r="BM435" i="2"/>
  <c r="BL435" i="2"/>
  <c r="BK435" i="2"/>
  <c r="BA435" i="2"/>
  <c r="AZ435" i="2"/>
  <c r="AY435" i="2"/>
  <c r="AW435" i="2"/>
  <c r="AV435" i="2"/>
  <c r="AU435" i="2"/>
  <c r="AS435" i="2"/>
  <c r="AR435" i="2"/>
  <c r="AQ435" i="2"/>
  <c r="AO435" i="2"/>
  <c r="AN435" i="2"/>
  <c r="AM435" i="2"/>
  <c r="AK435" i="2"/>
  <c r="AJ435" i="2"/>
  <c r="AI435" i="2"/>
  <c r="AG435" i="2"/>
  <c r="AF435" i="2"/>
  <c r="AE435" i="2"/>
  <c r="CA426" i="2"/>
  <c r="BZ426" i="2"/>
  <c r="BY426" i="2"/>
  <c r="CA425" i="2"/>
  <c r="BZ425" i="2"/>
  <c r="BY425" i="2"/>
  <c r="CA424" i="2"/>
  <c r="BZ424" i="2"/>
  <c r="BY424" i="2"/>
  <c r="CA423" i="2"/>
  <c r="BZ423" i="2"/>
  <c r="BY423" i="2"/>
  <c r="CA422" i="2"/>
  <c r="BZ422" i="2"/>
  <c r="BY422" i="2"/>
  <c r="CA421" i="2"/>
  <c r="BZ421" i="2"/>
  <c r="BY421" i="2"/>
  <c r="CA420" i="2"/>
  <c r="BZ420" i="2"/>
  <c r="BY420" i="2"/>
  <c r="CA419" i="2"/>
  <c r="BZ419" i="2"/>
  <c r="BY419" i="2"/>
  <c r="CA418" i="2"/>
  <c r="BZ418" i="2"/>
  <c r="BY418" i="2"/>
  <c r="CA417" i="2"/>
  <c r="BZ417" i="2"/>
  <c r="BY417" i="2"/>
  <c r="CA416" i="2"/>
  <c r="BZ416" i="2"/>
  <c r="BY416" i="2"/>
  <c r="CA415" i="2"/>
  <c r="BZ415" i="2"/>
  <c r="BY415" i="2"/>
  <c r="CA414" i="2"/>
  <c r="BZ414" i="2"/>
  <c r="BY414" i="2"/>
  <c r="AB414" i="2"/>
  <c r="B414" i="2"/>
  <c r="CA413" i="2"/>
  <c r="BZ413" i="2"/>
  <c r="BY413" i="2"/>
  <c r="CA412" i="2"/>
  <c r="BZ412" i="2"/>
  <c r="BY412" i="2"/>
  <c r="CA411" i="2"/>
  <c r="BZ411" i="2"/>
  <c r="BY411" i="2"/>
  <c r="CA410" i="2"/>
  <c r="BZ410" i="2"/>
  <c r="BY410" i="2"/>
  <c r="CA409" i="2"/>
  <c r="BZ409" i="2"/>
  <c r="BY409" i="2"/>
  <c r="CA408" i="2"/>
  <c r="BZ408" i="2"/>
  <c r="BY408" i="2"/>
  <c r="CA407" i="2"/>
  <c r="BZ407" i="2"/>
  <c r="BY407" i="2"/>
  <c r="AM402" i="2"/>
  <c r="BV395" i="2"/>
  <c r="BU395" i="2"/>
  <c r="BT395" i="2"/>
  <c r="BR395" i="2"/>
  <c r="BQ395" i="2"/>
  <c r="BP395" i="2"/>
  <c r="BM395" i="2"/>
  <c r="BL395" i="2"/>
  <c r="BJ395" i="2"/>
  <c r="BI395" i="2"/>
  <c r="BH395" i="2"/>
  <c r="BF395" i="2"/>
  <c r="BE395" i="2"/>
  <c r="BD395" i="2"/>
  <c r="BB395" i="2"/>
  <c r="BA395" i="2"/>
  <c r="AZ395" i="2"/>
  <c r="AX395" i="2"/>
  <c r="AV395" i="2"/>
  <c r="AT395" i="2"/>
  <c r="AR395" i="2"/>
  <c r="AP395" i="2"/>
  <c r="AN395" i="2"/>
  <c r="AK395" i="2"/>
  <c r="AJ395" i="2"/>
  <c r="AH395" i="2"/>
  <c r="AG395" i="2"/>
  <c r="AF395" i="2"/>
  <c r="BZ390" i="2"/>
  <c r="BY390" i="2"/>
  <c r="BZ389" i="2"/>
  <c r="BY389" i="2"/>
  <c r="BY388" i="2"/>
  <c r="BJ388" i="2"/>
  <c r="BZ387" i="2"/>
  <c r="BY387" i="2"/>
  <c r="BV386" i="2"/>
  <c r="BT386" i="2"/>
  <c r="BR386" i="2"/>
  <c r="BQ386" i="2"/>
  <c r="BP386" i="2"/>
  <c r="BH386" i="2"/>
  <c r="BF386" i="2"/>
  <c r="BD386" i="2"/>
  <c r="BB386" i="2"/>
  <c r="BA386" i="2"/>
  <c r="AZ386" i="2"/>
  <c r="AY386" i="2"/>
  <c r="AX386" i="2"/>
  <c r="AW386" i="2"/>
  <c r="AV386" i="2"/>
  <c r="AT386" i="2"/>
  <c r="AS386" i="2"/>
  <c r="AR386" i="2"/>
  <c r="AQ386" i="2"/>
  <c r="AP386" i="2"/>
  <c r="AH386" i="2"/>
  <c r="CB385" i="2"/>
  <c r="CA385" i="2"/>
  <c r="BZ385" i="2"/>
  <c r="BY385" i="2"/>
  <c r="A385" i="2"/>
  <c r="B385" i="2" s="1" a="1"/>
  <c r="B385" i="2" s="1"/>
  <c r="BY384" i="2"/>
  <c r="A384" i="2" a="1"/>
  <c r="A384" i="2" s="1"/>
  <c r="B384" i="2" s="1" a="1"/>
  <c r="B384" i="2" s="1"/>
  <c r="CC383" i="2"/>
  <c r="BZ383" i="2"/>
  <c r="AJ382" i="2"/>
  <c r="CC382" i="2" s="1"/>
  <c r="CC381" i="2"/>
  <c r="BZ381" i="2"/>
  <c r="BT380" i="2"/>
  <c r="BP380" i="2"/>
  <c r="BP375" i="2" s="1"/>
  <c r="AV380" i="2"/>
  <c r="AV375" i="2" s="1"/>
  <c r="AR380" i="2"/>
  <c r="AN380" i="2"/>
  <c r="AN375" i="2" s="1"/>
  <c r="AN1115" i="2" s="1"/>
  <c r="CC379" i="2"/>
  <c r="BZ379" i="2"/>
  <c r="AR378" i="2"/>
  <c r="BZ378" i="2" s="1"/>
  <c r="AF377" i="2"/>
  <c r="CC376" i="2"/>
  <c r="BZ376" i="2"/>
  <c r="BY376" i="2"/>
  <c r="A376" i="2" a="1"/>
  <c r="A376" i="2" s="1"/>
  <c r="B376" i="2" s="1" a="1"/>
  <c r="B376" i="2" s="1"/>
  <c r="BV375" i="2"/>
  <c r="BU375" i="2"/>
  <c r="BT375" i="2"/>
  <c r="BS375" i="2"/>
  <c r="BR375" i="2"/>
  <c r="BQ375" i="2"/>
  <c r="BO375" i="2"/>
  <c r="BM375" i="2"/>
  <c r="BL375" i="2"/>
  <c r="BK375" i="2"/>
  <c r="BJ375" i="2"/>
  <c r="BI375" i="2"/>
  <c r="BH375" i="2"/>
  <c r="BG375" i="2"/>
  <c r="BF375" i="2"/>
  <c r="BE375" i="2"/>
  <c r="BD375" i="2"/>
  <c r="BC375" i="2"/>
  <c r="BA375" i="2"/>
  <c r="AZ375" i="2"/>
  <c r="AY375" i="2"/>
  <c r="AW375" i="2"/>
  <c r="AU375" i="2"/>
  <c r="AT375" i="2"/>
  <c r="AT1117" i="2" s="1"/>
  <c r="AT1115" i="2" s="1"/>
  <c r="AS375" i="2"/>
  <c r="AP375" i="2"/>
  <c r="AO375" i="2"/>
  <c r="AM375" i="2"/>
  <c r="AK375" i="2"/>
  <c r="AJ375" i="2"/>
  <c r="AI375" i="2"/>
  <c r="AH375" i="2"/>
  <c r="AH1117" i="2" s="1"/>
  <c r="AG375" i="2"/>
  <c r="AE375" i="2"/>
  <c r="A375" i="2"/>
  <c r="B375" i="2" s="1" a="1"/>
  <c r="B375" i="2" s="1"/>
  <c r="CB373" i="2"/>
  <c r="CA373" i="2"/>
  <c r="BZ373" i="2"/>
  <c r="BY373" i="2"/>
  <c r="BV372" i="2"/>
  <c r="BU372" i="2"/>
  <c r="BT372" i="2"/>
  <c r="BS372" i="2"/>
  <c r="BQ372" i="2"/>
  <c r="BP372" i="2"/>
  <c r="BO372" i="2"/>
  <c r="BM372" i="2"/>
  <c r="BL372" i="2"/>
  <c r="BK372" i="2"/>
  <c r="BJ372" i="2"/>
  <c r="BI372" i="2"/>
  <c r="BH372" i="2"/>
  <c r="BG372" i="2"/>
  <c r="BF372" i="2"/>
  <c r="BE372" i="2"/>
  <c r="BD372" i="2"/>
  <c r="BC372" i="2"/>
  <c r="BA372" i="2"/>
  <c r="AZ372" i="2"/>
  <c r="AY372" i="2"/>
  <c r="AW372" i="2"/>
  <c r="AV372" i="2"/>
  <c r="AU372" i="2"/>
  <c r="AT372" i="2"/>
  <c r="AS372" i="2"/>
  <c r="AR372" i="2"/>
  <c r="AQ372" i="2"/>
  <c r="AP372" i="2"/>
  <c r="AO372" i="2"/>
  <c r="AN372" i="2"/>
  <c r="AM372" i="2"/>
  <c r="AK372" i="2"/>
  <c r="AJ372" i="2"/>
  <c r="AI372" i="2"/>
  <c r="AH372" i="2"/>
  <c r="AG372" i="2"/>
  <c r="AF372" i="2"/>
  <c r="AE372" i="2"/>
  <c r="CB371" i="2"/>
  <c r="CA371" i="2"/>
  <c r="BZ371" i="2"/>
  <c r="BY371" i="2"/>
  <c r="CB370" i="2"/>
  <c r="CA370" i="2"/>
  <c r="BZ370" i="2"/>
  <c r="BY370" i="2"/>
  <c r="A370" i="2"/>
  <c r="CB369" i="2"/>
  <c r="CA369" i="2"/>
  <c r="BZ369" i="2"/>
  <c r="BY369" i="2"/>
  <c r="A369" i="2"/>
  <c r="B369" i="2" s="1" a="1"/>
  <c r="CB368" i="2"/>
  <c r="CA368" i="2"/>
  <c r="BZ368" i="2"/>
  <c r="BY368" i="2"/>
  <c r="A368" i="2"/>
  <c r="B368" i="2" s="1" a="1"/>
  <c r="B368" i="2" s="1"/>
  <c r="CB367" i="2"/>
  <c r="CA367" i="2"/>
  <c r="BZ367" i="2"/>
  <c r="BY367" i="2"/>
  <c r="CB366" i="2"/>
  <c r="CA366" i="2"/>
  <c r="BZ366" i="2"/>
  <c r="BY366" i="2"/>
  <c r="CB365" i="2"/>
  <c r="CA365" i="2"/>
  <c r="BZ365" i="2"/>
  <c r="BY365" i="2"/>
  <c r="AF365" i="2"/>
  <c r="AF1105" i="2" s="1"/>
  <c r="CB364" i="2"/>
  <c r="CA364" i="2"/>
  <c r="BZ364" i="2"/>
  <c r="BY364" i="2"/>
  <c r="Y364" i="2"/>
  <c r="CB363" i="2"/>
  <c r="CA363" i="2"/>
  <c r="BZ363" i="2"/>
  <c r="BY363" i="2"/>
  <c r="CB362" i="2"/>
  <c r="CA362" i="2"/>
  <c r="BZ362" i="2"/>
  <c r="BY362" i="2"/>
  <c r="CA361" i="2"/>
  <c r="BZ361" i="2"/>
  <c r="BY361" i="2"/>
  <c r="BF361" i="2"/>
  <c r="CB361" i="2" s="1"/>
  <c r="BV360" i="2"/>
  <c r="BV335" i="2" s="1"/>
  <c r="BU360" i="2"/>
  <c r="BT360" i="2"/>
  <c r="BS360" i="2"/>
  <c r="BQ360" i="2"/>
  <c r="BP360" i="2"/>
  <c r="BO360" i="2"/>
  <c r="BM360" i="2"/>
  <c r="BL360" i="2"/>
  <c r="BK360" i="2"/>
  <c r="BI360" i="2"/>
  <c r="BH360" i="2"/>
  <c r="BG360" i="2"/>
  <c r="BE360" i="2"/>
  <c r="BC360" i="2"/>
  <c r="BA360" i="2"/>
  <c r="AZ360" i="2"/>
  <c r="AY360" i="2"/>
  <c r="AW360" i="2"/>
  <c r="AU360" i="2"/>
  <c r="AS360" i="2"/>
  <c r="AR360" i="2"/>
  <c r="AQ360" i="2"/>
  <c r="AO360" i="2"/>
  <c r="AN360" i="2"/>
  <c r="AM360" i="2"/>
  <c r="AK360" i="2"/>
  <c r="AJ360" i="2"/>
  <c r="AI360" i="2"/>
  <c r="AG360" i="2"/>
  <c r="AF360" i="2"/>
  <c r="AE360" i="2"/>
  <c r="CB359" i="2"/>
  <c r="CA359" i="2"/>
  <c r="BZ359" i="2"/>
  <c r="BY359" i="2"/>
  <c r="CB358" i="2"/>
  <c r="CA358" i="2"/>
  <c r="BZ358" i="2"/>
  <c r="BY358" i="2"/>
  <c r="CB357" i="2"/>
  <c r="CA357" i="2"/>
  <c r="BZ357" i="2"/>
  <c r="BY357" i="2"/>
  <c r="CB356" i="2"/>
  <c r="CA356" i="2"/>
  <c r="BZ356" i="2"/>
  <c r="BY356" i="2"/>
  <c r="CB355" i="2"/>
  <c r="CA355" i="2"/>
  <c r="BZ355" i="2"/>
  <c r="BY355" i="2"/>
  <c r="CB354" i="2"/>
  <c r="CA354" i="2"/>
  <c r="BY354" i="2"/>
  <c r="AR354" i="2"/>
  <c r="AR1094" i="2" s="1"/>
  <c r="CB353" i="2"/>
  <c r="CA353" i="2"/>
  <c r="BZ353" i="2"/>
  <c r="BY353" i="2"/>
  <c r="CA352" i="2"/>
  <c r="BY352" i="2"/>
  <c r="AT352" i="2"/>
  <c r="AT1092" i="2" s="1"/>
  <c r="AR352" i="2"/>
  <c r="AR1092" i="2" s="1"/>
  <c r="Y352" i="2"/>
  <c r="CB351" i="2"/>
  <c r="CA351" i="2"/>
  <c r="BZ351" i="2"/>
  <c r="BY351" i="2"/>
  <c r="BV350" i="2"/>
  <c r="BU350" i="2"/>
  <c r="BT350" i="2"/>
  <c r="BS350" i="2"/>
  <c r="BR350" i="2"/>
  <c r="BQ350" i="2"/>
  <c r="BP350" i="2"/>
  <c r="BO350" i="2"/>
  <c r="BM350" i="2"/>
  <c r="BL350" i="2"/>
  <c r="BK350" i="2"/>
  <c r="BJ350" i="2"/>
  <c r="BI350" i="2"/>
  <c r="BH350" i="2"/>
  <c r="BG350" i="2"/>
  <c r="BF350" i="2"/>
  <c r="BE350" i="2"/>
  <c r="BD350" i="2"/>
  <c r="BC350" i="2"/>
  <c r="BB350" i="2"/>
  <c r="BB335" i="2" s="1"/>
  <c r="BA350" i="2"/>
  <c r="AZ350" i="2"/>
  <c r="AY350" i="2"/>
  <c r="AX350" i="2"/>
  <c r="AW350" i="2"/>
  <c r="AV350" i="2"/>
  <c r="AU350" i="2"/>
  <c r="AT350" i="2"/>
  <c r="AS350" i="2"/>
  <c r="AQ350" i="2"/>
  <c r="AP350" i="2"/>
  <c r="AO350" i="2"/>
  <c r="AN350" i="2"/>
  <c r="AM350" i="2"/>
  <c r="AK350" i="2"/>
  <c r="AJ350" i="2"/>
  <c r="AI350" i="2"/>
  <c r="AG350" i="2"/>
  <c r="AF350" i="2"/>
  <c r="AE350" i="2"/>
  <c r="CA349" i="2"/>
  <c r="BZ349" i="2"/>
  <c r="BY349" i="2"/>
  <c r="AX349" i="2"/>
  <c r="AX1089" i="2" s="1"/>
  <c r="CB348" i="2"/>
  <c r="CA348" i="2"/>
  <c r="BZ348" i="2"/>
  <c r="BY348" i="2"/>
  <c r="CB347" i="2"/>
  <c r="CA347" i="2"/>
  <c r="BZ347" i="2"/>
  <c r="BY347" i="2"/>
  <c r="CB346" i="2"/>
  <c r="CA346" i="2"/>
  <c r="BZ346" i="2"/>
  <c r="BY346" i="2"/>
  <c r="CB345" i="2"/>
  <c r="CA345" i="2"/>
  <c r="BZ345" i="2"/>
  <c r="BY345" i="2"/>
  <c r="CB344" i="2"/>
  <c r="CA344" i="2"/>
  <c r="BZ344" i="2"/>
  <c r="BY344" i="2"/>
  <c r="CB343" i="2"/>
  <c r="CA343" i="2"/>
  <c r="BZ343" i="2"/>
  <c r="BY343" i="2"/>
  <c r="CB342" i="2"/>
  <c r="CA342" i="2"/>
  <c r="BZ342" i="2"/>
  <c r="BY342" i="2"/>
  <c r="CB341" i="2"/>
  <c r="CA341" i="2"/>
  <c r="BY341" i="2"/>
  <c r="AR341" i="2"/>
  <c r="AR1081" i="2" s="1"/>
  <c r="CB340" i="2"/>
  <c r="CA340" i="2"/>
  <c r="BZ340" i="2"/>
  <c r="BY340" i="2"/>
  <c r="CB339" i="2"/>
  <c r="CA339" i="2"/>
  <c r="BZ339" i="2"/>
  <c r="BY339" i="2"/>
  <c r="CB338" i="2"/>
  <c r="CA338" i="2"/>
  <c r="BZ338" i="2"/>
  <c r="BY338" i="2"/>
  <c r="Y338" i="2"/>
  <c r="CB337" i="2"/>
  <c r="CA337" i="2"/>
  <c r="BZ337" i="2"/>
  <c r="BY337" i="2"/>
  <c r="BU336" i="2"/>
  <c r="BT336" i="2"/>
  <c r="BS336" i="2"/>
  <c r="BQ336" i="2"/>
  <c r="BP336" i="2"/>
  <c r="BO336" i="2"/>
  <c r="BM336" i="2"/>
  <c r="BL336" i="2"/>
  <c r="BK336" i="2"/>
  <c r="BJ336" i="2"/>
  <c r="BI336" i="2"/>
  <c r="BH336" i="2"/>
  <c r="BG336" i="2"/>
  <c r="BE336" i="2"/>
  <c r="BE335" i="2" s="1"/>
  <c r="BD336" i="2"/>
  <c r="BC336" i="2"/>
  <c r="BA336" i="2"/>
  <c r="AZ336" i="2"/>
  <c r="AY336" i="2"/>
  <c r="AW336" i="2"/>
  <c r="AV336" i="2"/>
  <c r="AV335" i="2" s="1"/>
  <c r="AU336" i="2"/>
  <c r="AT336" i="2"/>
  <c r="AS336" i="2"/>
  <c r="AQ336" i="2"/>
  <c r="AQ335" i="2" s="1"/>
  <c r="AP336" i="2"/>
  <c r="AO336" i="2"/>
  <c r="AN336" i="2"/>
  <c r="AM336" i="2"/>
  <c r="AM335" i="2" s="1"/>
  <c r="AK336" i="2"/>
  <c r="AJ336" i="2"/>
  <c r="AI336" i="2"/>
  <c r="AG336" i="2"/>
  <c r="AG335" i="2" s="1"/>
  <c r="AF336" i="2"/>
  <c r="AE336" i="2"/>
  <c r="BR335" i="2"/>
  <c r="CB334" i="2"/>
  <c r="CA334" i="2"/>
  <c r="BZ334" i="2"/>
  <c r="BY334" i="2"/>
  <c r="CB333" i="2"/>
  <c r="CA333" i="2"/>
  <c r="BZ333" i="2"/>
  <c r="BY333" i="2"/>
  <c r="CB332" i="2"/>
  <c r="CA332" i="2"/>
  <c r="BZ332" i="2"/>
  <c r="BY332" i="2"/>
  <c r="Y332" i="2"/>
  <c r="Y333" i="2" s="1"/>
  <c r="BU331" i="2"/>
  <c r="BS331" i="2"/>
  <c r="BQ331" i="2"/>
  <c r="BO331" i="2"/>
  <c r="BK331" i="2"/>
  <c r="BG331" i="2"/>
  <c r="BE331" i="2" a="1"/>
  <c r="BE331" i="2" s="1"/>
  <c r="BC331" i="2"/>
  <c r="BA331" i="2" a="1"/>
  <c r="BA331" i="2" s="1"/>
  <c r="AY331" i="2"/>
  <c r="AW331" i="2" a="1"/>
  <c r="AW331" i="2" s="1"/>
  <c r="AU331" i="2"/>
  <c r="AS331" i="2" a="1"/>
  <c r="AS331" i="2" s="1"/>
  <c r="AQ331" i="2"/>
  <c r="AO331" i="2" a="1"/>
  <c r="AO331" i="2" s="1"/>
  <c r="AM331" i="2"/>
  <c r="AK331" i="2" a="1"/>
  <c r="AK331" i="2" s="1"/>
  <c r="AI331" i="2"/>
  <c r="AG331" i="2" a="1"/>
  <c r="AG331" i="2" s="1"/>
  <c r="AE331" i="2"/>
  <c r="CA330" i="2"/>
  <c r="BY330" i="2"/>
  <c r="BD330" i="2"/>
  <c r="BZ330" i="2" s="1"/>
  <c r="AP330" i="2"/>
  <c r="CB330" i="2" s="1"/>
  <c r="BU329" i="2"/>
  <c r="BS329" i="2"/>
  <c r="BR329" i="2"/>
  <c r="BQ329" i="2"/>
  <c r="BO329" i="2"/>
  <c r="BM329" i="2"/>
  <c r="BL329" i="2"/>
  <c r="BK329" i="2"/>
  <c r="BC329" i="2"/>
  <c r="AZ329" i="2"/>
  <c r="AY329" i="2"/>
  <c r="AX329" i="2"/>
  <c r="AW329" i="2"/>
  <c r="AV329" i="2"/>
  <c r="AU329" i="2"/>
  <c r="AT329" i="2"/>
  <c r="AS329" i="2"/>
  <c r="AQ329" i="2"/>
  <c r="AK329" i="2"/>
  <c r="AI329" i="2"/>
  <c r="AG329" i="2"/>
  <c r="AE329" i="2"/>
  <c r="CA328" i="2"/>
  <c r="BY328" i="2"/>
  <c r="BV328" i="2"/>
  <c r="CB328" i="2" s="1"/>
  <c r="BD328" i="2"/>
  <c r="BZ328" i="2" s="1"/>
  <c r="CA327" i="2"/>
  <c r="BZ327" i="2"/>
  <c r="BY327" i="2"/>
  <c r="BH326" i="2"/>
  <c r="BZ326" i="2" s="1"/>
  <c r="BG326" i="2"/>
  <c r="AK326" i="2"/>
  <c r="AI326" i="2"/>
  <c r="BZ325" i="2"/>
  <c r="BY325" i="2"/>
  <c r="BI325" i="2"/>
  <c r="CA325" i="2" s="1"/>
  <c r="BZ324" i="2"/>
  <c r="AH324" i="2"/>
  <c r="CB324" i="2" s="1"/>
  <c r="AG324" i="2" a="1"/>
  <c r="AG324" i="2" s="1"/>
  <c r="CA324" i="2" s="1"/>
  <c r="AE324" i="2" a="1"/>
  <c r="AE324" i="2" s="1"/>
  <c r="BY324" i="2" s="1"/>
  <c r="BZ323" i="2"/>
  <c r="CB323" i="2"/>
  <c r="AG323" i="2" a="1"/>
  <c r="AG323" i="2" s="1"/>
  <c r="CA323" i="2" s="1"/>
  <c r="AG322" i="2" a="1"/>
  <c r="AG322" i="2" s="1"/>
  <c r="CA322" i="2" s="1"/>
  <c r="AE322" i="2" a="1"/>
  <c r="AE322" i="2" s="1"/>
  <c r="BY322" i="2" s="1"/>
  <c r="CA321" i="2"/>
  <c r="BY321" i="2"/>
  <c r="BV321" i="2"/>
  <c r="AJ321" i="2"/>
  <c r="BH320" i="2"/>
  <c r="BD320" i="2"/>
  <c r="BB320" i="2"/>
  <c r="BB321" i="2" s="1"/>
  <c r="BB1061" i="2" s="1"/>
  <c r="AH320" i="2"/>
  <c r="BU319" i="2"/>
  <c r="BU1059" i="2" s="1"/>
  <c r="BT319" i="2"/>
  <c r="BT1059" i="2" s="1"/>
  <c r="BS319" i="2"/>
  <c r="BS1059" i="2" s="1"/>
  <c r="BR319" i="2"/>
  <c r="BR1059" i="2" s="1"/>
  <c r="BQ319" i="2"/>
  <c r="BQ1059" i="2" s="1"/>
  <c r="BP319" i="2"/>
  <c r="BP1059" i="2" s="1"/>
  <c r="BO319" i="2"/>
  <c r="BO1059" i="2" s="1"/>
  <c r="BM319" i="2"/>
  <c r="BM1059" i="2" s="1"/>
  <c r="BL319" i="2"/>
  <c r="BL1059" i="2" s="1"/>
  <c r="BK319" i="2"/>
  <c r="BK1059" i="2" s="1"/>
  <c r="BI1059" i="2"/>
  <c r="BG319" i="2"/>
  <c r="BG1059" i="2" s="1"/>
  <c r="BF319" i="2"/>
  <c r="BE319" i="2"/>
  <c r="BC319" i="2"/>
  <c r="BC1059" i="2" s="1"/>
  <c r="BA319" i="2"/>
  <c r="BA1059" i="2" s="1"/>
  <c r="AZ319" i="2"/>
  <c r="AZ1059" i="2" s="1"/>
  <c r="AY319" i="2"/>
  <c r="AY1059" i="2" s="1"/>
  <c r="AX319" i="2"/>
  <c r="AW319" i="2"/>
  <c r="AV319" i="2"/>
  <c r="AU319" i="2"/>
  <c r="AT319" i="2"/>
  <c r="AS319" i="2"/>
  <c r="AS1059" i="2" s="1"/>
  <c r="AR319" i="2"/>
  <c r="AR1059" i="2" s="1"/>
  <c r="AQ319" i="2"/>
  <c r="AQ1059" i="2" s="1"/>
  <c r="AP319" i="2"/>
  <c r="AO319" i="2"/>
  <c r="AO1059" i="2" s="1"/>
  <c r="AN319" i="2"/>
  <c r="AN1059" i="2" s="1"/>
  <c r="AM319" i="2"/>
  <c r="AM1059" i="2" s="1"/>
  <c r="AK319" i="2"/>
  <c r="AI319" i="2"/>
  <c r="AI1059" i="2" s="1"/>
  <c r="AH319" i="2"/>
  <c r="AG319" i="2"/>
  <c r="AG1059" i="2" s="1"/>
  <c r="AF319" i="2"/>
  <c r="AE319" i="2"/>
  <c r="AE1059" i="2" s="1"/>
  <c r="BU318" i="2"/>
  <c r="BT318" i="2"/>
  <c r="BS318" i="2"/>
  <c r="BR318" i="2"/>
  <c r="BQ318" i="2"/>
  <c r="BP318" i="2"/>
  <c r="BO318" i="2"/>
  <c r="BM318" i="2"/>
  <c r="BJ318" i="2"/>
  <c r="BI318" i="2"/>
  <c r="BH318" i="2"/>
  <c r="BG318" i="2"/>
  <c r="BF318" i="2"/>
  <c r="BD318" i="2"/>
  <c r="BC318" i="2"/>
  <c r="BB318" i="2"/>
  <c r="AW318" i="2"/>
  <c r="AS318" i="2"/>
  <c r="AJ318" i="2"/>
  <c r="AI318" i="2"/>
  <c r="CB317" i="2"/>
  <c r="CA317" i="2"/>
  <c r="BZ317" i="2"/>
  <c r="BY317" i="2"/>
  <c r="BZ316" i="2"/>
  <c r="BY316" i="2"/>
  <c r="BR316" i="2"/>
  <c r="BR1056" i="2" s="1"/>
  <c r="BB316" i="2"/>
  <c r="BA316" i="2"/>
  <c r="BA1056" i="2" s="1"/>
  <c r="CB315" i="2"/>
  <c r="CA315" i="2"/>
  <c r="BZ315" i="2"/>
  <c r="BY315" i="2"/>
  <c r="CB314" i="2"/>
  <c r="BZ314" i="2"/>
  <c r="BE314" i="2"/>
  <c r="BC314" i="2"/>
  <c r="CB313" i="2"/>
  <c r="CA313" i="2"/>
  <c r="BZ313" i="2"/>
  <c r="BY313" i="2"/>
  <c r="BV311" i="2"/>
  <c r="BQ311" i="2"/>
  <c r="BQ1051" i="2" s="1"/>
  <c r="BQ1047" i="2" s="1"/>
  <c r="BO311" i="2"/>
  <c r="BO1051" i="2" s="1"/>
  <c r="BO1047" i="2" s="1"/>
  <c r="BN311" i="2"/>
  <c r="BH311" i="2"/>
  <c r="BG311" i="2"/>
  <c r="BF311" i="2"/>
  <c r="BF1051" i="2" s="1"/>
  <c r="BF1047" i="2" s="1"/>
  <c r="BE311" i="2"/>
  <c r="BC311" i="2"/>
  <c r="AX311" i="2"/>
  <c r="AT311" i="2"/>
  <c r="AT1051" i="2" s="1"/>
  <c r="AP311" i="2"/>
  <c r="AP1051" i="2" s="1"/>
  <c r="AH311" i="2"/>
  <c r="AE311" i="2"/>
  <c r="CB310" i="2"/>
  <c r="CA310" i="2"/>
  <c r="BZ310" i="2"/>
  <c r="BY310" i="2"/>
  <c r="BV309" i="2"/>
  <c r="BU309" i="2"/>
  <c r="BT309" i="2"/>
  <c r="BS309" i="2"/>
  <c r="BQ309" i="2"/>
  <c r="BP309" i="2"/>
  <c r="BO309" i="2"/>
  <c r="BN309" i="2"/>
  <c r="BM309" i="2"/>
  <c r="BL309" i="2"/>
  <c r="BK309" i="2"/>
  <c r="BI309" i="2"/>
  <c r="BH309" i="2"/>
  <c r="BG309" i="2"/>
  <c r="BF309" i="2"/>
  <c r="BE309" i="2"/>
  <c r="BC309" i="2"/>
  <c r="BA309" i="2"/>
  <c r="AZ309" i="2"/>
  <c r="AY309" i="2"/>
  <c r="AX309" i="2"/>
  <c r="AW309" i="2"/>
  <c r="AV309" i="2"/>
  <c r="AU309" i="2"/>
  <c r="AT309" i="2"/>
  <c r="AS309" i="2"/>
  <c r="AR309" i="2"/>
  <c r="AQ309" i="2"/>
  <c r="AP309" i="2"/>
  <c r="AO309" i="2"/>
  <c r="AN309" i="2"/>
  <c r="AM309" i="2"/>
  <c r="AK309" i="2"/>
  <c r="AJ309" i="2"/>
  <c r="AI309" i="2"/>
  <c r="AH309" i="2"/>
  <c r="AG309" i="2"/>
  <c r="AF309" i="2"/>
  <c r="AE309" i="2"/>
  <c r="CA308" i="2"/>
  <c r="BZ308" i="2"/>
  <c r="BY308" i="2"/>
  <c r="BY309" i="2" s="1"/>
  <c r="BR308" i="2"/>
  <c r="BJ308" i="2"/>
  <c r="BB308" i="2"/>
  <c r="BB311" i="2" s="1"/>
  <c r="G308" i="2" a="1"/>
  <c r="G308" i="2" s="1"/>
  <c r="BV307" i="2"/>
  <c r="BV304" i="2" s="1"/>
  <c r="BU307" i="2"/>
  <c r="BU304" i="2" s="1"/>
  <c r="BS307" i="2"/>
  <c r="BS304" i="2" s="1"/>
  <c r="BI307" i="2"/>
  <c r="BI304" i="2" s="1"/>
  <c r="BG307" i="2"/>
  <c r="BG304" i="2" s="1"/>
  <c r="BA307" i="2"/>
  <c r="AZ307" i="2"/>
  <c r="AZ304" i="2" s="1"/>
  <c r="AY307" i="2"/>
  <c r="AY304" i="2" s="1"/>
  <c r="AX307" i="2"/>
  <c r="AW307" i="2"/>
  <c r="AW304" i="2" s="1"/>
  <c r="AU307" i="2"/>
  <c r="AU304" i="2" s="1"/>
  <c r="AS307" i="2"/>
  <c r="AS304" i="2" s="1"/>
  <c r="AQ307" i="2"/>
  <c r="AQ304" i="2" s="1"/>
  <c r="AO307" i="2"/>
  <c r="AO304" i="2" s="1"/>
  <c r="AM307" i="2"/>
  <c r="AM304" i="2" s="1"/>
  <c r="AI307" i="2"/>
  <c r="AI304" i="2" s="1"/>
  <c r="AG307" i="2"/>
  <c r="AG311" i="2" s="1"/>
  <c r="AF307" i="2"/>
  <c r="AF311" i="2" s="1"/>
  <c r="CB306" i="2"/>
  <c r="CA306" i="2"/>
  <c r="BZ306" i="2"/>
  <c r="BY306" i="2"/>
  <c r="CB305" i="2"/>
  <c r="CA305" i="2"/>
  <c r="BZ305" i="2"/>
  <c r="BY305" i="2"/>
  <c r="BT304" i="2"/>
  <c r="BP304" i="2"/>
  <c r="BM304" i="2"/>
  <c r="BL304" i="2"/>
  <c r="BK304" i="2"/>
  <c r="BD304" i="2"/>
  <c r="AX304" i="2"/>
  <c r="AV304" i="2"/>
  <c r="AR304" i="2"/>
  <c r="AN304" i="2"/>
  <c r="AK304" i="2"/>
  <c r="AJ304" i="2"/>
  <c r="CB303" i="2"/>
  <c r="CA303" i="2"/>
  <c r="BZ303" i="2"/>
  <c r="BY303" i="2"/>
  <c r="CB302" i="2"/>
  <c r="CA302" i="2"/>
  <c r="BZ302" i="2"/>
  <c r="BY302" i="2"/>
  <c r="CB301" i="2"/>
  <c r="CA301" i="2"/>
  <c r="BZ301" i="2"/>
  <c r="BY301" i="2"/>
  <c r="CB300" i="2"/>
  <c r="CA300" i="2"/>
  <c r="BZ300" i="2"/>
  <c r="BY300" i="2"/>
  <c r="BZ299" i="2"/>
  <c r="BY299" i="2"/>
  <c r="BM299" i="2"/>
  <c r="BM1039" i="2" s="1"/>
  <c r="CB299" i="2"/>
  <c r="AG299" i="2"/>
  <c r="AG1039" i="2" s="1"/>
  <c r="CB298" i="2"/>
  <c r="CA298" i="2"/>
  <c r="BZ298" i="2"/>
  <c r="BY298" i="2"/>
  <c r="CB297" i="2"/>
  <c r="CA297" i="2"/>
  <c r="BZ297" i="2"/>
  <c r="BY297" i="2"/>
  <c r="CB296" i="2"/>
  <c r="CA296" i="2"/>
  <c r="BZ296" i="2"/>
  <c r="BY296" i="2"/>
  <c r="CB295" i="2"/>
  <c r="CA295" i="2"/>
  <c r="BZ295" i="2"/>
  <c r="BY295" i="2"/>
  <c r="CB294" i="2"/>
  <c r="CA294" i="2"/>
  <c r="BZ294" i="2"/>
  <c r="BY294" i="2"/>
  <c r="CB293" i="2"/>
  <c r="CA293" i="2"/>
  <c r="BZ293" i="2"/>
  <c r="BY293" i="2"/>
  <c r="CB292" i="2"/>
  <c r="CA292" i="2"/>
  <c r="BZ292" i="2"/>
  <c r="BY292" i="2"/>
  <c r="CB291" i="2"/>
  <c r="CA291" i="2"/>
  <c r="BZ291" i="2"/>
  <c r="BY291" i="2"/>
  <c r="CB290" i="2"/>
  <c r="CA290" i="2"/>
  <c r="BZ290" i="2"/>
  <c r="BY290" i="2"/>
  <c r="CB289" i="2"/>
  <c r="CA289" i="2"/>
  <c r="BZ289" i="2"/>
  <c r="BY289" i="2"/>
  <c r="CB288" i="2"/>
  <c r="CA288" i="2"/>
  <c r="BZ288" i="2"/>
  <c r="BY288" i="2"/>
  <c r="CB287" i="2"/>
  <c r="CA287" i="2"/>
  <c r="BZ287" i="2"/>
  <c r="BY287" i="2"/>
  <c r="CB286" i="2"/>
  <c r="CA286" i="2"/>
  <c r="BZ286" i="2"/>
  <c r="BY286" i="2"/>
  <c r="CB285" i="2"/>
  <c r="CA285" i="2"/>
  <c r="BZ285" i="2"/>
  <c r="BY285" i="2"/>
  <c r="CB284" i="2"/>
  <c r="CA284" i="2"/>
  <c r="BZ284" i="2"/>
  <c r="BY284" i="2"/>
  <c r="CB283" i="2"/>
  <c r="CA283" i="2"/>
  <c r="BZ283" i="2"/>
  <c r="BY283" i="2"/>
  <c r="CB282" i="2"/>
  <c r="CA282" i="2"/>
  <c r="BZ282" i="2"/>
  <c r="BY282" i="2"/>
  <c r="CB281" i="2"/>
  <c r="BZ281" i="2"/>
  <c r="BI281" i="2"/>
  <c r="BI280" i="2" s="1"/>
  <c r="BI273" i="2" s="1"/>
  <c r="BG281" i="2"/>
  <c r="BE281" i="2"/>
  <c r="BC281" i="2"/>
  <c r="BC1021" i="2" s="1"/>
  <c r="AW281" i="2"/>
  <c r="AW280" i="2" s="1"/>
  <c r="AW273" i="2" s="1"/>
  <c r="BU280" i="2"/>
  <c r="BT280" i="2"/>
  <c r="BS280" i="2"/>
  <c r="BS273" i="2" s="1"/>
  <c r="BR280" i="2"/>
  <c r="BR273" i="2" s="1"/>
  <c r="BQ280" i="2"/>
  <c r="BQ273" i="2" s="1"/>
  <c r="BP280" i="2"/>
  <c r="BP273" i="2" s="1"/>
  <c r="BO280" i="2"/>
  <c r="BO273" i="2" s="1"/>
  <c r="BL280" i="2"/>
  <c r="BL273" i="2" s="1"/>
  <c r="BK280" i="2"/>
  <c r="BK273" i="2" s="1"/>
  <c r="BJ280" i="2"/>
  <c r="BH280" i="2"/>
  <c r="BH273" i="2" s="1"/>
  <c r="BG280" i="2"/>
  <c r="BE280" i="2"/>
  <c r="BE273" i="2" s="1"/>
  <c r="BD280" i="2"/>
  <c r="BD273" i="2" s="1"/>
  <c r="BA280" i="2"/>
  <c r="BA273" i="2" s="1"/>
  <c r="AZ280" i="2"/>
  <c r="AZ273" i="2" s="1"/>
  <c r="AY280" i="2"/>
  <c r="AY273" i="2" s="1"/>
  <c r="AV280" i="2"/>
  <c r="AV273" i="2" s="1"/>
  <c r="AU280" i="2"/>
  <c r="AS280" i="2"/>
  <c r="AS273" i="2" s="1"/>
  <c r="AR280" i="2"/>
  <c r="AR273" i="2" s="1"/>
  <c r="AQ280" i="2"/>
  <c r="AQ273" i="2" s="1"/>
  <c r="AO280" i="2"/>
  <c r="AO273" i="2" s="1"/>
  <c r="AN280" i="2"/>
  <c r="AN273" i="2" s="1"/>
  <c r="AM280" i="2"/>
  <c r="AM273" i="2" s="1"/>
  <c r="AK280" i="2"/>
  <c r="AK273" i="2" s="1"/>
  <c r="AJ280" i="2"/>
  <c r="AJ273" i="2" s="1"/>
  <c r="AI280" i="2"/>
  <c r="AI273" i="2" s="1"/>
  <c r="AF280" i="2"/>
  <c r="AF273" i="2" s="1"/>
  <c r="AE280" i="2"/>
  <c r="AE273" i="2" s="1"/>
  <c r="CB279" i="2"/>
  <c r="CA279" i="2"/>
  <c r="BZ279" i="2"/>
  <c r="BY279" i="2"/>
  <c r="CB278" i="2"/>
  <c r="CA278" i="2"/>
  <c r="BZ278" i="2"/>
  <c r="BY278" i="2"/>
  <c r="CB277" i="2"/>
  <c r="CA277" i="2"/>
  <c r="BZ277" i="2"/>
  <c r="BY277" i="2"/>
  <c r="CB276" i="2"/>
  <c r="CA276" i="2"/>
  <c r="BZ276" i="2"/>
  <c r="BY276" i="2"/>
  <c r="CB275" i="2"/>
  <c r="CA275" i="2"/>
  <c r="BZ275" i="2"/>
  <c r="BY275" i="2"/>
  <c r="CB274" i="2"/>
  <c r="CA274" i="2"/>
  <c r="BZ274" i="2"/>
  <c r="BY274" i="2"/>
  <c r="BU273" i="2"/>
  <c r="BT273" i="2"/>
  <c r="BG273" i="2"/>
  <c r="AU273" i="2"/>
  <c r="CB272" i="2"/>
  <c r="CA272" i="2"/>
  <c r="BZ272" i="2"/>
  <c r="BY272" i="2"/>
  <c r="CA271" i="2"/>
  <c r="BZ271" i="2"/>
  <c r="BY271" i="2"/>
  <c r="CB271" i="2"/>
  <c r="CB270" i="2"/>
  <c r="CA270" i="2"/>
  <c r="BZ270" i="2"/>
  <c r="BY270" i="2"/>
  <c r="CB269" i="2"/>
  <c r="CA269" i="2"/>
  <c r="BZ269" i="2"/>
  <c r="BY269" i="2"/>
  <c r="BU267" i="2"/>
  <c r="BU1007" i="2" s="1"/>
  <c r="BU1003" i="2" s="1"/>
  <c r="BQ267" i="2"/>
  <c r="BQ1007" i="2" s="1"/>
  <c r="BQ1003" i="2" s="1"/>
  <c r="BI267" i="2"/>
  <c r="BH267" i="2"/>
  <c r="BG267" i="2"/>
  <c r="BE267" i="2"/>
  <c r="BE263" i="2" s="1"/>
  <c r="BD267" i="2"/>
  <c r="BD1007" i="2" s="1"/>
  <c r="AX267" i="2"/>
  <c r="AT267" i="2"/>
  <c r="AR267" i="2"/>
  <c r="AR1007" i="2" s="1"/>
  <c r="AP267" i="2"/>
  <c r="AP1007" i="2" s="1"/>
  <c r="AP1003" i="2" s="1"/>
  <c r="AH267" i="2"/>
  <c r="CB266" i="2"/>
  <c r="BY266" i="2"/>
  <c r="BI266" i="2"/>
  <c r="BI265" i="2" s="1"/>
  <c r="AR266" i="2"/>
  <c r="BZ266" i="2" s="1"/>
  <c r="BQ265" i="2"/>
  <c r="BH265" i="2"/>
  <c r="BG265" i="2"/>
  <c r="BE265" i="2"/>
  <c r="BD265" i="2"/>
  <c r="BA265" i="2"/>
  <c r="AZ265" i="2"/>
  <c r="AY265" i="2"/>
  <c r="AX265" i="2"/>
  <c r="AW265" i="2"/>
  <c r="AV265" i="2"/>
  <c r="AU265" i="2"/>
  <c r="AT265" i="2"/>
  <c r="AS265" i="2"/>
  <c r="AP265" i="2"/>
  <c r="AO265" i="2"/>
  <c r="AN265" i="2"/>
  <c r="AH265" i="2"/>
  <c r="CA264" i="2"/>
  <c r="BZ264" i="2"/>
  <c r="BY264" i="2"/>
  <c r="BJ264" i="2"/>
  <c r="BB264" i="2"/>
  <c r="BB267" i="2" s="1"/>
  <c r="BT263" i="2"/>
  <c r="BS263" i="2"/>
  <c r="BR263" i="2"/>
  <c r="BP263" i="2"/>
  <c r="BO263" i="2"/>
  <c r="BM263" i="2"/>
  <c r="BL263" i="2"/>
  <c r="BK263" i="2"/>
  <c r="BC263" i="2"/>
  <c r="BA263" i="2"/>
  <c r="AZ263" i="2"/>
  <c r="AY263" i="2"/>
  <c r="AW263" i="2"/>
  <c r="AV263" i="2"/>
  <c r="AU263" i="2"/>
  <c r="AS263" i="2"/>
  <c r="AQ263" i="2"/>
  <c r="AO263" i="2"/>
  <c r="AN263" i="2"/>
  <c r="AM263" i="2"/>
  <c r="AK263" i="2"/>
  <c r="AJ263" i="2"/>
  <c r="AI263" i="2"/>
  <c r="AG263" i="2"/>
  <c r="AF263" i="2"/>
  <c r="AE263" i="2"/>
  <c r="CB262" i="2"/>
  <c r="AK262" i="2"/>
  <c r="AK1002" i="2" s="1"/>
  <c r="AI262" i="2"/>
  <c r="AI1002" i="2" s="1"/>
  <c r="AG262" i="2"/>
  <c r="AG1002" i="2" s="1"/>
  <c r="AF262" i="2"/>
  <c r="AF1002" i="2" s="1"/>
  <c r="CB261" i="2"/>
  <c r="BZ261" i="2"/>
  <c r="BY261" i="2"/>
  <c r="AG261" i="2"/>
  <c r="AG1001" i="2" s="1"/>
  <c r="CA260" i="2"/>
  <c r="BZ260" i="2"/>
  <c r="BY260" i="2"/>
  <c r="BR260" i="2"/>
  <c r="BR1000" i="2" s="1"/>
  <c r="CB259" i="2"/>
  <c r="CA259" i="2"/>
  <c r="BZ259" i="2"/>
  <c r="BY259" i="2"/>
  <c r="CB258" i="2"/>
  <c r="CA258" i="2"/>
  <c r="BZ258" i="2"/>
  <c r="BY258" i="2"/>
  <c r="CB257" i="2"/>
  <c r="CA257" i="2"/>
  <c r="BZ257" i="2"/>
  <c r="BY257" i="2"/>
  <c r="CB256" i="2"/>
  <c r="CA256" i="2"/>
  <c r="BZ256" i="2"/>
  <c r="BY256" i="2"/>
  <c r="BV255" i="2"/>
  <c r="BV254" i="2" s="1"/>
  <c r="BU255" i="2"/>
  <c r="BT255" i="2"/>
  <c r="BS255" i="2"/>
  <c r="BQ255" i="2"/>
  <c r="BP255" i="2"/>
  <c r="BO255" i="2"/>
  <c r="BM255" i="2"/>
  <c r="BL255" i="2"/>
  <c r="BK255" i="2"/>
  <c r="BI255" i="2"/>
  <c r="BH255" i="2"/>
  <c r="BG255" i="2"/>
  <c r="BF255" i="2"/>
  <c r="BF254" i="2" s="1"/>
  <c r="BE255" i="2"/>
  <c r="BD255" i="2"/>
  <c r="BC255" i="2"/>
  <c r="BA255" i="2"/>
  <c r="AZ255" i="2"/>
  <c r="AY255" i="2"/>
  <c r="AW255" i="2"/>
  <c r="AV255" i="2"/>
  <c r="AU255" i="2"/>
  <c r="AS255" i="2"/>
  <c r="AR255" i="2"/>
  <c r="AQ255" i="2"/>
  <c r="AO255" i="2"/>
  <c r="AN255" i="2"/>
  <c r="AM255" i="2"/>
  <c r="AJ255" i="2"/>
  <c r="AH255" i="2"/>
  <c r="AG255" i="2"/>
  <c r="AE255" i="2"/>
  <c r="BN254" i="2"/>
  <c r="AL254" i="2"/>
  <c r="BV252" i="2"/>
  <c r="BU252" i="2"/>
  <c r="BU992" i="2" s="1"/>
  <c r="BT252" i="2"/>
  <c r="BT992" i="2" s="1"/>
  <c r="BS252" i="2"/>
  <c r="BS992" i="2" s="1"/>
  <c r="BQ252" i="2"/>
  <c r="BQ992" i="2" s="1"/>
  <c r="BP252" i="2"/>
  <c r="BP992" i="2" s="1"/>
  <c r="BO252" i="2"/>
  <c r="BO992" i="2" s="1"/>
  <c r="BI252" i="2"/>
  <c r="BH252" i="2"/>
  <c r="BG252" i="2"/>
  <c r="BF252" i="2"/>
  <c r="BE252" i="2"/>
  <c r="BD252" i="2"/>
  <c r="BD992" i="2" s="1"/>
  <c r="BC252" i="2"/>
  <c r="BC992" i="2" s="1"/>
  <c r="AX252" i="2"/>
  <c r="AT252" i="2"/>
  <c r="AR252" i="2"/>
  <c r="AR992" i="2" s="1"/>
  <c r="AP252" i="2"/>
  <c r="AP992" i="2" s="1"/>
  <c r="AL252" i="2"/>
  <c r="AK252" i="2"/>
  <c r="AI252" i="2"/>
  <c r="AH252" i="2"/>
  <c r="AE252" i="2"/>
  <c r="CB251" i="2"/>
  <c r="BZ251" i="2"/>
  <c r="BY251" i="2"/>
  <c r="BI251" i="2"/>
  <c r="CA251" i="2" s="1"/>
  <c r="BV250" i="2"/>
  <c r="BU250" i="2"/>
  <c r="BT250" i="2"/>
  <c r="BS250" i="2"/>
  <c r="BQ250" i="2"/>
  <c r="BP250" i="2"/>
  <c r="BO250" i="2"/>
  <c r="BN250" i="2"/>
  <c r="BM250" i="2"/>
  <c r="BL250" i="2"/>
  <c r="BK250" i="2"/>
  <c r="BH250" i="2"/>
  <c r="BG250" i="2"/>
  <c r="BF250" i="2"/>
  <c r="BE250" i="2"/>
  <c r="BD250" i="2"/>
  <c r="BC250" i="2"/>
  <c r="BA250" i="2"/>
  <c r="AZ250" i="2"/>
  <c r="AY250" i="2"/>
  <c r="AX250" i="2"/>
  <c r="AW250" i="2"/>
  <c r="AV250" i="2"/>
  <c r="AU250" i="2"/>
  <c r="AT250" i="2"/>
  <c r="AS250" i="2"/>
  <c r="AQ250" i="2"/>
  <c r="AP250" i="2"/>
  <c r="AO250" i="2"/>
  <c r="AN250" i="2"/>
  <c r="AM250" i="2"/>
  <c r="AK250" i="2"/>
  <c r="AJ250" i="2"/>
  <c r="AI250" i="2"/>
  <c r="AH250" i="2"/>
  <c r="AF250" i="2"/>
  <c r="BR249" i="2"/>
  <c r="BR252" i="2" s="1"/>
  <c r="BJ249" i="2"/>
  <c r="BJ250" i="2" s="1"/>
  <c r="BB249" i="2"/>
  <c r="AR249" i="2"/>
  <c r="AG249" i="2"/>
  <c r="AG250" i="2" s="1"/>
  <c r="AE249" i="2"/>
  <c r="BY249" i="2" s="1"/>
  <c r="BU248" i="2"/>
  <c r="BU245" i="2" s="1"/>
  <c r="BC248" i="2"/>
  <c r="BC245" i="2" s="1"/>
  <c r="BA248" i="2"/>
  <c r="BA245" i="2" s="1"/>
  <c r="AZ248" i="2"/>
  <c r="AY248" i="2"/>
  <c r="AY245" i="2" s="1"/>
  <c r="AW248" i="2"/>
  <c r="AW245" i="2" s="1"/>
  <c r="AV248" i="2"/>
  <c r="AV245" i="2" s="1"/>
  <c r="AU248" i="2"/>
  <c r="AU245" i="2" s="1"/>
  <c r="AS248" i="2"/>
  <c r="AS245" i="2" s="1"/>
  <c r="AQ248" i="2"/>
  <c r="AQ245" i="2" s="1"/>
  <c r="AJ248" i="2"/>
  <c r="AJ245" i="2" s="1"/>
  <c r="AF248" i="2"/>
  <c r="AF245" i="2" s="1"/>
  <c r="BZ247" i="2"/>
  <c r="BY247" i="2"/>
  <c r="BR247" i="2"/>
  <c r="BR987" i="2" s="1"/>
  <c r="BM247" i="2"/>
  <c r="BM987" i="2" s="1"/>
  <c r="BI247" i="2"/>
  <c r="BI987" i="2" s="1"/>
  <c r="BB247" i="2"/>
  <c r="CA246" i="2"/>
  <c r="BZ246" i="2"/>
  <c r="BY246" i="2"/>
  <c r="BR246" i="2"/>
  <c r="BR986" i="2" s="1"/>
  <c r="BB246" i="2"/>
  <c r="BM245" i="2"/>
  <c r="BL245" i="2"/>
  <c r="BK245" i="2"/>
  <c r="AZ245" i="2"/>
  <c r="AO245" i="2"/>
  <c r="AN245" i="2"/>
  <c r="AM245" i="2"/>
  <c r="CB244" i="2"/>
  <c r="CA244" i="2"/>
  <c r="BZ244" i="2"/>
  <c r="BY244" i="2"/>
  <c r="CB243" i="2"/>
  <c r="CA243" i="2"/>
  <c r="BZ243" i="2"/>
  <c r="BY243" i="2"/>
  <c r="CB242" i="2"/>
  <c r="CA242" i="2"/>
  <c r="BZ242" i="2"/>
  <c r="BY242" i="2"/>
  <c r="CB241" i="2"/>
  <c r="CA241" i="2"/>
  <c r="BZ241" i="2"/>
  <c r="BY241" i="2"/>
  <c r="CB240" i="2"/>
  <c r="BZ240" i="2"/>
  <c r="BG240" i="2"/>
  <c r="BE240" i="2"/>
  <c r="BE980" i="2" s="1"/>
  <c r="BC240" i="2"/>
  <c r="CB239" i="2"/>
  <c r="BZ239" i="2"/>
  <c r="AK239" i="2"/>
  <c r="AK979" i="2" s="1"/>
  <c r="AI239" i="2"/>
  <c r="AI979" i="2" s="1"/>
  <c r="CB238" i="2"/>
  <c r="BZ238" i="2"/>
  <c r="BI238" i="2"/>
  <c r="BG238" i="2"/>
  <c r="AK238" i="2"/>
  <c r="AK978" i="2" s="1"/>
  <c r="AI238" i="2"/>
  <c r="AI978" i="2" s="1"/>
  <c r="CB237" i="2"/>
  <c r="CA237" i="2"/>
  <c r="BZ237" i="2"/>
  <c r="BY237" i="2"/>
  <c r="CB236" i="2"/>
  <c r="CA236" i="2"/>
  <c r="BZ236" i="2"/>
  <c r="BY236" i="2"/>
  <c r="CB235" i="2"/>
  <c r="CA235" i="2"/>
  <c r="BZ235" i="2"/>
  <c r="BY235" i="2"/>
  <c r="CB234" i="2"/>
  <c r="CA234" i="2"/>
  <c r="BZ234" i="2"/>
  <c r="BY234" i="2"/>
  <c r="CB233" i="2"/>
  <c r="CA233" i="2"/>
  <c r="BZ233" i="2"/>
  <c r="BY233" i="2"/>
  <c r="CB232" i="2"/>
  <c r="CA232" i="2"/>
  <c r="BZ232" i="2"/>
  <c r="BY232" i="2"/>
  <c r="CB231" i="2"/>
  <c r="BY231" i="2"/>
  <c r="BM231" i="2"/>
  <c r="AF231" i="2"/>
  <c r="AF971" i="2" s="1"/>
  <c r="CB230" i="2"/>
  <c r="CA230" i="2"/>
  <c r="BZ230" i="2"/>
  <c r="BY230" i="2"/>
  <c r="CB229" i="2"/>
  <c r="BZ229" i="2"/>
  <c r="BY229" i="2"/>
  <c r="AW229" i="2"/>
  <c r="AW969" i="2" s="1"/>
  <c r="CB228" i="2"/>
  <c r="CA228" i="2"/>
  <c r="BZ228" i="2"/>
  <c r="BY228" i="2"/>
  <c r="CB227" i="2"/>
  <c r="CA227" i="2"/>
  <c r="BZ227" i="2"/>
  <c r="BY227" i="2"/>
  <c r="CB226" i="2"/>
  <c r="CA226" i="2"/>
  <c r="BZ226" i="2"/>
  <c r="BY226" i="2"/>
  <c r="CB225" i="2"/>
  <c r="CA225" i="2"/>
  <c r="BZ225" i="2"/>
  <c r="BY225" i="2"/>
  <c r="CB224" i="2"/>
  <c r="BZ224" i="2"/>
  <c r="BY224" i="2"/>
  <c r="AK224" i="2"/>
  <c r="AK964" i="2" s="1"/>
  <c r="CB223" i="2"/>
  <c r="BZ223" i="2"/>
  <c r="BM223" i="2"/>
  <c r="BM963" i="2" s="1"/>
  <c r="AY223" i="2"/>
  <c r="AY963" i="2" s="1"/>
  <c r="CB222" i="2"/>
  <c r="CA222" i="2"/>
  <c r="BZ222" i="2"/>
  <c r="BY222" i="2"/>
  <c r="CB221" i="2"/>
  <c r="BZ221" i="2"/>
  <c r="AS221" i="2"/>
  <c r="AS961" i="2" s="1"/>
  <c r="AQ221" i="2"/>
  <c r="AQ961" i="2" s="1"/>
  <c r="CB220" i="2"/>
  <c r="CA220" i="2"/>
  <c r="BZ220" i="2"/>
  <c r="BY220" i="2"/>
  <c r="CB219" i="2"/>
  <c r="CA219" i="2"/>
  <c r="BZ219" i="2"/>
  <c r="BY219" i="2"/>
  <c r="CB218" i="2"/>
  <c r="CA218" i="2"/>
  <c r="BZ218" i="2"/>
  <c r="BY218" i="2"/>
  <c r="CB217" i="2"/>
  <c r="CA217" i="2"/>
  <c r="BZ217" i="2"/>
  <c r="BY217" i="2"/>
  <c r="CA216" i="2"/>
  <c r="BZ216" i="2"/>
  <c r="BY216" i="2"/>
  <c r="BF216" i="2"/>
  <c r="CB216" i="2" s="1"/>
  <c r="CA215" i="2"/>
  <c r="BZ215" i="2"/>
  <c r="BY215" i="2"/>
  <c r="CB214" i="2"/>
  <c r="CA214" i="2"/>
  <c r="BZ214" i="2"/>
  <c r="BY214" i="2"/>
  <c r="CB213" i="2"/>
  <c r="CA213" i="2"/>
  <c r="BZ213" i="2"/>
  <c r="BY213" i="2"/>
  <c r="CB212" i="2"/>
  <c r="CA212" i="2"/>
  <c r="BZ212" i="2"/>
  <c r="BY212" i="2"/>
  <c r="CB211" i="2"/>
  <c r="BZ211" i="2"/>
  <c r="BY211" i="2"/>
  <c r="BA211" i="2"/>
  <c r="BA951" i="2" s="1"/>
  <c r="CB210" i="2"/>
  <c r="CA210" i="2"/>
  <c r="BZ210" i="2"/>
  <c r="BY210" i="2"/>
  <c r="CB209" i="2"/>
  <c r="CA209" i="2"/>
  <c r="BZ209" i="2"/>
  <c r="BY209" i="2"/>
  <c r="CA208" i="2"/>
  <c r="BZ208" i="2"/>
  <c r="BY208" i="2"/>
  <c r="CB207" i="2"/>
  <c r="CA207" i="2"/>
  <c r="BY207" i="2"/>
  <c r="AR207" i="2"/>
  <c r="CB206" i="2"/>
  <c r="CA206" i="2"/>
  <c r="BZ206" i="2"/>
  <c r="BY206" i="2"/>
  <c r="CB205" i="2"/>
  <c r="CA205" i="2"/>
  <c r="BZ205" i="2"/>
  <c r="BY205" i="2"/>
  <c r="CA204" i="2"/>
  <c r="BZ204" i="2"/>
  <c r="BY204" i="2"/>
  <c r="CB203" i="2"/>
  <c r="CA203" i="2"/>
  <c r="BZ203" i="2"/>
  <c r="BY203" i="2"/>
  <c r="CB202" i="2"/>
  <c r="CA202" i="2"/>
  <c r="BZ202" i="2"/>
  <c r="BY202" i="2"/>
  <c r="CB201" i="2"/>
  <c r="CA201" i="2"/>
  <c r="BZ201" i="2"/>
  <c r="BY201" i="2"/>
  <c r="CB200" i="2"/>
  <c r="CA200" i="2"/>
  <c r="BZ200" i="2"/>
  <c r="BY200" i="2"/>
  <c r="CB199" i="2"/>
  <c r="CA199" i="2"/>
  <c r="BZ199" i="2"/>
  <c r="BY199" i="2"/>
  <c r="CB198" i="2"/>
  <c r="CA198" i="2"/>
  <c r="BZ198" i="2"/>
  <c r="BY198" i="2"/>
  <c r="CB197" i="2"/>
  <c r="BZ197" i="2"/>
  <c r="BY197" i="2"/>
  <c r="BM197" i="2"/>
  <c r="CB196" i="2"/>
  <c r="CA196" i="2"/>
  <c r="BZ196" i="2"/>
  <c r="BY196" i="2"/>
  <c r="CB195" i="2"/>
  <c r="CA195" i="2"/>
  <c r="BZ195" i="2"/>
  <c r="BY195" i="2"/>
  <c r="CA194" i="2"/>
  <c r="BY194" i="2"/>
  <c r="BR194" i="2"/>
  <c r="BR934" i="2" s="1"/>
  <c r="AN194" i="2"/>
  <c r="AN934" i="2" s="1"/>
  <c r="BE193" i="2"/>
  <c r="CA193" i="2" s="1"/>
  <c r="BC193" i="2"/>
  <c r="BC933" i="2" s="1"/>
  <c r="AR193" i="2"/>
  <c r="AR933" i="2" s="1"/>
  <c r="BV192" i="2"/>
  <c r="BU192" i="2"/>
  <c r="BT192" i="2"/>
  <c r="BS192" i="2"/>
  <c r="BQ192" i="2"/>
  <c r="BP192" i="2"/>
  <c r="BO192" i="2"/>
  <c r="BL192" i="2"/>
  <c r="BK192" i="2"/>
  <c r="BH192" i="2"/>
  <c r="BD192" i="2"/>
  <c r="AZ192" i="2"/>
  <c r="AV192" i="2"/>
  <c r="AU192" i="2"/>
  <c r="AR192" i="2"/>
  <c r="AO192" i="2"/>
  <c r="AM192" i="2"/>
  <c r="AJ192" i="2"/>
  <c r="AG192" i="2"/>
  <c r="AE192" i="2"/>
  <c r="G192" i="2"/>
  <c r="A192" i="2"/>
  <c r="CB191" i="2"/>
  <c r="CA191" i="2"/>
  <c r="BZ191" i="2"/>
  <c r="BY191" i="2"/>
  <c r="CB190" i="2"/>
  <c r="CA190" i="2"/>
  <c r="BZ190" i="2"/>
  <c r="BY190" i="2"/>
  <c r="CB189" i="2"/>
  <c r="CA189" i="2"/>
  <c r="BZ189" i="2"/>
  <c r="BY189" i="2"/>
  <c r="CB188" i="2"/>
  <c r="CA188" i="2"/>
  <c r="BZ188" i="2"/>
  <c r="BY188" i="2"/>
  <c r="CB187" i="2"/>
  <c r="CA187" i="2"/>
  <c r="BZ187" i="2"/>
  <c r="BY187" i="2"/>
  <c r="CB186" i="2"/>
  <c r="CA186" i="2"/>
  <c r="BZ186" i="2"/>
  <c r="BY186" i="2"/>
  <c r="CB185" i="2"/>
  <c r="CA185" i="2"/>
  <c r="BZ185" i="2"/>
  <c r="BY185" i="2"/>
  <c r="CB184" i="2"/>
  <c r="CA184" i="2"/>
  <c r="BZ184" i="2"/>
  <c r="BY184" i="2"/>
  <c r="CB183" i="2"/>
  <c r="CA183" i="2"/>
  <c r="BZ183" i="2"/>
  <c r="BY183" i="2"/>
  <c r="CB182" i="2"/>
  <c r="CA182" i="2"/>
  <c r="BZ182" i="2"/>
  <c r="BY182" i="2"/>
  <c r="CB181" i="2"/>
  <c r="CA181" i="2"/>
  <c r="BZ181" i="2"/>
  <c r="BY181" i="2"/>
  <c r="CB180" i="2"/>
  <c r="CA180" i="2"/>
  <c r="BZ180" i="2"/>
  <c r="BY180" i="2"/>
  <c r="CB179" i="2"/>
  <c r="CA179" i="2"/>
  <c r="BZ179" i="2"/>
  <c r="BY179" i="2"/>
  <c r="CB178" i="2"/>
  <c r="CA178" i="2"/>
  <c r="BZ178" i="2"/>
  <c r="BY178" i="2"/>
  <c r="CB177" i="2"/>
  <c r="CA177" i="2"/>
  <c r="BZ177" i="2"/>
  <c r="BY177" i="2"/>
  <c r="CB176" i="2"/>
  <c r="CA176" i="2"/>
  <c r="BZ176" i="2"/>
  <c r="BY176" i="2"/>
  <c r="CB175" i="2"/>
  <c r="CA175" i="2"/>
  <c r="BZ175" i="2"/>
  <c r="BY175" i="2"/>
  <c r="CB174" i="2"/>
  <c r="CA174" i="2"/>
  <c r="BZ174" i="2"/>
  <c r="BY174" i="2"/>
  <c r="CB173" i="2"/>
  <c r="CA173" i="2"/>
  <c r="BZ173" i="2"/>
  <c r="BY173" i="2"/>
  <c r="BV172" i="2"/>
  <c r="BV165" i="2" s="1"/>
  <c r="BU172" i="2"/>
  <c r="BT172" i="2"/>
  <c r="BS172" i="2"/>
  <c r="BS165" i="2" s="1"/>
  <c r="BR172" i="2"/>
  <c r="CB172" i="2" s="1"/>
  <c r="BQ172" i="2"/>
  <c r="BP172" i="2"/>
  <c r="BO172" i="2"/>
  <c r="BM172" i="2"/>
  <c r="BL172" i="2"/>
  <c r="BK172" i="2"/>
  <c r="BI172" i="2"/>
  <c r="BH172" i="2"/>
  <c r="BG172" i="2"/>
  <c r="BE172" i="2"/>
  <c r="BD172" i="2"/>
  <c r="BC172" i="2"/>
  <c r="BA172" i="2"/>
  <c r="AZ172" i="2"/>
  <c r="AY172" i="2"/>
  <c r="AW172" i="2"/>
  <c r="AV172" i="2"/>
  <c r="AU172" i="2"/>
  <c r="AS172" i="2"/>
  <c r="AR172" i="2"/>
  <c r="AQ172" i="2"/>
  <c r="AO172" i="2"/>
  <c r="AO165" i="2" s="1"/>
  <c r="AN172" i="2"/>
  <c r="AM172" i="2"/>
  <c r="AK172" i="2"/>
  <c r="AJ172" i="2"/>
  <c r="AI172" i="2"/>
  <c r="AG172" i="2"/>
  <c r="AF172" i="2"/>
  <c r="AE172" i="2"/>
  <c r="AE165" i="2" s="1"/>
  <c r="CB171" i="2"/>
  <c r="CA171" i="2"/>
  <c r="BZ171" i="2"/>
  <c r="BY171" i="2"/>
  <c r="CB170" i="2"/>
  <c r="CA170" i="2"/>
  <c r="BZ170" i="2"/>
  <c r="BY170" i="2"/>
  <c r="CB169" i="2"/>
  <c r="CA169" i="2"/>
  <c r="BZ169" i="2"/>
  <c r="BY169" i="2"/>
  <c r="CB168" i="2"/>
  <c r="CA168" i="2"/>
  <c r="BZ168" i="2"/>
  <c r="BY168" i="2"/>
  <c r="CB167" i="2"/>
  <c r="CA167" i="2"/>
  <c r="BZ167" i="2"/>
  <c r="BY167" i="2"/>
  <c r="CB166" i="2"/>
  <c r="CA166" i="2"/>
  <c r="BZ166" i="2"/>
  <c r="BY166" i="2"/>
  <c r="AH165" i="2"/>
  <c r="CB164" i="2"/>
  <c r="CA164" i="2"/>
  <c r="BZ164" i="2"/>
  <c r="BY164" i="2"/>
  <c r="CB163" i="2"/>
  <c r="CA163" i="2"/>
  <c r="BZ163" i="2"/>
  <c r="BY163" i="2"/>
  <c r="CB162" i="2"/>
  <c r="CA162" i="2"/>
  <c r="BZ162" i="2"/>
  <c r="BY162" i="2"/>
  <c r="CB161" i="2"/>
  <c r="CA161" i="2"/>
  <c r="BZ161" i="2"/>
  <c r="BY161" i="2"/>
  <c r="CB160" i="2"/>
  <c r="CA160" i="2"/>
  <c r="BZ160" i="2"/>
  <c r="BY160" i="2"/>
  <c r="CB159" i="2"/>
  <c r="CA159" i="2"/>
  <c r="BZ159" i="2"/>
  <c r="BY159" i="2"/>
  <c r="CB158" i="2"/>
  <c r="CA158" i="2"/>
  <c r="BZ158" i="2"/>
  <c r="BY158" i="2"/>
  <c r="CB157" i="2"/>
  <c r="CA157" i="2"/>
  <c r="BZ157" i="2"/>
  <c r="BY157" i="2"/>
  <c r="BZ156" i="2"/>
  <c r="BY156" i="2"/>
  <c r="BM156" i="2"/>
  <c r="BM882" i="2" s="1"/>
  <c r="BV154" i="2"/>
  <c r="BU154" i="2"/>
  <c r="BT154" i="2"/>
  <c r="BS154" i="2"/>
  <c r="BS880" i="2" s="1"/>
  <c r="BN154" i="2"/>
  <c r="BN150" i="2" s="1"/>
  <c r="BN144" i="2" s="1"/>
  <c r="BI154" i="2"/>
  <c r="BH154" i="2"/>
  <c r="BH150" i="2" s="1"/>
  <c r="BG154" i="2"/>
  <c r="BF154" i="2"/>
  <c r="BE154" i="2"/>
  <c r="BD154" i="2"/>
  <c r="BD150" i="2" s="1"/>
  <c r="BC154" i="2"/>
  <c r="BC150" i="2" s="1"/>
  <c r="AX154" i="2"/>
  <c r="AT154" i="2"/>
  <c r="AR154" i="2"/>
  <c r="AP154" i="2"/>
  <c r="AK154" i="2"/>
  <c r="AI154" i="2"/>
  <c r="AG154" i="2"/>
  <c r="AG880" i="2" s="1"/>
  <c r="AE154" i="2"/>
  <c r="CB153" i="2"/>
  <c r="BZ153" i="2"/>
  <c r="BY153" i="2"/>
  <c r="BI153" i="2"/>
  <c r="BV152" i="2"/>
  <c r="BU152" i="2"/>
  <c r="BT152" i="2"/>
  <c r="BS152" i="2"/>
  <c r="BQ152" i="2"/>
  <c r="BP152" i="2"/>
  <c r="BO152" i="2"/>
  <c r="BN152" i="2"/>
  <c r="BM152" i="2"/>
  <c r="BL152" i="2"/>
  <c r="BK152" i="2"/>
  <c r="BH152" i="2"/>
  <c r="BG152" i="2"/>
  <c r="BF152" i="2"/>
  <c r="BE152" i="2"/>
  <c r="BD152" i="2"/>
  <c r="BC152" i="2"/>
  <c r="BA152" i="2"/>
  <c r="AZ152" i="2"/>
  <c r="AY152" i="2"/>
  <c r="AX152" i="2"/>
  <c r="AW152" i="2"/>
  <c r="AV152" i="2"/>
  <c r="AU152" i="2"/>
  <c r="AT152" i="2"/>
  <c r="AS152" i="2"/>
  <c r="AQ152" i="2"/>
  <c r="AP152" i="2"/>
  <c r="AO152" i="2"/>
  <c r="AN152" i="2"/>
  <c r="AM152" i="2"/>
  <c r="AK152" i="2"/>
  <c r="AJ152" i="2"/>
  <c r="AI152" i="2"/>
  <c r="AG152" i="2"/>
  <c r="AF152" i="2"/>
  <c r="CA151" i="2"/>
  <c r="BR151" i="2"/>
  <c r="BR152" i="2" s="1"/>
  <c r="BJ151" i="2"/>
  <c r="BJ152" i="2" s="1"/>
  <c r="BB151" i="2"/>
  <c r="BB152" i="2" s="1"/>
  <c r="AR151" i="2"/>
  <c r="AE151" i="2"/>
  <c r="BY151" i="2" s="1"/>
  <c r="BQ150" i="2"/>
  <c r="BP150" i="2"/>
  <c r="BO150" i="2"/>
  <c r="BM150" i="2"/>
  <c r="BL150" i="2"/>
  <c r="BK150" i="2"/>
  <c r="BA150" i="2"/>
  <c r="AZ150" i="2"/>
  <c r="AY150" i="2"/>
  <c r="AW150" i="2"/>
  <c r="AV150" i="2"/>
  <c r="AU150" i="2"/>
  <c r="AS150" i="2"/>
  <c r="AQ150" i="2"/>
  <c r="AO150" i="2"/>
  <c r="AN150" i="2"/>
  <c r="AM150" i="2"/>
  <c r="AJ150" i="2"/>
  <c r="AF150" i="2"/>
  <c r="CB149" i="2"/>
  <c r="CA149" i="2"/>
  <c r="BZ149" i="2"/>
  <c r="BY149" i="2"/>
  <c r="BY148" i="2"/>
  <c r="BR148" i="2"/>
  <c r="BR874" i="2" s="1"/>
  <c r="BM148" i="2"/>
  <c r="BM874" i="2" s="1"/>
  <c r="AG148" i="2"/>
  <c r="AF148" i="2"/>
  <c r="CA147" i="2"/>
  <c r="BR147" i="2"/>
  <c r="CB147" i="2" s="1"/>
  <c r="AY147" i="2"/>
  <c r="AY873" i="2" s="1"/>
  <c r="AV147" i="2"/>
  <c r="AV873" i="2" s="1"/>
  <c r="AV871" i="2" s="1"/>
  <c r="CB146" i="2"/>
  <c r="CA146" i="2"/>
  <c r="BZ146" i="2"/>
  <c r="BY146" i="2"/>
  <c r="BV145" i="2"/>
  <c r="BU145" i="2"/>
  <c r="BT145" i="2"/>
  <c r="BS145" i="2"/>
  <c r="BQ145" i="2"/>
  <c r="BP145" i="2"/>
  <c r="BO145" i="2"/>
  <c r="BL145" i="2"/>
  <c r="BK145" i="2"/>
  <c r="BJ145" i="2"/>
  <c r="BI145" i="2"/>
  <c r="BH145" i="2"/>
  <c r="BG145" i="2"/>
  <c r="BF145" i="2"/>
  <c r="BE145" i="2"/>
  <c r="BD145" i="2"/>
  <c r="BC145" i="2"/>
  <c r="BA145" i="2"/>
  <c r="AZ145" i="2"/>
  <c r="AW145" i="2"/>
  <c r="AU145" i="2"/>
  <c r="AS145" i="2"/>
  <c r="AR145" i="2"/>
  <c r="AQ145" i="2"/>
  <c r="AO145" i="2"/>
  <c r="AN145" i="2"/>
  <c r="AM145" i="2"/>
  <c r="AL145" i="2"/>
  <c r="AL871" i="2" s="1"/>
  <c r="AK145" i="2"/>
  <c r="AJ145" i="2"/>
  <c r="AI145" i="2"/>
  <c r="AH145" i="2"/>
  <c r="AE145" i="2"/>
  <c r="CB140" i="2"/>
  <c r="CA140" i="2"/>
  <c r="BZ140" i="2"/>
  <c r="BY140" i="2"/>
  <c r="CB139" i="2"/>
  <c r="CA139" i="2"/>
  <c r="BZ139" i="2"/>
  <c r="BY139" i="2"/>
  <c r="CB138" i="2"/>
  <c r="CA138" i="2"/>
  <c r="BZ138" i="2"/>
  <c r="BY138" i="2"/>
  <c r="CB137" i="2"/>
  <c r="CA137" i="2"/>
  <c r="BZ137" i="2"/>
  <c r="BY137" i="2"/>
  <c r="CB136" i="2"/>
  <c r="CA136" i="2"/>
  <c r="BZ136" i="2"/>
  <c r="BY136" i="2"/>
  <c r="CB135" i="2"/>
  <c r="CA135" i="2"/>
  <c r="BZ135" i="2"/>
  <c r="BY135" i="2"/>
  <c r="CB134" i="2"/>
  <c r="CA134" i="2"/>
  <c r="BZ134" i="2"/>
  <c r="BY134" i="2"/>
  <c r="CB133" i="2"/>
  <c r="CA133" i="2"/>
  <c r="BZ133" i="2"/>
  <c r="BY133" i="2"/>
  <c r="CB132" i="2"/>
  <c r="CA132" i="2"/>
  <c r="BZ132" i="2"/>
  <c r="BY132" i="2"/>
  <c r="CB131" i="2"/>
  <c r="CA131" i="2"/>
  <c r="BZ131" i="2"/>
  <c r="BY131" i="2"/>
  <c r="CB130" i="2"/>
  <c r="CA130" i="2"/>
  <c r="BZ130" i="2"/>
  <c r="BY130" i="2"/>
  <c r="CB129" i="2"/>
  <c r="CA129" i="2"/>
  <c r="BZ129" i="2"/>
  <c r="BY129" i="2"/>
  <c r="CB128" i="2"/>
  <c r="CA128" i="2"/>
  <c r="BZ128" i="2"/>
  <c r="BY128" i="2"/>
  <c r="A128" i="2" a="1"/>
  <c r="A128" i="2" s="1"/>
  <c r="A129" i="2" s="1" a="1"/>
  <c r="A129" i="2" s="1"/>
  <c r="A130" i="2" s="1" a="1"/>
  <c r="A130" i="2" s="1"/>
  <c r="A131" i="2" s="1" a="1"/>
  <c r="A131" i="2" s="1"/>
  <c r="A132" i="2" s="1" a="1"/>
  <c r="A132" i="2" s="1"/>
  <c r="A133" i="2" s="1" a="1"/>
  <c r="A133" i="2" s="1"/>
  <c r="A134" i="2" s="1" a="1"/>
  <c r="A134" i="2" s="1"/>
  <c r="A135" i="2" s="1" a="1"/>
  <c r="A135" i="2" s="1"/>
  <c r="A136" i="2" s="1" a="1"/>
  <c r="A136" i="2" s="1"/>
  <c r="A137" i="2" s="1" a="1"/>
  <c r="A137" i="2" s="1"/>
  <c r="A138" i="2" s="1" a="1"/>
  <c r="A138" i="2" s="1"/>
  <c r="A139" i="2" s="1" a="1"/>
  <c r="A139" i="2" s="1"/>
  <c r="A140" i="2" s="1" a="1"/>
  <c r="A140" i="2" s="1"/>
  <c r="CB127" i="2"/>
  <c r="CA127" i="2"/>
  <c r="BZ127" i="2"/>
  <c r="BY127" i="2"/>
  <c r="A127" i="2"/>
  <c r="CB126" i="2"/>
  <c r="CA126" i="2"/>
  <c r="BZ126" i="2"/>
  <c r="BY126" i="2"/>
  <c r="A126" i="2"/>
  <c r="CB125" i="2"/>
  <c r="CA125" i="2"/>
  <c r="BZ125" i="2"/>
  <c r="BY125" i="2"/>
  <c r="CB124" i="2"/>
  <c r="CA124" i="2"/>
  <c r="BZ124" i="2"/>
  <c r="BY124" i="2"/>
  <c r="CB123" i="2"/>
  <c r="CA123" i="2"/>
  <c r="BZ123" i="2"/>
  <c r="BY123" i="2"/>
  <c r="CB122" i="2"/>
  <c r="CA122" i="2"/>
  <c r="BZ122" i="2"/>
  <c r="BY122" i="2"/>
  <c r="BV121" i="2"/>
  <c r="BV119" i="2" s="1"/>
  <c r="BU121" i="2"/>
  <c r="BT121" i="2"/>
  <c r="BS121" i="2"/>
  <c r="BS119" i="2" s="1"/>
  <c r="BR121" i="2"/>
  <c r="BR119" i="2" s="1"/>
  <c r="BR109" i="2" s="1"/>
  <c r="BQ121" i="2"/>
  <c r="BQ119" i="2" s="1"/>
  <c r="BP121" i="2"/>
  <c r="BP119" i="2" s="1"/>
  <c r="BO121" i="2"/>
  <c r="BO119" i="2" s="1"/>
  <c r="BM121" i="2"/>
  <c r="BM119" i="2" s="1"/>
  <c r="BL121" i="2"/>
  <c r="BL119" i="2" s="1"/>
  <c r="BL109" i="2" s="1" a="1"/>
  <c r="BL109" i="2" s="1"/>
  <c r="BK121" i="2"/>
  <c r="BK119" i="2" s="1"/>
  <c r="BJ121" i="2"/>
  <c r="BJ119" i="2" s="1"/>
  <c r="BI121" i="2"/>
  <c r="BI119" i="2" s="1"/>
  <c r="BH121" i="2"/>
  <c r="BH119" i="2" s="1"/>
  <c r="BG121" i="2"/>
  <c r="BG119" i="2" s="1"/>
  <c r="BF121" i="2"/>
  <c r="BF844" i="2" s="1"/>
  <c r="BE121" i="2"/>
  <c r="BE119" i="2" s="1"/>
  <c r="BD121" i="2"/>
  <c r="BD119" i="2" s="1"/>
  <c r="BD115" i="2" s="1"/>
  <c r="BC121" i="2"/>
  <c r="BC119" i="2" s="1"/>
  <c r="BC109" i="2" s="1"/>
  <c r="BB121" i="2"/>
  <c r="BB119" i="2" s="1"/>
  <c r="BB109" i="2" s="1"/>
  <c r="BA121" i="2"/>
  <c r="BA119" i="2" s="1"/>
  <c r="BA109" i="2" s="1"/>
  <c r="AZ121" i="2"/>
  <c r="AZ119" i="2" s="1"/>
  <c r="AZ109" i="2" s="1" a="1"/>
  <c r="AZ109" i="2" s="1"/>
  <c r="AY121" i="2"/>
  <c r="AY119" i="2" s="1"/>
  <c r="AY109" i="2" s="1"/>
  <c r="AX121" i="2"/>
  <c r="AX119" i="2" s="1"/>
  <c r="AX109" i="2" s="1" a="1"/>
  <c r="AX109" i="2" s="1"/>
  <c r="AW121" i="2"/>
  <c r="AW119" i="2" s="1"/>
  <c r="AV121" i="2"/>
  <c r="AU121" i="2"/>
  <c r="AU119" i="2" s="1"/>
  <c r="AU115" i="2" s="1"/>
  <c r="AT121" i="2"/>
  <c r="AT119" i="2" s="1"/>
  <c r="AT109" i="2" s="1" a="1"/>
  <c r="AT109" i="2" s="1"/>
  <c r="AS121" i="2"/>
  <c r="AS119" i="2" s="1"/>
  <c r="AS109" i="2" s="1" a="1"/>
  <c r="AS109" i="2" s="1"/>
  <c r="AR121" i="2"/>
  <c r="AR119" i="2" s="1"/>
  <c r="AR109" i="2" s="1" a="1"/>
  <c r="AR109" i="2" s="1"/>
  <c r="AQ121" i="2"/>
  <c r="AQ119" i="2" s="1"/>
  <c r="AQ109" i="2" s="1"/>
  <c r="AP121" i="2"/>
  <c r="AP119" i="2" s="1"/>
  <c r="AO121" i="2"/>
  <c r="AO119" i="2" s="1"/>
  <c r="AN121" i="2"/>
  <c r="AN119" i="2" s="1"/>
  <c r="AN115" i="2" s="1"/>
  <c r="AM121" i="2"/>
  <c r="AM119" i="2" s="1"/>
  <c r="AK121" i="2"/>
  <c r="AK119" i="2" s="1"/>
  <c r="AK115" i="2" s="1"/>
  <c r="AK118" i="2" s="1"/>
  <c r="AJ121" i="2"/>
  <c r="AH121" i="2"/>
  <c r="AH119" i="2" s="1"/>
  <c r="AG121" i="2"/>
  <c r="AF121" i="2"/>
  <c r="AE121" i="2"/>
  <c r="CB120" i="2"/>
  <c r="CA120" i="2"/>
  <c r="BZ120" i="2"/>
  <c r="BY120" i="2"/>
  <c r="BU119" i="2"/>
  <c r="BU115" i="2" s="1"/>
  <c r="BT119" i="2"/>
  <c r="BT109" i="2" s="1" a="1"/>
  <c r="BT109" i="2" s="1"/>
  <c r="AV119" i="2"/>
  <c r="AV109" i="2" s="1" a="1"/>
  <c r="AV109" i="2" s="1"/>
  <c r="AL119" i="2"/>
  <c r="AL118" i="2" s="1"/>
  <c r="BR118" i="2"/>
  <c r="BF118" i="2"/>
  <c r="BC118" i="2"/>
  <c r="BB118" i="2"/>
  <c r="BA118" i="2"/>
  <c r="AZ118" i="2"/>
  <c r="AY118" i="2"/>
  <c r="AX118" i="2"/>
  <c r="AT118" i="2"/>
  <c r="AS118" i="2"/>
  <c r="AR118" i="2"/>
  <c r="AQ118" i="2"/>
  <c r="AI118" i="2"/>
  <c r="CB117" i="2"/>
  <c r="CA117" i="2"/>
  <c r="BZ117" i="2"/>
  <c r="BY117" i="2"/>
  <c r="CB116" i="2"/>
  <c r="CA116" i="2"/>
  <c r="BZ116" i="2"/>
  <c r="BY116" i="2"/>
  <c r="AJ115" i="2"/>
  <c r="AJ118" i="2" s="1"/>
  <c r="CB114" i="2"/>
  <c r="CA114" i="2"/>
  <c r="BZ114" i="2"/>
  <c r="BY114" i="2"/>
  <c r="CB113" i="2"/>
  <c r="CA113" i="2"/>
  <c r="BZ113" i="2"/>
  <c r="BY113" i="2"/>
  <c r="Y113" i="2"/>
  <c r="BR112" i="2"/>
  <c r="BB112" i="2"/>
  <c r="BB110" i="2" s="1"/>
  <c r="BA112" i="2"/>
  <c r="AZ112" i="2"/>
  <c r="AY112" i="2"/>
  <c r="AX112" i="2"/>
  <c r="AX110" i="2" s="1"/>
  <c r="AT112" i="2"/>
  <c r="AT111" i="2" s="1"/>
  <c r="AS112" i="2"/>
  <c r="AR112" i="2"/>
  <c r="AQ112" i="2"/>
  <c r="BB111" i="2"/>
  <c r="AJ109" i="2" a="1"/>
  <c r="AJ109" i="2" s="1"/>
  <c r="AB109" i="2"/>
  <c r="AB112" i="2" s="1"/>
  <c r="AG108" i="2"/>
  <c r="AF108" i="2"/>
  <c r="AE108" i="2"/>
  <c r="AB108" i="2"/>
  <c r="AF107" i="2"/>
  <c r="AE107" i="2" a="1"/>
  <c r="AE107" i="2" s="1"/>
  <c r="AG104" i="2"/>
  <c r="AE104" i="2" a="1"/>
  <c r="AE104" i="2" s="1"/>
  <c r="AG102" i="2"/>
  <c r="AF102" i="2"/>
  <c r="AE102" i="2"/>
  <c r="AG101" i="2" a="1"/>
  <c r="AG101" i="2" s="1"/>
  <c r="AE101" i="2" a="1"/>
  <c r="AE101" i="2" s="1"/>
  <c r="AF100" i="2"/>
  <c r="AE100" i="2"/>
  <c r="AB100" i="2"/>
  <c r="E100" i="2" a="1"/>
  <c r="E100" i="2" s="1"/>
  <c r="AB99" i="2"/>
  <c r="AB107" i="2" s="1"/>
  <c r="E99" i="2" a="1"/>
  <c r="E99" i="2" s="1"/>
  <c r="AB97" i="2"/>
  <c r="A96" i="2"/>
  <c r="A97" i="2" s="1" a="1"/>
  <c r="A97" i="2" s="1"/>
  <c r="A98" i="2" s="1" a="1"/>
  <c r="A98" i="2" s="1"/>
  <c r="A99" i="2" s="1" a="1"/>
  <c r="A99" i="2" s="1"/>
  <c r="Y95" i="2" a="1"/>
  <c r="Y95" i="2" s="1"/>
  <c r="M163" i="2" s="1" a="1"/>
  <c r="M163" i="2" s="1"/>
  <c r="B95" i="2"/>
  <c r="M94" i="2"/>
  <c r="A94" i="2"/>
  <c r="B94" i="2" s="1"/>
  <c r="M93" i="2"/>
  <c r="A93" i="2"/>
  <c r="B93" i="2" s="1"/>
  <c r="M92" i="2"/>
  <c r="A92" i="2"/>
  <c r="B92" i="2" s="1"/>
  <c r="M91" i="2"/>
  <c r="A91" i="2"/>
  <c r="B91" i="2" s="1"/>
  <c r="M90" i="2"/>
  <c r="A90" i="2"/>
  <c r="B90" i="2" s="1" a="1"/>
  <c r="B90" i="2" s="1"/>
  <c r="M89" i="2"/>
  <c r="A89" i="2"/>
  <c r="B89" i="2" s="1" a="1"/>
  <c r="B89" i="2" s="1"/>
  <c r="M88" i="2"/>
  <c r="A88" i="2"/>
  <c r="B88" i="2" s="1" a="1"/>
  <c r="B88" i="2" s="1"/>
  <c r="M87" i="2"/>
  <c r="A87" i="2"/>
  <c r="B87" i="2" s="1" a="1"/>
  <c r="B87" i="2" s="1"/>
  <c r="M86" i="2"/>
  <c r="A86" i="2"/>
  <c r="B86" i="2" s="1" a="1"/>
  <c r="B86" i="2" s="1"/>
  <c r="M85" i="2"/>
  <c r="A85" i="2"/>
  <c r="B85" i="2" s="1" a="1"/>
  <c r="B85" i="2" s="1"/>
  <c r="M84" i="2"/>
  <c r="A84" i="2"/>
  <c r="B84" i="2" s="1" a="1"/>
  <c r="B84" i="2" s="1"/>
  <c r="M83" i="2"/>
  <c r="A83" i="2"/>
  <c r="B83" i="2" s="1" a="1"/>
  <c r="B83" i="2" s="1"/>
  <c r="M82" i="2"/>
  <c r="A82" i="2"/>
  <c r="B82" i="2" s="1" a="1"/>
  <c r="B82" i="2" s="1"/>
  <c r="M81" i="2"/>
  <c r="A81" i="2"/>
  <c r="B81" i="2" s="1" a="1"/>
  <c r="B81" i="2" s="1"/>
  <c r="M80" i="2"/>
  <c r="A80" i="2"/>
  <c r="B80" i="2" s="1" a="1"/>
  <c r="B80" i="2" s="1"/>
  <c r="M79" i="2"/>
  <c r="AG78" i="2" a="1"/>
  <c r="AG78" i="2" s="1"/>
  <c r="AG265" i="2" s="1"/>
  <c r="AF78" i="2" a="1"/>
  <c r="AF78" i="2" s="1"/>
  <c r="AE78" i="2" a="1"/>
  <c r="AE78" i="2" s="1"/>
  <c r="B78" i="2"/>
  <c r="AF77" i="2"/>
  <c r="AE77" i="2"/>
  <c r="B77" i="2"/>
  <c r="AG75" i="2"/>
  <c r="CA74" i="2"/>
  <c r="BZ74" i="2"/>
  <c r="BY74" i="2"/>
  <c r="BU74" i="2"/>
  <c r="BT74" i="2"/>
  <c r="BS74" i="2"/>
  <c r="BQ74" i="2"/>
  <c r="BP74" i="2"/>
  <c r="BO74" i="2"/>
  <c r="BM74" i="2"/>
  <c r="BL74" i="2"/>
  <c r="BK74" i="2"/>
  <c r="BA74" i="2"/>
  <c r="AZ74" i="2"/>
  <c r="AY74" i="2"/>
  <c r="AW74" i="2"/>
  <c r="AV74" i="2"/>
  <c r="AU74" i="2"/>
  <c r="AS74" i="2"/>
  <c r="AR74" i="2"/>
  <c r="AQ74" i="2"/>
  <c r="AO74" i="2"/>
  <c r="AN74" i="2"/>
  <c r="AM74" i="2"/>
  <c r="AK74" i="2"/>
  <c r="AJ74" i="2"/>
  <c r="AI74" i="2"/>
  <c r="AG74" i="2"/>
  <c r="AG799" i="2" s="1"/>
  <c r="AE74" i="2"/>
  <c r="AE799" i="2" s="1"/>
  <c r="BH72" i="2"/>
  <c r="AD56" i="2" a="1"/>
  <c r="AD56" i="2" s="1"/>
  <c r="AD55" i="2"/>
  <c r="AD54" i="2"/>
  <c r="AD53" i="2" a="1"/>
  <c r="AD53" i="2" s="1"/>
  <c r="AD52" i="2" a="1"/>
  <c r="AD52" i="2" s="1"/>
  <c r="AD51" i="2" a="1"/>
  <c r="AD51" i="2" s="1"/>
  <c r="AD50" i="2" a="1"/>
  <c r="AD50" i="2" s="1"/>
  <c r="AD49" i="2" a="1"/>
  <c r="AD49" i="2" s="1"/>
  <c r="AD48" i="2" a="1"/>
  <c r="AD48" i="2" s="1"/>
  <c r="AD47" i="2" a="1"/>
  <c r="AD47" i="2" s="1"/>
  <c r="A720" i="2" s="1"/>
  <c r="B720" i="2" s="1" a="1"/>
  <c r="B720" i="2" s="1"/>
  <c r="AD46" i="2" a="1"/>
  <c r="AD46" i="2" s="1"/>
  <c r="AD45" i="2" a="1"/>
  <c r="AD45" i="2" s="1"/>
  <c r="AD44" i="2" a="1"/>
  <c r="AD44" i="2" s="1"/>
  <c r="AD43" i="2" a="1"/>
  <c r="AD43" i="2" s="1"/>
  <c r="AD42" i="2" a="1"/>
  <c r="AD42" i="2" s="1"/>
  <c r="AD41" i="2"/>
  <c r="AD40" i="2" a="1"/>
  <c r="AD40" i="2" s="1"/>
  <c r="AD39" i="2" a="1"/>
  <c r="AD39" i="2" s="1"/>
  <c r="AD38" i="2" a="1"/>
  <c r="AD38" i="2" s="1"/>
  <c r="AD37" i="2" a="1"/>
  <c r="AD37" i="2" s="1"/>
  <c r="AD36" i="2" a="1"/>
  <c r="AD36" i="2" s="1"/>
  <c r="AD35" i="2" a="1"/>
  <c r="AD35" i="2" s="1"/>
  <c r="AD34" i="2" a="1"/>
  <c r="AD34" i="2" s="1"/>
  <c r="AD33" i="2" a="1"/>
  <c r="AD33" i="2" s="1"/>
  <c r="AD32" i="2" a="1"/>
  <c r="AD32" i="2" s="1"/>
  <c r="AD31" i="2" a="1"/>
  <c r="AD31" i="2" s="1"/>
  <c r="AD30" i="2" a="1"/>
  <c r="AD30" i="2" s="1"/>
  <c r="AD29" i="2" a="1"/>
  <c r="AD29" i="2" s="1"/>
  <c r="AD28" i="2" a="1"/>
  <c r="AD28" i="2" s="1"/>
  <c r="AD27" i="2" a="1"/>
  <c r="AD27" i="2" s="1"/>
  <c r="AD26" i="2" a="1"/>
  <c r="AD26" i="2" s="1"/>
  <c r="AD25" i="2" a="1"/>
  <c r="AD25" i="2" s="1"/>
  <c r="AD24" i="2" a="1"/>
  <c r="AD24" i="2" s="1"/>
  <c r="AD23" i="2"/>
  <c r="AD22" i="2" a="1"/>
  <c r="AD22" i="2" s="1"/>
  <c r="AG21" i="2" a="1"/>
  <c r="AG21" i="2" s="1"/>
  <c r="AG8" i="2" s="1" a="1"/>
  <c r="AG8" i="2" s="1"/>
  <c r="AF21" i="2" a="1"/>
  <c r="AF21" i="2" s="1"/>
  <c r="AF8" i="2" s="1" a="1"/>
  <c r="AF8" i="2" s="1"/>
  <c r="AE21" i="2" a="1"/>
  <c r="AE21" i="2" s="1"/>
  <c r="BK1163" i="1"/>
  <c r="BJ1163" i="1"/>
  <c r="BI1163" i="1"/>
  <c r="BH1163" i="1"/>
  <c r="BG1163" i="1"/>
  <c r="BF1163" i="1"/>
  <c r="BE1163" i="1"/>
  <c r="BD1163" i="1"/>
  <c r="BC1163" i="1"/>
  <c r="BB1163" i="1"/>
  <c r="BA1163" i="1"/>
  <c r="AZ1163" i="1"/>
  <c r="AY1163" i="1"/>
  <c r="AX1163" i="1"/>
  <c r="AW1163" i="1"/>
  <c r="AV1163" i="1"/>
  <c r="AU1163" i="1"/>
  <c r="AT1163" i="1"/>
  <c r="AS1163" i="1"/>
  <c r="AS1164" i="1" s="1"/>
  <c r="AR1163" i="1"/>
  <c r="AQ1163" i="1"/>
  <c r="AP1163" i="1"/>
  <c r="AO1163" i="1"/>
  <c r="AN1163" i="1"/>
  <c r="AM1163" i="1"/>
  <c r="AL1163" i="1"/>
  <c r="AK1163" i="1"/>
  <c r="AJ1163" i="1"/>
  <c r="AI1163" i="1"/>
  <c r="AH1163" i="1"/>
  <c r="AG1163" i="1"/>
  <c r="AF1163" i="1"/>
  <c r="AE1163" i="1"/>
  <c r="BK1162" i="1"/>
  <c r="BK1164" i="1" s="1"/>
  <c r="BJ1162" i="1"/>
  <c r="BI1162" i="1"/>
  <c r="BI1164" i="1" s="1"/>
  <c r="BH1162" i="1"/>
  <c r="BG1162" i="1"/>
  <c r="BG1164" i="1" s="1"/>
  <c r="BF1162" i="1"/>
  <c r="BE1162" i="1"/>
  <c r="BD1162" i="1"/>
  <c r="BC1162" i="1"/>
  <c r="BC1164" i="1" s="1"/>
  <c r="BB1162" i="1"/>
  <c r="BA1162" i="1"/>
  <c r="AZ1162" i="1"/>
  <c r="AY1162" i="1"/>
  <c r="AY1164" i="1" s="1"/>
  <c r="AX1162" i="1"/>
  <c r="AW1162" i="1"/>
  <c r="AV1162" i="1"/>
  <c r="AU1162" i="1"/>
  <c r="AU1164" i="1" s="1"/>
  <c r="AT1162" i="1"/>
  <c r="AS1162" i="1"/>
  <c r="AR1162" i="1"/>
  <c r="AQ1162" i="1"/>
  <c r="AQ1164" i="1" s="1"/>
  <c r="AP1162" i="1"/>
  <c r="AO1162" i="1"/>
  <c r="AN1162" i="1"/>
  <c r="AM1162" i="1"/>
  <c r="AM1164" i="1" s="1"/>
  <c r="AL1162" i="1"/>
  <c r="AK1162" i="1"/>
  <c r="AJ1162" i="1"/>
  <c r="AI1162" i="1"/>
  <c r="AI1164" i="1" s="1"/>
  <c r="AH1162" i="1"/>
  <c r="AG1162" i="1"/>
  <c r="AF1162" i="1"/>
  <c r="AE1162" i="1"/>
  <c r="BK1160" i="1"/>
  <c r="BJ1160" i="1"/>
  <c r="BI1160" i="1"/>
  <c r="BH1160" i="1"/>
  <c r="BG1160" i="1"/>
  <c r="BF1160" i="1"/>
  <c r="BE1160" i="1"/>
  <c r="BD1160" i="1"/>
  <c r="BC1160" i="1"/>
  <c r="BA1160" i="1"/>
  <c r="AZ1160" i="1"/>
  <c r="AY1160" i="1"/>
  <c r="AX1160" i="1"/>
  <c r="AW1160" i="1"/>
  <c r="AV1160" i="1"/>
  <c r="AU1160" i="1"/>
  <c r="AT1160" i="1"/>
  <c r="AS1160" i="1"/>
  <c r="AR1160" i="1"/>
  <c r="AQ1160" i="1"/>
  <c r="AP1160" i="1"/>
  <c r="AN1160" i="1"/>
  <c r="AM1160" i="1"/>
  <c r="AL1160" i="1"/>
  <c r="AK1160" i="1"/>
  <c r="AJ1160" i="1"/>
  <c r="AI1160" i="1"/>
  <c r="AH1160" i="1"/>
  <c r="AG1160" i="1"/>
  <c r="AF1160" i="1"/>
  <c r="AE1160" i="1"/>
  <c r="BK1159" i="1"/>
  <c r="BJ1159" i="1"/>
  <c r="BJ1161" i="1" s="1"/>
  <c r="BI1159" i="1"/>
  <c r="BH1159" i="1"/>
  <c r="BG1159" i="1"/>
  <c r="BF1159" i="1"/>
  <c r="BF1161" i="1" s="1"/>
  <c r="BE1159" i="1"/>
  <c r="BD1159" i="1"/>
  <c r="BC1159" i="1"/>
  <c r="BA1159" i="1"/>
  <c r="BA1161" i="1" s="1"/>
  <c r="AZ1159" i="1"/>
  <c r="AY1159" i="1"/>
  <c r="AX1159" i="1"/>
  <c r="AW1159" i="1"/>
  <c r="AW1161" i="1" s="1"/>
  <c r="AV1159" i="1"/>
  <c r="AU1159" i="1"/>
  <c r="AT1159" i="1"/>
  <c r="AS1159" i="1"/>
  <c r="AS1161" i="1" s="1"/>
  <c r="AR1159" i="1"/>
  <c r="AQ1159" i="1"/>
  <c r="AP1159" i="1"/>
  <c r="AO1159" i="1"/>
  <c r="AN1159" i="1"/>
  <c r="AN1161" i="1" s="1"/>
  <c r="AM1159" i="1"/>
  <c r="AM1161" i="1" s="1"/>
  <c r="AL1159" i="1"/>
  <c r="AL1161" i="1" s="1"/>
  <c r="AK1159" i="1"/>
  <c r="AK1161" i="1" s="1"/>
  <c r="AJ1159" i="1"/>
  <c r="AJ1161" i="1" s="1"/>
  <c r="AI1159" i="1"/>
  <c r="AI1161" i="1" s="1"/>
  <c r="AH1159" i="1"/>
  <c r="AH1161" i="1" s="1"/>
  <c r="AG1159" i="1"/>
  <c r="AF1159" i="1"/>
  <c r="AF1161" i="1" s="1"/>
  <c r="AE1159" i="1"/>
  <c r="AS1158" i="1"/>
  <c r="BK1157" i="1"/>
  <c r="BJ1157" i="1"/>
  <c r="BI1157" i="1"/>
  <c r="BH1157" i="1"/>
  <c r="BG1157" i="1"/>
  <c r="BF1157" i="1"/>
  <c r="BE1157" i="1"/>
  <c r="BD1157" i="1"/>
  <c r="BC1157" i="1"/>
  <c r="BA1157" i="1"/>
  <c r="AZ1157" i="1"/>
  <c r="AY1157" i="1"/>
  <c r="AX1157" i="1"/>
  <c r="AW1157" i="1"/>
  <c r="AV1157" i="1"/>
  <c r="AU1157" i="1"/>
  <c r="AT1157" i="1"/>
  <c r="AS1157" i="1"/>
  <c r="AR1157" i="1"/>
  <c r="AQ1157" i="1"/>
  <c r="AP1157" i="1"/>
  <c r="AO1157" i="1"/>
  <c r="AN1157" i="1"/>
  <c r="AM1157" i="1"/>
  <c r="AL1157" i="1"/>
  <c r="AK1157" i="1"/>
  <c r="AJ1157" i="1"/>
  <c r="AI1157" i="1"/>
  <c r="AH1157" i="1"/>
  <c r="AG1157" i="1"/>
  <c r="AF1157" i="1"/>
  <c r="AE1157" i="1"/>
  <c r="BK1156" i="1"/>
  <c r="BK1158" i="1" s="1"/>
  <c r="BJ1156" i="1"/>
  <c r="BJ1158" i="1" s="1"/>
  <c r="BI1156" i="1"/>
  <c r="BI1158" i="1" s="1"/>
  <c r="BH1156" i="1"/>
  <c r="BH1158" i="1" s="1"/>
  <c r="BG1156" i="1"/>
  <c r="BG1158" i="1" s="1"/>
  <c r="BF1156" i="1"/>
  <c r="BF1158" i="1" s="1"/>
  <c r="BE1156" i="1"/>
  <c r="BE1158" i="1" s="1"/>
  <c r="BD1156" i="1"/>
  <c r="BD1158" i="1" s="1"/>
  <c r="BC1156" i="1"/>
  <c r="BC1158" i="1" s="1"/>
  <c r="BA1156" i="1"/>
  <c r="AZ1156" i="1"/>
  <c r="AZ1158" i="1" s="1"/>
  <c r="AY1156" i="1"/>
  <c r="AY1158" i="1" s="1"/>
  <c r="AX1156" i="1"/>
  <c r="AX1158" i="1" s="1"/>
  <c r="AW1156" i="1"/>
  <c r="AW1158" i="1" s="1"/>
  <c r="AV1156" i="1"/>
  <c r="AV1158" i="1" s="1"/>
  <c r="AU1156" i="1"/>
  <c r="AU1158" i="1" s="1"/>
  <c r="AT1156" i="1"/>
  <c r="AT1158" i="1" s="1"/>
  <c r="AS1156" i="1"/>
  <c r="AR1156" i="1"/>
  <c r="AR1158" i="1" s="1"/>
  <c r="AQ1156" i="1"/>
  <c r="AQ1158" i="1" s="1"/>
  <c r="AP1156" i="1"/>
  <c r="AP1158" i="1" s="1"/>
  <c r="AN1156" i="1"/>
  <c r="AM1156" i="1"/>
  <c r="AL1156" i="1"/>
  <c r="AK1156" i="1"/>
  <c r="AJ1156" i="1"/>
  <c r="AI1156" i="1"/>
  <c r="AH1156" i="1"/>
  <c r="AF1156" i="1"/>
  <c r="BK1154" i="1"/>
  <c r="BJ1154" i="1"/>
  <c r="BI1154" i="1"/>
  <c r="BH1154" i="1"/>
  <c r="BG1154" i="1"/>
  <c r="BF1154" i="1"/>
  <c r="BE1154" i="1"/>
  <c r="BD1154" i="1"/>
  <c r="BC1154" i="1"/>
  <c r="BA1154" i="1"/>
  <c r="AZ1154" i="1"/>
  <c r="AY1154" i="1"/>
  <c r="AX1154" i="1"/>
  <c r="AW1154" i="1"/>
  <c r="AV1154" i="1"/>
  <c r="AU1154" i="1"/>
  <c r="AT1154" i="1"/>
  <c r="AS1154" i="1"/>
  <c r="AR1154" i="1"/>
  <c r="AQ1154" i="1"/>
  <c r="AP1154" i="1"/>
  <c r="AO1154" i="1"/>
  <c r="AN1154" i="1"/>
  <c r="AM1154" i="1"/>
  <c r="AL1154" i="1"/>
  <c r="AK1154" i="1"/>
  <c r="AJ1154" i="1"/>
  <c r="AI1154" i="1"/>
  <c r="AH1154" i="1"/>
  <c r="AG1154" i="1"/>
  <c r="AF1154" i="1"/>
  <c r="AE1154" i="1"/>
  <c r="BK1153" i="1"/>
  <c r="BJ1153" i="1"/>
  <c r="BI1153" i="1"/>
  <c r="BI1155" i="1" s="1"/>
  <c r="BH1153" i="1"/>
  <c r="BG1153" i="1"/>
  <c r="BF1153" i="1"/>
  <c r="BE1153" i="1"/>
  <c r="BE1155" i="1" s="1"/>
  <c r="BD1153" i="1"/>
  <c r="BC1153" i="1"/>
  <c r="BB1153" i="1"/>
  <c r="BA1153" i="1"/>
  <c r="AZ1153" i="1"/>
  <c r="AY1153" i="1"/>
  <c r="AX1153" i="1"/>
  <c r="AW1153" i="1"/>
  <c r="AV1153" i="1"/>
  <c r="AU1153" i="1"/>
  <c r="AT1153" i="1"/>
  <c r="AS1153" i="1"/>
  <c r="AR1153" i="1"/>
  <c r="AQ1153" i="1"/>
  <c r="AP1153" i="1"/>
  <c r="AN1153" i="1"/>
  <c r="AM1153" i="1"/>
  <c r="AL1153" i="1"/>
  <c r="AK1153" i="1"/>
  <c r="AJ1153" i="1"/>
  <c r="AI1153" i="1"/>
  <c r="AH1153" i="1"/>
  <c r="AG1153" i="1"/>
  <c r="AF1153" i="1"/>
  <c r="BP1152" i="1"/>
  <c r="BK1152" i="1"/>
  <c r="BH1152" i="1"/>
  <c r="BE1152" i="1"/>
  <c r="BB1152" i="1"/>
  <c r="AY1152" i="1"/>
  <c r="AV1152" i="1"/>
  <c r="AS1152" i="1"/>
  <c r="AP1152" i="1"/>
  <c r="AM1152" i="1"/>
  <c r="AJ1152" i="1"/>
  <c r="AG1152" i="1"/>
  <c r="BP1151" i="1"/>
  <c r="BO1151" i="1"/>
  <c r="BN1151" i="1"/>
  <c r="BK1151" i="1"/>
  <c r="BJ1151" i="1"/>
  <c r="BI1151" i="1"/>
  <c r="BH1151" i="1"/>
  <c r="BG1151" i="1"/>
  <c r="BF1151" i="1"/>
  <c r="BE1151" i="1"/>
  <c r="BD1151" i="1"/>
  <c r="BC1151" i="1"/>
  <c r="BB1151" i="1"/>
  <c r="BA1151" i="1"/>
  <c r="AZ1151" i="1"/>
  <c r="AY1151" i="1"/>
  <c r="AX1151" i="1"/>
  <c r="AW1151" i="1"/>
  <c r="AV1151" i="1"/>
  <c r="AU1151" i="1"/>
  <c r="AT1151" i="1"/>
  <c r="AS1151" i="1"/>
  <c r="AR1151" i="1"/>
  <c r="AQ1151" i="1"/>
  <c r="AP1151" i="1"/>
  <c r="AO1151" i="1"/>
  <c r="AN1151" i="1"/>
  <c r="AM1151" i="1"/>
  <c r="AL1151" i="1"/>
  <c r="AK1151" i="1"/>
  <c r="AJ1151" i="1"/>
  <c r="AI1151" i="1"/>
  <c r="AH1151" i="1"/>
  <c r="AG1151" i="1"/>
  <c r="AE1151" i="1"/>
  <c r="BP1142" i="1"/>
  <c r="BO1142" i="1"/>
  <c r="BN1142" i="1"/>
  <c r="BP1141" i="1"/>
  <c r="BO1141" i="1"/>
  <c r="BN1141" i="1"/>
  <c r="BP1140" i="1"/>
  <c r="BO1140" i="1"/>
  <c r="BN1140" i="1"/>
  <c r="BP1139" i="1"/>
  <c r="BO1139" i="1"/>
  <c r="BN1139" i="1"/>
  <c r="BP1138" i="1"/>
  <c r="BO1138" i="1"/>
  <c r="BN1138" i="1"/>
  <c r="BP1137" i="1"/>
  <c r="BO1137" i="1"/>
  <c r="BN1137" i="1"/>
  <c r="BP1136" i="1"/>
  <c r="BO1136" i="1"/>
  <c r="BN1136" i="1"/>
  <c r="BP1135" i="1"/>
  <c r="BO1135" i="1"/>
  <c r="BN1135" i="1"/>
  <c r="BP1134" i="1"/>
  <c r="BO1134" i="1"/>
  <c r="BN1134" i="1"/>
  <c r="BP1133" i="1"/>
  <c r="BO1133" i="1"/>
  <c r="BN1133" i="1"/>
  <c r="BP1132" i="1"/>
  <c r="BO1132" i="1"/>
  <c r="BN1132" i="1"/>
  <c r="BP1131" i="1"/>
  <c r="BO1131" i="1"/>
  <c r="BN1131" i="1"/>
  <c r="BP1130" i="1"/>
  <c r="BO1130" i="1"/>
  <c r="BN1130" i="1"/>
  <c r="AB1130" i="1"/>
  <c r="B1130" i="1"/>
  <c r="BP1129" i="1"/>
  <c r="BO1129" i="1"/>
  <c r="BN1129" i="1"/>
  <c r="BP1128" i="1"/>
  <c r="BO1128" i="1"/>
  <c r="BN1128" i="1"/>
  <c r="BP1127" i="1"/>
  <c r="BO1127" i="1"/>
  <c r="BN1127" i="1"/>
  <c r="BP1126" i="1"/>
  <c r="BO1126" i="1"/>
  <c r="BN1126" i="1"/>
  <c r="BP1125" i="1"/>
  <c r="BO1125" i="1"/>
  <c r="BN1125" i="1"/>
  <c r="BP1124" i="1"/>
  <c r="BO1124" i="1"/>
  <c r="BN1124" i="1"/>
  <c r="BP1123" i="1"/>
  <c r="BO1123" i="1"/>
  <c r="BN1123" i="1"/>
  <c r="BP1122" i="1"/>
  <c r="BO1122" i="1"/>
  <c r="BN1122" i="1"/>
  <c r="BP1121" i="1"/>
  <c r="BO1121" i="1"/>
  <c r="BN1121" i="1"/>
  <c r="BP1120" i="1"/>
  <c r="BO1120" i="1"/>
  <c r="BN1120" i="1"/>
  <c r="BP1119" i="1"/>
  <c r="BO1119" i="1"/>
  <c r="BN1119" i="1"/>
  <c r="BP1118" i="1"/>
  <c r="BO1118" i="1"/>
  <c r="BN1118" i="1"/>
  <c r="BP1117" i="1"/>
  <c r="BO1117" i="1"/>
  <c r="BN1117" i="1"/>
  <c r="BP1116" i="1"/>
  <c r="BO1116" i="1"/>
  <c r="BN1116" i="1"/>
  <c r="BP1115" i="1"/>
  <c r="BO1115" i="1"/>
  <c r="BN1115" i="1"/>
  <c r="BP1114" i="1"/>
  <c r="BO1114" i="1"/>
  <c r="BN1114" i="1"/>
  <c r="BP1113" i="1"/>
  <c r="BO1113" i="1"/>
  <c r="BN1113" i="1"/>
  <c r="BP1111" i="1"/>
  <c r="BO1111" i="1"/>
  <c r="BN1111" i="1"/>
  <c r="BP1110" i="1"/>
  <c r="BO1110" i="1"/>
  <c r="BN1110" i="1"/>
  <c r="BK1109" i="1"/>
  <c r="BJ1109" i="1"/>
  <c r="BJ1107" i="1" s="1"/>
  <c r="BI1109" i="1"/>
  <c r="BI1107" i="1" s="1"/>
  <c r="BH1109" i="1"/>
  <c r="BG1109" i="1"/>
  <c r="BG1107" i="1" s="1"/>
  <c r="BF1109" i="1"/>
  <c r="BF1107" i="1" s="1"/>
  <c r="BE1109" i="1"/>
  <c r="BD1109" i="1"/>
  <c r="BD1107" i="1" s="1"/>
  <c r="BC1109" i="1"/>
  <c r="BC1107" i="1" s="1"/>
  <c r="BB1109" i="1"/>
  <c r="BB1107" i="1" s="1"/>
  <c r="BA1109" i="1"/>
  <c r="BA1107" i="1" s="1"/>
  <c r="AZ1109" i="1"/>
  <c r="AZ1107" i="1" s="1"/>
  <c r="AY1109" i="1"/>
  <c r="AX1109" i="1"/>
  <c r="AX1107" i="1" s="1"/>
  <c r="AW1109" i="1"/>
  <c r="AV1109" i="1"/>
  <c r="AV1107" i="1" s="1"/>
  <c r="AU1109" i="1"/>
  <c r="AU1107" i="1" s="1"/>
  <c r="AT1109" i="1"/>
  <c r="AT1107" i="1" s="1"/>
  <c r="AS1109" i="1"/>
  <c r="AR1109" i="1"/>
  <c r="AR1107" i="1" s="1"/>
  <c r="AQ1109" i="1"/>
  <c r="AQ1107" i="1" s="1"/>
  <c r="AP1109" i="1"/>
  <c r="AP1107" i="1" s="1"/>
  <c r="AO1109" i="1"/>
  <c r="AO1107" i="1" s="1"/>
  <c r="AN1109" i="1"/>
  <c r="AN1107" i="1" s="1"/>
  <c r="AM1109" i="1"/>
  <c r="AM1107" i="1" s="1"/>
  <c r="AL1109" i="1"/>
  <c r="AL1107" i="1" s="1"/>
  <c r="AK1109" i="1"/>
  <c r="AK1107" i="1" s="1"/>
  <c r="AJ1109" i="1"/>
  <c r="AI1109" i="1"/>
  <c r="AH1109" i="1"/>
  <c r="AH1107" i="1" s="1"/>
  <c r="AG1109" i="1"/>
  <c r="AG1107" i="1" s="1"/>
  <c r="AF1109" i="1"/>
  <c r="AF1107" i="1" s="1"/>
  <c r="AE1109" i="1"/>
  <c r="BP1108" i="1"/>
  <c r="BO1108" i="1"/>
  <c r="BN1108" i="1"/>
  <c r="BK1107" i="1"/>
  <c r="BH1107" i="1"/>
  <c r="BE1107" i="1"/>
  <c r="AY1107" i="1"/>
  <c r="AW1107" i="1"/>
  <c r="AS1107" i="1"/>
  <c r="AJ1107" i="1"/>
  <c r="AI1107" i="1"/>
  <c r="AE1107" i="1"/>
  <c r="BK1106" i="1"/>
  <c r="BJ1106" i="1"/>
  <c r="BI1106" i="1"/>
  <c r="BH1106" i="1"/>
  <c r="BG1106" i="1"/>
  <c r="BF1106" i="1"/>
  <c r="BE1106" i="1"/>
  <c r="BD1106" i="1"/>
  <c r="BC1106" i="1"/>
  <c r="BB1106" i="1"/>
  <c r="BA1106" i="1"/>
  <c r="AZ1106" i="1"/>
  <c r="AY1106" i="1"/>
  <c r="AX1106" i="1"/>
  <c r="AW1106" i="1"/>
  <c r="AV1106" i="1"/>
  <c r="AU1106" i="1"/>
  <c r="AT1106" i="1"/>
  <c r="AS1106" i="1"/>
  <c r="AR1106" i="1"/>
  <c r="AQ1106" i="1"/>
  <c r="AP1106" i="1"/>
  <c r="AO1106" i="1"/>
  <c r="AN1106" i="1"/>
  <c r="AM1106" i="1"/>
  <c r="AL1106" i="1"/>
  <c r="AK1106" i="1"/>
  <c r="AJ1106" i="1"/>
  <c r="AI1106" i="1"/>
  <c r="AH1106" i="1"/>
  <c r="AG1106" i="1"/>
  <c r="AF1106" i="1"/>
  <c r="AE1106" i="1"/>
  <c r="A1106" i="1"/>
  <c r="B1106" i="1" s="1" a="1"/>
  <c r="B1106" i="1" s="1"/>
  <c r="BK1105" i="1"/>
  <c r="BJ1105" i="1"/>
  <c r="BI1105" i="1"/>
  <c r="BH1105" i="1"/>
  <c r="BG1105" i="1"/>
  <c r="BF1105" i="1"/>
  <c r="BE1105" i="1"/>
  <c r="BD1105" i="1"/>
  <c r="BC1105" i="1"/>
  <c r="BB1105" i="1"/>
  <c r="BA1105" i="1"/>
  <c r="AZ1105" i="1"/>
  <c r="AY1105" i="1"/>
  <c r="AX1105" i="1"/>
  <c r="AW1105" i="1"/>
  <c r="AV1105" i="1"/>
  <c r="AU1105" i="1"/>
  <c r="AT1105" i="1"/>
  <c r="AS1105" i="1"/>
  <c r="AR1105" i="1"/>
  <c r="AQ1105" i="1"/>
  <c r="AP1105" i="1"/>
  <c r="AO1105" i="1"/>
  <c r="AN1105" i="1"/>
  <c r="AM1105" i="1"/>
  <c r="AL1105" i="1"/>
  <c r="AK1105" i="1"/>
  <c r="AJ1105" i="1"/>
  <c r="AI1105" i="1"/>
  <c r="AH1105" i="1"/>
  <c r="AG1105" i="1"/>
  <c r="AF1105" i="1"/>
  <c r="AE1105" i="1"/>
  <c r="A1105" i="1" a="1"/>
  <c r="A1105" i="1" s="1"/>
  <c r="B1105" i="1" s="1" a="1"/>
  <c r="B1105" i="1" s="1"/>
  <c r="BK1104" i="1"/>
  <c r="BJ1104" i="1"/>
  <c r="BI1104" i="1"/>
  <c r="BH1104" i="1"/>
  <c r="BG1104" i="1"/>
  <c r="BF1104" i="1"/>
  <c r="BE1104" i="1"/>
  <c r="BD1104" i="1"/>
  <c r="BC1104" i="1"/>
  <c r="BB1104" i="1"/>
  <c r="BA1104" i="1"/>
  <c r="AZ1104" i="1"/>
  <c r="AY1104" i="1"/>
  <c r="AX1104" i="1"/>
  <c r="AW1104" i="1"/>
  <c r="AV1104" i="1"/>
  <c r="AU1104" i="1"/>
  <c r="AT1104" i="1"/>
  <c r="AS1104" i="1"/>
  <c r="AR1104" i="1"/>
  <c r="AQ1104" i="1"/>
  <c r="AP1104" i="1"/>
  <c r="AO1104" i="1"/>
  <c r="AN1104" i="1"/>
  <c r="AM1104" i="1"/>
  <c r="AL1104" i="1"/>
  <c r="AK1104" i="1"/>
  <c r="AJ1104" i="1"/>
  <c r="AI1104" i="1"/>
  <c r="AH1104" i="1"/>
  <c r="AG1104" i="1"/>
  <c r="AF1104" i="1"/>
  <c r="AE1104" i="1"/>
  <c r="A1104" i="1" a="1"/>
  <c r="A1104" i="1" s="1"/>
  <c r="B1104" i="1" s="1" a="1"/>
  <c r="B1104" i="1" s="1"/>
  <c r="AP1103" i="1"/>
  <c r="B1103" i="1" a="1"/>
  <c r="A1103" i="1"/>
  <c r="BP1102" i="1"/>
  <c r="BO1102" i="1"/>
  <c r="BN1102" i="1"/>
  <c r="BK1101" i="1"/>
  <c r="BJ1101" i="1"/>
  <c r="BJ1100" i="1" s="1"/>
  <c r="BI1101" i="1"/>
  <c r="BI1100" i="1" s="1"/>
  <c r="BH1101" i="1"/>
  <c r="BH1100" i="1" s="1"/>
  <c r="BG1101" i="1"/>
  <c r="BG1100" i="1" s="1"/>
  <c r="BF1101" i="1"/>
  <c r="BF1100" i="1" s="1"/>
  <c r="BE1101" i="1"/>
  <c r="BE1100" i="1" s="1"/>
  <c r="BD1101" i="1"/>
  <c r="BD1100" i="1" s="1"/>
  <c r="BC1101" i="1"/>
  <c r="BC1100" i="1" s="1"/>
  <c r="BB1101" i="1"/>
  <c r="BB1100" i="1" s="1"/>
  <c r="BA1101" i="1"/>
  <c r="BA1100" i="1" s="1"/>
  <c r="AZ1101" i="1"/>
  <c r="AZ1100" i="1" s="1"/>
  <c r="AY1101" i="1"/>
  <c r="AX1101" i="1"/>
  <c r="AX1100" i="1" s="1"/>
  <c r="AW1101" i="1"/>
  <c r="AW1100" i="1" s="1"/>
  <c r="AV1101" i="1"/>
  <c r="AV1100" i="1" s="1"/>
  <c r="AU1101" i="1"/>
  <c r="AU1100" i="1" s="1"/>
  <c r="AT1101" i="1"/>
  <c r="AT1100" i="1" s="1"/>
  <c r="AS1101" i="1"/>
  <c r="AR1101" i="1"/>
  <c r="AR1100" i="1" s="1"/>
  <c r="AQ1101" i="1"/>
  <c r="AQ1100" i="1" s="1"/>
  <c r="AP1101" i="1"/>
  <c r="AP1100" i="1" s="1"/>
  <c r="AO1101" i="1"/>
  <c r="AO1100" i="1" s="1"/>
  <c r="AN1101" i="1"/>
  <c r="AN1100" i="1" s="1"/>
  <c r="AM1101" i="1"/>
  <c r="AL1101" i="1"/>
  <c r="AL1100" i="1" s="1"/>
  <c r="AK1101" i="1"/>
  <c r="AK1100" i="1" s="1"/>
  <c r="AJ1101" i="1"/>
  <c r="AJ1100" i="1" s="1"/>
  <c r="AI1101" i="1"/>
  <c r="AH1101" i="1"/>
  <c r="AH1100" i="1" s="1"/>
  <c r="AF1101" i="1"/>
  <c r="AF1100" i="1" s="1"/>
  <c r="AE1101" i="1"/>
  <c r="AE1100" i="1" s="1"/>
  <c r="BK1100" i="1"/>
  <c r="AY1100" i="1"/>
  <c r="AS1100" i="1"/>
  <c r="AM1100" i="1"/>
  <c r="AI1100" i="1"/>
  <c r="BB1099" i="1"/>
  <c r="AZ1099" i="1"/>
  <c r="AY1099" i="1"/>
  <c r="AW1099" i="1"/>
  <c r="AM1099" i="1"/>
  <c r="AL1099" i="1"/>
  <c r="AK1099" i="1"/>
  <c r="AF1099" i="1"/>
  <c r="BP1098" i="1"/>
  <c r="BO1098" i="1"/>
  <c r="BN1098" i="1"/>
  <c r="A1098" i="1"/>
  <c r="BP1097" i="1"/>
  <c r="BO1097" i="1"/>
  <c r="BN1097" i="1"/>
  <c r="A1097" i="1"/>
  <c r="B1097" i="1" s="1" a="1"/>
  <c r="B1097" i="1" s="1"/>
  <c r="BP1096" i="1"/>
  <c r="BO1096" i="1"/>
  <c r="BN1096" i="1"/>
  <c r="A1096" i="1"/>
  <c r="B1096" i="1" s="1" a="1"/>
  <c r="B1096" i="1" s="1"/>
  <c r="BK1095" i="1"/>
  <c r="BJ1095" i="1"/>
  <c r="BI1095" i="1"/>
  <c r="BH1095" i="1"/>
  <c r="BG1095" i="1"/>
  <c r="BF1095" i="1"/>
  <c r="BE1095" i="1"/>
  <c r="BD1095" i="1"/>
  <c r="BC1095" i="1"/>
  <c r="BB1095" i="1"/>
  <c r="BA1095" i="1"/>
  <c r="AZ1095" i="1"/>
  <c r="AY1095" i="1"/>
  <c r="AX1095" i="1"/>
  <c r="AW1095" i="1"/>
  <c r="AV1095" i="1"/>
  <c r="AU1095" i="1"/>
  <c r="AT1095" i="1"/>
  <c r="AS1095" i="1"/>
  <c r="AR1095" i="1"/>
  <c r="AQ1095" i="1"/>
  <c r="AP1095" i="1"/>
  <c r="AO1095" i="1"/>
  <c r="AN1095" i="1"/>
  <c r="AM1095" i="1"/>
  <c r="AL1095" i="1"/>
  <c r="AK1095" i="1"/>
  <c r="AJ1095" i="1"/>
  <c r="AI1095" i="1"/>
  <c r="AH1095" i="1"/>
  <c r="AG1095" i="1"/>
  <c r="AF1095" i="1"/>
  <c r="AE1095" i="1"/>
  <c r="BK1094" i="1"/>
  <c r="BJ1094" i="1"/>
  <c r="BI1094" i="1"/>
  <c r="BH1094" i="1"/>
  <c r="BG1094" i="1"/>
  <c r="BF1094" i="1"/>
  <c r="BE1094" i="1"/>
  <c r="BD1094" i="1"/>
  <c r="BC1094" i="1"/>
  <c r="BB1094" i="1"/>
  <c r="BA1094" i="1"/>
  <c r="AZ1094" i="1"/>
  <c r="AY1094" i="1"/>
  <c r="AX1094" i="1"/>
  <c r="AW1094" i="1"/>
  <c r="AV1094" i="1"/>
  <c r="AU1094" i="1"/>
  <c r="AT1094" i="1"/>
  <c r="AS1094" i="1"/>
  <c r="AR1094" i="1"/>
  <c r="AQ1094" i="1"/>
  <c r="AP1094" i="1"/>
  <c r="AO1094" i="1"/>
  <c r="AN1094" i="1"/>
  <c r="AM1094" i="1"/>
  <c r="AL1094" i="1"/>
  <c r="AK1094" i="1"/>
  <c r="AJ1094" i="1"/>
  <c r="AI1094" i="1"/>
  <c r="AH1094" i="1"/>
  <c r="AG1094" i="1"/>
  <c r="AF1094" i="1"/>
  <c r="AE1094" i="1"/>
  <c r="BK1093" i="1"/>
  <c r="BJ1093" i="1"/>
  <c r="BI1093" i="1"/>
  <c r="BH1093" i="1"/>
  <c r="BG1093" i="1"/>
  <c r="BF1093" i="1"/>
  <c r="BE1093" i="1"/>
  <c r="BD1093" i="1"/>
  <c r="BC1093" i="1"/>
  <c r="BB1093" i="1"/>
  <c r="BA1093" i="1"/>
  <c r="AZ1093" i="1"/>
  <c r="AY1093" i="1"/>
  <c r="AX1093" i="1"/>
  <c r="AW1093" i="1"/>
  <c r="AV1093" i="1"/>
  <c r="AU1093" i="1"/>
  <c r="AT1093" i="1"/>
  <c r="AS1093" i="1"/>
  <c r="AR1093" i="1"/>
  <c r="AQ1093" i="1"/>
  <c r="AP1093" i="1"/>
  <c r="AO1093" i="1"/>
  <c r="AN1093" i="1"/>
  <c r="AM1093" i="1"/>
  <c r="AL1093" i="1"/>
  <c r="AK1093" i="1"/>
  <c r="AJ1093" i="1"/>
  <c r="AJ1088" i="1" s="1"/>
  <c r="AI1093" i="1"/>
  <c r="AH1093" i="1"/>
  <c r="AG1093" i="1"/>
  <c r="AE1093" i="1"/>
  <c r="BP1092" i="1"/>
  <c r="BO1092" i="1"/>
  <c r="BN1092" i="1"/>
  <c r="Y1092" i="1"/>
  <c r="BP1091" i="1"/>
  <c r="BO1091" i="1"/>
  <c r="BN1091" i="1"/>
  <c r="BP1090" i="1"/>
  <c r="BO1090" i="1"/>
  <c r="BN1090" i="1"/>
  <c r="BK1089" i="1"/>
  <c r="BJ1089" i="1"/>
  <c r="BI1089" i="1"/>
  <c r="BH1089" i="1"/>
  <c r="BG1089" i="1"/>
  <c r="BF1089" i="1"/>
  <c r="BE1089" i="1"/>
  <c r="BD1089" i="1"/>
  <c r="BC1089" i="1"/>
  <c r="BB1089" i="1"/>
  <c r="BB1088" i="1" s="1"/>
  <c r="BA1089" i="1"/>
  <c r="AZ1089" i="1"/>
  <c r="AY1089" i="1"/>
  <c r="AX1089" i="1"/>
  <c r="AW1089" i="1"/>
  <c r="AV1089" i="1"/>
  <c r="AU1089" i="1"/>
  <c r="AT1089" i="1"/>
  <c r="AT1088" i="1" s="1"/>
  <c r="AS1089" i="1"/>
  <c r="AR1089" i="1"/>
  <c r="AQ1089" i="1"/>
  <c r="AP1089" i="1"/>
  <c r="AO1089" i="1"/>
  <c r="AN1089" i="1"/>
  <c r="AM1089" i="1"/>
  <c r="AL1089" i="1"/>
  <c r="AK1089" i="1"/>
  <c r="AJ1089" i="1"/>
  <c r="AI1089" i="1"/>
  <c r="AH1089" i="1"/>
  <c r="AG1089" i="1"/>
  <c r="AF1089" i="1"/>
  <c r="AE1089" i="1"/>
  <c r="BJ1088" i="1"/>
  <c r="AK1088" i="1"/>
  <c r="AG1087" i="1"/>
  <c r="BP1087" i="1" s="1"/>
  <c r="AF1087" i="1"/>
  <c r="BO1087" i="1" s="1"/>
  <c r="AE1087" i="1"/>
  <c r="BN1087" i="1" s="1"/>
  <c r="BO1086" i="1"/>
  <c r="AG1086" i="1"/>
  <c r="BP1086" i="1" s="1"/>
  <c r="AF1086" i="1"/>
  <c r="AE1086" i="1"/>
  <c r="BN1086" i="1" s="1"/>
  <c r="BK1085" i="1"/>
  <c r="BJ1085" i="1"/>
  <c r="BI1085" i="1"/>
  <c r="BH1085" i="1"/>
  <c r="BG1085" i="1"/>
  <c r="BF1085" i="1"/>
  <c r="BE1085" i="1"/>
  <c r="BD1085" i="1"/>
  <c r="BC1085" i="1"/>
  <c r="BA1085" i="1"/>
  <c r="AZ1085" i="1"/>
  <c r="AY1085" i="1"/>
  <c r="AX1085" i="1"/>
  <c r="AW1085" i="1"/>
  <c r="AV1085" i="1"/>
  <c r="AU1085" i="1"/>
  <c r="AT1085" i="1"/>
  <c r="AS1085" i="1"/>
  <c r="AR1085" i="1"/>
  <c r="AQ1085" i="1"/>
  <c r="AP1085" i="1"/>
  <c r="AO1085" i="1"/>
  <c r="AN1085" i="1"/>
  <c r="AM1085" i="1"/>
  <c r="AL1085" i="1"/>
  <c r="AK1085" i="1"/>
  <c r="AJ1085" i="1"/>
  <c r="AI1085" i="1"/>
  <c r="AH1085" i="1"/>
  <c r="AG1085" i="1"/>
  <c r="AF1085" i="1"/>
  <c r="AE1085" i="1"/>
  <c r="BK1084" i="1"/>
  <c r="BJ1084" i="1"/>
  <c r="BI1084" i="1"/>
  <c r="BH1084" i="1"/>
  <c r="BG1084" i="1"/>
  <c r="BF1084" i="1"/>
  <c r="BE1084" i="1"/>
  <c r="BD1084" i="1"/>
  <c r="BC1084" i="1"/>
  <c r="BB1084" i="1"/>
  <c r="BA1084" i="1"/>
  <c r="AZ1084" i="1"/>
  <c r="AY1084" i="1"/>
  <c r="AX1084" i="1"/>
  <c r="AW1084" i="1"/>
  <c r="AV1084" i="1"/>
  <c r="AU1084" i="1"/>
  <c r="AT1084" i="1"/>
  <c r="AS1084" i="1"/>
  <c r="AR1084" i="1"/>
  <c r="AQ1084" i="1"/>
  <c r="AP1084" i="1"/>
  <c r="AO1084" i="1"/>
  <c r="AN1084" i="1"/>
  <c r="AM1084" i="1"/>
  <c r="AL1084" i="1"/>
  <c r="AK1084" i="1"/>
  <c r="AJ1084" i="1"/>
  <c r="AI1084" i="1"/>
  <c r="AH1084" i="1"/>
  <c r="AG1084" i="1"/>
  <c r="AF1084" i="1"/>
  <c r="AE1084" i="1"/>
  <c r="BK1083" i="1"/>
  <c r="BJ1083" i="1"/>
  <c r="BI1083" i="1"/>
  <c r="BH1083" i="1"/>
  <c r="BG1083" i="1"/>
  <c r="BF1083" i="1"/>
  <c r="BE1083" i="1"/>
  <c r="BD1083" i="1"/>
  <c r="BC1083" i="1"/>
  <c r="BB1083" i="1"/>
  <c r="BA1083" i="1"/>
  <c r="AZ1083" i="1"/>
  <c r="AY1083" i="1"/>
  <c r="AX1083" i="1"/>
  <c r="AW1083" i="1"/>
  <c r="AV1083" i="1"/>
  <c r="AU1083" i="1"/>
  <c r="AT1083" i="1"/>
  <c r="AS1083" i="1"/>
  <c r="AR1083" i="1"/>
  <c r="AQ1083" i="1"/>
  <c r="AP1083" i="1"/>
  <c r="AO1083" i="1"/>
  <c r="AN1083" i="1"/>
  <c r="AM1083" i="1"/>
  <c r="AL1083" i="1"/>
  <c r="AK1083" i="1"/>
  <c r="AJ1083" i="1"/>
  <c r="AI1083" i="1"/>
  <c r="AH1083" i="1"/>
  <c r="AG1083" i="1"/>
  <c r="AF1083" i="1"/>
  <c r="AE1083" i="1"/>
  <c r="BK1082" i="1"/>
  <c r="BJ1082" i="1"/>
  <c r="BI1082" i="1"/>
  <c r="BH1082" i="1"/>
  <c r="BG1082" i="1"/>
  <c r="BF1082" i="1"/>
  <c r="BE1082" i="1"/>
  <c r="BD1082" i="1"/>
  <c r="BC1082" i="1"/>
  <c r="BB1082" i="1"/>
  <c r="BA1082" i="1"/>
  <c r="AZ1082" i="1"/>
  <c r="AY1082" i="1"/>
  <c r="AX1082" i="1"/>
  <c r="AW1082" i="1"/>
  <c r="AV1082" i="1"/>
  <c r="AU1082" i="1"/>
  <c r="AT1082" i="1"/>
  <c r="AS1082" i="1"/>
  <c r="AR1082" i="1"/>
  <c r="AQ1082" i="1"/>
  <c r="AP1082" i="1"/>
  <c r="AN1082" i="1"/>
  <c r="AM1082" i="1"/>
  <c r="AL1082" i="1"/>
  <c r="AK1082" i="1"/>
  <c r="AJ1082" i="1"/>
  <c r="AI1082" i="1"/>
  <c r="AH1082" i="1"/>
  <c r="AG1082" i="1"/>
  <c r="AF1082" i="1"/>
  <c r="AE1082" i="1"/>
  <c r="BP1081" i="1"/>
  <c r="BO1081" i="1"/>
  <c r="BN1081" i="1"/>
  <c r="BK1080" i="1"/>
  <c r="BJ1080" i="1"/>
  <c r="BI1080" i="1"/>
  <c r="BH1080" i="1"/>
  <c r="BG1080" i="1"/>
  <c r="BF1080" i="1"/>
  <c r="BE1080" i="1"/>
  <c r="BD1080" i="1"/>
  <c r="BC1080" i="1"/>
  <c r="BC1078" i="1" s="1"/>
  <c r="BB1080" i="1"/>
  <c r="BA1080" i="1"/>
  <c r="AZ1080" i="1"/>
  <c r="AY1080" i="1"/>
  <c r="AX1080" i="1"/>
  <c r="AW1080" i="1"/>
  <c r="AV1080" i="1"/>
  <c r="AU1080" i="1"/>
  <c r="AT1080" i="1"/>
  <c r="AS1080" i="1"/>
  <c r="AR1080" i="1"/>
  <c r="AQ1080" i="1"/>
  <c r="AP1080" i="1"/>
  <c r="AN1080" i="1"/>
  <c r="AM1080" i="1"/>
  <c r="AL1080" i="1"/>
  <c r="AL1078" i="1" s="1"/>
  <c r="AK1080" i="1"/>
  <c r="AJ1080" i="1"/>
  <c r="AI1080" i="1"/>
  <c r="AH1080" i="1"/>
  <c r="AH1078" i="1" s="1"/>
  <c r="AG1080" i="1"/>
  <c r="AF1080" i="1"/>
  <c r="AE1080" i="1"/>
  <c r="Y1080" i="1"/>
  <c r="BP1079" i="1"/>
  <c r="BO1079" i="1"/>
  <c r="BN1079" i="1"/>
  <c r="BK1078" i="1"/>
  <c r="AJ1078" i="1"/>
  <c r="BK1077" i="1"/>
  <c r="BJ1077" i="1"/>
  <c r="BI1077" i="1"/>
  <c r="BH1077" i="1"/>
  <c r="BG1077" i="1"/>
  <c r="BF1077" i="1"/>
  <c r="BE1077" i="1"/>
  <c r="BD1077" i="1"/>
  <c r="BC1077" i="1"/>
  <c r="BB1077" i="1"/>
  <c r="BA1077" i="1"/>
  <c r="AZ1077" i="1"/>
  <c r="AY1077" i="1"/>
  <c r="AX1077" i="1"/>
  <c r="AW1077" i="1"/>
  <c r="AV1077" i="1"/>
  <c r="AU1077" i="1"/>
  <c r="AT1077" i="1"/>
  <c r="AS1077" i="1"/>
  <c r="AR1077" i="1"/>
  <c r="AQ1077" i="1"/>
  <c r="AP1077" i="1"/>
  <c r="AO1077" i="1"/>
  <c r="AN1077" i="1"/>
  <c r="AM1077" i="1"/>
  <c r="AL1077" i="1"/>
  <c r="AK1077" i="1"/>
  <c r="AJ1077" i="1"/>
  <c r="AI1077" i="1"/>
  <c r="AH1077" i="1"/>
  <c r="AG1077" i="1"/>
  <c r="AF1077" i="1"/>
  <c r="AE1077" i="1"/>
  <c r="BK1076" i="1"/>
  <c r="BJ1076" i="1"/>
  <c r="BI1076" i="1"/>
  <c r="BH1076" i="1"/>
  <c r="BG1076" i="1"/>
  <c r="BF1076" i="1"/>
  <c r="BE1076" i="1"/>
  <c r="BD1076" i="1"/>
  <c r="BC1076" i="1"/>
  <c r="BB1076" i="1"/>
  <c r="BA1076" i="1"/>
  <c r="AZ1076" i="1"/>
  <c r="AY1076" i="1"/>
  <c r="AX1076" i="1"/>
  <c r="AW1076" i="1"/>
  <c r="AV1076" i="1"/>
  <c r="AU1076" i="1"/>
  <c r="AT1076" i="1"/>
  <c r="AS1076" i="1"/>
  <c r="AR1076" i="1"/>
  <c r="AQ1076" i="1"/>
  <c r="AP1076" i="1"/>
  <c r="AO1076" i="1"/>
  <c r="AN1076" i="1"/>
  <c r="AM1076" i="1"/>
  <c r="AL1076" i="1"/>
  <c r="AK1076" i="1"/>
  <c r="AJ1076" i="1"/>
  <c r="AI1076" i="1"/>
  <c r="AH1076" i="1"/>
  <c r="AG1076" i="1"/>
  <c r="AF1076" i="1"/>
  <c r="AE1076" i="1"/>
  <c r="BK1075" i="1"/>
  <c r="BJ1075" i="1"/>
  <c r="BI1075" i="1"/>
  <c r="BH1075" i="1"/>
  <c r="BG1075" i="1"/>
  <c r="BF1075" i="1"/>
  <c r="BE1075" i="1"/>
  <c r="BD1075" i="1"/>
  <c r="BC1075" i="1"/>
  <c r="BB1075" i="1"/>
  <c r="BA1075" i="1"/>
  <c r="AZ1075" i="1"/>
  <c r="AY1075" i="1"/>
  <c r="AX1075" i="1"/>
  <c r="AW1075" i="1"/>
  <c r="AV1075" i="1"/>
  <c r="AU1075" i="1"/>
  <c r="AT1075" i="1"/>
  <c r="AS1075" i="1"/>
  <c r="AR1075" i="1"/>
  <c r="AQ1075" i="1"/>
  <c r="AP1075" i="1"/>
  <c r="AO1075" i="1"/>
  <c r="AN1075" i="1"/>
  <c r="AM1075" i="1"/>
  <c r="AL1075" i="1"/>
  <c r="AK1075" i="1"/>
  <c r="AJ1075" i="1"/>
  <c r="AI1075" i="1"/>
  <c r="AH1075" i="1"/>
  <c r="AG1075" i="1"/>
  <c r="AF1075" i="1"/>
  <c r="AE1075" i="1"/>
  <c r="BK1074" i="1"/>
  <c r="BJ1074" i="1"/>
  <c r="BI1074" i="1"/>
  <c r="BH1074" i="1"/>
  <c r="BG1074" i="1"/>
  <c r="BF1074" i="1"/>
  <c r="BE1074" i="1"/>
  <c r="BD1074" i="1"/>
  <c r="BC1074" i="1"/>
  <c r="BB1074" i="1"/>
  <c r="BA1074" i="1"/>
  <c r="AZ1074" i="1"/>
  <c r="AY1074" i="1"/>
  <c r="AX1074" i="1"/>
  <c r="AW1074" i="1"/>
  <c r="AV1074" i="1"/>
  <c r="AU1074" i="1"/>
  <c r="AT1074" i="1"/>
  <c r="AS1074" i="1"/>
  <c r="AR1074" i="1"/>
  <c r="AQ1074" i="1"/>
  <c r="AP1074" i="1"/>
  <c r="AO1074" i="1"/>
  <c r="AN1074" i="1"/>
  <c r="AM1074" i="1"/>
  <c r="AL1074" i="1"/>
  <c r="AK1074" i="1"/>
  <c r="AJ1074" i="1"/>
  <c r="AI1074" i="1"/>
  <c r="AH1074" i="1"/>
  <c r="AG1074" i="1"/>
  <c r="AF1074" i="1"/>
  <c r="AE1074" i="1"/>
  <c r="BK1073" i="1"/>
  <c r="BJ1073" i="1"/>
  <c r="BI1073" i="1"/>
  <c r="BH1073" i="1"/>
  <c r="BG1073" i="1"/>
  <c r="BF1073" i="1"/>
  <c r="BE1073" i="1"/>
  <c r="BD1073" i="1"/>
  <c r="BC1073" i="1"/>
  <c r="BB1073" i="1"/>
  <c r="BA1073" i="1"/>
  <c r="AZ1073" i="1"/>
  <c r="AY1073" i="1"/>
  <c r="AX1073" i="1"/>
  <c r="AW1073" i="1"/>
  <c r="AV1073" i="1"/>
  <c r="AU1073" i="1"/>
  <c r="AT1073" i="1"/>
  <c r="AS1073" i="1"/>
  <c r="AR1073" i="1"/>
  <c r="AQ1073" i="1"/>
  <c r="AP1073" i="1"/>
  <c r="AO1073" i="1"/>
  <c r="AN1073" i="1"/>
  <c r="AM1073" i="1"/>
  <c r="AL1073" i="1"/>
  <c r="AK1073" i="1"/>
  <c r="AJ1073" i="1"/>
  <c r="BP1073" i="1" s="1"/>
  <c r="AI1073" i="1"/>
  <c r="AH1073" i="1"/>
  <c r="AG1073" i="1"/>
  <c r="AF1073" i="1"/>
  <c r="AE1073" i="1"/>
  <c r="BK1072" i="1"/>
  <c r="BJ1072" i="1"/>
  <c r="BI1072" i="1"/>
  <c r="BH1072" i="1"/>
  <c r="BG1072" i="1"/>
  <c r="BF1072" i="1"/>
  <c r="BE1072" i="1"/>
  <c r="BD1072" i="1"/>
  <c r="BC1072" i="1"/>
  <c r="BB1072" i="1"/>
  <c r="BA1072" i="1"/>
  <c r="AZ1072" i="1"/>
  <c r="AY1072" i="1"/>
  <c r="AX1072" i="1"/>
  <c r="AW1072" i="1"/>
  <c r="AV1072" i="1"/>
  <c r="AU1072" i="1"/>
  <c r="AT1072" i="1"/>
  <c r="AS1072" i="1"/>
  <c r="AR1072" i="1"/>
  <c r="AQ1072" i="1"/>
  <c r="AP1072" i="1"/>
  <c r="AO1072" i="1"/>
  <c r="AN1072" i="1"/>
  <c r="AM1072" i="1"/>
  <c r="AL1072" i="1"/>
  <c r="AK1072" i="1"/>
  <c r="AJ1072" i="1"/>
  <c r="AI1072" i="1"/>
  <c r="AH1072" i="1"/>
  <c r="AG1072" i="1"/>
  <c r="AF1072" i="1"/>
  <c r="AE1072" i="1"/>
  <c r="BK1071" i="1"/>
  <c r="BJ1071" i="1"/>
  <c r="BI1071" i="1"/>
  <c r="BH1071" i="1"/>
  <c r="BG1071" i="1"/>
  <c r="BF1071" i="1"/>
  <c r="BE1071" i="1"/>
  <c r="BD1071" i="1"/>
  <c r="BC1071" i="1"/>
  <c r="BB1071" i="1"/>
  <c r="BA1071" i="1"/>
  <c r="AZ1071" i="1"/>
  <c r="AY1071" i="1"/>
  <c r="AX1071" i="1"/>
  <c r="AW1071" i="1"/>
  <c r="AV1071" i="1"/>
  <c r="AU1071" i="1"/>
  <c r="AT1071" i="1"/>
  <c r="AS1071" i="1"/>
  <c r="AR1071" i="1"/>
  <c r="AQ1071" i="1"/>
  <c r="AP1071" i="1"/>
  <c r="AO1071" i="1"/>
  <c r="AN1071" i="1"/>
  <c r="AM1071" i="1"/>
  <c r="AL1071" i="1"/>
  <c r="AK1071" i="1"/>
  <c r="AJ1071" i="1"/>
  <c r="AI1071" i="1"/>
  <c r="AH1071" i="1"/>
  <c r="AG1071" i="1"/>
  <c r="AF1071" i="1"/>
  <c r="AE1071" i="1"/>
  <c r="BK1070" i="1"/>
  <c r="BJ1070" i="1"/>
  <c r="BI1070" i="1"/>
  <c r="BH1070" i="1"/>
  <c r="BG1070" i="1"/>
  <c r="BF1070" i="1"/>
  <c r="BE1070" i="1"/>
  <c r="BD1070" i="1"/>
  <c r="BC1070" i="1"/>
  <c r="BB1070" i="1"/>
  <c r="BA1070" i="1"/>
  <c r="AZ1070" i="1"/>
  <c r="AY1070" i="1"/>
  <c r="AX1070" i="1"/>
  <c r="AW1070" i="1"/>
  <c r="AV1070" i="1"/>
  <c r="AU1070" i="1"/>
  <c r="AT1070" i="1"/>
  <c r="AS1070" i="1"/>
  <c r="AR1070" i="1"/>
  <c r="AQ1070" i="1"/>
  <c r="AP1070" i="1"/>
  <c r="AO1070" i="1"/>
  <c r="AN1070" i="1"/>
  <c r="AM1070" i="1"/>
  <c r="AL1070" i="1"/>
  <c r="AK1070" i="1"/>
  <c r="AJ1070" i="1"/>
  <c r="AI1070" i="1"/>
  <c r="AH1070" i="1"/>
  <c r="AG1070" i="1"/>
  <c r="AF1070" i="1"/>
  <c r="AE1070" i="1"/>
  <c r="BK1069" i="1"/>
  <c r="BJ1069" i="1"/>
  <c r="BI1069" i="1"/>
  <c r="BH1069" i="1"/>
  <c r="BG1069" i="1"/>
  <c r="BF1069" i="1"/>
  <c r="BE1069" i="1"/>
  <c r="BD1069" i="1"/>
  <c r="BC1069" i="1"/>
  <c r="BB1069" i="1"/>
  <c r="BA1069" i="1"/>
  <c r="AZ1069" i="1"/>
  <c r="AY1069" i="1"/>
  <c r="AX1069" i="1"/>
  <c r="AW1069" i="1"/>
  <c r="AV1069" i="1"/>
  <c r="AU1069" i="1"/>
  <c r="AT1069" i="1"/>
  <c r="AS1069" i="1"/>
  <c r="AR1069" i="1"/>
  <c r="AQ1069" i="1"/>
  <c r="AP1069" i="1"/>
  <c r="AN1069" i="1"/>
  <c r="AM1069" i="1"/>
  <c r="AL1069" i="1"/>
  <c r="AK1069" i="1"/>
  <c r="AJ1069" i="1"/>
  <c r="AI1069" i="1"/>
  <c r="AH1069" i="1"/>
  <c r="AG1069" i="1"/>
  <c r="AF1069" i="1"/>
  <c r="AE1069" i="1"/>
  <c r="BK1068" i="1"/>
  <c r="BJ1068" i="1"/>
  <c r="BI1068" i="1"/>
  <c r="BH1068" i="1"/>
  <c r="BG1068" i="1"/>
  <c r="BF1068" i="1"/>
  <c r="BE1068" i="1"/>
  <c r="BD1068" i="1"/>
  <c r="BC1068" i="1"/>
  <c r="BB1068" i="1"/>
  <c r="BA1068" i="1"/>
  <c r="AZ1068" i="1"/>
  <c r="AY1068" i="1"/>
  <c r="AX1068" i="1"/>
  <c r="AW1068" i="1"/>
  <c r="AV1068" i="1"/>
  <c r="AU1068" i="1"/>
  <c r="AT1068" i="1"/>
  <c r="AS1068" i="1"/>
  <c r="AR1068" i="1"/>
  <c r="AQ1068" i="1"/>
  <c r="AP1068" i="1"/>
  <c r="AO1068" i="1"/>
  <c r="AN1068" i="1"/>
  <c r="AM1068" i="1"/>
  <c r="AL1068" i="1"/>
  <c r="AK1068" i="1"/>
  <c r="AJ1068" i="1"/>
  <c r="AI1068" i="1"/>
  <c r="AH1068" i="1"/>
  <c r="AG1068" i="1"/>
  <c r="AF1068" i="1"/>
  <c r="AE1068" i="1"/>
  <c r="BK1067" i="1"/>
  <c r="BJ1067" i="1"/>
  <c r="BI1067" i="1"/>
  <c r="BH1067" i="1"/>
  <c r="BG1067" i="1"/>
  <c r="BF1067" i="1"/>
  <c r="BE1067" i="1"/>
  <c r="BD1067" i="1"/>
  <c r="BC1067" i="1"/>
  <c r="BB1067" i="1"/>
  <c r="BA1067" i="1"/>
  <c r="AZ1067" i="1"/>
  <c r="AY1067" i="1"/>
  <c r="AX1067" i="1"/>
  <c r="AW1067" i="1"/>
  <c r="AV1067" i="1"/>
  <c r="AU1067" i="1"/>
  <c r="AT1067" i="1"/>
  <c r="AS1067" i="1"/>
  <c r="AR1067" i="1"/>
  <c r="AQ1067" i="1"/>
  <c r="AP1067" i="1"/>
  <c r="AO1067" i="1"/>
  <c r="AN1067" i="1"/>
  <c r="AM1067" i="1"/>
  <c r="AL1067" i="1"/>
  <c r="AK1067" i="1"/>
  <c r="AJ1067" i="1"/>
  <c r="AI1067" i="1"/>
  <c r="AH1067" i="1"/>
  <c r="AG1067" i="1"/>
  <c r="AF1067" i="1"/>
  <c r="AE1067" i="1"/>
  <c r="BK1066" i="1"/>
  <c r="BJ1066" i="1"/>
  <c r="BI1066" i="1"/>
  <c r="BH1066" i="1"/>
  <c r="BG1066" i="1"/>
  <c r="BF1066" i="1"/>
  <c r="BE1066" i="1"/>
  <c r="BD1066" i="1"/>
  <c r="BC1066" i="1"/>
  <c r="BB1066" i="1"/>
  <c r="BA1066" i="1"/>
  <c r="AZ1066" i="1"/>
  <c r="AY1066" i="1"/>
  <c r="AX1066" i="1"/>
  <c r="AW1066" i="1"/>
  <c r="AV1066" i="1"/>
  <c r="AU1066" i="1"/>
  <c r="AT1066" i="1"/>
  <c r="AS1066" i="1"/>
  <c r="AR1066" i="1"/>
  <c r="AQ1066" i="1"/>
  <c r="AP1066" i="1"/>
  <c r="AO1066" i="1"/>
  <c r="AN1066" i="1"/>
  <c r="AM1066" i="1"/>
  <c r="AL1066" i="1"/>
  <c r="AK1066" i="1"/>
  <c r="AJ1066" i="1"/>
  <c r="AI1066" i="1"/>
  <c r="AH1066" i="1"/>
  <c r="AG1066" i="1"/>
  <c r="AF1066" i="1"/>
  <c r="AE1066" i="1"/>
  <c r="Y1066" i="1"/>
  <c r="BK1065" i="1"/>
  <c r="BJ1065" i="1"/>
  <c r="BI1065" i="1"/>
  <c r="BH1065" i="1"/>
  <c r="BH1064" i="1" s="1"/>
  <c r="BG1065" i="1"/>
  <c r="BF1065" i="1"/>
  <c r="BE1065" i="1"/>
  <c r="BD1065" i="1"/>
  <c r="BC1065" i="1"/>
  <c r="BB1065" i="1"/>
  <c r="BA1065" i="1"/>
  <c r="AZ1065" i="1"/>
  <c r="AZ1064" i="1" s="1"/>
  <c r="AY1065" i="1"/>
  <c r="AX1065" i="1"/>
  <c r="AW1065" i="1"/>
  <c r="AV1065" i="1"/>
  <c r="AU1065" i="1"/>
  <c r="AT1065" i="1"/>
  <c r="AS1065" i="1"/>
  <c r="AR1065" i="1"/>
  <c r="AR1064" i="1" s="1"/>
  <c r="AQ1065" i="1"/>
  <c r="AP1065" i="1"/>
  <c r="AO1065" i="1"/>
  <c r="AN1065" i="1"/>
  <c r="AM1065" i="1"/>
  <c r="AL1065" i="1"/>
  <c r="AK1065" i="1"/>
  <c r="AJ1065" i="1"/>
  <c r="AJ1064" i="1" s="1"/>
  <c r="AI1065" i="1"/>
  <c r="AH1065" i="1"/>
  <c r="AG1065" i="1"/>
  <c r="AF1065" i="1"/>
  <c r="AE1065" i="1"/>
  <c r="BP1062" i="1"/>
  <c r="BO1062" i="1"/>
  <c r="BN1062" i="1"/>
  <c r="BP1061" i="1"/>
  <c r="BO1061" i="1"/>
  <c r="BN1061" i="1"/>
  <c r="BP1060" i="1"/>
  <c r="BO1060" i="1"/>
  <c r="BN1060" i="1"/>
  <c r="Y1060" i="1"/>
  <c r="Y1061" i="1" s="1"/>
  <c r="BK1059" i="1"/>
  <c r="BI1059" i="1"/>
  <c r="BH1059" i="1"/>
  <c r="BF1059" i="1"/>
  <c r="BE1059" i="1"/>
  <c r="BC1059" i="1"/>
  <c r="BB1059" i="1"/>
  <c r="AZ1059" i="1"/>
  <c r="AY1059" i="1"/>
  <c r="AW1059" i="1"/>
  <c r="AV1059" i="1"/>
  <c r="AT1059" i="1"/>
  <c r="AS1059" i="1"/>
  <c r="AQ1059" i="1"/>
  <c r="AP1059" i="1"/>
  <c r="AN1059" i="1"/>
  <c r="AM1059" i="1"/>
  <c r="AK1059" i="1"/>
  <c r="AJ1059" i="1"/>
  <c r="AH1059" i="1"/>
  <c r="AG1059" i="1"/>
  <c r="AF1059" i="1"/>
  <c r="BO1059" i="1" s="1"/>
  <c r="AE1059" i="1"/>
  <c r="BP1058" i="1"/>
  <c r="BN1058" i="1"/>
  <c r="AX1058" i="1"/>
  <c r="BO1058" i="1" s="1"/>
  <c r="BK1057" i="1"/>
  <c r="BI1057" i="1"/>
  <c r="BH1057" i="1"/>
  <c r="BF1057" i="1"/>
  <c r="BE1057" i="1"/>
  <c r="BD1057" i="1"/>
  <c r="BC1057" i="1"/>
  <c r="AW1057" i="1"/>
  <c r="AV1057" i="1"/>
  <c r="AU1057" i="1"/>
  <c r="AT1057" i="1"/>
  <c r="AS1057" i="1"/>
  <c r="AR1057" i="1"/>
  <c r="AQ1057" i="1"/>
  <c r="AP1057" i="1"/>
  <c r="AN1057" i="1"/>
  <c r="AM1057" i="1"/>
  <c r="AL1057" i="1"/>
  <c r="AK1057" i="1"/>
  <c r="AJ1057" i="1"/>
  <c r="AH1057" i="1"/>
  <c r="AG1057" i="1"/>
  <c r="AF1057" i="1"/>
  <c r="AE1057" i="1"/>
  <c r="BP1056" i="1"/>
  <c r="BN1056" i="1"/>
  <c r="BP1055" i="1"/>
  <c r="BO1055" i="1"/>
  <c r="BN1055" i="1"/>
  <c r="BO1054" i="1"/>
  <c r="BA1054" i="1"/>
  <c r="AZ1054" i="1"/>
  <c r="AJ1054" i="1"/>
  <c r="AH1054" i="1"/>
  <c r="BN1054" i="1" s="1"/>
  <c r="BO1053" i="1"/>
  <c r="BN1053" i="1"/>
  <c r="AG1052" i="1"/>
  <c r="BP1052" i="1" s="1"/>
  <c r="AF1052" i="1"/>
  <c r="AF1051" i="1" s="1"/>
  <c r="BO1051" i="1" s="1"/>
  <c r="AE1052" i="1"/>
  <c r="BN1052" i="1" s="1"/>
  <c r="AG1051" i="1"/>
  <c r="BP1051" i="1" s="1"/>
  <c r="AG1050" i="1"/>
  <c r="BP1050" i="1" s="1"/>
  <c r="AF1050" i="1"/>
  <c r="BO1050" i="1" s="1"/>
  <c r="AE1050" i="1"/>
  <c r="BN1050" i="1" s="1"/>
  <c r="BK1049" i="1"/>
  <c r="BJ1049" i="1"/>
  <c r="BI1049" i="1"/>
  <c r="BH1049" i="1"/>
  <c r="BG1049" i="1"/>
  <c r="BF1049" i="1"/>
  <c r="BE1049" i="1"/>
  <c r="BD1049" i="1"/>
  <c r="BC1049" i="1"/>
  <c r="BB1049" i="1"/>
  <c r="BB1053" i="1" s="1"/>
  <c r="BB1054" i="1" s="1"/>
  <c r="BA1049" i="1"/>
  <c r="AZ1049" i="1"/>
  <c r="AY1049" i="1"/>
  <c r="AX1049" i="1"/>
  <c r="AX1056" i="1" s="1"/>
  <c r="BO1056" i="1" s="1"/>
  <c r="AW1049" i="1"/>
  <c r="AV1049" i="1"/>
  <c r="AU1049" i="1"/>
  <c r="AT1049" i="1"/>
  <c r="AS1049" i="1"/>
  <c r="AR1049" i="1"/>
  <c r="AQ1049" i="1"/>
  <c r="AP1049" i="1"/>
  <c r="AO1049" i="1"/>
  <c r="AN1049" i="1"/>
  <c r="AM1049" i="1"/>
  <c r="AL1049" i="1"/>
  <c r="AK1049" i="1"/>
  <c r="AJ1049" i="1"/>
  <c r="AH1049" i="1"/>
  <c r="AG1049" i="1"/>
  <c r="AF1049" i="1"/>
  <c r="AE1049" i="1"/>
  <c r="BA1047" i="1"/>
  <c r="BA1046" i="1" s="1"/>
  <c r="AX1047" i="1"/>
  <c r="AX1048" i="1" s="1"/>
  <c r="AI1047" i="1"/>
  <c r="AI1046" i="1" s="1"/>
  <c r="BP1045" i="1"/>
  <c r="BO1045" i="1"/>
  <c r="BN1045" i="1"/>
  <c r="BK1044" i="1"/>
  <c r="BJ1044" i="1"/>
  <c r="BH1044" i="1"/>
  <c r="BG1044" i="1"/>
  <c r="BF1044" i="1"/>
  <c r="BE1044" i="1"/>
  <c r="BD1044" i="1"/>
  <c r="BC1044" i="1"/>
  <c r="BA1044" i="1"/>
  <c r="AZ1044" i="1"/>
  <c r="AY1044" i="1"/>
  <c r="AX1044" i="1"/>
  <c r="AW1044" i="1"/>
  <c r="AU1044" i="1"/>
  <c r="AT1044" i="1"/>
  <c r="AS1044" i="1"/>
  <c r="AR1044" i="1"/>
  <c r="AQ1044" i="1"/>
  <c r="AP1044" i="1"/>
  <c r="AO1044" i="1"/>
  <c r="AN1044" i="1"/>
  <c r="AM1044" i="1"/>
  <c r="AL1044" i="1"/>
  <c r="AK1044" i="1"/>
  <c r="AJ1044" i="1"/>
  <c r="AI1044" i="1"/>
  <c r="AH1044" i="1"/>
  <c r="AG1044" i="1"/>
  <c r="AF1044" i="1"/>
  <c r="AE1044" i="1"/>
  <c r="BK1043" i="1"/>
  <c r="BJ1043" i="1"/>
  <c r="BI1043" i="1"/>
  <c r="BH1043" i="1"/>
  <c r="BG1043" i="1"/>
  <c r="BF1043" i="1"/>
  <c r="BE1043" i="1"/>
  <c r="BD1043" i="1"/>
  <c r="BC1043" i="1"/>
  <c r="BB1043" i="1"/>
  <c r="BA1043" i="1"/>
  <c r="AZ1043" i="1"/>
  <c r="AY1043" i="1"/>
  <c r="AX1043" i="1"/>
  <c r="AW1043" i="1"/>
  <c r="AV1043" i="1"/>
  <c r="AU1043" i="1"/>
  <c r="AT1043" i="1"/>
  <c r="AS1043" i="1"/>
  <c r="AR1043" i="1"/>
  <c r="AQ1043" i="1"/>
  <c r="AP1043" i="1"/>
  <c r="AO1043" i="1"/>
  <c r="AN1043" i="1"/>
  <c r="AM1043" i="1"/>
  <c r="AL1043" i="1"/>
  <c r="AK1043" i="1"/>
  <c r="AJ1043" i="1"/>
  <c r="AI1043" i="1"/>
  <c r="AH1043" i="1"/>
  <c r="AG1043" i="1"/>
  <c r="AF1043" i="1"/>
  <c r="AE1043" i="1"/>
  <c r="BK1042" i="1"/>
  <c r="BJ1042" i="1"/>
  <c r="BI1042" i="1"/>
  <c r="BH1042" i="1"/>
  <c r="BG1042" i="1"/>
  <c r="BF1042" i="1"/>
  <c r="BE1042" i="1"/>
  <c r="BD1042" i="1"/>
  <c r="BC1042" i="1"/>
  <c r="BB1042" i="1"/>
  <c r="BA1042" i="1"/>
  <c r="AZ1042" i="1"/>
  <c r="AX1042" i="1"/>
  <c r="AV1042" i="1"/>
  <c r="AU1042" i="1"/>
  <c r="AT1042" i="1"/>
  <c r="AS1042" i="1"/>
  <c r="AR1042" i="1"/>
  <c r="AQ1042" i="1"/>
  <c r="AP1042" i="1"/>
  <c r="AO1042" i="1"/>
  <c r="AN1042" i="1"/>
  <c r="AM1042" i="1"/>
  <c r="AL1042" i="1"/>
  <c r="AK1042" i="1"/>
  <c r="AJ1042" i="1"/>
  <c r="AI1042" i="1"/>
  <c r="AH1042" i="1"/>
  <c r="AG1042" i="1"/>
  <c r="AF1042" i="1"/>
  <c r="AE1042" i="1"/>
  <c r="BP1041" i="1"/>
  <c r="BO1041" i="1"/>
  <c r="BN1041" i="1"/>
  <c r="BK1039" i="1"/>
  <c r="BJ1039" i="1"/>
  <c r="BI1039" i="1"/>
  <c r="BG1039" i="1"/>
  <c r="BE1039" i="1"/>
  <c r="BE1035" i="1" s="1"/>
  <c r="BE1032" i="1" s="1"/>
  <c r="BD1039" i="1"/>
  <c r="BC1039" i="1"/>
  <c r="AX1039" i="1"/>
  <c r="AV1039" i="1"/>
  <c r="AU1039" i="1"/>
  <c r="AT1039" i="1"/>
  <c r="AS1039" i="1"/>
  <c r="AR1039" i="1"/>
  <c r="AQ1039" i="1"/>
  <c r="AP1039" i="1"/>
  <c r="AO1039" i="1"/>
  <c r="AN1039" i="1"/>
  <c r="AM1039" i="1"/>
  <c r="AL1039" i="1"/>
  <c r="AK1039" i="1"/>
  <c r="AJ1039" i="1"/>
  <c r="AI1039" i="1"/>
  <c r="AH1039" i="1"/>
  <c r="BK1038" i="1"/>
  <c r="BJ1038" i="1"/>
  <c r="BI1038" i="1"/>
  <c r="BH1038" i="1"/>
  <c r="BG1038" i="1"/>
  <c r="BF1038" i="1"/>
  <c r="BE1038" i="1"/>
  <c r="BD1038" i="1"/>
  <c r="BC1038" i="1"/>
  <c r="BB1038" i="1"/>
  <c r="BA1038" i="1"/>
  <c r="AZ1038" i="1"/>
  <c r="AY1038" i="1"/>
  <c r="AX1038" i="1"/>
  <c r="AW1038" i="1"/>
  <c r="AV1038" i="1"/>
  <c r="AU1038" i="1"/>
  <c r="AT1038" i="1"/>
  <c r="AS1038" i="1"/>
  <c r="AR1038" i="1"/>
  <c r="AQ1038" i="1"/>
  <c r="AP1038" i="1"/>
  <c r="AO1038" i="1"/>
  <c r="AN1038" i="1"/>
  <c r="AM1038" i="1"/>
  <c r="AL1038" i="1"/>
  <c r="AK1038" i="1"/>
  <c r="AJ1038" i="1"/>
  <c r="AI1038" i="1"/>
  <c r="AH1038" i="1"/>
  <c r="AG1038" i="1"/>
  <c r="AF1038" i="1"/>
  <c r="AE1038" i="1"/>
  <c r="BK1036" i="1"/>
  <c r="BK1037" i="1" s="1"/>
  <c r="BJ1036" i="1"/>
  <c r="BI1036" i="1"/>
  <c r="BH1036" i="1"/>
  <c r="BG1036" i="1"/>
  <c r="BG1037" i="1" s="1"/>
  <c r="BF1036" i="1"/>
  <c r="BE1036" i="1"/>
  <c r="BD1036" i="1"/>
  <c r="BD1035" i="1" s="1"/>
  <c r="BD1032" i="1" s="1"/>
  <c r="BC1036" i="1"/>
  <c r="BC1037" i="1" s="1"/>
  <c r="BB1036" i="1"/>
  <c r="BA1036" i="1"/>
  <c r="AZ1036" i="1"/>
  <c r="AY1036" i="1"/>
  <c r="AY1037" i="1" s="1"/>
  <c r="AX1036" i="1"/>
  <c r="AW1036" i="1"/>
  <c r="AV1036" i="1"/>
  <c r="AV1037" i="1" s="1"/>
  <c r="AU1036" i="1"/>
  <c r="AU1037" i="1" s="1"/>
  <c r="AT1036" i="1"/>
  <c r="AS1036" i="1"/>
  <c r="AR1036" i="1"/>
  <c r="AR1035" i="1" s="1"/>
  <c r="AR1032" i="1" s="1"/>
  <c r="AQ1036" i="1"/>
  <c r="AQ1037" i="1" s="1"/>
  <c r="AP1036" i="1"/>
  <c r="AO1036" i="1"/>
  <c r="AN1036" i="1"/>
  <c r="AN1037" i="1" s="1"/>
  <c r="AM1036" i="1"/>
  <c r="AL1036" i="1"/>
  <c r="AK1036" i="1"/>
  <c r="AJ1036" i="1"/>
  <c r="AJ1035" i="1" s="1"/>
  <c r="AJ1032" i="1" s="1"/>
  <c r="AI1036" i="1"/>
  <c r="AI1037" i="1" s="1"/>
  <c r="AH1036" i="1"/>
  <c r="AG1036" i="1"/>
  <c r="AF1036" i="1"/>
  <c r="AF1037" i="1" s="1"/>
  <c r="AE1036" i="1"/>
  <c r="G1036" i="1" a="1"/>
  <c r="G1036" i="1" s="1"/>
  <c r="BK1034" i="1"/>
  <c r="BJ1034" i="1"/>
  <c r="BI1034" i="1"/>
  <c r="BH1034" i="1"/>
  <c r="BG1034" i="1"/>
  <c r="BF1034" i="1"/>
  <c r="BE1034" i="1"/>
  <c r="BD1034" i="1"/>
  <c r="BC1034" i="1"/>
  <c r="BB1034" i="1"/>
  <c r="BA1034" i="1"/>
  <c r="AZ1034" i="1"/>
  <c r="AY1034" i="1"/>
  <c r="AX1034" i="1"/>
  <c r="AW1034" i="1"/>
  <c r="AV1034" i="1"/>
  <c r="AU1034" i="1"/>
  <c r="AT1034" i="1"/>
  <c r="AS1034" i="1"/>
  <c r="AR1034" i="1"/>
  <c r="AQ1034" i="1"/>
  <c r="AP1034" i="1"/>
  <c r="AO1034" i="1"/>
  <c r="AN1034" i="1"/>
  <c r="AM1034" i="1"/>
  <c r="AL1034" i="1"/>
  <c r="AK1034" i="1"/>
  <c r="AJ1034" i="1"/>
  <c r="AI1034" i="1"/>
  <c r="AH1034" i="1"/>
  <c r="AG1034" i="1"/>
  <c r="AF1034" i="1"/>
  <c r="AE1034" i="1"/>
  <c r="BP1033" i="1"/>
  <c r="BO1033" i="1"/>
  <c r="BN1033" i="1"/>
  <c r="BK1031" i="1"/>
  <c r="BJ1031" i="1"/>
  <c r="BI1031" i="1"/>
  <c r="BH1031" i="1"/>
  <c r="BG1031" i="1"/>
  <c r="BF1031" i="1"/>
  <c r="BE1031" i="1"/>
  <c r="BD1031" i="1"/>
  <c r="BC1031" i="1"/>
  <c r="BB1031" i="1"/>
  <c r="BA1031" i="1"/>
  <c r="AZ1031" i="1"/>
  <c r="AY1031" i="1"/>
  <c r="AX1031" i="1"/>
  <c r="AW1031" i="1"/>
  <c r="AV1031" i="1"/>
  <c r="AU1031" i="1"/>
  <c r="AT1031" i="1"/>
  <c r="AS1031" i="1"/>
  <c r="AR1031" i="1"/>
  <c r="AQ1031" i="1"/>
  <c r="AP1031" i="1"/>
  <c r="AO1031" i="1"/>
  <c r="AN1031" i="1"/>
  <c r="AM1031" i="1"/>
  <c r="AL1031" i="1"/>
  <c r="AK1031" i="1"/>
  <c r="AJ1031" i="1"/>
  <c r="AI1031" i="1"/>
  <c r="AH1031" i="1"/>
  <c r="AG1031" i="1"/>
  <c r="AF1031" i="1"/>
  <c r="AE1031" i="1"/>
  <c r="BK1030" i="1"/>
  <c r="BJ1030" i="1"/>
  <c r="BI1030" i="1"/>
  <c r="BH1030" i="1"/>
  <c r="BG1030" i="1"/>
  <c r="BF1030" i="1"/>
  <c r="BE1030" i="1"/>
  <c r="BD1030" i="1"/>
  <c r="BC1030" i="1"/>
  <c r="BB1030" i="1"/>
  <c r="BA1030" i="1"/>
  <c r="AZ1030" i="1"/>
  <c r="AY1030" i="1"/>
  <c r="AX1030" i="1"/>
  <c r="AW1030" i="1"/>
  <c r="AV1030" i="1"/>
  <c r="AU1030" i="1"/>
  <c r="AT1030" i="1"/>
  <c r="AS1030" i="1"/>
  <c r="AR1030" i="1"/>
  <c r="AQ1030" i="1"/>
  <c r="AP1030" i="1"/>
  <c r="AO1030" i="1"/>
  <c r="AN1030" i="1"/>
  <c r="AM1030" i="1"/>
  <c r="AL1030" i="1"/>
  <c r="AK1030" i="1"/>
  <c r="AJ1030" i="1"/>
  <c r="AI1030" i="1"/>
  <c r="AH1030" i="1"/>
  <c r="AG1030" i="1"/>
  <c r="AF1030" i="1"/>
  <c r="AE1030" i="1"/>
  <c r="BP1029" i="1"/>
  <c r="BO1029" i="1"/>
  <c r="BN1029" i="1"/>
  <c r="BK1028" i="1"/>
  <c r="BJ1028" i="1"/>
  <c r="BI1028" i="1"/>
  <c r="BH1028" i="1"/>
  <c r="BG1028" i="1"/>
  <c r="BF1028" i="1"/>
  <c r="BE1028" i="1"/>
  <c r="BD1028" i="1"/>
  <c r="BC1028" i="1"/>
  <c r="BB1028" i="1"/>
  <c r="BA1028" i="1"/>
  <c r="AZ1028" i="1"/>
  <c r="AY1028" i="1"/>
  <c r="AX1028" i="1"/>
  <c r="AW1028" i="1"/>
  <c r="AV1028" i="1"/>
  <c r="AU1028" i="1"/>
  <c r="AT1028" i="1"/>
  <c r="AS1028" i="1"/>
  <c r="AR1028" i="1"/>
  <c r="AQ1028" i="1"/>
  <c r="AP1028" i="1"/>
  <c r="AO1028" i="1"/>
  <c r="AN1028" i="1"/>
  <c r="AM1028" i="1"/>
  <c r="AL1028" i="1"/>
  <c r="AK1028" i="1"/>
  <c r="AJ1028" i="1"/>
  <c r="AI1028" i="1"/>
  <c r="AH1028" i="1"/>
  <c r="AG1028" i="1"/>
  <c r="AF1028" i="1"/>
  <c r="AE1028" i="1"/>
  <c r="BK1027" i="1"/>
  <c r="BJ1027" i="1"/>
  <c r="BI1027" i="1"/>
  <c r="BH1027" i="1"/>
  <c r="BG1027" i="1"/>
  <c r="BF1027" i="1"/>
  <c r="BD1027" i="1"/>
  <c r="BC1027" i="1"/>
  <c r="BB1027" i="1"/>
  <c r="BA1027" i="1"/>
  <c r="AZ1027" i="1"/>
  <c r="AY1027" i="1"/>
  <c r="AX1027" i="1"/>
  <c r="AW1027" i="1"/>
  <c r="AV1027" i="1"/>
  <c r="AU1027" i="1"/>
  <c r="AS1027" i="1"/>
  <c r="AR1027" i="1"/>
  <c r="AQ1027" i="1"/>
  <c r="AP1027" i="1"/>
  <c r="AO1027" i="1"/>
  <c r="AN1027" i="1"/>
  <c r="AM1027" i="1"/>
  <c r="AL1027" i="1"/>
  <c r="AK1027" i="1"/>
  <c r="AJ1027" i="1"/>
  <c r="AI1027" i="1"/>
  <c r="AH1027" i="1"/>
  <c r="AF1027" i="1"/>
  <c r="AE1027" i="1"/>
  <c r="BK1026" i="1"/>
  <c r="BJ1026" i="1"/>
  <c r="BI1026" i="1"/>
  <c r="BH1026" i="1"/>
  <c r="BG1026" i="1"/>
  <c r="BF1026" i="1"/>
  <c r="BE1026" i="1"/>
  <c r="BD1026" i="1"/>
  <c r="BC1026" i="1"/>
  <c r="BB1026" i="1"/>
  <c r="BA1026" i="1"/>
  <c r="AZ1026" i="1"/>
  <c r="AY1026" i="1"/>
  <c r="AX1026" i="1"/>
  <c r="AW1026" i="1"/>
  <c r="AV1026" i="1"/>
  <c r="AU1026" i="1"/>
  <c r="AT1026" i="1"/>
  <c r="AS1026" i="1"/>
  <c r="AR1026" i="1"/>
  <c r="AQ1026" i="1"/>
  <c r="AP1026" i="1"/>
  <c r="AO1026" i="1"/>
  <c r="AN1026" i="1"/>
  <c r="AM1026" i="1"/>
  <c r="AL1026" i="1"/>
  <c r="AK1026" i="1"/>
  <c r="AJ1026" i="1"/>
  <c r="AI1026" i="1"/>
  <c r="AH1026" i="1"/>
  <c r="AG1026" i="1"/>
  <c r="AF1026" i="1"/>
  <c r="AE1026" i="1"/>
  <c r="BK1025" i="1"/>
  <c r="BJ1025" i="1"/>
  <c r="BI1025" i="1"/>
  <c r="BH1025" i="1"/>
  <c r="BG1025" i="1"/>
  <c r="BF1025" i="1"/>
  <c r="BE1025" i="1"/>
  <c r="BD1025" i="1"/>
  <c r="BC1025" i="1"/>
  <c r="BB1025" i="1"/>
  <c r="BA1025" i="1"/>
  <c r="AZ1025" i="1"/>
  <c r="AY1025" i="1"/>
  <c r="AX1025" i="1"/>
  <c r="AW1025" i="1"/>
  <c r="AV1025" i="1"/>
  <c r="AU1025" i="1"/>
  <c r="AT1025" i="1"/>
  <c r="AR1025" i="1"/>
  <c r="AQ1025" i="1"/>
  <c r="AP1025" i="1"/>
  <c r="AO1025" i="1"/>
  <c r="AN1025" i="1"/>
  <c r="AM1025" i="1"/>
  <c r="AL1025" i="1"/>
  <c r="AK1025" i="1"/>
  <c r="AJ1025" i="1"/>
  <c r="AI1025" i="1"/>
  <c r="AH1025" i="1"/>
  <c r="AG1025" i="1"/>
  <c r="AF1025" i="1"/>
  <c r="AE1025" i="1"/>
  <c r="BK1024" i="1"/>
  <c r="BJ1024" i="1"/>
  <c r="BI1024" i="1"/>
  <c r="BH1024" i="1"/>
  <c r="BG1024" i="1"/>
  <c r="BF1024" i="1"/>
  <c r="BE1024" i="1"/>
  <c r="BD1024" i="1"/>
  <c r="BC1024" i="1"/>
  <c r="BB1024" i="1"/>
  <c r="BA1024" i="1"/>
  <c r="AZ1024" i="1"/>
  <c r="AY1024" i="1"/>
  <c r="AX1024" i="1"/>
  <c r="AW1024" i="1"/>
  <c r="AV1024" i="1"/>
  <c r="AU1024" i="1"/>
  <c r="AT1024" i="1"/>
  <c r="AS1024" i="1"/>
  <c r="AR1024" i="1"/>
  <c r="AQ1024" i="1"/>
  <c r="AP1024" i="1"/>
  <c r="AO1024" i="1"/>
  <c r="AN1024" i="1"/>
  <c r="AM1024" i="1"/>
  <c r="AL1024" i="1"/>
  <c r="AK1024" i="1"/>
  <c r="AJ1024" i="1"/>
  <c r="AI1024" i="1"/>
  <c r="AH1024" i="1"/>
  <c r="AG1024" i="1"/>
  <c r="AF1024" i="1"/>
  <c r="AE1024" i="1"/>
  <c r="BK1023" i="1"/>
  <c r="BJ1023" i="1"/>
  <c r="BI1023" i="1"/>
  <c r="BH1023" i="1"/>
  <c r="BG1023" i="1"/>
  <c r="BF1023" i="1"/>
  <c r="BE1023" i="1"/>
  <c r="BD1023" i="1"/>
  <c r="BC1023" i="1"/>
  <c r="BB1023" i="1"/>
  <c r="BA1023" i="1"/>
  <c r="AZ1023" i="1"/>
  <c r="AY1023" i="1"/>
  <c r="AX1023" i="1"/>
  <c r="AW1023" i="1"/>
  <c r="AV1023" i="1"/>
  <c r="AU1023" i="1"/>
  <c r="AT1023" i="1"/>
  <c r="AS1023" i="1"/>
  <c r="AR1023" i="1"/>
  <c r="AQ1023" i="1"/>
  <c r="AP1023" i="1"/>
  <c r="AO1023" i="1"/>
  <c r="AN1023" i="1"/>
  <c r="AM1023" i="1"/>
  <c r="AL1023" i="1"/>
  <c r="AK1023" i="1"/>
  <c r="AJ1023" i="1"/>
  <c r="AI1023" i="1"/>
  <c r="AH1023" i="1"/>
  <c r="AG1023" i="1"/>
  <c r="AF1023" i="1"/>
  <c r="AE1023" i="1"/>
  <c r="BK1022" i="1"/>
  <c r="BJ1022" i="1"/>
  <c r="BI1022" i="1"/>
  <c r="BH1022" i="1"/>
  <c r="BG1022" i="1"/>
  <c r="BF1022" i="1"/>
  <c r="BE1022" i="1"/>
  <c r="BD1022" i="1"/>
  <c r="BC1022" i="1"/>
  <c r="BB1022" i="1"/>
  <c r="BA1022" i="1"/>
  <c r="AZ1022" i="1"/>
  <c r="AY1022" i="1"/>
  <c r="AX1022" i="1"/>
  <c r="AW1022" i="1"/>
  <c r="AV1022" i="1"/>
  <c r="AU1022" i="1"/>
  <c r="AT1022" i="1"/>
  <c r="AS1022" i="1"/>
  <c r="AR1022" i="1"/>
  <c r="AQ1022" i="1"/>
  <c r="AP1022" i="1"/>
  <c r="AO1022" i="1"/>
  <c r="AN1022" i="1"/>
  <c r="AM1022" i="1"/>
  <c r="AL1022" i="1"/>
  <c r="AK1022" i="1"/>
  <c r="AJ1022" i="1"/>
  <c r="AI1022" i="1"/>
  <c r="AH1022" i="1"/>
  <c r="AG1022" i="1"/>
  <c r="AF1022" i="1"/>
  <c r="AE1022" i="1"/>
  <c r="BK1021" i="1"/>
  <c r="BJ1021" i="1"/>
  <c r="BI1021" i="1"/>
  <c r="BH1021" i="1"/>
  <c r="BG1021" i="1"/>
  <c r="BF1021" i="1"/>
  <c r="BE1021" i="1"/>
  <c r="BD1021" i="1"/>
  <c r="BC1021" i="1"/>
  <c r="BB1021" i="1"/>
  <c r="BA1021" i="1"/>
  <c r="AZ1021" i="1"/>
  <c r="AY1021" i="1"/>
  <c r="AX1021" i="1"/>
  <c r="AW1021" i="1"/>
  <c r="AV1021" i="1"/>
  <c r="AU1021" i="1"/>
  <c r="AT1021" i="1"/>
  <c r="AS1021" i="1"/>
  <c r="AR1021" i="1"/>
  <c r="AQ1021" i="1"/>
  <c r="AP1021" i="1"/>
  <c r="AO1021" i="1"/>
  <c r="AN1021" i="1"/>
  <c r="AM1021" i="1"/>
  <c r="AL1021" i="1"/>
  <c r="AK1021" i="1"/>
  <c r="AJ1021" i="1"/>
  <c r="AI1021" i="1"/>
  <c r="AH1021" i="1"/>
  <c r="AG1021" i="1"/>
  <c r="AF1021" i="1"/>
  <c r="AE1021" i="1"/>
  <c r="BN1021" i="1" s="1"/>
  <c r="BK1020" i="1"/>
  <c r="BJ1020" i="1"/>
  <c r="BI1020" i="1"/>
  <c r="BH1020" i="1"/>
  <c r="BG1020" i="1"/>
  <c r="BF1020" i="1"/>
  <c r="BE1020" i="1"/>
  <c r="BD1020" i="1"/>
  <c r="BC1020" i="1"/>
  <c r="BB1020" i="1"/>
  <c r="BA1020" i="1"/>
  <c r="AZ1020" i="1"/>
  <c r="AY1020" i="1"/>
  <c r="AX1020" i="1"/>
  <c r="AW1020" i="1"/>
  <c r="AV1020" i="1"/>
  <c r="AU1020" i="1"/>
  <c r="AT1020" i="1"/>
  <c r="AS1020" i="1"/>
  <c r="AR1020" i="1"/>
  <c r="AQ1020" i="1"/>
  <c r="AP1020" i="1"/>
  <c r="AO1020" i="1"/>
  <c r="AN1020" i="1"/>
  <c r="AM1020" i="1"/>
  <c r="AL1020" i="1"/>
  <c r="AK1020" i="1"/>
  <c r="AJ1020" i="1"/>
  <c r="AI1020" i="1"/>
  <c r="AH1020" i="1"/>
  <c r="AG1020" i="1"/>
  <c r="AF1020" i="1"/>
  <c r="AE1020" i="1"/>
  <c r="BK1019" i="1"/>
  <c r="BJ1019" i="1"/>
  <c r="BI1019" i="1"/>
  <c r="BH1019" i="1"/>
  <c r="BG1019" i="1"/>
  <c r="BF1019" i="1"/>
  <c r="BE1019" i="1"/>
  <c r="BD1019" i="1"/>
  <c r="BC1019" i="1"/>
  <c r="BB1019" i="1"/>
  <c r="BA1019" i="1"/>
  <c r="AZ1019" i="1"/>
  <c r="AY1019" i="1"/>
  <c r="AX1019" i="1"/>
  <c r="AW1019" i="1"/>
  <c r="AV1019" i="1"/>
  <c r="AU1019" i="1"/>
  <c r="AT1019" i="1"/>
  <c r="AS1019" i="1"/>
  <c r="AR1019" i="1"/>
  <c r="AQ1019" i="1"/>
  <c r="AP1019" i="1"/>
  <c r="AO1019" i="1"/>
  <c r="BO1019" i="1" s="1"/>
  <c r="AN1019" i="1"/>
  <c r="AM1019" i="1"/>
  <c r="AL1019" i="1"/>
  <c r="AK1019" i="1"/>
  <c r="AJ1019" i="1"/>
  <c r="AI1019" i="1"/>
  <c r="AH1019" i="1"/>
  <c r="AG1019" i="1"/>
  <c r="BP1019" i="1" s="1"/>
  <c r="AF1019" i="1"/>
  <c r="AE1019" i="1"/>
  <c r="BK1018" i="1"/>
  <c r="BJ1018" i="1"/>
  <c r="BI1018" i="1"/>
  <c r="BH1018" i="1"/>
  <c r="BG1018" i="1"/>
  <c r="BF1018" i="1"/>
  <c r="BE1018" i="1"/>
  <c r="BD1018" i="1"/>
  <c r="BC1018" i="1"/>
  <c r="BB1018" i="1"/>
  <c r="BA1018" i="1"/>
  <c r="AZ1018" i="1"/>
  <c r="AY1018" i="1"/>
  <c r="AX1018" i="1"/>
  <c r="AW1018" i="1"/>
  <c r="AV1018" i="1"/>
  <c r="AU1018" i="1"/>
  <c r="AT1018" i="1"/>
  <c r="AS1018" i="1"/>
  <c r="AR1018" i="1"/>
  <c r="AQ1018" i="1"/>
  <c r="AP1018" i="1"/>
  <c r="AO1018" i="1"/>
  <c r="AN1018" i="1"/>
  <c r="AM1018" i="1"/>
  <c r="AL1018" i="1"/>
  <c r="AK1018" i="1"/>
  <c r="AJ1018" i="1"/>
  <c r="AI1018" i="1"/>
  <c r="AH1018" i="1"/>
  <c r="AG1018" i="1"/>
  <c r="AF1018" i="1"/>
  <c r="AE1018" i="1"/>
  <c r="BK1017" i="1"/>
  <c r="BJ1017" i="1"/>
  <c r="BI1017" i="1"/>
  <c r="BH1017" i="1"/>
  <c r="BG1017" i="1"/>
  <c r="BF1017" i="1"/>
  <c r="BE1017" i="1"/>
  <c r="BD1017" i="1"/>
  <c r="BC1017" i="1"/>
  <c r="BB1017" i="1"/>
  <c r="BA1017" i="1"/>
  <c r="AZ1017" i="1"/>
  <c r="AY1017" i="1"/>
  <c r="AX1017" i="1"/>
  <c r="AW1017" i="1"/>
  <c r="AV1017" i="1"/>
  <c r="AU1017" i="1"/>
  <c r="AT1017" i="1"/>
  <c r="AS1017" i="1"/>
  <c r="AR1017" i="1"/>
  <c r="AQ1017" i="1"/>
  <c r="AP1017" i="1"/>
  <c r="AO1017" i="1"/>
  <c r="AN1017" i="1"/>
  <c r="AM1017" i="1"/>
  <c r="AL1017" i="1"/>
  <c r="AK1017" i="1"/>
  <c r="AJ1017" i="1"/>
  <c r="AI1017" i="1"/>
  <c r="AH1017" i="1"/>
  <c r="AG1017" i="1"/>
  <c r="AF1017" i="1"/>
  <c r="AE1017" i="1"/>
  <c r="BK1016" i="1"/>
  <c r="BJ1016" i="1"/>
  <c r="BI1016" i="1"/>
  <c r="BH1016" i="1"/>
  <c r="BG1016" i="1"/>
  <c r="BF1016" i="1"/>
  <c r="BE1016" i="1"/>
  <c r="BD1016" i="1"/>
  <c r="BC1016" i="1"/>
  <c r="BB1016" i="1"/>
  <c r="BA1016" i="1"/>
  <c r="AZ1016" i="1"/>
  <c r="AY1016" i="1"/>
  <c r="AX1016" i="1"/>
  <c r="AW1016" i="1"/>
  <c r="AV1016" i="1"/>
  <c r="AU1016" i="1"/>
  <c r="AT1016" i="1"/>
  <c r="AS1016" i="1"/>
  <c r="AR1016" i="1"/>
  <c r="AQ1016" i="1"/>
  <c r="AP1016" i="1"/>
  <c r="AO1016" i="1"/>
  <c r="AN1016" i="1"/>
  <c r="AM1016" i="1"/>
  <c r="AL1016" i="1"/>
  <c r="AK1016" i="1"/>
  <c r="AJ1016" i="1"/>
  <c r="AI1016" i="1"/>
  <c r="AH1016" i="1"/>
  <c r="AG1016" i="1"/>
  <c r="AF1016" i="1"/>
  <c r="AE1016" i="1"/>
  <c r="BK1015" i="1"/>
  <c r="BJ1015" i="1"/>
  <c r="BI1015" i="1"/>
  <c r="BH1015" i="1"/>
  <c r="BG1015" i="1"/>
  <c r="BF1015" i="1"/>
  <c r="BE1015" i="1"/>
  <c r="BD1015" i="1"/>
  <c r="BC1015" i="1"/>
  <c r="BB1015" i="1"/>
  <c r="BA1015" i="1"/>
  <c r="AZ1015" i="1"/>
  <c r="AY1015" i="1"/>
  <c r="AX1015" i="1"/>
  <c r="AW1015" i="1"/>
  <c r="AV1015" i="1"/>
  <c r="AU1015" i="1"/>
  <c r="AT1015" i="1"/>
  <c r="AS1015" i="1"/>
  <c r="AR1015" i="1"/>
  <c r="AQ1015" i="1"/>
  <c r="AP1015" i="1"/>
  <c r="AO1015" i="1"/>
  <c r="AN1015" i="1"/>
  <c r="AM1015" i="1"/>
  <c r="AL1015" i="1"/>
  <c r="AK1015" i="1"/>
  <c r="AJ1015" i="1"/>
  <c r="AI1015" i="1"/>
  <c r="AH1015" i="1"/>
  <c r="AG1015" i="1"/>
  <c r="AF1015" i="1"/>
  <c r="AE1015" i="1"/>
  <c r="BK1014" i="1"/>
  <c r="BJ1014" i="1"/>
  <c r="BI1014" i="1"/>
  <c r="BH1014" i="1"/>
  <c r="BG1014" i="1"/>
  <c r="BF1014" i="1"/>
  <c r="BE1014" i="1"/>
  <c r="BD1014" i="1"/>
  <c r="BC1014" i="1"/>
  <c r="BB1014" i="1"/>
  <c r="BA1014" i="1"/>
  <c r="AZ1014" i="1"/>
  <c r="AY1014" i="1"/>
  <c r="AX1014" i="1"/>
  <c r="AW1014" i="1"/>
  <c r="AV1014" i="1"/>
  <c r="AU1014" i="1"/>
  <c r="AT1014" i="1"/>
  <c r="AS1014" i="1"/>
  <c r="AR1014" i="1"/>
  <c r="AQ1014" i="1"/>
  <c r="AP1014" i="1"/>
  <c r="AO1014" i="1"/>
  <c r="AN1014" i="1"/>
  <c r="AM1014" i="1"/>
  <c r="AL1014" i="1"/>
  <c r="AK1014" i="1"/>
  <c r="AJ1014" i="1"/>
  <c r="AI1014" i="1"/>
  <c r="AH1014" i="1"/>
  <c r="AG1014" i="1"/>
  <c r="AF1014" i="1"/>
  <c r="AE1014" i="1"/>
  <c r="BK1013" i="1"/>
  <c r="BJ1013" i="1"/>
  <c r="BI1013" i="1"/>
  <c r="BH1013" i="1"/>
  <c r="BG1013" i="1"/>
  <c r="BF1013" i="1"/>
  <c r="BE1013" i="1"/>
  <c r="BD1013" i="1"/>
  <c r="BC1013" i="1"/>
  <c r="BB1013" i="1"/>
  <c r="BA1013" i="1"/>
  <c r="AZ1013" i="1"/>
  <c r="AY1013" i="1"/>
  <c r="AX1013" i="1"/>
  <c r="AW1013" i="1"/>
  <c r="AV1013" i="1"/>
  <c r="AU1013" i="1"/>
  <c r="AT1013" i="1"/>
  <c r="AS1013" i="1"/>
  <c r="AR1013" i="1"/>
  <c r="AQ1013" i="1"/>
  <c r="AP1013" i="1"/>
  <c r="AO1013" i="1"/>
  <c r="AN1013" i="1"/>
  <c r="AM1013" i="1"/>
  <c r="AL1013" i="1"/>
  <c r="AK1013" i="1"/>
  <c r="AJ1013" i="1"/>
  <c r="AI1013" i="1"/>
  <c r="AH1013" i="1"/>
  <c r="AG1013" i="1"/>
  <c r="AF1013" i="1"/>
  <c r="AE1013" i="1"/>
  <c r="BK1012" i="1"/>
  <c r="BJ1012" i="1"/>
  <c r="BI1012" i="1"/>
  <c r="BH1012" i="1"/>
  <c r="BG1012" i="1"/>
  <c r="BF1012" i="1"/>
  <c r="BE1012" i="1"/>
  <c r="BD1012" i="1"/>
  <c r="BC1012" i="1"/>
  <c r="BB1012" i="1"/>
  <c r="BA1012" i="1"/>
  <c r="AZ1012" i="1"/>
  <c r="AY1012" i="1"/>
  <c r="AX1012" i="1"/>
  <c r="AW1012" i="1"/>
  <c r="AV1012" i="1"/>
  <c r="AU1012" i="1"/>
  <c r="AT1012" i="1"/>
  <c r="AS1012" i="1"/>
  <c r="AR1012" i="1"/>
  <c r="AQ1012" i="1"/>
  <c r="AP1012" i="1"/>
  <c r="AO1012" i="1"/>
  <c r="AN1012" i="1"/>
  <c r="AM1012" i="1"/>
  <c r="AL1012" i="1"/>
  <c r="AK1012" i="1"/>
  <c r="AJ1012" i="1"/>
  <c r="AI1012" i="1"/>
  <c r="AH1012" i="1"/>
  <c r="AG1012" i="1"/>
  <c r="AF1012" i="1"/>
  <c r="AE1012" i="1"/>
  <c r="BK1011" i="1"/>
  <c r="BJ1011" i="1"/>
  <c r="BI1011" i="1"/>
  <c r="BH1011" i="1"/>
  <c r="BG1011" i="1"/>
  <c r="BF1011" i="1"/>
  <c r="BE1011" i="1"/>
  <c r="BD1011" i="1"/>
  <c r="BC1011" i="1"/>
  <c r="BB1011" i="1"/>
  <c r="BA1011" i="1"/>
  <c r="AZ1011" i="1"/>
  <c r="AY1011" i="1"/>
  <c r="AX1011" i="1"/>
  <c r="AW1011" i="1"/>
  <c r="AV1011" i="1"/>
  <c r="AU1011" i="1"/>
  <c r="AT1011" i="1"/>
  <c r="AS1011" i="1"/>
  <c r="AR1011" i="1"/>
  <c r="AQ1011" i="1"/>
  <c r="AP1011" i="1"/>
  <c r="AO1011" i="1"/>
  <c r="AN1011" i="1"/>
  <c r="AM1011" i="1"/>
  <c r="AL1011" i="1"/>
  <c r="AK1011" i="1"/>
  <c r="AJ1011" i="1"/>
  <c r="AI1011" i="1"/>
  <c r="AH1011" i="1"/>
  <c r="AG1011" i="1"/>
  <c r="AF1011" i="1"/>
  <c r="AE1011" i="1"/>
  <c r="BK1010" i="1"/>
  <c r="BJ1010" i="1"/>
  <c r="BI1010" i="1"/>
  <c r="BH1010" i="1"/>
  <c r="BG1010" i="1"/>
  <c r="BF1010" i="1"/>
  <c r="BE1010" i="1"/>
  <c r="BD1010" i="1"/>
  <c r="BC1010" i="1"/>
  <c r="BB1010" i="1"/>
  <c r="BA1010" i="1"/>
  <c r="AZ1010" i="1"/>
  <c r="AY1010" i="1"/>
  <c r="AX1010" i="1"/>
  <c r="AW1010" i="1"/>
  <c r="AV1010" i="1"/>
  <c r="AU1010" i="1"/>
  <c r="AT1010" i="1"/>
  <c r="AR1010" i="1"/>
  <c r="AQ1010" i="1"/>
  <c r="AP1010" i="1"/>
  <c r="AO1010" i="1"/>
  <c r="AN1010" i="1"/>
  <c r="AM1010" i="1"/>
  <c r="AL1010" i="1"/>
  <c r="AK1010" i="1"/>
  <c r="AJ1010" i="1"/>
  <c r="AI1010" i="1"/>
  <c r="AH1010" i="1"/>
  <c r="AG1010" i="1"/>
  <c r="AF1010" i="1"/>
  <c r="AE1010" i="1"/>
  <c r="BJ1009" i="1"/>
  <c r="BG1009" i="1"/>
  <c r="BF1009" i="1"/>
  <c r="BE1009" i="1"/>
  <c r="BD1009" i="1"/>
  <c r="BC1009" i="1"/>
  <c r="AX1009" i="1"/>
  <c r="AV1009" i="1"/>
  <c r="AU1009" i="1"/>
  <c r="AT1009" i="1"/>
  <c r="AR1009" i="1"/>
  <c r="AR1008" i="1" s="1"/>
  <c r="AQ1009" i="1"/>
  <c r="AP1009" i="1"/>
  <c r="AO1009" i="1"/>
  <c r="AN1009" i="1"/>
  <c r="AM1009" i="1"/>
  <c r="AL1009" i="1"/>
  <c r="AK1009" i="1"/>
  <c r="AJ1009" i="1"/>
  <c r="AI1009" i="1"/>
  <c r="AH1009" i="1"/>
  <c r="AG1009" i="1"/>
  <c r="AF1009" i="1"/>
  <c r="AE1009" i="1"/>
  <c r="AJ1008" i="1"/>
  <c r="BP1007" i="1"/>
  <c r="BO1007" i="1"/>
  <c r="BN1007" i="1"/>
  <c r="BP1006" i="1"/>
  <c r="BO1006" i="1"/>
  <c r="BN1006" i="1"/>
  <c r="BP1005" i="1"/>
  <c r="BO1005" i="1"/>
  <c r="BN1005" i="1"/>
  <c r="BK1004" i="1"/>
  <c r="BJ1004" i="1"/>
  <c r="BI1004" i="1"/>
  <c r="BH1004" i="1"/>
  <c r="BG1004" i="1"/>
  <c r="BF1004" i="1"/>
  <c r="BE1004" i="1"/>
  <c r="BD1004" i="1"/>
  <c r="BC1004" i="1"/>
  <c r="BB1004" i="1"/>
  <c r="BA1004" i="1"/>
  <c r="AZ1004" i="1"/>
  <c r="AY1004" i="1"/>
  <c r="AX1004" i="1"/>
  <c r="AW1004" i="1"/>
  <c r="AV1004" i="1"/>
  <c r="AU1004" i="1"/>
  <c r="AT1004" i="1"/>
  <c r="AS1004" i="1"/>
  <c r="AR1004" i="1"/>
  <c r="AQ1004" i="1"/>
  <c r="AP1004" i="1"/>
  <c r="AO1004" i="1"/>
  <c r="AN1004" i="1"/>
  <c r="AM1004" i="1"/>
  <c r="AL1004" i="1"/>
  <c r="AK1004" i="1"/>
  <c r="AJ1004" i="1"/>
  <c r="AI1004" i="1"/>
  <c r="AH1004" i="1"/>
  <c r="AG1004" i="1"/>
  <c r="AF1004" i="1"/>
  <c r="AE1004" i="1"/>
  <c r="BK1003" i="1"/>
  <c r="BJ1003" i="1"/>
  <c r="BI1003" i="1"/>
  <c r="BH1003" i="1"/>
  <c r="BG1003" i="1"/>
  <c r="BF1003" i="1"/>
  <c r="BE1003" i="1"/>
  <c r="BD1003" i="1"/>
  <c r="BC1003" i="1"/>
  <c r="BB1003" i="1"/>
  <c r="BA1003" i="1"/>
  <c r="AZ1003" i="1"/>
  <c r="AY1003" i="1"/>
  <c r="AX1003" i="1"/>
  <c r="AW1003" i="1"/>
  <c r="AV1003" i="1"/>
  <c r="AU1003" i="1"/>
  <c r="AT1003" i="1"/>
  <c r="AS1003" i="1"/>
  <c r="AR1003" i="1"/>
  <c r="AQ1003" i="1"/>
  <c r="AP1003" i="1"/>
  <c r="AO1003" i="1"/>
  <c r="AN1003" i="1"/>
  <c r="AM1003" i="1"/>
  <c r="AL1003" i="1"/>
  <c r="AK1003" i="1"/>
  <c r="AJ1003" i="1"/>
  <c r="AI1003" i="1"/>
  <c r="AH1003" i="1"/>
  <c r="AG1003" i="1"/>
  <c r="AF1003" i="1"/>
  <c r="AE1003" i="1"/>
  <c r="BK1002" i="1"/>
  <c r="BJ1002" i="1"/>
  <c r="BI1002" i="1"/>
  <c r="BH1002" i="1"/>
  <c r="BG1002" i="1"/>
  <c r="BF1002" i="1"/>
  <c r="BE1002" i="1"/>
  <c r="BD1002" i="1"/>
  <c r="BC1002" i="1"/>
  <c r="BB1002" i="1"/>
  <c r="BA1002" i="1"/>
  <c r="AZ1002" i="1"/>
  <c r="AY1002" i="1"/>
  <c r="AX1002" i="1"/>
  <c r="AW1002" i="1"/>
  <c r="AV1002" i="1"/>
  <c r="AU1002" i="1"/>
  <c r="AT1002" i="1"/>
  <c r="AS1002" i="1"/>
  <c r="AR1002" i="1"/>
  <c r="AQ1002" i="1"/>
  <c r="AP1002" i="1"/>
  <c r="AO1002" i="1"/>
  <c r="AN1002" i="1"/>
  <c r="AM1002" i="1"/>
  <c r="AL1002" i="1"/>
  <c r="AK1002" i="1"/>
  <c r="AJ1002" i="1"/>
  <c r="AI1002" i="1"/>
  <c r="AH1002" i="1"/>
  <c r="AG1002" i="1"/>
  <c r="AF1002" i="1"/>
  <c r="AE1002" i="1"/>
  <c r="BP1000" i="1"/>
  <c r="BO1000" i="1"/>
  <c r="BN1000" i="1"/>
  <c r="BK999" i="1"/>
  <c r="BJ999" i="1"/>
  <c r="BI999" i="1"/>
  <c r="BH999" i="1"/>
  <c r="BG999" i="1"/>
  <c r="BF999" i="1"/>
  <c r="BE999" i="1"/>
  <c r="BD999" i="1"/>
  <c r="BC999" i="1"/>
  <c r="BB999" i="1"/>
  <c r="BA999" i="1"/>
  <c r="AZ999" i="1"/>
  <c r="AY999" i="1"/>
  <c r="AX999" i="1"/>
  <c r="AW999" i="1"/>
  <c r="AV999" i="1"/>
  <c r="AU999" i="1"/>
  <c r="AT999" i="1"/>
  <c r="AS999" i="1"/>
  <c r="AR999" i="1"/>
  <c r="AQ999" i="1"/>
  <c r="AP999" i="1"/>
  <c r="AO999" i="1"/>
  <c r="AN999" i="1"/>
  <c r="AM999" i="1"/>
  <c r="AL999" i="1"/>
  <c r="AK999" i="1"/>
  <c r="AJ999" i="1"/>
  <c r="AI999" i="1"/>
  <c r="AH999" i="1"/>
  <c r="AG999" i="1"/>
  <c r="AF999" i="1"/>
  <c r="AE999" i="1"/>
  <c r="BK998" i="1"/>
  <c r="BJ998" i="1"/>
  <c r="BI998" i="1"/>
  <c r="BH998" i="1"/>
  <c r="BG998" i="1"/>
  <c r="BF998" i="1"/>
  <c r="BE998" i="1"/>
  <c r="BD998" i="1"/>
  <c r="BC998" i="1"/>
  <c r="BB998" i="1"/>
  <c r="BA998" i="1"/>
  <c r="AZ998" i="1"/>
  <c r="AY998" i="1"/>
  <c r="AX998" i="1"/>
  <c r="AW998" i="1"/>
  <c r="AV998" i="1"/>
  <c r="AU998" i="1"/>
  <c r="AT998" i="1"/>
  <c r="AS998" i="1"/>
  <c r="AR998" i="1"/>
  <c r="AQ998" i="1"/>
  <c r="AP998" i="1"/>
  <c r="AO998" i="1"/>
  <c r="AN998" i="1"/>
  <c r="AM998" i="1"/>
  <c r="AL998" i="1"/>
  <c r="AK998" i="1"/>
  <c r="AJ998" i="1"/>
  <c r="AI998" i="1"/>
  <c r="AH998" i="1"/>
  <c r="AG998" i="1"/>
  <c r="AF998" i="1"/>
  <c r="AE998" i="1"/>
  <c r="BP997" i="1"/>
  <c r="BO997" i="1"/>
  <c r="BN997" i="1"/>
  <c r="BJ995" i="1"/>
  <c r="BI995" i="1"/>
  <c r="BG995" i="1"/>
  <c r="BG991" i="1" s="1"/>
  <c r="BF995" i="1"/>
  <c r="BE995" i="1"/>
  <c r="BD995" i="1"/>
  <c r="BC995" i="1"/>
  <c r="AW995" i="1"/>
  <c r="AV995" i="1"/>
  <c r="AU995" i="1"/>
  <c r="AU991" i="1" s="1"/>
  <c r="AT995" i="1"/>
  <c r="AS995" i="1"/>
  <c r="AR995" i="1"/>
  <c r="AQ995" i="1"/>
  <c r="AQ991" i="1" s="1"/>
  <c r="AP995" i="1"/>
  <c r="AN995" i="1"/>
  <c r="AM995" i="1"/>
  <c r="AL995" i="1"/>
  <c r="AK995" i="1"/>
  <c r="AJ995" i="1"/>
  <c r="AI995" i="1"/>
  <c r="AH995" i="1"/>
  <c r="AG995" i="1"/>
  <c r="AF995" i="1"/>
  <c r="AE995" i="1"/>
  <c r="BK994" i="1"/>
  <c r="BJ994" i="1"/>
  <c r="BI994" i="1"/>
  <c r="BH994" i="1"/>
  <c r="BG994" i="1"/>
  <c r="BF994" i="1"/>
  <c r="BE994" i="1"/>
  <c r="BD994" i="1"/>
  <c r="BC994" i="1"/>
  <c r="BA994" i="1"/>
  <c r="AZ994" i="1"/>
  <c r="AY994" i="1"/>
  <c r="AX994" i="1"/>
  <c r="AW994" i="1"/>
  <c r="AV994" i="1"/>
  <c r="AU994" i="1"/>
  <c r="AT994" i="1"/>
  <c r="AS994" i="1"/>
  <c r="AR994" i="1"/>
  <c r="AQ994" i="1"/>
  <c r="AP994" i="1"/>
  <c r="AN994" i="1"/>
  <c r="AM994" i="1"/>
  <c r="AL994" i="1"/>
  <c r="AK994" i="1"/>
  <c r="AJ994" i="1"/>
  <c r="AI994" i="1"/>
  <c r="AH994" i="1"/>
  <c r="AG994" i="1"/>
  <c r="AF994" i="1"/>
  <c r="AE994" i="1"/>
  <c r="BK992" i="1"/>
  <c r="BJ992" i="1"/>
  <c r="BJ991" i="1" s="1"/>
  <c r="BI992" i="1"/>
  <c r="BI993" i="1" s="1"/>
  <c r="BH992" i="1"/>
  <c r="BG992" i="1"/>
  <c r="BF992" i="1"/>
  <c r="BF991" i="1" s="1"/>
  <c r="BE992" i="1"/>
  <c r="BD992" i="1"/>
  <c r="BC992" i="1"/>
  <c r="BA992" i="1"/>
  <c r="AZ992" i="1"/>
  <c r="AZ993" i="1" s="1"/>
  <c r="AY992" i="1"/>
  <c r="AX992" i="1"/>
  <c r="AW992" i="1"/>
  <c r="AW991" i="1" s="1"/>
  <c r="AV992" i="1"/>
  <c r="AV993" i="1" s="1"/>
  <c r="AU992" i="1"/>
  <c r="AT992" i="1"/>
  <c r="AS992" i="1"/>
  <c r="AS991" i="1" s="1"/>
  <c r="AR992" i="1"/>
  <c r="AR993" i="1" s="1"/>
  <c r="AQ992" i="1"/>
  <c r="AP992" i="1"/>
  <c r="AO992" i="1"/>
  <c r="AN992" i="1"/>
  <c r="AM992" i="1"/>
  <c r="AL992" i="1"/>
  <c r="AK992" i="1"/>
  <c r="AK991" i="1" s="1"/>
  <c r="AJ992" i="1"/>
  <c r="AI992" i="1"/>
  <c r="AH992" i="1"/>
  <c r="AG992" i="1"/>
  <c r="AF992" i="1"/>
  <c r="AE992" i="1"/>
  <c r="AT991" i="1"/>
  <c r="AJ991" i="1"/>
  <c r="AE991" i="1"/>
  <c r="BK990" i="1"/>
  <c r="BJ990" i="1"/>
  <c r="BI990" i="1"/>
  <c r="BH990" i="1"/>
  <c r="BG990" i="1"/>
  <c r="BF990" i="1"/>
  <c r="BE990" i="1"/>
  <c r="BD990" i="1"/>
  <c r="BC990" i="1"/>
  <c r="BB990" i="1"/>
  <c r="BA990" i="1"/>
  <c r="AZ990" i="1"/>
  <c r="AY990" i="1"/>
  <c r="AX990" i="1"/>
  <c r="AW990" i="1"/>
  <c r="AV990" i="1"/>
  <c r="AU990" i="1"/>
  <c r="AT990" i="1"/>
  <c r="AS990" i="1"/>
  <c r="AR990" i="1"/>
  <c r="AQ990" i="1"/>
  <c r="AP990" i="1"/>
  <c r="AO990" i="1"/>
  <c r="AN990" i="1"/>
  <c r="AM990" i="1"/>
  <c r="AL990" i="1"/>
  <c r="AK990" i="1"/>
  <c r="AI990" i="1"/>
  <c r="AE990" i="1"/>
  <c r="BK989" i="1"/>
  <c r="BJ989" i="1"/>
  <c r="BI989" i="1"/>
  <c r="BH989" i="1"/>
  <c r="BG989" i="1"/>
  <c r="BF989" i="1"/>
  <c r="BE989" i="1"/>
  <c r="BD989" i="1"/>
  <c r="BC989" i="1"/>
  <c r="BB989" i="1"/>
  <c r="BA989" i="1"/>
  <c r="AZ989" i="1"/>
  <c r="AY989" i="1"/>
  <c r="AX989" i="1"/>
  <c r="AW989" i="1"/>
  <c r="AV989" i="1"/>
  <c r="AU989" i="1"/>
  <c r="AT989" i="1"/>
  <c r="AS989" i="1"/>
  <c r="AR989" i="1"/>
  <c r="AQ989" i="1"/>
  <c r="AP989" i="1"/>
  <c r="AO989" i="1"/>
  <c r="AN989" i="1"/>
  <c r="AM989" i="1"/>
  <c r="AL989" i="1"/>
  <c r="AK989" i="1"/>
  <c r="AJ989" i="1"/>
  <c r="AI989" i="1"/>
  <c r="AH989" i="1"/>
  <c r="AF989" i="1"/>
  <c r="AE989" i="1"/>
  <c r="BK988" i="1"/>
  <c r="BJ988" i="1"/>
  <c r="BI988" i="1"/>
  <c r="BH988" i="1"/>
  <c r="BG988" i="1"/>
  <c r="BF988" i="1"/>
  <c r="BE988" i="1"/>
  <c r="BD988" i="1"/>
  <c r="BC988" i="1"/>
  <c r="BB988" i="1"/>
  <c r="BA988" i="1"/>
  <c r="AZ988" i="1"/>
  <c r="AY988" i="1"/>
  <c r="AX988" i="1"/>
  <c r="AW988" i="1"/>
  <c r="AV988" i="1"/>
  <c r="AU988" i="1"/>
  <c r="AT988" i="1"/>
  <c r="AS988" i="1"/>
  <c r="AR988" i="1"/>
  <c r="AQ988" i="1"/>
  <c r="AP988" i="1"/>
  <c r="AO988" i="1"/>
  <c r="AN988" i="1"/>
  <c r="AM988" i="1"/>
  <c r="AL988" i="1"/>
  <c r="AK988" i="1"/>
  <c r="AJ988" i="1"/>
  <c r="AI988" i="1"/>
  <c r="AH988" i="1"/>
  <c r="AG988" i="1"/>
  <c r="AF988" i="1"/>
  <c r="AE988" i="1"/>
  <c r="AE983" i="1" s="1"/>
  <c r="BK987" i="1"/>
  <c r="BK983" i="1" s="1"/>
  <c r="BJ987" i="1"/>
  <c r="BI987" i="1"/>
  <c r="BH987" i="1"/>
  <c r="BG987" i="1"/>
  <c r="BF987" i="1"/>
  <c r="BE987" i="1"/>
  <c r="BD987" i="1"/>
  <c r="BC987" i="1"/>
  <c r="BB987" i="1"/>
  <c r="BA987" i="1"/>
  <c r="AZ987" i="1"/>
  <c r="AY987" i="1"/>
  <c r="AX987" i="1"/>
  <c r="AW987" i="1"/>
  <c r="AV987" i="1"/>
  <c r="AU987" i="1"/>
  <c r="AT987" i="1"/>
  <c r="AS987" i="1"/>
  <c r="AR987" i="1"/>
  <c r="AQ987" i="1"/>
  <c r="AP987" i="1"/>
  <c r="AO987" i="1"/>
  <c r="AN987" i="1"/>
  <c r="AM987" i="1"/>
  <c r="AL987" i="1"/>
  <c r="AK987" i="1"/>
  <c r="AJ987" i="1"/>
  <c r="AI987" i="1"/>
  <c r="AH987" i="1"/>
  <c r="AG987" i="1"/>
  <c r="AF987" i="1"/>
  <c r="AE987" i="1"/>
  <c r="BK986" i="1"/>
  <c r="BJ986" i="1"/>
  <c r="BI986" i="1"/>
  <c r="BH986" i="1"/>
  <c r="BG986" i="1"/>
  <c r="BF986" i="1"/>
  <c r="BE986" i="1"/>
  <c r="BD986" i="1"/>
  <c r="BC986" i="1"/>
  <c r="BB986" i="1"/>
  <c r="BA986" i="1"/>
  <c r="AZ986" i="1"/>
  <c r="AY986" i="1"/>
  <c r="AX986" i="1"/>
  <c r="AW986" i="1"/>
  <c r="AV986" i="1"/>
  <c r="AU986" i="1"/>
  <c r="AT986" i="1"/>
  <c r="AS986" i="1"/>
  <c r="AR986" i="1"/>
  <c r="AQ986" i="1"/>
  <c r="AP986" i="1"/>
  <c r="AO986" i="1"/>
  <c r="AN986" i="1"/>
  <c r="AM986" i="1"/>
  <c r="AL986" i="1"/>
  <c r="AK986" i="1"/>
  <c r="AJ986" i="1"/>
  <c r="AI986" i="1"/>
  <c r="AH986" i="1"/>
  <c r="AG986" i="1"/>
  <c r="AF986" i="1"/>
  <c r="AE986" i="1"/>
  <c r="BK985" i="1"/>
  <c r="BJ985" i="1"/>
  <c r="BI985" i="1"/>
  <c r="BH985" i="1"/>
  <c r="BG985" i="1"/>
  <c r="BF985" i="1"/>
  <c r="BE985" i="1"/>
  <c r="BD985" i="1"/>
  <c r="BC985" i="1"/>
  <c r="BB985" i="1"/>
  <c r="BA985" i="1"/>
  <c r="AZ985" i="1"/>
  <c r="AY985" i="1"/>
  <c r="AX985" i="1"/>
  <c r="AW985" i="1"/>
  <c r="AV985" i="1"/>
  <c r="AU985" i="1"/>
  <c r="AT985" i="1"/>
  <c r="AS985" i="1"/>
  <c r="AR985" i="1"/>
  <c r="AQ985" i="1"/>
  <c r="AP985" i="1"/>
  <c r="AO985" i="1"/>
  <c r="AN985" i="1"/>
  <c r="AM985" i="1"/>
  <c r="AL985" i="1"/>
  <c r="AK985" i="1"/>
  <c r="AJ985" i="1"/>
  <c r="AI985" i="1"/>
  <c r="AH985" i="1"/>
  <c r="AG985" i="1"/>
  <c r="AF985" i="1"/>
  <c r="AE985" i="1"/>
  <c r="BP984" i="1"/>
  <c r="BO984" i="1"/>
  <c r="BN984" i="1"/>
  <c r="AU983" i="1"/>
  <c r="BE980" i="1"/>
  <c r="BD980" i="1"/>
  <c r="BC980" i="1"/>
  <c r="BC976" i="1" s="1"/>
  <c r="AV980" i="1"/>
  <c r="AU980" i="1"/>
  <c r="AT980" i="1"/>
  <c r="AS980" i="1"/>
  <c r="AR980" i="1"/>
  <c r="AQ980" i="1"/>
  <c r="AP980" i="1"/>
  <c r="AN980" i="1"/>
  <c r="AM980" i="1"/>
  <c r="AL980" i="1"/>
  <c r="AK980" i="1"/>
  <c r="AI980" i="1"/>
  <c r="AF980" i="1"/>
  <c r="BK979" i="1"/>
  <c r="BJ979" i="1"/>
  <c r="BI979" i="1"/>
  <c r="BH979" i="1"/>
  <c r="BG979" i="1"/>
  <c r="BF979" i="1"/>
  <c r="BE979" i="1"/>
  <c r="BD979" i="1"/>
  <c r="BC979" i="1"/>
  <c r="BA979" i="1"/>
  <c r="AZ979" i="1"/>
  <c r="AY979" i="1"/>
  <c r="AX979" i="1"/>
  <c r="AW979" i="1"/>
  <c r="AV979" i="1"/>
  <c r="AU979" i="1"/>
  <c r="AT979" i="1"/>
  <c r="AS979" i="1"/>
  <c r="AR979" i="1"/>
  <c r="AQ979" i="1"/>
  <c r="AP979" i="1"/>
  <c r="AO979" i="1"/>
  <c r="AN979" i="1"/>
  <c r="AM979" i="1"/>
  <c r="AL979" i="1"/>
  <c r="AK979" i="1"/>
  <c r="AJ979" i="1"/>
  <c r="AI979" i="1"/>
  <c r="AH979" i="1"/>
  <c r="AG979" i="1"/>
  <c r="AF979" i="1"/>
  <c r="BO979" i="1" s="1"/>
  <c r="AE979" i="1"/>
  <c r="BK977" i="1"/>
  <c r="BK978" i="1" s="1"/>
  <c r="BJ977" i="1"/>
  <c r="BI977" i="1"/>
  <c r="BH977" i="1"/>
  <c r="BH978" i="1" s="1"/>
  <c r="BG977" i="1"/>
  <c r="BG978" i="1" s="1"/>
  <c r="BF977" i="1"/>
  <c r="BE977" i="1"/>
  <c r="BE976" i="1" s="1"/>
  <c r="BD977" i="1"/>
  <c r="BD978" i="1" s="1"/>
  <c r="BC977" i="1"/>
  <c r="BC978" i="1" s="1"/>
  <c r="BA977" i="1"/>
  <c r="AZ977" i="1"/>
  <c r="AY977" i="1"/>
  <c r="AY978" i="1" s="1"/>
  <c r="AX977" i="1"/>
  <c r="AX978" i="1" s="1"/>
  <c r="AW977" i="1"/>
  <c r="AV977" i="1"/>
  <c r="AU977" i="1"/>
  <c r="AT977" i="1"/>
  <c r="AT978" i="1" s="1"/>
  <c r="AS977" i="1"/>
  <c r="AR977" i="1"/>
  <c r="AQ977" i="1"/>
  <c r="AQ978" i="1" s="1"/>
  <c r="AP977" i="1"/>
  <c r="AP978" i="1" s="1"/>
  <c r="AN977" i="1"/>
  <c r="AM977" i="1"/>
  <c r="AL977" i="1"/>
  <c r="AL976" i="1" s="1"/>
  <c r="AK977" i="1"/>
  <c r="AJ977" i="1"/>
  <c r="AI977" i="1"/>
  <c r="AH977" i="1"/>
  <c r="AH978" i="1" s="1"/>
  <c r="AF977" i="1"/>
  <c r="AI976" i="1"/>
  <c r="BK975" i="1"/>
  <c r="BJ975" i="1"/>
  <c r="BI975" i="1"/>
  <c r="BH975" i="1"/>
  <c r="BG975" i="1"/>
  <c r="BF975" i="1"/>
  <c r="BD975" i="1"/>
  <c r="BC975" i="1"/>
  <c r="BA975" i="1"/>
  <c r="AZ975" i="1"/>
  <c r="AY975" i="1"/>
  <c r="AX975" i="1"/>
  <c r="AW975" i="1"/>
  <c r="AV975" i="1"/>
  <c r="AU975" i="1"/>
  <c r="AT975" i="1"/>
  <c r="AS975" i="1"/>
  <c r="AR975" i="1"/>
  <c r="AQ975" i="1"/>
  <c r="AP975" i="1"/>
  <c r="AO975" i="1"/>
  <c r="AN975" i="1"/>
  <c r="AM975" i="1"/>
  <c r="AL975" i="1"/>
  <c r="AK975" i="1"/>
  <c r="AJ975" i="1"/>
  <c r="AI975" i="1"/>
  <c r="AH975" i="1"/>
  <c r="AG975" i="1"/>
  <c r="AF975" i="1"/>
  <c r="AE975" i="1"/>
  <c r="BK974" i="1"/>
  <c r="BJ974" i="1"/>
  <c r="BI974" i="1"/>
  <c r="BH974" i="1"/>
  <c r="BG974" i="1"/>
  <c r="BF974" i="1"/>
  <c r="BE974" i="1"/>
  <c r="BD974" i="1"/>
  <c r="BC974" i="1"/>
  <c r="BB974" i="1"/>
  <c r="BA974" i="1"/>
  <c r="AZ974" i="1"/>
  <c r="AY974" i="1"/>
  <c r="AX974" i="1"/>
  <c r="AW974" i="1"/>
  <c r="AV974" i="1"/>
  <c r="AU974" i="1"/>
  <c r="AT974" i="1"/>
  <c r="AS974" i="1"/>
  <c r="AR974" i="1"/>
  <c r="AQ974" i="1"/>
  <c r="AP974" i="1"/>
  <c r="AO974" i="1"/>
  <c r="AN974" i="1"/>
  <c r="AM974" i="1"/>
  <c r="AL974" i="1"/>
  <c r="AK974" i="1"/>
  <c r="AJ974" i="1"/>
  <c r="AI974" i="1"/>
  <c r="AI973" i="1" s="1"/>
  <c r="AH974" i="1"/>
  <c r="AG974" i="1"/>
  <c r="AF974" i="1"/>
  <c r="AE974" i="1"/>
  <c r="BK972" i="1"/>
  <c r="BJ972" i="1"/>
  <c r="BI972" i="1"/>
  <c r="BH972" i="1"/>
  <c r="BG972" i="1"/>
  <c r="BF972" i="1"/>
  <c r="BE972" i="1"/>
  <c r="BD972" i="1"/>
  <c r="BC972" i="1"/>
  <c r="BB972" i="1"/>
  <c r="BA972" i="1"/>
  <c r="AZ972" i="1"/>
  <c r="AY972" i="1"/>
  <c r="AX972" i="1"/>
  <c r="AW972" i="1"/>
  <c r="AV972" i="1"/>
  <c r="AU972" i="1"/>
  <c r="AT972" i="1"/>
  <c r="AS972" i="1"/>
  <c r="AR972" i="1"/>
  <c r="AQ972" i="1"/>
  <c r="AP972" i="1"/>
  <c r="AO972" i="1"/>
  <c r="AN972" i="1"/>
  <c r="AM972" i="1"/>
  <c r="AL972" i="1"/>
  <c r="AK972" i="1"/>
  <c r="AJ972" i="1"/>
  <c r="AI972" i="1"/>
  <c r="AH972" i="1"/>
  <c r="AG972" i="1"/>
  <c r="AF972" i="1"/>
  <c r="AE972" i="1"/>
  <c r="BK971" i="1"/>
  <c r="BJ971" i="1"/>
  <c r="BI971" i="1"/>
  <c r="BH971" i="1"/>
  <c r="BG971" i="1"/>
  <c r="BF971" i="1"/>
  <c r="BE971" i="1"/>
  <c r="BD971" i="1"/>
  <c r="BC971" i="1"/>
  <c r="BB971" i="1"/>
  <c r="BA971" i="1"/>
  <c r="AZ971" i="1"/>
  <c r="AY971" i="1"/>
  <c r="AX971" i="1"/>
  <c r="AW971" i="1"/>
  <c r="AV971" i="1"/>
  <c r="AU971" i="1"/>
  <c r="AT971" i="1"/>
  <c r="AS971" i="1"/>
  <c r="AR971" i="1"/>
  <c r="AQ971" i="1"/>
  <c r="AP971" i="1"/>
  <c r="AO971" i="1"/>
  <c r="AN971" i="1"/>
  <c r="AM971" i="1"/>
  <c r="AL971" i="1"/>
  <c r="AK971" i="1"/>
  <c r="AJ971" i="1"/>
  <c r="AI971" i="1"/>
  <c r="AH971" i="1"/>
  <c r="AG971" i="1"/>
  <c r="AF971" i="1"/>
  <c r="AE971" i="1"/>
  <c r="BK970" i="1"/>
  <c r="BJ970" i="1"/>
  <c r="BI970" i="1"/>
  <c r="BH970" i="1"/>
  <c r="BG970" i="1"/>
  <c r="BF970" i="1"/>
  <c r="BE970" i="1"/>
  <c r="BD970" i="1"/>
  <c r="BC970" i="1"/>
  <c r="BB970" i="1"/>
  <c r="BA970" i="1"/>
  <c r="AZ970" i="1"/>
  <c r="AY970" i="1"/>
  <c r="AX970" i="1"/>
  <c r="AW970" i="1"/>
  <c r="AV970" i="1"/>
  <c r="AU970" i="1"/>
  <c r="AT970" i="1"/>
  <c r="AS970" i="1"/>
  <c r="AR970" i="1"/>
  <c r="AQ970" i="1"/>
  <c r="AP970" i="1"/>
  <c r="AO970" i="1"/>
  <c r="AN970" i="1"/>
  <c r="AM970" i="1"/>
  <c r="AL970" i="1"/>
  <c r="AK970" i="1"/>
  <c r="AJ970" i="1"/>
  <c r="AI970" i="1"/>
  <c r="AH970" i="1"/>
  <c r="AG970" i="1"/>
  <c r="AF970" i="1"/>
  <c r="AE970" i="1"/>
  <c r="BK969" i="1"/>
  <c r="BJ969" i="1"/>
  <c r="BI969" i="1"/>
  <c r="BH969" i="1"/>
  <c r="BG969" i="1"/>
  <c r="BF969" i="1"/>
  <c r="BE969" i="1"/>
  <c r="BD969" i="1"/>
  <c r="BC969" i="1"/>
  <c r="BB969" i="1"/>
  <c r="BA969" i="1"/>
  <c r="AZ969" i="1"/>
  <c r="AY969" i="1"/>
  <c r="AX969" i="1"/>
  <c r="AW969" i="1"/>
  <c r="AV969" i="1"/>
  <c r="AU969" i="1"/>
  <c r="AT969" i="1"/>
  <c r="AS969" i="1"/>
  <c r="AR969" i="1"/>
  <c r="AQ969" i="1"/>
  <c r="AP969" i="1"/>
  <c r="AO969" i="1"/>
  <c r="AN969" i="1"/>
  <c r="AM969" i="1"/>
  <c r="AL969" i="1"/>
  <c r="AK969" i="1"/>
  <c r="AJ969" i="1"/>
  <c r="AI969" i="1"/>
  <c r="AH969" i="1"/>
  <c r="AG969" i="1"/>
  <c r="AF969" i="1"/>
  <c r="AE969" i="1"/>
  <c r="BK968" i="1"/>
  <c r="BJ968" i="1"/>
  <c r="BI968" i="1"/>
  <c r="BH968" i="1"/>
  <c r="BG968" i="1"/>
  <c r="BF968" i="1"/>
  <c r="BE968" i="1"/>
  <c r="BD968" i="1"/>
  <c r="BC968" i="1"/>
  <c r="BB968" i="1"/>
  <c r="BA968" i="1"/>
  <c r="AX968" i="1"/>
  <c r="AV968" i="1"/>
  <c r="AU968" i="1"/>
  <c r="AT968" i="1"/>
  <c r="AS968" i="1"/>
  <c r="AR968" i="1"/>
  <c r="AQ968" i="1"/>
  <c r="AP968" i="1"/>
  <c r="AO968" i="1"/>
  <c r="AN968" i="1"/>
  <c r="AM968" i="1"/>
  <c r="AL968" i="1"/>
  <c r="AK968" i="1"/>
  <c r="AJ968" i="1"/>
  <c r="AI968" i="1"/>
  <c r="AH968" i="1"/>
  <c r="AG968" i="1"/>
  <c r="AF968" i="1"/>
  <c r="AE968" i="1"/>
  <c r="BK967" i="1"/>
  <c r="BJ967" i="1"/>
  <c r="BI967" i="1"/>
  <c r="BH967" i="1"/>
  <c r="BG967" i="1"/>
  <c r="BF967" i="1"/>
  <c r="BD967" i="1"/>
  <c r="BB967" i="1"/>
  <c r="BA967" i="1"/>
  <c r="AZ967" i="1"/>
  <c r="AY967" i="1"/>
  <c r="AX967" i="1"/>
  <c r="AW967" i="1"/>
  <c r="AU967" i="1"/>
  <c r="AS967" i="1"/>
  <c r="AR967" i="1"/>
  <c r="AQ967" i="1"/>
  <c r="AP967" i="1"/>
  <c r="AO967" i="1"/>
  <c r="AN967" i="1"/>
  <c r="AM967" i="1"/>
  <c r="AL967" i="1"/>
  <c r="AK967" i="1"/>
  <c r="AI967" i="1"/>
  <c r="AG967" i="1"/>
  <c r="AF967" i="1"/>
  <c r="AE967" i="1"/>
  <c r="BK966" i="1"/>
  <c r="BJ966" i="1"/>
  <c r="BI966" i="1"/>
  <c r="BH966" i="1"/>
  <c r="BG966" i="1"/>
  <c r="BF966" i="1"/>
  <c r="BD966" i="1"/>
  <c r="BA966" i="1"/>
  <c r="AX966" i="1"/>
  <c r="AU966" i="1"/>
  <c r="AT966" i="1"/>
  <c r="AS966" i="1"/>
  <c r="AR966" i="1"/>
  <c r="AQ966" i="1"/>
  <c r="AP966" i="1"/>
  <c r="AO966" i="1"/>
  <c r="AN966" i="1"/>
  <c r="AM966" i="1"/>
  <c r="AL966" i="1"/>
  <c r="AK966" i="1"/>
  <c r="AI966" i="1"/>
  <c r="AG966" i="1"/>
  <c r="AF966" i="1"/>
  <c r="AE966" i="1"/>
  <c r="BK965" i="1"/>
  <c r="BJ965" i="1"/>
  <c r="BI965" i="1"/>
  <c r="BH965" i="1"/>
  <c r="BG965" i="1"/>
  <c r="BF965" i="1"/>
  <c r="BE965" i="1"/>
  <c r="BD965" i="1"/>
  <c r="BC965" i="1"/>
  <c r="BB965" i="1"/>
  <c r="BA965" i="1"/>
  <c r="AZ965" i="1"/>
  <c r="AY965" i="1"/>
  <c r="AX965" i="1"/>
  <c r="AW965" i="1"/>
  <c r="AV965" i="1"/>
  <c r="AU965" i="1"/>
  <c r="AT965" i="1"/>
  <c r="AS965" i="1"/>
  <c r="AR965" i="1"/>
  <c r="AQ965" i="1"/>
  <c r="AP965" i="1"/>
  <c r="AO965" i="1"/>
  <c r="AN965" i="1"/>
  <c r="AM965" i="1"/>
  <c r="AL965" i="1"/>
  <c r="AK965" i="1"/>
  <c r="AJ965" i="1"/>
  <c r="AI965" i="1"/>
  <c r="AH965" i="1"/>
  <c r="AG965" i="1"/>
  <c r="AF965" i="1"/>
  <c r="AE965" i="1"/>
  <c r="BK964" i="1"/>
  <c r="BJ964" i="1"/>
  <c r="BI964" i="1"/>
  <c r="BH964" i="1"/>
  <c r="BG964" i="1"/>
  <c r="BF964" i="1"/>
  <c r="BE964" i="1"/>
  <c r="BD964" i="1"/>
  <c r="BC964" i="1"/>
  <c r="BB964" i="1"/>
  <c r="BA964" i="1"/>
  <c r="AZ964" i="1"/>
  <c r="AY964" i="1"/>
  <c r="AX964" i="1"/>
  <c r="AW964" i="1"/>
  <c r="AV964" i="1"/>
  <c r="AU964" i="1"/>
  <c r="AT964" i="1"/>
  <c r="AS964" i="1"/>
  <c r="AR964" i="1"/>
  <c r="AQ964" i="1"/>
  <c r="AP964" i="1"/>
  <c r="AO964" i="1"/>
  <c r="AN964" i="1"/>
  <c r="AM964" i="1"/>
  <c r="AL964" i="1"/>
  <c r="AK964" i="1"/>
  <c r="AJ964" i="1"/>
  <c r="AI964" i="1"/>
  <c r="AH964" i="1"/>
  <c r="AG964" i="1"/>
  <c r="AF964" i="1"/>
  <c r="AE964" i="1"/>
  <c r="BK963" i="1"/>
  <c r="BJ963" i="1"/>
  <c r="BI963" i="1"/>
  <c r="BH963" i="1"/>
  <c r="BG963" i="1"/>
  <c r="BF963" i="1"/>
  <c r="BE963" i="1"/>
  <c r="BD963" i="1"/>
  <c r="BA963" i="1"/>
  <c r="AY963" i="1"/>
  <c r="AX963" i="1"/>
  <c r="AW963" i="1"/>
  <c r="AV963" i="1"/>
  <c r="AU963" i="1"/>
  <c r="AT963" i="1"/>
  <c r="AS963" i="1"/>
  <c r="AR963" i="1"/>
  <c r="AQ963" i="1"/>
  <c r="AP963" i="1"/>
  <c r="AO963" i="1"/>
  <c r="AN963" i="1"/>
  <c r="AM963" i="1"/>
  <c r="AL963" i="1"/>
  <c r="AK963" i="1"/>
  <c r="AJ963" i="1"/>
  <c r="AI963" i="1"/>
  <c r="AH963" i="1"/>
  <c r="AG963" i="1"/>
  <c r="AF963" i="1"/>
  <c r="AE963" i="1"/>
  <c r="BK962" i="1"/>
  <c r="BJ962" i="1"/>
  <c r="BI962" i="1"/>
  <c r="BH962" i="1"/>
  <c r="BG962" i="1"/>
  <c r="BF962" i="1"/>
  <c r="BE962" i="1"/>
  <c r="BD962" i="1"/>
  <c r="BC962" i="1"/>
  <c r="BB962" i="1"/>
  <c r="BA962" i="1"/>
  <c r="AZ962" i="1"/>
  <c r="AY962" i="1"/>
  <c r="AX962" i="1"/>
  <c r="AW962" i="1"/>
  <c r="AV962" i="1"/>
  <c r="AU962" i="1"/>
  <c r="AT962" i="1"/>
  <c r="AS962" i="1"/>
  <c r="AR962" i="1"/>
  <c r="AQ962" i="1"/>
  <c r="AP962" i="1"/>
  <c r="AO962" i="1"/>
  <c r="AN962" i="1"/>
  <c r="AM962" i="1"/>
  <c r="AL962" i="1"/>
  <c r="AK962" i="1"/>
  <c r="AJ962" i="1"/>
  <c r="AI962" i="1"/>
  <c r="AH962" i="1"/>
  <c r="AG962" i="1"/>
  <c r="AF962" i="1"/>
  <c r="AE962" i="1"/>
  <c r="BK961" i="1"/>
  <c r="BJ961" i="1"/>
  <c r="BI961" i="1"/>
  <c r="BH961" i="1"/>
  <c r="BG961" i="1"/>
  <c r="BF961" i="1"/>
  <c r="BE961" i="1"/>
  <c r="BD961" i="1"/>
  <c r="BC961" i="1"/>
  <c r="BB961" i="1"/>
  <c r="BA961" i="1"/>
  <c r="AZ961" i="1"/>
  <c r="AY961" i="1"/>
  <c r="AX961" i="1"/>
  <c r="AW961" i="1"/>
  <c r="AV961" i="1"/>
  <c r="AU961" i="1"/>
  <c r="AT961" i="1"/>
  <c r="AS961" i="1"/>
  <c r="AR961" i="1"/>
  <c r="AQ961" i="1"/>
  <c r="AP961" i="1"/>
  <c r="AO961" i="1"/>
  <c r="AN961" i="1"/>
  <c r="AM961" i="1"/>
  <c r="AL961" i="1"/>
  <c r="AK961" i="1"/>
  <c r="AJ961" i="1"/>
  <c r="AI961" i="1"/>
  <c r="AH961" i="1"/>
  <c r="AG961" i="1"/>
  <c r="AF961" i="1"/>
  <c r="AE961" i="1"/>
  <c r="BK960" i="1"/>
  <c r="BJ960" i="1"/>
  <c r="BI960" i="1"/>
  <c r="BH960" i="1"/>
  <c r="BG960" i="1"/>
  <c r="BF960" i="1"/>
  <c r="BE960" i="1"/>
  <c r="BD960" i="1"/>
  <c r="BC960" i="1"/>
  <c r="BB960" i="1"/>
  <c r="BA960" i="1"/>
  <c r="AZ960" i="1"/>
  <c r="AY960" i="1"/>
  <c r="AX960" i="1"/>
  <c r="AW960" i="1"/>
  <c r="AV960" i="1"/>
  <c r="AU960" i="1"/>
  <c r="AT960" i="1"/>
  <c r="AS960" i="1"/>
  <c r="AR960" i="1"/>
  <c r="AQ960" i="1"/>
  <c r="AP960" i="1"/>
  <c r="AO960" i="1"/>
  <c r="AN960" i="1"/>
  <c r="AM960" i="1"/>
  <c r="AL960" i="1"/>
  <c r="AK960" i="1"/>
  <c r="AJ960" i="1"/>
  <c r="AI960" i="1"/>
  <c r="AH960" i="1"/>
  <c r="AG960" i="1"/>
  <c r="AF960" i="1"/>
  <c r="AE960" i="1"/>
  <c r="BK959" i="1"/>
  <c r="BJ959" i="1"/>
  <c r="BI959" i="1"/>
  <c r="BH959" i="1"/>
  <c r="BG959" i="1"/>
  <c r="BF959" i="1"/>
  <c r="BD959" i="1"/>
  <c r="BB959" i="1"/>
  <c r="BA959" i="1"/>
  <c r="AZ959" i="1"/>
  <c r="AY959" i="1"/>
  <c r="AX959" i="1"/>
  <c r="AW959" i="1"/>
  <c r="AV959" i="1"/>
  <c r="AU959" i="1"/>
  <c r="AT959" i="1"/>
  <c r="AS959" i="1"/>
  <c r="AR959" i="1"/>
  <c r="AQ959" i="1"/>
  <c r="AP959" i="1"/>
  <c r="AO959" i="1"/>
  <c r="AN959" i="1"/>
  <c r="AM959" i="1"/>
  <c r="AL959" i="1"/>
  <c r="AK959" i="1"/>
  <c r="AJ959" i="1"/>
  <c r="AI959" i="1"/>
  <c r="AH959" i="1"/>
  <c r="AG959" i="1"/>
  <c r="AE959" i="1"/>
  <c r="BK958" i="1"/>
  <c r="BJ958" i="1"/>
  <c r="BI958" i="1"/>
  <c r="BH958" i="1"/>
  <c r="BG958" i="1"/>
  <c r="BF958" i="1"/>
  <c r="BE958" i="1"/>
  <c r="BD958" i="1"/>
  <c r="BC958" i="1"/>
  <c r="BB958" i="1"/>
  <c r="BA958" i="1"/>
  <c r="AZ958" i="1"/>
  <c r="AY958" i="1"/>
  <c r="AX958" i="1"/>
  <c r="AW958" i="1"/>
  <c r="AV958" i="1"/>
  <c r="AU958" i="1"/>
  <c r="AT958" i="1"/>
  <c r="AS958" i="1"/>
  <c r="AR958" i="1"/>
  <c r="AQ958" i="1"/>
  <c r="AP958" i="1"/>
  <c r="AO958" i="1"/>
  <c r="AN958" i="1"/>
  <c r="AM958" i="1"/>
  <c r="AL958" i="1"/>
  <c r="AK958" i="1"/>
  <c r="AJ958" i="1"/>
  <c r="AI958" i="1"/>
  <c r="AH958" i="1"/>
  <c r="AG958" i="1"/>
  <c r="AF958" i="1"/>
  <c r="AE958" i="1"/>
  <c r="BK957" i="1"/>
  <c r="BJ957" i="1"/>
  <c r="BI957" i="1"/>
  <c r="BH957" i="1"/>
  <c r="BG957" i="1"/>
  <c r="BF957" i="1"/>
  <c r="BE957" i="1"/>
  <c r="BD957" i="1"/>
  <c r="BC957" i="1"/>
  <c r="BB957" i="1"/>
  <c r="BA957" i="1"/>
  <c r="AZ957" i="1"/>
  <c r="AY957" i="1"/>
  <c r="AX957" i="1"/>
  <c r="AW957" i="1"/>
  <c r="AV957" i="1"/>
  <c r="AU957" i="1"/>
  <c r="AT957" i="1"/>
  <c r="AR957" i="1"/>
  <c r="AQ957" i="1"/>
  <c r="AP957" i="1"/>
  <c r="AO957" i="1"/>
  <c r="AN957" i="1"/>
  <c r="AM957" i="1"/>
  <c r="AL957" i="1"/>
  <c r="AK957" i="1"/>
  <c r="AJ957" i="1"/>
  <c r="AI957" i="1"/>
  <c r="AG957" i="1"/>
  <c r="AF957" i="1"/>
  <c r="AE957" i="1"/>
  <c r="BK956" i="1"/>
  <c r="BJ956" i="1"/>
  <c r="BI956" i="1"/>
  <c r="BH956" i="1"/>
  <c r="BG956" i="1"/>
  <c r="BF956" i="1"/>
  <c r="BE956" i="1"/>
  <c r="BD956" i="1"/>
  <c r="BC956" i="1"/>
  <c r="BB956" i="1"/>
  <c r="BA956" i="1"/>
  <c r="AZ956" i="1"/>
  <c r="AY956" i="1"/>
  <c r="AX956" i="1"/>
  <c r="AW956" i="1"/>
  <c r="AV956" i="1"/>
  <c r="AU956" i="1"/>
  <c r="AT956" i="1"/>
  <c r="AS956" i="1"/>
  <c r="AR956" i="1"/>
  <c r="AQ956" i="1"/>
  <c r="AP956" i="1"/>
  <c r="AO956" i="1"/>
  <c r="AN956" i="1"/>
  <c r="AM956" i="1"/>
  <c r="AL956" i="1"/>
  <c r="AK956" i="1"/>
  <c r="AJ956" i="1"/>
  <c r="AI956" i="1"/>
  <c r="AH956" i="1"/>
  <c r="AG956" i="1"/>
  <c r="AF956" i="1"/>
  <c r="AE956" i="1"/>
  <c r="BK955" i="1"/>
  <c r="BJ955" i="1"/>
  <c r="BI955" i="1"/>
  <c r="BH955" i="1"/>
  <c r="BG955" i="1"/>
  <c r="BF955" i="1"/>
  <c r="BE955" i="1"/>
  <c r="BD955" i="1"/>
  <c r="BC955" i="1"/>
  <c r="BB955" i="1"/>
  <c r="BA955" i="1"/>
  <c r="AZ955" i="1"/>
  <c r="AY955" i="1"/>
  <c r="AX955" i="1"/>
  <c r="AW955" i="1"/>
  <c r="AV955" i="1"/>
  <c r="AU955" i="1"/>
  <c r="AT955" i="1"/>
  <c r="AS955" i="1"/>
  <c r="AR955" i="1"/>
  <c r="AQ955" i="1"/>
  <c r="AP955" i="1"/>
  <c r="AO955" i="1"/>
  <c r="AN955" i="1"/>
  <c r="AM955" i="1"/>
  <c r="AL955" i="1"/>
  <c r="AK955" i="1"/>
  <c r="AJ955" i="1"/>
  <c r="AI955" i="1"/>
  <c r="AH955" i="1"/>
  <c r="AG955" i="1"/>
  <c r="AF955" i="1"/>
  <c r="AE955" i="1"/>
  <c r="BK954" i="1"/>
  <c r="BJ954" i="1"/>
  <c r="BI954" i="1"/>
  <c r="BH954" i="1"/>
  <c r="BG954" i="1"/>
  <c r="BF954" i="1"/>
  <c r="BE954" i="1"/>
  <c r="BD954" i="1"/>
  <c r="BC954" i="1"/>
  <c r="BB954" i="1"/>
  <c r="BA954" i="1"/>
  <c r="AZ954" i="1"/>
  <c r="AY954" i="1"/>
  <c r="AX954" i="1"/>
  <c r="AW954" i="1"/>
  <c r="AV954" i="1"/>
  <c r="AU954" i="1"/>
  <c r="AT954" i="1"/>
  <c r="AS954" i="1"/>
  <c r="AR954" i="1"/>
  <c r="AQ954" i="1"/>
  <c r="AP954" i="1"/>
  <c r="AO954" i="1"/>
  <c r="AN954" i="1"/>
  <c r="AM954" i="1"/>
  <c r="AL954" i="1"/>
  <c r="AK954" i="1"/>
  <c r="AJ954" i="1"/>
  <c r="AI954" i="1"/>
  <c r="AH954" i="1"/>
  <c r="AG954" i="1"/>
  <c r="AF954" i="1"/>
  <c r="AE954" i="1"/>
  <c r="BK953" i="1"/>
  <c r="BJ953" i="1"/>
  <c r="BI953" i="1"/>
  <c r="BH953" i="1"/>
  <c r="BG953" i="1"/>
  <c r="BF953" i="1"/>
  <c r="BE953" i="1"/>
  <c r="BD953" i="1"/>
  <c r="BC953" i="1"/>
  <c r="BB953" i="1"/>
  <c r="BA953" i="1"/>
  <c r="AZ953" i="1"/>
  <c r="AY953" i="1"/>
  <c r="AX953" i="1"/>
  <c r="AW953" i="1"/>
  <c r="AV953" i="1"/>
  <c r="AU953" i="1"/>
  <c r="AT953" i="1"/>
  <c r="AS953" i="1"/>
  <c r="AR953" i="1"/>
  <c r="AQ953" i="1"/>
  <c r="AP953" i="1"/>
  <c r="AO953" i="1"/>
  <c r="AN953" i="1"/>
  <c r="AM953" i="1"/>
  <c r="AL953" i="1"/>
  <c r="AK953" i="1"/>
  <c r="AJ953" i="1"/>
  <c r="AI953" i="1"/>
  <c r="AH953" i="1"/>
  <c r="AG953" i="1"/>
  <c r="AF953" i="1"/>
  <c r="AE953" i="1"/>
  <c r="BK952" i="1"/>
  <c r="BJ952" i="1"/>
  <c r="BI952" i="1"/>
  <c r="BH952" i="1"/>
  <c r="BG952" i="1"/>
  <c r="BF952" i="1"/>
  <c r="BE952" i="1"/>
  <c r="BD952" i="1"/>
  <c r="BC952" i="1"/>
  <c r="BB952" i="1"/>
  <c r="BA952" i="1"/>
  <c r="AZ952" i="1"/>
  <c r="AY952" i="1"/>
  <c r="AX952" i="1"/>
  <c r="AW952" i="1"/>
  <c r="AV952" i="1"/>
  <c r="AU952" i="1"/>
  <c r="AT952" i="1"/>
  <c r="AS952" i="1"/>
  <c r="AR952" i="1"/>
  <c r="AQ952" i="1"/>
  <c r="AP952" i="1"/>
  <c r="AO952" i="1"/>
  <c r="AN952" i="1"/>
  <c r="AM952" i="1"/>
  <c r="AL952" i="1"/>
  <c r="AK952" i="1"/>
  <c r="AI952" i="1"/>
  <c r="AH952" i="1"/>
  <c r="AG952" i="1"/>
  <c r="AF952" i="1"/>
  <c r="AE952" i="1"/>
  <c r="BK951" i="1"/>
  <c r="BJ951" i="1"/>
  <c r="BI951" i="1"/>
  <c r="BH951" i="1"/>
  <c r="BG951" i="1"/>
  <c r="BF951" i="1"/>
  <c r="BD951" i="1"/>
  <c r="BC951" i="1"/>
  <c r="BA951" i="1"/>
  <c r="AZ951" i="1"/>
  <c r="AY951" i="1"/>
  <c r="AX951" i="1"/>
  <c r="AW951" i="1"/>
  <c r="AV951" i="1"/>
  <c r="AU951" i="1"/>
  <c r="AS951" i="1"/>
  <c r="AR951" i="1"/>
  <c r="AQ951" i="1"/>
  <c r="AP951" i="1"/>
  <c r="AO951" i="1"/>
  <c r="AN951" i="1"/>
  <c r="AM951" i="1"/>
  <c r="AL951" i="1"/>
  <c r="AK951" i="1"/>
  <c r="AJ951" i="1"/>
  <c r="AI951" i="1"/>
  <c r="AH951" i="1"/>
  <c r="AG951" i="1"/>
  <c r="AF951" i="1"/>
  <c r="AE951" i="1"/>
  <c r="BK950" i="1"/>
  <c r="BJ950" i="1"/>
  <c r="BI950" i="1"/>
  <c r="BH950" i="1"/>
  <c r="BG950" i="1"/>
  <c r="BF950" i="1"/>
  <c r="BE950" i="1"/>
  <c r="BD950" i="1"/>
  <c r="BC950" i="1"/>
  <c r="BB950" i="1"/>
  <c r="BA950" i="1"/>
  <c r="AZ950" i="1"/>
  <c r="AY950" i="1"/>
  <c r="AX950" i="1"/>
  <c r="AW950" i="1"/>
  <c r="AV950" i="1"/>
  <c r="AU950" i="1"/>
  <c r="AT950" i="1"/>
  <c r="AS950" i="1"/>
  <c r="AR950" i="1"/>
  <c r="AQ950" i="1"/>
  <c r="AP950" i="1"/>
  <c r="AO950" i="1"/>
  <c r="AN950" i="1"/>
  <c r="AM950" i="1"/>
  <c r="AL950" i="1"/>
  <c r="AK950" i="1"/>
  <c r="AJ950" i="1"/>
  <c r="AI950" i="1"/>
  <c r="AH950" i="1"/>
  <c r="AG950" i="1"/>
  <c r="AF950" i="1"/>
  <c r="AE950" i="1"/>
  <c r="BK949" i="1"/>
  <c r="BJ949" i="1"/>
  <c r="BI949" i="1"/>
  <c r="BH949" i="1"/>
  <c r="BG949" i="1"/>
  <c r="BF949" i="1"/>
  <c r="BE949" i="1"/>
  <c r="BD949" i="1"/>
  <c r="BC949" i="1"/>
  <c r="BB949" i="1"/>
  <c r="BA949" i="1"/>
  <c r="AZ949" i="1"/>
  <c r="AY949" i="1"/>
  <c r="AX949" i="1"/>
  <c r="AW949" i="1"/>
  <c r="AV949" i="1"/>
  <c r="AU949" i="1"/>
  <c r="AT949" i="1"/>
  <c r="AS949" i="1"/>
  <c r="AR949" i="1"/>
  <c r="AQ949" i="1"/>
  <c r="AO949" i="1"/>
  <c r="AM949" i="1"/>
  <c r="AL949" i="1"/>
  <c r="AK949" i="1"/>
  <c r="AJ949" i="1"/>
  <c r="AI949" i="1"/>
  <c r="AH949" i="1"/>
  <c r="AG949" i="1"/>
  <c r="AF949" i="1"/>
  <c r="AE949" i="1"/>
  <c r="BK948" i="1"/>
  <c r="BJ948" i="1"/>
  <c r="BI948" i="1"/>
  <c r="BH948" i="1"/>
  <c r="BG948" i="1"/>
  <c r="BF948" i="1"/>
  <c r="BE948" i="1"/>
  <c r="BD948" i="1"/>
  <c r="BC948" i="1"/>
  <c r="BB948" i="1"/>
  <c r="BA948" i="1"/>
  <c r="AZ948" i="1"/>
  <c r="AY948" i="1"/>
  <c r="AX948" i="1"/>
  <c r="AW948" i="1"/>
  <c r="AV948" i="1"/>
  <c r="AU948" i="1"/>
  <c r="AT948" i="1"/>
  <c r="AS948" i="1"/>
  <c r="AR948" i="1"/>
  <c r="AQ948" i="1"/>
  <c r="AP948" i="1"/>
  <c r="AO948" i="1"/>
  <c r="AN948" i="1"/>
  <c r="AM948" i="1"/>
  <c r="AL948" i="1"/>
  <c r="AK948" i="1"/>
  <c r="AJ948" i="1"/>
  <c r="AI948" i="1"/>
  <c r="AH948" i="1"/>
  <c r="AG948" i="1"/>
  <c r="AF948" i="1"/>
  <c r="AE948" i="1"/>
  <c r="BK947" i="1"/>
  <c r="BJ947" i="1"/>
  <c r="BH947" i="1"/>
  <c r="BG947" i="1"/>
  <c r="BF947" i="1"/>
  <c r="BD947" i="1"/>
  <c r="BA947" i="1"/>
  <c r="AY947" i="1"/>
  <c r="AX947" i="1"/>
  <c r="AW947" i="1"/>
  <c r="AV947" i="1"/>
  <c r="AU947" i="1"/>
  <c r="AS947" i="1"/>
  <c r="AR947" i="1"/>
  <c r="AQ947" i="1"/>
  <c r="AO947" i="1"/>
  <c r="AN947" i="1"/>
  <c r="AM947" i="1"/>
  <c r="AL947" i="1"/>
  <c r="AK947" i="1"/>
  <c r="AJ947" i="1"/>
  <c r="AI947" i="1"/>
  <c r="AH947" i="1"/>
  <c r="AG947" i="1"/>
  <c r="AF947" i="1"/>
  <c r="AE947" i="1"/>
  <c r="BK946" i="1"/>
  <c r="BJ946" i="1"/>
  <c r="BI946" i="1"/>
  <c r="BH946" i="1"/>
  <c r="BG946" i="1"/>
  <c r="BF946" i="1"/>
  <c r="BE946" i="1"/>
  <c r="BD946" i="1"/>
  <c r="BB946" i="1"/>
  <c r="BA946" i="1"/>
  <c r="AZ946" i="1"/>
  <c r="AY946" i="1"/>
  <c r="AX946" i="1"/>
  <c r="AW946" i="1"/>
  <c r="AV946" i="1"/>
  <c r="AU946" i="1"/>
  <c r="AT946" i="1"/>
  <c r="AS946" i="1"/>
  <c r="AR946" i="1"/>
  <c r="AQ946" i="1"/>
  <c r="AP946" i="1"/>
  <c r="AO946" i="1"/>
  <c r="AN946" i="1"/>
  <c r="AM946" i="1"/>
  <c r="AL946" i="1"/>
  <c r="AK946" i="1"/>
  <c r="AJ946" i="1"/>
  <c r="AI946" i="1"/>
  <c r="AH946" i="1"/>
  <c r="AG946" i="1"/>
  <c r="AF946" i="1"/>
  <c r="AE946" i="1"/>
  <c r="BK945" i="1"/>
  <c r="BJ945" i="1"/>
  <c r="BI945" i="1"/>
  <c r="BH945" i="1"/>
  <c r="BG945" i="1"/>
  <c r="BF945" i="1"/>
  <c r="BE945" i="1"/>
  <c r="BD945" i="1"/>
  <c r="BC945" i="1"/>
  <c r="BB945" i="1"/>
  <c r="BA945" i="1"/>
  <c r="AZ945" i="1"/>
  <c r="AY945" i="1"/>
  <c r="AX945" i="1"/>
  <c r="AW945" i="1"/>
  <c r="AV945" i="1"/>
  <c r="AU945" i="1"/>
  <c r="AT945" i="1"/>
  <c r="AS945" i="1"/>
  <c r="AR945" i="1"/>
  <c r="AQ945" i="1"/>
  <c r="AP945" i="1"/>
  <c r="AO945" i="1"/>
  <c r="AN945" i="1"/>
  <c r="AM945" i="1"/>
  <c r="AL945" i="1"/>
  <c r="AK945" i="1"/>
  <c r="AJ945" i="1"/>
  <c r="AI945" i="1"/>
  <c r="AH945" i="1"/>
  <c r="AG945" i="1"/>
  <c r="AF945" i="1"/>
  <c r="AE945" i="1"/>
  <c r="BK944" i="1"/>
  <c r="BJ944" i="1"/>
  <c r="BI944" i="1"/>
  <c r="BH944" i="1"/>
  <c r="BG944" i="1"/>
  <c r="BF944" i="1"/>
  <c r="BE944" i="1"/>
  <c r="BD944" i="1"/>
  <c r="BC944" i="1"/>
  <c r="BB944" i="1"/>
  <c r="BA944" i="1"/>
  <c r="AZ944" i="1"/>
  <c r="AX944" i="1"/>
  <c r="AV944" i="1"/>
  <c r="AU944" i="1"/>
  <c r="AT944" i="1"/>
  <c r="AS944" i="1"/>
  <c r="AR944" i="1"/>
  <c r="AQ944" i="1"/>
  <c r="AP944" i="1"/>
  <c r="AO944" i="1"/>
  <c r="AN944" i="1"/>
  <c r="AM944" i="1"/>
  <c r="AL944" i="1"/>
  <c r="AK944" i="1"/>
  <c r="AJ944" i="1"/>
  <c r="AI944" i="1"/>
  <c r="AH944" i="1"/>
  <c r="AG944" i="1"/>
  <c r="AF944" i="1"/>
  <c r="AE944" i="1"/>
  <c r="BK943" i="1"/>
  <c r="BJ943" i="1"/>
  <c r="BI943" i="1"/>
  <c r="BH943" i="1"/>
  <c r="BG943" i="1"/>
  <c r="BF943" i="1"/>
  <c r="BE943" i="1"/>
  <c r="BD943" i="1"/>
  <c r="BC943" i="1"/>
  <c r="BB943" i="1"/>
  <c r="BA943" i="1"/>
  <c r="AZ943" i="1"/>
  <c r="AY943" i="1"/>
  <c r="AX943" i="1"/>
  <c r="AW943" i="1"/>
  <c r="AV943" i="1"/>
  <c r="AU943" i="1"/>
  <c r="AT943" i="1"/>
  <c r="AS943" i="1"/>
  <c r="AR943" i="1"/>
  <c r="AQ943" i="1"/>
  <c r="AP943" i="1"/>
  <c r="AO943" i="1"/>
  <c r="AN943" i="1"/>
  <c r="AM943" i="1"/>
  <c r="AL943" i="1"/>
  <c r="AK943" i="1"/>
  <c r="AI943" i="1"/>
  <c r="AG943" i="1"/>
  <c r="AF943" i="1"/>
  <c r="AE943" i="1"/>
  <c r="BK942" i="1"/>
  <c r="BJ942" i="1"/>
  <c r="BI942" i="1"/>
  <c r="BH942" i="1"/>
  <c r="BG942" i="1"/>
  <c r="BF942" i="1"/>
  <c r="BE942" i="1"/>
  <c r="BD942" i="1"/>
  <c r="BC942" i="1"/>
  <c r="BB942" i="1"/>
  <c r="BA942" i="1"/>
  <c r="AZ942" i="1"/>
  <c r="AY942" i="1"/>
  <c r="AX942" i="1"/>
  <c r="AW942" i="1"/>
  <c r="AV942" i="1"/>
  <c r="AU942" i="1"/>
  <c r="AT942" i="1"/>
  <c r="AS942" i="1"/>
  <c r="AR942" i="1"/>
  <c r="AQ942" i="1"/>
  <c r="AP942" i="1"/>
  <c r="AO942" i="1"/>
  <c r="AN942" i="1"/>
  <c r="AM942" i="1"/>
  <c r="AL942" i="1"/>
  <c r="AK942" i="1"/>
  <c r="AJ942" i="1"/>
  <c r="AI942" i="1"/>
  <c r="AH942" i="1"/>
  <c r="AG942" i="1"/>
  <c r="AF942" i="1"/>
  <c r="AE942" i="1"/>
  <c r="BK941" i="1"/>
  <c r="BJ941" i="1"/>
  <c r="BI941" i="1"/>
  <c r="BH941" i="1"/>
  <c r="BG941" i="1"/>
  <c r="BF941" i="1"/>
  <c r="BE941" i="1"/>
  <c r="BD941" i="1"/>
  <c r="BC941" i="1"/>
  <c r="BB941" i="1"/>
  <c r="BA941" i="1"/>
  <c r="AZ941" i="1"/>
  <c r="AY941" i="1"/>
  <c r="AX941" i="1"/>
  <c r="AW941" i="1"/>
  <c r="AV941" i="1"/>
  <c r="AU941" i="1"/>
  <c r="AT941" i="1"/>
  <c r="AS941" i="1"/>
  <c r="AR941" i="1"/>
  <c r="AQ941" i="1"/>
  <c r="AP941" i="1"/>
  <c r="AO941" i="1"/>
  <c r="AN941" i="1"/>
  <c r="AM941" i="1"/>
  <c r="AL941" i="1"/>
  <c r="AK941" i="1"/>
  <c r="AJ941" i="1"/>
  <c r="AI941" i="1"/>
  <c r="AH941" i="1"/>
  <c r="AG941" i="1"/>
  <c r="AF941" i="1"/>
  <c r="AE941" i="1"/>
  <c r="BK940" i="1"/>
  <c r="BJ940" i="1"/>
  <c r="BI940" i="1"/>
  <c r="BH940" i="1"/>
  <c r="BG940" i="1"/>
  <c r="BF940" i="1"/>
  <c r="BE940" i="1"/>
  <c r="BD940" i="1"/>
  <c r="BB940" i="1"/>
  <c r="BA940" i="1"/>
  <c r="AZ940" i="1"/>
  <c r="AY940" i="1"/>
  <c r="AX940" i="1"/>
  <c r="AW940" i="1"/>
  <c r="AV940" i="1"/>
  <c r="AU940" i="1"/>
  <c r="AT940" i="1"/>
  <c r="AS940" i="1"/>
  <c r="AR940" i="1"/>
  <c r="AQ940" i="1"/>
  <c r="AP940" i="1"/>
  <c r="AO940" i="1"/>
  <c r="AN940" i="1"/>
  <c r="AM940" i="1"/>
  <c r="AL940" i="1"/>
  <c r="AK940" i="1"/>
  <c r="AJ940" i="1"/>
  <c r="AI940" i="1"/>
  <c r="AH940" i="1"/>
  <c r="AG940" i="1"/>
  <c r="AF940" i="1"/>
  <c r="AE940" i="1"/>
  <c r="BK939" i="1"/>
  <c r="BJ939" i="1"/>
  <c r="BI939" i="1"/>
  <c r="BH939" i="1"/>
  <c r="BG939" i="1"/>
  <c r="BF939" i="1"/>
  <c r="BE939" i="1"/>
  <c r="BD939" i="1"/>
  <c r="BB939" i="1"/>
  <c r="BA939" i="1"/>
  <c r="AZ939" i="1"/>
  <c r="AY939" i="1"/>
  <c r="AX939" i="1"/>
  <c r="AW939" i="1"/>
  <c r="AU939" i="1"/>
  <c r="AT939" i="1"/>
  <c r="AS939" i="1"/>
  <c r="AR939" i="1"/>
  <c r="AQ939" i="1"/>
  <c r="AP939" i="1"/>
  <c r="AO939" i="1"/>
  <c r="AN939" i="1"/>
  <c r="AM939" i="1"/>
  <c r="AL939" i="1"/>
  <c r="AK939" i="1"/>
  <c r="AJ939" i="1"/>
  <c r="AI939" i="1"/>
  <c r="AH939" i="1"/>
  <c r="AG939" i="1"/>
  <c r="AF939" i="1"/>
  <c r="AE939" i="1"/>
  <c r="BK938" i="1"/>
  <c r="BJ938" i="1"/>
  <c r="BI938" i="1"/>
  <c r="BH938" i="1"/>
  <c r="BG938" i="1"/>
  <c r="BF938" i="1"/>
  <c r="BE938" i="1"/>
  <c r="BD938" i="1"/>
  <c r="BC938" i="1"/>
  <c r="BB938" i="1"/>
  <c r="BA938" i="1"/>
  <c r="AZ938" i="1"/>
  <c r="AY938" i="1"/>
  <c r="AX938" i="1"/>
  <c r="AW938" i="1"/>
  <c r="AV938" i="1"/>
  <c r="AU938" i="1"/>
  <c r="AT938" i="1"/>
  <c r="AS938" i="1"/>
  <c r="AR938" i="1"/>
  <c r="AQ938" i="1"/>
  <c r="AP938" i="1"/>
  <c r="AO938" i="1"/>
  <c r="AN938" i="1"/>
  <c r="AM938" i="1"/>
  <c r="AL938" i="1"/>
  <c r="AK938" i="1"/>
  <c r="AJ938" i="1"/>
  <c r="AI938" i="1"/>
  <c r="AH938" i="1"/>
  <c r="AG938" i="1"/>
  <c r="AF938" i="1"/>
  <c r="AE938" i="1"/>
  <c r="BK937" i="1"/>
  <c r="BJ937" i="1"/>
  <c r="BI937" i="1"/>
  <c r="BH937" i="1"/>
  <c r="BG937" i="1"/>
  <c r="BF937" i="1"/>
  <c r="BE937" i="1"/>
  <c r="BD937" i="1"/>
  <c r="BC937" i="1"/>
  <c r="BB937" i="1"/>
  <c r="BA937" i="1"/>
  <c r="AZ937" i="1"/>
  <c r="AY937" i="1"/>
  <c r="AX937" i="1"/>
  <c r="AW937" i="1"/>
  <c r="AV937" i="1"/>
  <c r="AU937" i="1"/>
  <c r="AT937" i="1"/>
  <c r="AS937" i="1"/>
  <c r="AR937" i="1"/>
  <c r="AQ937" i="1"/>
  <c r="AP937" i="1"/>
  <c r="AO937" i="1"/>
  <c r="AN937" i="1"/>
  <c r="AM937" i="1"/>
  <c r="AL937" i="1"/>
  <c r="AK937" i="1"/>
  <c r="AJ937" i="1"/>
  <c r="AI937" i="1"/>
  <c r="AH937" i="1"/>
  <c r="AG937" i="1"/>
  <c r="AF937" i="1"/>
  <c r="AE937" i="1"/>
  <c r="BK936" i="1"/>
  <c r="BJ936" i="1"/>
  <c r="BI936" i="1"/>
  <c r="BH936" i="1"/>
  <c r="BG936" i="1"/>
  <c r="BF936" i="1"/>
  <c r="BE936" i="1"/>
  <c r="BD936" i="1"/>
  <c r="BC936" i="1"/>
  <c r="BB936" i="1"/>
  <c r="BA936" i="1"/>
  <c r="AZ936" i="1"/>
  <c r="AY936" i="1"/>
  <c r="AX936" i="1"/>
  <c r="AW936" i="1"/>
  <c r="AV936" i="1"/>
  <c r="AU936" i="1"/>
  <c r="AT936" i="1"/>
  <c r="AS936" i="1"/>
  <c r="AR936" i="1"/>
  <c r="AQ936" i="1"/>
  <c r="AP936" i="1"/>
  <c r="AO936" i="1"/>
  <c r="AN936" i="1"/>
  <c r="AM936" i="1"/>
  <c r="AL936" i="1"/>
  <c r="AK936" i="1"/>
  <c r="AJ936" i="1"/>
  <c r="AI936" i="1"/>
  <c r="AH936" i="1"/>
  <c r="AG936" i="1"/>
  <c r="AF936" i="1"/>
  <c r="AE936" i="1"/>
  <c r="BK935" i="1"/>
  <c r="BJ935" i="1"/>
  <c r="BI935" i="1"/>
  <c r="BH935" i="1"/>
  <c r="BG935" i="1"/>
  <c r="BF935" i="1"/>
  <c r="BE935" i="1"/>
  <c r="BD935" i="1"/>
  <c r="BC935" i="1"/>
  <c r="BB935" i="1"/>
  <c r="BA935" i="1"/>
  <c r="AZ935" i="1"/>
  <c r="AY935" i="1"/>
  <c r="AX935" i="1"/>
  <c r="AW935" i="1"/>
  <c r="AV935" i="1"/>
  <c r="AU935" i="1"/>
  <c r="AT935" i="1"/>
  <c r="AS935" i="1"/>
  <c r="AR935" i="1"/>
  <c r="AQ935" i="1"/>
  <c r="AP935" i="1"/>
  <c r="AN935" i="1"/>
  <c r="AM935" i="1"/>
  <c r="AL935" i="1"/>
  <c r="AK935" i="1"/>
  <c r="AJ935" i="1"/>
  <c r="AI935" i="1"/>
  <c r="AH935" i="1"/>
  <c r="AG935" i="1"/>
  <c r="BP935" i="1" s="1"/>
  <c r="AF935" i="1"/>
  <c r="AE935" i="1"/>
  <c r="BK934" i="1"/>
  <c r="BJ934" i="1"/>
  <c r="BI934" i="1"/>
  <c r="BH934" i="1"/>
  <c r="BG934" i="1"/>
  <c r="BF934" i="1"/>
  <c r="BE934" i="1"/>
  <c r="BD934" i="1"/>
  <c r="BC934" i="1"/>
  <c r="BB934" i="1"/>
  <c r="BA934" i="1"/>
  <c r="AZ934" i="1"/>
  <c r="AX934" i="1"/>
  <c r="AV934" i="1"/>
  <c r="AU934" i="1"/>
  <c r="AT934" i="1"/>
  <c r="AR934" i="1"/>
  <c r="AQ934" i="1"/>
  <c r="AP934" i="1"/>
  <c r="AO934" i="1"/>
  <c r="AN934" i="1"/>
  <c r="AM934" i="1"/>
  <c r="AL934" i="1"/>
  <c r="AK934" i="1"/>
  <c r="AJ934" i="1"/>
  <c r="AI934" i="1"/>
  <c r="AH934" i="1"/>
  <c r="AG934" i="1"/>
  <c r="AF934" i="1"/>
  <c r="AE934" i="1"/>
  <c r="BK933" i="1"/>
  <c r="BJ933" i="1"/>
  <c r="BI933" i="1"/>
  <c r="BH933" i="1"/>
  <c r="BG933" i="1"/>
  <c r="BF933" i="1"/>
  <c r="BE933" i="1"/>
  <c r="BD933" i="1"/>
  <c r="BC933" i="1"/>
  <c r="BB933" i="1"/>
  <c r="BA933" i="1"/>
  <c r="AZ933" i="1"/>
  <c r="AY933" i="1"/>
  <c r="AX933" i="1"/>
  <c r="AW933" i="1"/>
  <c r="AV933" i="1"/>
  <c r="AU933" i="1"/>
  <c r="AT933" i="1"/>
  <c r="AS933" i="1"/>
  <c r="AR933" i="1"/>
  <c r="AQ933" i="1"/>
  <c r="AP933" i="1"/>
  <c r="AO933" i="1"/>
  <c r="AN933" i="1"/>
  <c r="BN933" i="1" s="1"/>
  <c r="AM933" i="1"/>
  <c r="AL933" i="1"/>
  <c r="AK933" i="1"/>
  <c r="AJ933" i="1"/>
  <c r="AI933" i="1"/>
  <c r="AH933" i="1"/>
  <c r="AG933" i="1"/>
  <c r="AF933" i="1"/>
  <c r="BO933" i="1" s="1"/>
  <c r="AE933" i="1"/>
  <c r="BK932" i="1"/>
  <c r="BJ932" i="1"/>
  <c r="BI932" i="1"/>
  <c r="BH932" i="1"/>
  <c r="BG932" i="1"/>
  <c r="BF932" i="1"/>
  <c r="BE932" i="1"/>
  <c r="BD932" i="1"/>
  <c r="BC932" i="1"/>
  <c r="BB932" i="1"/>
  <c r="BA932" i="1"/>
  <c r="AZ932" i="1"/>
  <c r="AY932" i="1"/>
  <c r="AX932" i="1"/>
  <c r="AW932" i="1"/>
  <c r="AV932" i="1"/>
  <c r="AU932" i="1"/>
  <c r="AT932" i="1"/>
  <c r="AS932" i="1"/>
  <c r="AR932" i="1"/>
  <c r="AQ932" i="1"/>
  <c r="AP932" i="1"/>
  <c r="AO932" i="1"/>
  <c r="AN932" i="1"/>
  <c r="AM932" i="1"/>
  <c r="AL932" i="1"/>
  <c r="AK932" i="1"/>
  <c r="AJ932" i="1"/>
  <c r="AI932" i="1"/>
  <c r="AH932" i="1"/>
  <c r="AG932" i="1"/>
  <c r="BP932" i="1" s="1"/>
  <c r="AF932" i="1"/>
  <c r="AE932" i="1"/>
  <c r="BK931" i="1"/>
  <c r="BJ931" i="1"/>
  <c r="BI931" i="1"/>
  <c r="BH931" i="1"/>
  <c r="BG931" i="1"/>
  <c r="BF931" i="1"/>
  <c r="BE931" i="1"/>
  <c r="BD931" i="1"/>
  <c r="BC931" i="1"/>
  <c r="BB931" i="1"/>
  <c r="BA931" i="1"/>
  <c r="AZ931" i="1"/>
  <c r="AY931" i="1"/>
  <c r="AX931" i="1"/>
  <c r="AW931" i="1"/>
  <c r="AV931" i="1"/>
  <c r="AU931" i="1"/>
  <c r="AT931" i="1"/>
  <c r="AS931" i="1"/>
  <c r="AR931" i="1"/>
  <c r="AQ931" i="1"/>
  <c r="AP931" i="1"/>
  <c r="AO931" i="1"/>
  <c r="AN931" i="1"/>
  <c r="AM931" i="1"/>
  <c r="AL931" i="1"/>
  <c r="AK931" i="1"/>
  <c r="AJ931" i="1"/>
  <c r="AI931" i="1"/>
  <c r="AH931" i="1"/>
  <c r="AG931" i="1"/>
  <c r="AF931" i="1"/>
  <c r="AE931" i="1"/>
  <c r="BK930" i="1"/>
  <c r="BJ930" i="1"/>
  <c r="BI930" i="1"/>
  <c r="BH930" i="1"/>
  <c r="BG930" i="1"/>
  <c r="BF930" i="1"/>
  <c r="BE930" i="1"/>
  <c r="BD930" i="1"/>
  <c r="BC930" i="1"/>
  <c r="BB930" i="1"/>
  <c r="BA930" i="1"/>
  <c r="AZ930" i="1"/>
  <c r="AY930" i="1"/>
  <c r="AX930" i="1"/>
  <c r="AW930" i="1"/>
  <c r="AV930" i="1"/>
  <c r="AU930" i="1"/>
  <c r="AT930" i="1"/>
  <c r="AS930" i="1"/>
  <c r="AR930" i="1"/>
  <c r="AQ930" i="1"/>
  <c r="AP930" i="1"/>
  <c r="AO930" i="1"/>
  <c r="AN930" i="1"/>
  <c r="AM930" i="1"/>
  <c r="AL930" i="1"/>
  <c r="AK930" i="1"/>
  <c r="AJ930" i="1"/>
  <c r="AI930" i="1"/>
  <c r="AH930" i="1"/>
  <c r="AG930" i="1"/>
  <c r="AF930" i="1"/>
  <c r="AE930" i="1"/>
  <c r="BK929" i="1"/>
  <c r="BJ929" i="1"/>
  <c r="BI929" i="1"/>
  <c r="BH929" i="1"/>
  <c r="BG929" i="1"/>
  <c r="BF929" i="1"/>
  <c r="BE929" i="1"/>
  <c r="BD929" i="1"/>
  <c r="BC929" i="1"/>
  <c r="BB929" i="1"/>
  <c r="BA929" i="1"/>
  <c r="AZ929" i="1"/>
  <c r="AY929" i="1"/>
  <c r="AX929" i="1"/>
  <c r="AW929" i="1"/>
  <c r="AV929" i="1"/>
  <c r="AU929" i="1"/>
  <c r="AT929" i="1"/>
  <c r="AS929" i="1"/>
  <c r="AR929" i="1"/>
  <c r="AQ929" i="1"/>
  <c r="AP929" i="1"/>
  <c r="AO929" i="1"/>
  <c r="AN929" i="1"/>
  <c r="BN929" i="1" s="1"/>
  <c r="AM929" i="1"/>
  <c r="AL929" i="1"/>
  <c r="AK929" i="1"/>
  <c r="AJ929" i="1"/>
  <c r="AI929" i="1"/>
  <c r="AH929" i="1"/>
  <c r="AG929" i="1"/>
  <c r="AF929" i="1"/>
  <c r="BO929" i="1" s="1"/>
  <c r="AE929" i="1"/>
  <c r="BK928" i="1"/>
  <c r="BJ928" i="1"/>
  <c r="BI928" i="1"/>
  <c r="BH928" i="1"/>
  <c r="BG928" i="1"/>
  <c r="BF928" i="1"/>
  <c r="BE928" i="1"/>
  <c r="BD928" i="1"/>
  <c r="BC928" i="1"/>
  <c r="BB928" i="1"/>
  <c r="BA928" i="1"/>
  <c r="AZ928" i="1"/>
  <c r="AY928" i="1"/>
  <c r="AX928" i="1"/>
  <c r="AW928" i="1"/>
  <c r="AV928" i="1"/>
  <c r="AU928" i="1"/>
  <c r="AT928" i="1"/>
  <c r="AS928" i="1"/>
  <c r="AR928" i="1"/>
  <c r="AQ928" i="1"/>
  <c r="AP928" i="1"/>
  <c r="AO928" i="1"/>
  <c r="AN928" i="1"/>
  <c r="AM928" i="1"/>
  <c r="AL928" i="1"/>
  <c r="AK928" i="1"/>
  <c r="AJ928" i="1"/>
  <c r="AI928" i="1"/>
  <c r="AH928" i="1"/>
  <c r="AG928" i="1"/>
  <c r="BP928" i="1" s="1"/>
  <c r="AF928" i="1"/>
  <c r="AE928" i="1"/>
  <c r="BK927" i="1"/>
  <c r="BJ927" i="1"/>
  <c r="BI927" i="1"/>
  <c r="BH927" i="1"/>
  <c r="BG927" i="1"/>
  <c r="BF927" i="1"/>
  <c r="BE927" i="1"/>
  <c r="BD927" i="1"/>
  <c r="BC927" i="1"/>
  <c r="BB927" i="1"/>
  <c r="BA927" i="1"/>
  <c r="AZ927" i="1"/>
  <c r="AY927" i="1"/>
  <c r="AX927" i="1"/>
  <c r="AW927" i="1"/>
  <c r="AV927" i="1"/>
  <c r="AU927" i="1"/>
  <c r="AT927" i="1"/>
  <c r="AS927" i="1"/>
  <c r="AR927" i="1"/>
  <c r="AQ927" i="1"/>
  <c r="AP927" i="1"/>
  <c r="AO927" i="1"/>
  <c r="AN927" i="1"/>
  <c r="AM927" i="1"/>
  <c r="AL927" i="1"/>
  <c r="AK927" i="1"/>
  <c r="AJ927" i="1"/>
  <c r="AI927" i="1"/>
  <c r="AH927" i="1"/>
  <c r="AG927" i="1"/>
  <c r="AF927" i="1"/>
  <c r="AE927" i="1"/>
  <c r="BK926" i="1"/>
  <c r="BJ926" i="1"/>
  <c r="BI926" i="1"/>
  <c r="BH926" i="1"/>
  <c r="BG926" i="1"/>
  <c r="BF926" i="1"/>
  <c r="BE926" i="1"/>
  <c r="BD926" i="1"/>
  <c r="BC926" i="1"/>
  <c r="BB926" i="1"/>
  <c r="BA926" i="1"/>
  <c r="AZ926" i="1"/>
  <c r="AY926" i="1"/>
  <c r="AX926" i="1"/>
  <c r="AW926" i="1"/>
  <c r="AV926" i="1"/>
  <c r="AU926" i="1"/>
  <c r="AT926" i="1"/>
  <c r="AS926" i="1"/>
  <c r="AR926" i="1"/>
  <c r="AQ926" i="1"/>
  <c r="AP926" i="1"/>
  <c r="AO926" i="1"/>
  <c r="AN926" i="1"/>
  <c r="AM926" i="1"/>
  <c r="AL926" i="1"/>
  <c r="AK926" i="1"/>
  <c r="AJ926" i="1"/>
  <c r="AI926" i="1"/>
  <c r="AH926" i="1"/>
  <c r="AG926" i="1"/>
  <c r="AF926" i="1"/>
  <c r="AE926" i="1"/>
  <c r="BK925" i="1"/>
  <c r="BJ925" i="1"/>
  <c r="BI925" i="1"/>
  <c r="BH925" i="1"/>
  <c r="BG925" i="1"/>
  <c r="BF925" i="1"/>
  <c r="BD925" i="1"/>
  <c r="BC925" i="1"/>
  <c r="BB925" i="1"/>
  <c r="BA925" i="1"/>
  <c r="AZ925" i="1"/>
  <c r="AY925" i="1"/>
  <c r="AX925" i="1"/>
  <c r="AW925" i="1"/>
  <c r="AV925" i="1"/>
  <c r="AU925" i="1"/>
  <c r="AT925" i="1"/>
  <c r="AS925" i="1"/>
  <c r="AR925" i="1"/>
  <c r="AQ925" i="1"/>
  <c r="AP925" i="1"/>
  <c r="AO925" i="1"/>
  <c r="AN925" i="1"/>
  <c r="AM925" i="1"/>
  <c r="AL925" i="1"/>
  <c r="AK925" i="1"/>
  <c r="AJ925" i="1"/>
  <c r="AI925" i="1"/>
  <c r="AI920" i="1" s="1"/>
  <c r="AH925" i="1"/>
  <c r="AG925" i="1"/>
  <c r="AF925" i="1"/>
  <c r="AE925" i="1"/>
  <c r="BK924" i="1"/>
  <c r="BJ924" i="1"/>
  <c r="BI924" i="1"/>
  <c r="BH924" i="1"/>
  <c r="BG924" i="1"/>
  <c r="BF924" i="1"/>
  <c r="BE924" i="1"/>
  <c r="BD924" i="1"/>
  <c r="BD920" i="1" s="1"/>
  <c r="BD879" i="1" s="1"/>
  <c r="BC924" i="1"/>
  <c r="BB924" i="1"/>
  <c r="BA924" i="1"/>
  <c r="AZ924" i="1"/>
  <c r="AY924" i="1"/>
  <c r="AX924" i="1"/>
  <c r="AW924" i="1"/>
  <c r="AV924" i="1"/>
  <c r="AU924" i="1"/>
  <c r="AT924" i="1"/>
  <c r="AS924" i="1"/>
  <c r="AR924" i="1"/>
  <c r="AQ924" i="1"/>
  <c r="AP924" i="1"/>
  <c r="AO924" i="1"/>
  <c r="AN924" i="1"/>
  <c r="BN924" i="1" s="1"/>
  <c r="AM924" i="1"/>
  <c r="AL924" i="1"/>
  <c r="AK924" i="1"/>
  <c r="AJ924" i="1"/>
  <c r="AI924" i="1"/>
  <c r="AH924" i="1"/>
  <c r="AG924" i="1"/>
  <c r="AF924" i="1"/>
  <c r="BO924" i="1" s="1"/>
  <c r="AE924" i="1"/>
  <c r="BK923" i="1"/>
  <c r="BJ923" i="1"/>
  <c r="BI923" i="1"/>
  <c r="BH923" i="1"/>
  <c r="BG923" i="1"/>
  <c r="BF923" i="1"/>
  <c r="BE923" i="1"/>
  <c r="BD923" i="1"/>
  <c r="BC923" i="1"/>
  <c r="BB923" i="1"/>
  <c r="BA923" i="1"/>
  <c r="AZ923" i="1"/>
  <c r="AY923" i="1"/>
  <c r="AX923" i="1"/>
  <c r="AW923" i="1"/>
  <c r="AV923" i="1"/>
  <c r="AU923" i="1"/>
  <c r="AT923" i="1"/>
  <c r="AS923" i="1"/>
  <c r="AR923" i="1"/>
  <c r="AQ923" i="1"/>
  <c r="AP923" i="1"/>
  <c r="AO923" i="1"/>
  <c r="AN923" i="1"/>
  <c r="AM923" i="1"/>
  <c r="AL923" i="1"/>
  <c r="AK923" i="1"/>
  <c r="AJ923" i="1"/>
  <c r="AI923" i="1"/>
  <c r="AH923" i="1"/>
  <c r="AG923" i="1"/>
  <c r="BP923" i="1" s="1"/>
  <c r="AF923" i="1"/>
  <c r="AE923" i="1"/>
  <c r="BK922" i="1"/>
  <c r="BJ922" i="1"/>
  <c r="BI922" i="1"/>
  <c r="BH922" i="1"/>
  <c r="BG922" i="1"/>
  <c r="BF922" i="1"/>
  <c r="BE922" i="1"/>
  <c r="BD922" i="1"/>
  <c r="BC922" i="1"/>
  <c r="BB922" i="1"/>
  <c r="BA922" i="1"/>
  <c r="AZ922" i="1"/>
  <c r="AY922" i="1"/>
  <c r="AX922" i="1"/>
  <c r="AW922" i="1"/>
  <c r="AV922" i="1"/>
  <c r="AU922" i="1"/>
  <c r="AT922" i="1"/>
  <c r="AS922" i="1"/>
  <c r="AR922" i="1"/>
  <c r="AQ922" i="1"/>
  <c r="AP922" i="1"/>
  <c r="AO922" i="1"/>
  <c r="AN922" i="1"/>
  <c r="AM922" i="1"/>
  <c r="AK922" i="1"/>
  <c r="AJ922" i="1"/>
  <c r="AI922" i="1"/>
  <c r="AH922" i="1"/>
  <c r="AG922" i="1"/>
  <c r="BP922" i="1" s="1"/>
  <c r="AF922" i="1"/>
  <c r="AE922" i="1"/>
  <c r="BK921" i="1"/>
  <c r="BJ921" i="1"/>
  <c r="BJ920" i="1" s="1"/>
  <c r="BI921" i="1"/>
  <c r="BH921" i="1"/>
  <c r="BG921" i="1"/>
  <c r="BF921" i="1"/>
  <c r="BF920" i="1" s="1"/>
  <c r="BE921" i="1"/>
  <c r="BD921" i="1"/>
  <c r="BB921" i="1"/>
  <c r="BA921" i="1"/>
  <c r="BA920" i="1" s="1"/>
  <c r="AZ921" i="1"/>
  <c r="AX921" i="1"/>
  <c r="AV921" i="1"/>
  <c r="AU921" i="1"/>
  <c r="AU920" i="1" s="1"/>
  <c r="AT921" i="1"/>
  <c r="AR921" i="1"/>
  <c r="AP921" i="1"/>
  <c r="AN921" i="1"/>
  <c r="AM921" i="1"/>
  <c r="AL921" i="1"/>
  <c r="AK921" i="1"/>
  <c r="AJ921" i="1"/>
  <c r="AI921" i="1"/>
  <c r="AH921" i="1"/>
  <c r="AG921" i="1"/>
  <c r="AF921" i="1"/>
  <c r="AE921" i="1"/>
  <c r="G920" i="1"/>
  <c r="A920" i="1"/>
  <c r="BK919" i="1"/>
  <c r="BJ919" i="1"/>
  <c r="BI919" i="1"/>
  <c r="BH919" i="1"/>
  <c r="BG919" i="1"/>
  <c r="BF919" i="1"/>
  <c r="BE919" i="1"/>
  <c r="BD919" i="1"/>
  <c r="BC919" i="1"/>
  <c r="BB919" i="1"/>
  <c r="BA919" i="1"/>
  <c r="AZ919" i="1"/>
  <c r="AY919" i="1"/>
  <c r="AX919" i="1"/>
  <c r="AW919" i="1"/>
  <c r="AV919" i="1"/>
  <c r="AU919" i="1"/>
  <c r="AT919" i="1"/>
  <c r="AS919" i="1"/>
  <c r="AR919" i="1"/>
  <c r="AQ919" i="1"/>
  <c r="AP919" i="1"/>
  <c r="AO919" i="1"/>
  <c r="AN919" i="1"/>
  <c r="AM919" i="1"/>
  <c r="AL919" i="1"/>
  <c r="AK919" i="1"/>
  <c r="AJ919" i="1"/>
  <c r="AI919" i="1"/>
  <c r="AH919" i="1"/>
  <c r="AG919" i="1"/>
  <c r="AF919" i="1"/>
  <c r="AE919" i="1"/>
  <c r="BK918" i="1"/>
  <c r="BJ918" i="1"/>
  <c r="BI918" i="1"/>
  <c r="BH918" i="1"/>
  <c r="BG918" i="1"/>
  <c r="BF918" i="1"/>
  <c r="BE918" i="1"/>
  <c r="BD918" i="1"/>
  <c r="BC918" i="1"/>
  <c r="BB918" i="1"/>
  <c r="BA918" i="1"/>
  <c r="AZ918" i="1"/>
  <c r="AY918" i="1"/>
  <c r="AX918" i="1"/>
  <c r="AW918" i="1"/>
  <c r="AV918" i="1"/>
  <c r="AU918" i="1"/>
  <c r="AT918" i="1"/>
  <c r="AS918" i="1"/>
  <c r="AR918" i="1"/>
  <c r="AQ918" i="1"/>
  <c r="AP918" i="1"/>
  <c r="AO918" i="1"/>
  <c r="AN918" i="1"/>
  <c r="AM918" i="1"/>
  <c r="AL918" i="1"/>
  <c r="AK918" i="1"/>
  <c r="AJ918" i="1"/>
  <c r="AI918" i="1"/>
  <c r="AH918" i="1"/>
  <c r="AG918" i="1"/>
  <c r="AF918" i="1"/>
  <c r="AE918" i="1"/>
  <c r="BK917" i="1"/>
  <c r="BJ917" i="1"/>
  <c r="BI917" i="1"/>
  <c r="BH917" i="1"/>
  <c r="BG917" i="1"/>
  <c r="BF917" i="1"/>
  <c r="BE917" i="1"/>
  <c r="BD917" i="1"/>
  <c r="BC917" i="1"/>
  <c r="BB917" i="1"/>
  <c r="BA917" i="1"/>
  <c r="AZ917" i="1"/>
  <c r="AY917" i="1"/>
  <c r="AX917" i="1"/>
  <c r="AW917" i="1"/>
  <c r="AV917" i="1"/>
  <c r="AU917" i="1"/>
  <c r="AT917" i="1"/>
  <c r="AS917" i="1"/>
  <c r="AR917" i="1"/>
  <c r="AQ917" i="1"/>
  <c r="AP917" i="1"/>
  <c r="AO917" i="1"/>
  <c r="AN917" i="1"/>
  <c r="AM917" i="1"/>
  <c r="AL917" i="1"/>
  <c r="AK917" i="1"/>
  <c r="AJ917" i="1"/>
  <c r="AI917" i="1"/>
  <c r="AH917" i="1"/>
  <c r="AG917" i="1"/>
  <c r="AF917" i="1"/>
  <c r="AE917" i="1"/>
  <c r="BK916" i="1"/>
  <c r="BJ916" i="1"/>
  <c r="BI916" i="1"/>
  <c r="BH916" i="1"/>
  <c r="BG916" i="1"/>
  <c r="BF916" i="1"/>
  <c r="BE916" i="1"/>
  <c r="BD916" i="1"/>
  <c r="BC916" i="1"/>
  <c r="BB916" i="1"/>
  <c r="BA916" i="1"/>
  <c r="AZ916" i="1"/>
  <c r="AY916" i="1"/>
  <c r="AX916" i="1"/>
  <c r="AW916" i="1"/>
  <c r="AV916" i="1"/>
  <c r="AU916" i="1"/>
  <c r="AT916" i="1"/>
  <c r="AS916" i="1"/>
  <c r="AR916" i="1"/>
  <c r="AQ916" i="1"/>
  <c r="AP916" i="1"/>
  <c r="AO916" i="1"/>
  <c r="AN916" i="1"/>
  <c r="AM916" i="1"/>
  <c r="AL916" i="1"/>
  <c r="AK916" i="1"/>
  <c r="AJ916" i="1"/>
  <c r="AI916" i="1"/>
  <c r="AH916" i="1"/>
  <c r="AG916" i="1"/>
  <c r="AF916" i="1"/>
  <c r="AE916" i="1"/>
  <c r="BK915" i="1"/>
  <c r="BJ915" i="1"/>
  <c r="BI915" i="1"/>
  <c r="BH915" i="1"/>
  <c r="BG915" i="1"/>
  <c r="BF915" i="1"/>
  <c r="BE915" i="1"/>
  <c r="BD915" i="1"/>
  <c r="BC915" i="1"/>
  <c r="BB915" i="1"/>
  <c r="BA915" i="1"/>
  <c r="AZ915" i="1"/>
  <c r="AY915" i="1"/>
  <c r="AX915" i="1"/>
  <c r="AW915" i="1"/>
  <c r="AV915" i="1"/>
  <c r="AU915" i="1"/>
  <c r="AT915" i="1"/>
  <c r="AS915" i="1"/>
  <c r="AR915" i="1"/>
  <c r="AQ915" i="1"/>
  <c r="AP915" i="1"/>
  <c r="AO915" i="1"/>
  <c r="AN915" i="1"/>
  <c r="AM915" i="1"/>
  <c r="AL915" i="1"/>
  <c r="AK915" i="1"/>
  <c r="AJ915" i="1"/>
  <c r="AI915" i="1"/>
  <c r="AH915" i="1"/>
  <c r="AG915" i="1"/>
  <c r="AF915" i="1"/>
  <c r="AE915" i="1"/>
  <c r="BK914" i="1"/>
  <c r="BJ914" i="1"/>
  <c r="BI914" i="1"/>
  <c r="BH914" i="1"/>
  <c r="BG914" i="1"/>
  <c r="BF914" i="1"/>
  <c r="BE914" i="1"/>
  <c r="BD914" i="1"/>
  <c r="BC914" i="1"/>
  <c r="BB914" i="1"/>
  <c r="BA914" i="1"/>
  <c r="AZ914" i="1"/>
  <c r="AY914" i="1"/>
  <c r="AX914" i="1"/>
  <c r="AW914" i="1"/>
  <c r="AV914" i="1"/>
  <c r="AU914" i="1"/>
  <c r="AT914" i="1"/>
  <c r="AS914" i="1"/>
  <c r="AR914" i="1"/>
  <c r="AQ914" i="1"/>
  <c r="AP914" i="1"/>
  <c r="AO914" i="1"/>
  <c r="AN914" i="1"/>
  <c r="AM914" i="1"/>
  <c r="AL914" i="1"/>
  <c r="AK914" i="1"/>
  <c r="AJ914" i="1"/>
  <c r="AI914" i="1"/>
  <c r="AH914" i="1"/>
  <c r="AG914" i="1"/>
  <c r="AF914" i="1"/>
  <c r="AE914" i="1"/>
  <c r="BK913" i="1"/>
  <c r="BJ913" i="1"/>
  <c r="BI913" i="1"/>
  <c r="BH913" i="1"/>
  <c r="BG913" i="1"/>
  <c r="BF913" i="1"/>
  <c r="BE913" i="1"/>
  <c r="BD913" i="1"/>
  <c r="BC913" i="1"/>
  <c r="BB913" i="1"/>
  <c r="BA913" i="1"/>
  <c r="AZ913" i="1"/>
  <c r="AY913" i="1"/>
  <c r="AX913" i="1"/>
  <c r="AW913" i="1"/>
  <c r="AV913" i="1"/>
  <c r="AU913" i="1"/>
  <c r="AT913" i="1"/>
  <c r="AS913" i="1"/>
  <c r="AR913" i="1"/>
  <c r="AQ913" i="1"/>
  <c r="AP913" i="1"/>
  <c r="AO913" i="1"/>
  <c r="AN913" i="1"/>
  <c r="AM913" i="1"/>
  <c r="AL913" i="1"/>
  <c r="AK913" i="1"/>
  <c r="AJ913" i="1"/>
  <c r="AI913" i="1"/>
  <c r="AH913" i="1"/>
  <c r="AG913" i="1"/>
  <c r="AF913" i="1"/>
  <c r="AE913" i="1"/>
  <c r="BK912" i="1"/>
  <c r="BJ912" i="1"/>
  <c r="BI912" i="1"/>
  <c r="BH912" i="1"/>
  <c r="BG912" i="1"/>
  <c r="BF912" i="1"/>
  <c r="BE912" i="1"/>
  <c r="BD912" i="1"/>
  <c r="BC912" i="1"/>
  <c r="BB912" i="1"/>
  <c r="BA912" i="1"/>
  <c r="AZ912" i="1"/>
  <c r="AY912" i="1"/>
  <c r="AX912" i="1"/>
  <c r="AW912" i="1"/>
  <c r="AV912" i="1"/>
  <c r="AU912" i="1"/>
  <c r="AT912" i="1"/>
  <c r="AS912" i="1"/>
  <c r="AR912" i="1"/>
  <c r="AQ912" i="1"/>
  <c r="AP912" i="1"/>
  <c r="AO912" i="1"/>
  <c r="AN912" i="1"/>
  <c r="AM912" i="1"/>
  <c r="AL912" i="1"/>
  <c r="AK912" i="1"/>
  <c r="AJ912" i="1"/>
  <c r="AI912" i="1"/>
  <c r="AH912" i="1"/>
  <c r="AG912" i="1"/>
  <c r="AF912" i="1"/>
  <c r="AE912" i="1"/>
  <c r="BK911" i="1"/>
  <c r="BJ911" i="1"/>
  <c r="BI911" i="1"/>
  <c r="BH911" i="1"/>
  <c r="BG911" i="1"/>
  <c r="BF911" i="1"/>
  <c r="BE911" i="1"/>
  <c r="BD911" i="1"/>
  <c r="BC911" i="1"/>
  <c r="BB911" i="1"/>
  <c r="BA911" i="1"/>
  <c r="AZ911" i="1"/>
  <c r="AY911" i="1"/>
  <c r="AX911" i="1"/>
  <c r="AW911" i="1"/>
  <c r="AV911" i="1"/>
  <c r="AU911" i="1"/>
  <c r="AT911" i="1"/>
  <c r="AS911" i="1"/>
  <c r="AR911" i="1"/>
  <c r="AQ911" i="1"/>
  <c r="AP911" i="1"/>
  <c r="AO911" i="1"/>
  <c r="AN911" i="1"/>
  <c r="AM911" i="1"/>
  <c r="AL911" i="1"/>
  <c r="AK911" i="1"/>
  <c r="AJ911" i="1"/>
  <c r="AI911" i="1"/>
  <c r="AH911" i="1"/>
  <c r="AG911" i="1"/>
  <c r="AF911" i="1"/>
  <c r="AE911" i="1"/>
  <c r="BK910" i="1"/>
  <c r="BJ910" i="1"/>
  <c r="BI910" i="1"/>
  <c r="BH910" i="1"/>
  <c r="BG910" i="1"/>
  <c r="BF910" i="1"/>
  <c r="BE910" i="1"/>
  <c r="BD910" i="1"/>
  <c r="BC910" i="1"/>
  <c r="BB910" i="1"/>
  <c r="BA910" i="1"/>
  <c r="AZ910" i="1"/>
  <c r="AY910" i="1"/>
  <c r="AX910" i="1"/>
  <c r="AW910" i="1"/>
  <c r="AV910" i="1"/>
  <c r="AU910" i="1"/>
  <c r="AT910" i="1"/>
  <c r="AS910" i="1"/>
  <c r="AR910" i="1"/>
  <c r="AQ910" i="1"/>
  <c r="AP910" i="1"/>
  <c r="AO910" i="1"/>
  <c r="AN910" i="1"/>
  <c r="AM910" i="1"/>
  <c r="AL910" i="1"/>
  <c r="AK910" i="1"/>
  <c r="AJ910" i="1"/>
  <c r="AI910" i="1"/>
  <c r="AH910" i="1"/>
  <c r="AG910" i="1"/>
  <c r="AF910" i="1"/>
  <c r="AE910" i="1"/>
  <c r="BK909" i="1"/>
  <c r="BJ909" i="1"/>
  <c r="BI909" i="1"/>
  <c r="BH909" i="1"/>
  <c r="BG909" i="1"/>
  <c r="BF909" i="1"/>
  <c r="BE909" i="1"/>
  <c r="BD909" i="1"/>
  <c r="BC909" i="1"/>
  <c r="BB909" i="1"/>
  <c r="BA909" i="1"/>
  <c r="AZ909" i="1"/>
  <c r="AY909" i="1"/>
  <c r="AX909" i="1"/>
  <c r="AW909" i="1"/>
  <c r="AV909" i="1"/>
  <c r="AU909" i="1"/>
  <c r="AT909" i="1"/>
  <c r="AS909" i="1"/>
  <c r="AR909" i="1"/>
  <c r="AQ909" i="1"/>
  <c r="AP909" i="1"/>
  <c r="AO909" i="1"/>
  <c r="AN909" i="1"/>
  <c r="AM909" i="1"/>
  <c r="AL909" i="1"/>
  <c r="AK909" i="1"/>
  <c r="AJ909" i="1"/>
  <c r="AI909" i="1"/>
  <c r="AH909" i="1"/>
  <c r="AG909" i="1"/>
  <c r="AF909" i="1"/>
  <c r="AE909" i="1"/>
  <c r="BK908" i="1"/>
  <c r="BJ908" i="1"/>
  <c r="BI908" i="1"/>
  <c r="BH908" i="1"/>
  <c r="BG908" i="1"/>
  <c r="BF908" i="1"/>
  <c r="BE908" i="1"/>
  <c r="BD908" i="1"/>
  <c r="BC908" i="1"/>
  <c r="BB908" i="1"/>
  <c r="BA908" i="1"/>
  <c r="AZ908" i="1"/>
  <c r="AY908" i="1"/>
  <c r="AX908" i="1"/>
  <c r="AW908" i="1"/>
  <c r="AV908" i="1"/>
  <c r="AU908" i="1"/>
  <c r="AT908" i="1"/>
  <c r="AS908" i="1"/>
  <c r="AR908" i="1"/>
  <c r="AQ908" i="1"/>
  <c r="AP908" i="1"/>
  <c r="AO908" i="1"/>
  <c r="AN908" i="1"/>
  <c r="AM908" i="1"/>
  <c r="AL908" i="1"/>
  <c r="AK908" i="1"/>
  <c r="AJ908" i="1"/>
  <c r="AI908" i="1"/>
  <c r="AH908" i="1"/>
  <c r="AG908" i="1"/>
  <c r="AF908" i="1"/>
  <c r="AE908" i="1"/>
  <c r="BK907" i="1"/>
  <c r="BJ907" i="1"/>
  <c r="BI907" i="1"/>
  <c r="BH907" i="1"/>
  <c r="BG907" i="1"/>
  <c r="BF907" i="1"/>
  <c r="BE907" i="1"/>
  <c r="BD907" i="1"/>
  <c r="BC907" i="1"/>
  <c r="BB907" i="1"/>
  <c r="BA907" i="1"/>
  <c r="AZ907" i="1"/>
  <c r="AY907" i="1"/>
  <c r="AX907" i="1"/>
  <c r="AW907" i="1"/>
  <c r="AV907" i="1"/>
  <c r="AU907" i="1"/>
  <c r="AT907" i="1"/>
  <c r="AS907" i="1"/>
  <c r="AR907" i="1"/>
  <c r="AQ907" i="1"/>
  <c r="AP907" i="1"/>
  <c r="AO907" i="1"/>
  <c r="AN907" i="1"/>
  <c r="AM907" i="1"/>
  <c r="AL907" i="1"/>
  <c r="AK907" i="1"/>
  <c r="AJ907" i="1"/>
  <c r="AI907" i="1"/>
  <c r="AH907" i="1"/>
  <c r="AG907" i="1"/>
  <c r="AF907" i="1"/>
  <c r="AE907" i="1"/>
  <c r="BK906" i="1"/>
  <c r="BJ906" i="1"/>
  <c r="BI906" i="1"/>
  <c r="BH906" i="1"/>
  <c r="BG906" i="1"/>
  <c r="BF906" i="1"/>
  <c r="BE906" i="1"/>
  <c r="BD906" i="1"/>
  <c r="BC906" i="1"/>
  <c r="BB906" i="1"/>
  <c r="BA906" i="1"/>
  <c r="AZ906" i="1"/>
  <c r="AY906" i="1"/>
  <c r="AX906" i="1"/>
  <c r="AW906" i="1"/>
  <c r="AV906" i="1"/>
  <c r="AU906" i="1"/>
  <c r="AT906" i="1"/>
  <c r="AS906" i="1"/>
  <c r="AR906" i="1"/>
  <c r="AQ906" i="1"/>
  <c r="AP906" i="1"/>
  <c r="AO906" i="1"/>
  <c r="AN906" i="1"/>
  <c r="AM906" i="1"/>
  <c r="AL906" i="1"/>
  <c r="AK906" i="1"/>
  <c r="AJ906" i="1"/>
  <c r="AI906" i="1"/>
  <c r="AH906" i="1"/>
  <c r="AG906" i="1"/>
  <c r="AF906" i="1"/>
  <c r="AE906" i="1"/>
  <c r="BK905" i="1"/>
  <c r="BJ905" i="1"/>
  <c r="BI905" i="1"/>
  <c r="BH905" i="1"/>
  <c r="BG905" i="1"/>
  <c r="BF905" i="1"/>
  <c r="BE905" i="1"/>
  <c r="BD905" i="1"/>
  <c r="BC905" i="1"/>
  <c r="BB905" i="1"/>
  <c r="BA905" i="1"/>
  <c r="AZ905" i="1"/>
  <c r="AY905" i="1"/>
  <c r="AX905" i="1"/>
  <c r="AW905" i="1"/>
  <c r="AV905" i="1"/>
  <c r="AU905" i="1"/>
  <c r="AT905" i="1"/>
  <c r="AS905" i="1"/>
  <c r="AR905" i="1"/>
  <c r="AQ905" i="1"/>
  <c r="AP905" i="1"/>
  <c r="AO905" i="1"/>
  <c r="AN905" i="1"/>
  <c r="AM905" i="1"/>
  <c r="AL905" i="1"/>
  <c r="AK905" i="1"/>
  <c r="AJ905" i="1"/>
  <c r="AI905" i="1"/>
  <c r="AH905" i="1"/>
  <c r="AG905" i="1"/>
  <c r="AF905" i="1"/>
  <c r="AE905" i="1"/>
  <c r="BK904" i="1"/>
  <c r="BJ904" i="1"/>
  <c r="BI904" i="1"/>
  <c r="BH904" i="1"/>
  <c r="BG904" i="1"/>
  <c r="BF904" i="1"/>
  <c r="BE904" i="1"/>
  <c r="BD904" i="1"/>
  <c r="BC904" i="1"/>
  <c r="BB904" i="1"/>
  <c r="BA904" i="1"/>
  <c r="AZ904" i="1"/>
  <c r="AY904" i="1"/>
  <c r="AX904" i="1"/>
  <c r="AW904" i="1"/>
  <c r="AV904" i="1"/>
  <c r="AU904" i="1"/>
  <c r="AT904" i="1"/>
  <c r="AS904" i="1"/>
  <c r="AR904" i="1"/>
  <c r="AQ904" i="1"/>
  <c r="AP904" i="1"/>
  <c r="AO904" i="1"/>
  <c r="AN904" i="1"/>
  <c r="AM904" i="1"/>
  <c r="AL904" i="1"/>
  <c r="AK904" i="1"/>
  <c r="AJ904" i="1"/>
  <c r="AI904" i="1"/>
  <c r="AH904" i="1"/>
  <c r="AG904" i="1"/>
  <c r="AF904" i="1"/>
  <c r="AE904" i="1"/>
  <c r="BK903" i="1"/>
  <c r="BJ903" i="1"/>
  <c r="BI903" i="1"/>
  <c r="BH903" i="1"/>
  <c r="BG903" i="1"/>
  <c r="BF903" i="1"/>
  <c r="BE903" i="1"/>
  <c r="BD903" i="1"/>
  <c r="BC903" i="1"/>
  <c r="BB903" i="1"/>
  <c r="BA903" i="1"/>
  <c r="AZ903" i="1"/>
  <c r="AY903" i="1"/>
  <c r="AX903" i="1"/>
  <c r="AW903" i="1"/>
  <c r="AV903" i="1"/>
  <c r="AU903" i="1"/>
  <c r="AT903" i="1"/>
  <c r="AS903" i="1"/>
  <c r="AR903" i="1"/>
  <c r="AQ903" i="1"/>
  <c r="AP903" i="1"/>
  <c r="AO903" i="1"/>
  <c r="AN903" i="1"/>
  <c r="AM903" i="1"/>
  <c r="AL903" i="1"/>
  <c r="AK903" i="1"/>
  <c r="AJ903" i="1"/>
  <c r="AI903" i="1"/>
  <c r="AH903" i="1"/>
  <c r="AG903" i="1"/>
  <c r="AF903" i="1"/>
  <c r="AE903" i="1"/>
  <c r="BK902" i="1"/>
  <c r="BJ902" i="1"/>
  <c r="BI902" i="1"/>
  <c r="BH902" i="1"/>
  <c r="BG902" i="1"/>
  <c r="BF902" i="1"/>
  <c r="BE902" i="1"/>
  <c r="BD902" i="1"/>
  <c r="BC902" i="1"/>
  <c r="BB902" i="1"/>
  <c r="BA902" i="1"/>
  <c r="AZ902" i="1"/>
  <c r="AY902" i="1"/>
  <c r="AX902" i="1"/>
  <c r="AW902" i="1"/>
  <c r="AV902" i="1"/>
  <c r="AU902" i="1"/>
  <c r="AT902" i="1"/>
  <c r="AS902" i="1"/>
  <c r="AR902" i="1"/>
  <c r="AQ902" i="1"/>
  <c r="AP902" i="1"/>
  <c r="AO902" i="1"/>
  <c r="AN902" i="1"/>
  <c r="AM902" i="1"/>
  <c r="AL902" i="1"/>
  <c r="AK902" i="1"/>
  <c r="AJ902" i="1"/>
  <c r="AI902" i="1"/>
  <c r="AH902" i="1"/>
  <c r="AG902" i="1"/>
  <c r="AF902" i="1"/>
  <c r="AE902" i="1"/>
  <c r="BK901" i="1"/>
  <c r="BJ901" i="1"/>
  <c r="BI901" i="1"/>
  <c r="BH901" i="1"/>
  <c r="BG901" i="1"/>
  <c r="BF901" i="1"/>
  <c r="BE901" i="1"/>
  <c r="BD901" i="1"/>
  <c r="BC901" i="1"/>
  <c r="BB901" i="1"/>
  <c r="BA901" i="1"/>
  <c r="AZ901" i="1"/>
  <c r="AY901" i="1"/>
  <c r="AX901" i="1"/>
  <c r="AW901" i="1"/>
  <c r="AV901" i="1"/>
  <c r="AU901" i="1"/>
  <c r="AT901" i="1"/>
  <c r="AS901" i="1"/>
  <c r="AR901" i="1"/>
  <c r="AQ901" i="1"/>
  <c r="AP901" i="1"/>
  <c r="AO901" i="1"/>
  <c r="AN901" i="1"/>
  <c r="AM901" i="1"/>
  <c r="AL901" i="1"/>
  <c r="AK901" i="1"/>
  <c r="AJ901" i="1"/>
  <c r="AI901" i="1"/>
  <c r="AH901" i="1"/>
  <c r="AG901" i="1"/>
  <c r="AF901" i="1"/>
  <c r="AE901" i="1"/>
  <c r="BK900" i="1"/>
  <c r="BJ900" i="1"/>
  <c r="BI900" i="1"/>
  <c r="BH900" i="1"/>
  <c r="BG900" i="1"/>
  <c r="BF900" i="1"/>
  <c r="BE900" i="1"/>
  <c r="BD900" i="1"/>
  <c r="BC900" i="1"/>
  <c r="BB900" i="1"/>
  <c r="BA900" i="1"/>
  <c r="AZ900" i="1"/>
  <c r="AY900" i="1"/>
  <c r="AX900" i="1"/>
  <c r="AW900" i="1"/>
  <c r="AV900" i="1"/>
  <c r="AU900" i="1"/>
  <c r="AT900" i="1"/>
  <c r="AS900" i="1"/>
  <c r="AR900" i="1"/>
  <c r="AQ900" i="1"/>
  <c r="AP900" i="1"/>
  <c r="AO900" i="1"/>
  <c r="AN900" i="1"/>
  <c r="AM900" i="1"/>
  <c r="AL900" i="1"/>
  <c r="AK900" i="1"/>
  <c r="AJ900" i="1"/>
  <c r="AI900" i="1"/>
  <c r="AH900" i="1"/>
  <c r="AG900" i="1"/>
  <c r="AF900" i="1"/>
  <c r="AE900" i="1"/>
  <c r="BK899" i="1"/>
  <c r="BJ899" i="1"/>
  <c r="BI899" i="1"/>
  <c r="BH899" i="1"/>
  <c r="BG899" i="1"/>
  <c r="BF899" i="1"/>
  <c r="BE899" i="1"/>
  <c r="BD899" i="1"/>
  <c r="BC899" i="1"/>
  <c r="BB899" i="1"/>
  <c r="BA899" i="1"/>
  <c r="AZ899" i="1"/>
  <c r="AY899" i="1"/>
  <c r="AX899" i="1"/>
  <c r="AW899" i="1"/>
  <c r="AV899" i="1"/>
  <c r="AU899" i="1"/>
  <c r="AT899" i="1"/>
  <c r="AS899" i="1"/>
  <c r="AR899" i="1"/>
  <c r="AQ899" i="1"/>
  <c r="AP899" i="1"/>
  <c r="AO899" i="1"/>
  <c r="AN899" i="1"/>
  <c r="AM899" i="1"/>
  <c r="AL899" i="1"/>
  <c r="AK899" i="1"/>
  <c r="AJ899" i="1"/>
  <c r="AI899" i="1"/>
  <c r="AH899" i="1"/>
  <c r="AG899" i="1"/>
  <c r="AF899" i="1"/>
  <c r="AE899" i="1"/>
  <c r="BK898" i="1"/>
  <c r="BJ898" i="1"/>
  <c r="BI898" i="1"/>
  <c r="BH898" i="1"/>
  <c r="BG898" i="1"/>
  <c r="BF898" i="1"/>
  <c r="BE898" i="1"/>
  <c r="BD898" i="1"/>
  <c r="BC898" i="1"/>
  <c r="BB898" i="1"/>
  <c r="BA898" i="1"/>
  <c r="AZ898" i="1"/>
  <c r="AY898" i="1"/>
  <c r="AX898" i="1"/>
  <c r="AW898" i="1"/>
  <c r="AV898" i="1"/>
  <c r="AU898" i="1"/>
  <c r="AT898" i="1"/>
  <c r="AS898" i="1"/>
  <c r="AR898" i="1"/>
  <c r="AQ898" i="1"/>
  <c r="AP898" i="1"/>
  <c r="AO898" i="1"/>
  <c r="AN898" i="1"/>
  <c r="AM898" i="1"/>
  <c r="AL898" i="1"/>
  <c r="AK898" i="1"/>
  <c r="AJ898" i="1"/>
  <c r="AI898" i="1"/>
  <c r="AH898" i="1"/>
  <c r="AG898" i="1"/>
  <c r="AF898" i="1"/>
  <c r="AE898" i="1"/>
  <c r="BK897" i="1"/>
  <c r="BJ897" i="1"/>
  <c r="BI897" i="1"/>
  <c r="BH897" i="1"/>
  <c r="BG897" i="1"/>
  <c r="BF897" i="1"/>
  <c r="BE897" i="1"/>
  <c r="BD897" i="1"/>
  <c r="BC897" i="1"/>
  <c r="BB897" i="1"/>
  <c r="BA897" i="1"/>
  <c r="AZ897" i="1"/>
  <c r="AY897" i="1"/>
  <c r="AX897" i="1"/>
  <c r="AW897" i="1"/>
  <c r="AV897" i="1"/>
  <c r="AU897" i="1"/>
  <c r="AT897" i="1"/>
  <c r="AS897" i="1"/>
  <c r="AR897" i="1"/>
  <c r="AQ897" i="1"/>
  <c r="AP897" i="1"/>
  <c r="AO897" i="1"/>
  <c r="AN897" i="1"/>
  <c r="AM897" i="1"/>
  <c r="AL897" i="1"/>
  <c r="AK897" i="1"/>
  <c r="AJ897" i="1"/>
  <c r="AI897" i="1"/>
  <c r="AH897" i="1"/>
  <c r="AG897" i="1"/>
  <c r="AF897" i="1"/>
  <c r="AE897" i="1"/>
  <c r="BK896" i="1"/>
  <c r="BJ896" i="1"/>
  <c r="BI896" i="1"/>
  <c r="BH896" i="1"/>
  <c r="BG896" i="1"/>
  <c r="BF896" i="1"/>
  <c r="BE896" i="1"/>
  <c r="BD896" i="1"/>
  <c r="BC896" i="1"/>
  <c r="BB896" i="1"/>
  <c r="BA896" i="1"/>
  <c r="AZ896" i="1"/>
  <c r="AY896" i="1"/>
  <c r="AX896" i="1"/>
  <c r="AW896" i="1"/>
  <c r="AV896" i="1"/>
  <c r="AU896" i="1"/>
  <c r="AT896" i="1"/>
  <c r="AS896" i="1"/>
  <c r="AR896" i="1"/>
  <c r="AQ896" i="1"/>
  <c r="AP896" i="1"/>
  <c r="AO896" i="1"/>
  <c r="AN896" i="1"/>
  <c r="AM896" i="1"/>
  <c r="AL896" i="1"/>
  <c r="AK896" i="1"/>
  <c r="AJ896" i="1"/>
  <c r="AI896" i="1"/>
  <c r="AH896" i="1"/>
  <c r="AG896" i="1"/>
  <c r="AF896" i="1"/>
  <c r="AE896" i="1"/>
  <c r="BK895" i="1"/>
  <c r="BJ895" i="1"/>
  <c r="BI895" i="1"/>
  <c r="BH895" i="1"/>
  <c r="BG895" i="1"/>
  <c r="BF895" i="1"/>
  <c r="BE895" i="1"/>
  <c r="BD895" i="1"/>
  <c r="BC895" i="1"/>
  <c r="BB895" i="1"/>
  <c r="BA895" i="1"/>
  <c r="AZ895" i="1"/>
  <c r="AY895" i="1"/>
  <c r="AX895" i="1"/>
  <c r="AW895" i="1"/>
  <c r="AV895" i="1"/>
  <c r="AU895" i="1"/>
  <c r="AT895" i="1"/>
  <c r="AS895" i="1"/>
  <c r="AR895" i="1"/>
  <c r="AQ895" i="1"/>
  <c r="AP895" i="1"/>
  <c r="AO895" i="1"/>
  <c r="AN895" i="1"/>
  <c r="AM895" i="1"/>
  <c r="AL895" i="1"/>
  <c r="AK895" i="1"/>
  <c r="AJ895" i="1"/>
  <c r="AI895" i="1"/>
  <c r="AH895" i="1"/>
  <c r="AG895" i="1"/>
  <c r="AF895" i="1"/>
  <c r="AE895" i="1"/>
  <c r="BK894" i="1"/>
  <c r="BJ894" i="1"/>
  <c r="BI894" i="1"/>
  <c r="BH894" i="1"/>
  <c r="BG894" i="1"/>
  <c r="BF894" i="1"/>
  <c r="BE894" i="1"/>
  <c r="BD894" i="1"/>
  <c r="BC894" i="1"/>
  <c r="BB894" i="1"/>
  <c r="BA894" i="1"/>
  <c r="AZ894" i="1"/>
  <c r="AY894" i="1"/>
  <c r="AX894" i="1"/>
  <c r="AW894" i="1"/>
  <c r="AV894" i="1"/>
  <c r="AU894" i="1"/>
  <c r="AT894" i="1"/>
  <c r="AS894" i="1"/>
  <c r="AR894" i="1"/>
  <c r="AQ894" i="1"/>
  <c r="AP894" i="1"/>
  <c r="AO894" i="1"/>
  <c r="AN894" i="1"/>
  <c r="AM894" i="1"/>
  <c r="AL894" i="1"/>
  <c r="AK894" i="1"/>
  <c r="AJ894" i="1"/>
  <c r="AI894" i="1"/>
  <c r="AH894" i="1"/>
  <c r="AG894" i="1"/>
  <c r="AF894" i="1"/>
  <c r="AE894" i="1"/>
  <c r="BK893" i="1"/>
  <c r="BJ893" i="1"/>
  <c r="BI893" i="1"/>
  <c r="BH893" i="1"/>
  <c r="BG893" i="1"/>
  <c r="BF893" i="1"/>
  <c r="BE893" i="1"/>
  <c r="BD893" i="1"/>
  <c r="BC893" i="1"/>
  <c r="BB893" i="1"/>
  <c r="BA893" i="1"/>
  <c r="AZ893" i="1"/>
  <c r="AY893" i="1"/>
  <c r="AX893" i="1"/>
  <c r="AW893" i="1"/>
  <c r="AV893" i="1"/>
  <c r="AU893" i="1"/>
  <c r="AT893" i="1"/>
  <c r="AS893" i="1"/>
  <c r="AR893" i="1"/>
  <c r="AQ893" i="1"/>
  <c r="AP893" i="1"/>
  <c r="AO893" i="1"/>
  <c r="AN893" i="1"/>
  <c r="AM893" i="1"/>
  <c r="AL893" i="1"/>
  <c r="AK893" i="1"/>
  <c r="AJ893" i="1"/>
  <c r="AI893" i="1"/>
  <c r="AH893" i="1"/>
  <c r="AG893" i="1"/>
  <c r="AF893" i="1"/>
  <c r="AE893" i="1"/>
  <c r="BK892" i="1"/>
  <c r="BJ892" i="1"/>
  <c r="BI892" i="1"/>
  <c r="BH892" i="1"/>
  <c r="BG892" i="1"/>
  <c r="BF892" i="1"/>
  <c r="BE892" i="1"/>
  <c r="BD892" i="1"/>
  <c r="BC892" i="1"/>
  <c r="BB892" i="1"/>
  <c r="BA892" i="1"/>
  <c r="AZ892" i="1"/>
  <c r="AY892" i="1"/>
  <c r="AX892" i="1"/>
  <c r="AW892" i="1"/>
  <c r="AV892" i="1"/>
  <c r="AU892" i="1"/>
  <c r="AT892" i="1"/>
  <c r="AS892" i="1"/>
  <c r="AR892" i="1"/>
  <c r="AQ892" i="1"/>
  <c r="AP892" i="1"/>
  <c r="AO892" i="1"/>
  <c r="AN892" i="1"/>
  <c r="AM892" i="1"/>
  <c r="AL892" i="1"/>
  <c r="AK892" i="1"/>
  <c r="AJ892" i="1"/>
  <c r="AI892" i="1"/>
  <c r="AH892" i="1"/>
  <c r="AG892" i="1"/>
  <c r="AF892" i="1"/>
  <c r="AE892" i="1"/>
  <c r="BK891" i="1"/>
  <c r="BJ891" i="1"/>
  <c r="BI891" i="1"/>
  <c r="BH891" i="1"/>
  <c r="BG891" i="1"/>
  <c r="BF891" i="1"/>
  <c r="BE891" i="1"/>
  <c r="BD891" i="1"/>
  <c r="BC891" i="1"/>
  <c r="BB891" i="1"/>
  <c r="BA891" i="1"/>
  <c r="AZ891" i="1"/>
  <c r="AY891" i="1"/>
  <c r="AX891" i="1"/>
  <c r="AW891" i="1"/>
  <c r="AV891" i="1"/>
  <c r="AU891" i="1"/>
  <c r="AT891" i="1"/>
  <c r="AS891" i="1"/>
  <c r="AR891" i="1"/>
  <c r="AQ891" i="1"/>
  <c r="AP891" i="1"/>
  <c r="AO891" i="1"/>
  <c r="AN891" i="1"/>
  <c r="AM891" i="1"/>
  <c r="AL891" i="1"/>
  <c r="AK891" i="1"/>
  <c r="AJ891" i="1"/>
  <c r="AI891" i="1"/>
  <c r="AH891" i="1"/>
  <c r="AG891" i="1"/>
  <c r="AF891" i="1"/>
  <c r="AE891" i="1"/>
  <c r="BK890" i="1"/>
  <c r="BJ890" i="1"/>
  <c r="BI890" i="1"/>
  <c r="BH890" i="1"/>
  <c r="BG890" i="1"/>
  <c r="BF890" i="1"/>
  <c r="BE890" i="1"/>
  <c r="BD890" i="1"/>
  <c r="BC890" i="1"/>
  <c r="BB890" i="1"/>
  <c r="BA890" i="1"/>
  <c r="AZ890" i="1"/>
  <c r="AY890" i="1"/>
  <c r="AX890" i="1"/>
  <c r="AW890" i="1"/>
  <c r="AV890" i="1"/>
  <c r="AU890" i="1"/>
  <c r="AT890" i="1"/>
  <c r="AS890" i="1"/>
  <c r="AR890" i="1"/>
  <c r="AQ890" i="1"/>
  <c r="AP890" i="1"/>
  <c r="AO890" i="1"/>
  <c r="AN890" i="1"/>
  <c r="AM890" i="1"/>
  <c r="AL890" i="1"/>
  <c r="AK890" i="1"/>
  <c r="AJ890" i="1"/>
  <c r="AI890" i="1"/>
  <c r="AH890" i="1"/>
  <c r="AG890" i="1"/>
  <c r="AF890" i="1"/>
  <c r="AE890" i="1"/>
  <c r="BK889" i="1"/>
  <c r="BJ889" i="1"/>
  <c r="BI889" i="1"/>
  <c r="BH889" i="1"/>
  <c r="BG889" i="1"/>
  <c r="BF889" i="1"/>
  <c r="BE889" i="1"/>
  <c r="BD889" i="1"/>
  <c r="BC889" i="1"/>
  <c r="BB889" i="1"/>
  <c r="BA889" i="1"/>
  <c r="AZ889" i="1"/>
  <c r="AY889" i="1"/>
  <c r="AX889" i="1"/>
  <c r="AW889" i="1"/>
  <c r="AV889" i="1"/>
  <c r="AU889" i="1"/>
  <c r="AT889" i="1"/>
  <c r="AS889" i="1"/>
  <c r="AR889" i="1"/>
  <c r="AQ889" i="1"/>
  <c r="AP889" i="1"/>
  <c r="AO889" i="1"/>
  <c r="AN889" i="1"/>
  <c r="AM889" i="1"/>
  <c r="AL889" i="1"/>
  <c r="AK889" i="1"/>
  <c r="AJ889" i="1"/>
  <c r="AI889" i="1"/>
  <c r="AH889" i="1"/>
  <c r="AG889" i="1"/>
  <c r="AF889" i="1"/>
  <c r="AE889" i="1"/>
  <c r="BK888" i="1"/>
  <c r="BJ888" i="1"/>
  <c r="BI888" i="1"/>
  <c r="BH888" i="1"/>
  <c r="BH886" i="1" s="1"/>
  <c r="BG888" i="1"/>
  <c r="BF888" i="1"/>
  <c r="BE888" i="1"/>
  <c r="BD888" i="1"/>
  <c r="BC888" i="1"/>
  <c r="BB888" i="1"/>
  <c r="BA888" i="1"/>
  <c r="AZ888" i="1"/>
  <c r="AZ886" i="1" s="1"/>
  <c r="AY888" i="1"/>
  <c r="AX888" i="1"/>
  <c r="AW888" i="1"/>
  <c r="AV888" i="1"/>
  <c r="AV886" i="1" s="1"/>
  <c r="AU888" i="1"/>
  <c r="AT888" i="1"/>
  <c r="AS888" i="1"/>
  <c r="AR888" i="1"/>
  <c r="AQ888" i="1"/>
  <c r="AP888" i="1"/>
  <c r="AO888" i="1"/>
  <c r="AN888" i="1"/>
  <c r="AN886" i="1" s="1"/>
  <c r="AM888" i="1"/>
  <c r="AL888" i="1"/>
  <c r="AK888" i="1"/>
  <c r="AJ888" i="1"/>
  <c r="AJ886" i="1" s="1"/>
  <c r="AI888" i="1"/>
  <c r="AH888" i="1"/>
  <c r="AG888" i="1"/>
  <c r="AF888" i="1"/>
  <c r="AF886" i="1" s="1"/>
  <c r="AE888" i="1"/>
  <c r="BK887" i="1"/>
  <c r="BJ887" i="1"/>
  <c r="BI887" i="1"/>
  <c r="BH887" i="1"/>
  <c r="BG887" i="1"/>
  <c r="BF887" i="1"/>
  <c r="BE887" i="1"/>
  <c r="BD887" i="1"/>
  <c r="BC887" i="1"/>
  <c r="BB887" i="1"/>
  <c r="BA887" i="1"/>
  <c r="AZ887" i="1"/>
  <c r="AY887" i="1"/>
  <c r="AX887" i="1"/>
  <c r="AW887" i="1"/>
  <c r="AV887" i="1"/>
  <c r="AU887" i="1"/>
  <c r="AT887" i="1"/>
  <c r="AS887" i="1"/>
  <c r="AR887" i="1"/>
  <c r="AQ887" i="1"/>
  <c r="AP887" i="1"/>
  <c r="AO887" i="1"/>
  <c r="AN887" i="1"/>
  <c r="AM887" i="1"/>
  <c r="AL887" i="1"/>
  <c r="AK887" i="1"/>
  <c r="AJ887" i="1"/>
  <c r="AI887" i="1"/>
  <c r="AH887" i="1"/>
  <c r="AG887" i="1"/>
  <c r="AF887" i="1"/>
  <c r="AE887" i="1"/>
  <c r="BD886" i="1"/>
  <c r="AR886" i="1"/>
  <c r="BP885" i="1"/>
  <c r="BO885" i="1"/>
  <c r="BN885" i="1"/>
  <c r="BK884" i="1"/>
  <c r="BJ884" i="1"/>
  <c r="BI884" i="1"/>
  <c r="BH884" i="1"/>
  <c r="BG884" i="1"/>
  <c r="BF884" i="1"/>
  <c r="BE884" i="1"/>
  <c r="BD884" i="1"/>
  <c r="BC884" i="1"/>
  <c r="BB884" i="1"/>
  <c r="BA884" i="1"/>
  <c r="AZ884" i="1"/>
  <c r="AY884" i="1"/>
  <c r="AX884" i="1"/>
  <c r="AW884" i="1"/>
  <c r="AV884" i="1"/>
  <c r="AU884" i="1"/>
  <c r="AT884" i="1"/>
  <c r="AS884" i="1"/>
  <c r="AR884" i="1"/>
  <c r="AQ884" i="1"/>
  <c r="AP884" i="1"/>
  <c r="AO884" i="1"/>
  <c r="AN884" i="1"/>
  <c r="AM884" i="1"/>
  <c r="AL884" i="1"/>
  <c r="AK884" i="1"/>
  <c r="AJ884" i="1"/>
  <c r="AI884" i="1"/>
  <c r="AH884" i="1"/>
  <c r="AG884" i="1"/>
  <c r="AF884" i="1"/>
  <c r="AE884" i="1"/>
  <c r="BP883" i="1"/>
  <c r="BO883" i="1"/>
  <c r="BN883" i="1"/>
  <c r="BP882" i="1"/>
  <c r="BO882" i="1"/>
  <c r="BN882" i="1"/>
  <c r="BP881" i="1"/>
  <c r="BO881" i="1"/>
  <c r="BN881" i="1"/>
  <c r="BP880" i="1"/>
  <c r="BO880" i="1"/>
  <c r="BN880" i="1"/>
  <c r="BP878" i="1"/>
  <c r="BO878" i="1"/>
  <c r="BN878" i="1"/>
  <c r="BP877" i="1"/>
  <c r="BO877" i="1"/>
  <c r="BN877" i="1"/>
  <c r="BP876" i="1"/>
  <c r="BO876" i="1"/>
  <c r="BN876" i="1"/>
  <c r="BP875" i="1"/>
  <c r="BO875" i="1"/>
  <c r="BN875" i="1"/>
  <c r="BP874" i="1"/>
  <c r="BO874" i="1"/>
  <c r="BN874" i="1"/>
  <c r="BP873" i="1"/>
  <c r="BO873" i="1"/>
  <c r="BN873" i="1"/>
  <c r="BP872" i="1"/>
  <c r="BO872" i="1"/>
  <c r="BN872" i="1"/>
  <c r="BP871" i="1"/>
  <c r="BO871" i="1"/>
  <c r="BN871" i="1"/>
  <c r="BK870" i="1"/>
  <c r="BJ870" i="1"/>
  <c r="BI870" i="1"/>
  <c r="BH870" i="1"/>
  <c r="BG870" i="1"/>
  <c r="BF870" i="1"/>
  <c r="BD870" i="1"/>
  <c r="BC870" i="1"/>
  <c r="BB870" i="1"/>
  <c r="BA870" i="1"/>
  <c r="AZ870" i="1"/>
  <c r="AY870" i="1"/>
  <c r="AX870" i="1"/>
  <c r="AW870" i="1"/>
  <c r="AV870" i="1"/>
  <c r="AU870" i="1"/>
  <c r="AT870" i="1"/>
  <c r="AS870" i="1"/>
  <c r="AR870" i="1"/>
  <c r="AQ870" i="1"/>
  <c r="AP870" i="1"/>
  <c r="AO870" i="1"/>
  <c r="BO870" i="1" s="1"/>
  <c r="AN870" i="1"/>
  <c r="AM870" i="1"/>
  <c r="AL870" i="1"/>
  <c r="AK870" i="1"/>
  <c r="AJ870" i="1"/>
  <c r="AI870" i="1"/>
  <c r="AH870" i="1"/>
  <c r="AG870" i="1"/>
  <c r="AF870" i="1"/>
  <c r="AE870" i="1"/>
  <c r="BH868" i="1"/>
  <c r="BG868" i="1"/>
  <c r="BG864" i="1" s="1"/>
  <c r="BF868" i="1"/>
  <c r="BE868" i="1"/>
  <c r="BD868" i="1"/>
  <c r="BC868" i="1"/>
  <c r="BC864" i="1" s="1"/>
  <c r="AV868" i="1"/>
  <c r="AU868" i="1"/>
  <c r="AU864" i="1" s="1"/>
  <c r="AT868" i="1"/>
  <c r="AS868" i="1"/>
  <c r="AR868" i="1"/>
  <c r="AQ868" i="1"/>
  <c r="AP868" i="1"/>
  <c r="AN868" i="1"/>
  <c r="AM868" i="1"/>
  <c r="AL868" i="1"/>
  <c r="AK868" i="1"/>
  <c r="AI868" i="1"/>
  <c r="AF868" i="1"/>
  <c r="BK867" i="1"/>
  <c r="BJ867" i="1"/>
  <c r="BI867" i="1"/>
  <c r="BH867" i="1"/>
  <c r="BG867" i="1"/>
  <c r="BF867" i="1"/>
  <c r="BE867" i="1"/>
  <c r="BD867" i="1"/>
  <c r="BC867" i="1"/>
  <c r="BA867" i="1"/>
  <c r="AZ867" i="1"/>
  <c r="AY867" i="1"/>
  <c r="AX867" i="1"/>
  <c r="AW867" i="1"/>
  <c r="AV867" i="1"/>
  <c r="AU867" i="1"/>
  <c r="AT867" i="1"/>
  <c r="AS867" i="1"/>
  <c r="AR867" i="1"/>
  <c r="AQ867" i="1"/>
  <c r="AP867" i="1"/>
  <c r="AO867" i="1"/>
  <c r="AN867" i="1"/>
  <c r="AM867" i="1"/>
  <c r="AL867" i="1"/>
  <c r="AK867" i="1"/>
  <c r="AK866" i="1" s="1"/>
  <c r="AJ867" i="1"/>
  <c r="AI867" i="1"/>
  <c r="AH867" i="1"/>
  <c r="AG867" i="1"/>
  <c r="AF867" i="1"/>
  <c r="AE867" i="1"/>
  <c r="AG866" i="1"/>
  <c r="BK865" i="1"/>
  <c r="BJ865" i="1"/>
  <c r="BI865" i="1"/>
  <c r="BI1168" i="1" s="1"/>
  <c r="BH865" i="1"/>
  <c r="BG865" i="1"/>
  <c r="BF865" i="1"/>
  <c r="BF864" i="1" s="1"/>
  <c r="BE865" i="1"/>
  <c r="BE1168" i="1" s="1"/>
  <c r="BD865" i="1"/>
  <c r="BC865" i="1"/>
  <c r="BB865" i="1"/>
  <c r="BA865" i="1"/>
  <c r="AZ865" i="1"/>
  <c r="AY865" i="1"/>
  <c r="AX865" i="1"/>
  <c r="AW865" i="1"/>
  <c r="AW1168" i="1" s="1"/>
  <c r="AV865" i="1"/>
  <c r="AU865" i="1"/>
  <c r="AT865" i="1"/>
  <c r="AS865" i="1"/>
  <c r="AS1168" i="1" s="1"/>
  <c r="AR865" i="1"/>
  <c r="AQ865" i="1"/>
  <c r="AP865" i="1"/>
  <c r="AN865" i="1"/>
  <c r="AM865" i="1"/>
  <c r="AM1168" i="1" s="1"/>
  <c r="AL865" i="1"/>
  <c r="AK865" i="1"/>
  <c r="AK864" i="1" s="1"/>
  <c r="AJ865" i="1"/>
  <c r="AI865" i="1"/>
  <c r="AI1168" i="1" s="1"/>
  <c r="AH865" i="1"/>
  <c r="AG865" i="1"/>
  <c r="AF865" i="1"/>
  <c r="AQ864" i="1"/>
  <c r="AP864" i="1"/>
  <c r="AL864" i="1"/>
  <c r="BN863" i="1"/>
  <c r="BK863" i="1"/>
  <c r="BJ863" i="1"/>
  <c r="BH863" i="1"/>
  <c r="BG863" i="1"/>
  <c r="BE863" i="1"/>
  <c r="BD863" i="1"/>
  <c r="BB863" i="1"/>
  <c r="BA863" i="1"/>
  <c r="AY863" i="1"/>
  <c r="AX863" i="1"/>
  <c r="AV863" i="1"/>
  <c r="AU863" i="1"/>
  <c r="AS863" i="1"/>
  <c r="AR863" i="1"/>
  <c r="AP863" i="1"/>
  <c r="AO863" i="1"/>
  <c r="AM863" i="1"/>
  <c r="AL863" i="1"/>
  <c r="AJ863" i="1"/>
  <c r="AI863" i="1"/>
  <c r="AG863" i="1"/>
  <c r="AF863" i="1"/>
  <c r="BO863" i="1" s="1"/>
  <c r="BK862" i="1"/>
  <c r="BJ862" i="1"/>
  <c r="BI862" i="1"/>
  <c r="BH862" i="1"/>
  <c r="BG862" i="1"/>
  <c r="BF862" i="1"/>
  <c r="BD862" i="1"/>
  <c r="BC862" i="1"/>
  <c r="BB862" i="1"/>
  <c r="BA862" i="1"/>
  <c r="AZ862" i="1"/>
  <c r="AY862" i="1"/>
  <c r="AX862" i="1"/>
  <c r="AW862" i="1"/>
  <c r="AV862" i="1"/>
  <c r="AU862" i="1"/>
  <c r="AT862" i="1"/>
  <c r="AS862" i="1"/>
  <c r="AR862" i="1"/>
  <c r="AQ862" i="1"/>
  <c r="AQ859" i="1" s="1"/>
  <c r="AP862" i="1"/>
  <c r="AO862" i="1"/>
  <c r="AN862" i="1"/>
  <c r="AM862" i="1"/>
  <c r="AM859" i="1" s="1"/>
  <c r="AL862" i="1"/>
  <c r="AK862" i="1"/>
  <c r="AJ862" i="1"/>
  <c r="AI862" i="1"/>
  <c r="AI859" i="1" s="1"/>
  <c r="AH862" i="1"/>
  <c r="AE862" i="1"/>
  <c r="BK861" i="1"/>
  <c r="BK859" i="1" s="1"/>
  <c r="BJ861" i="1"/>
  <c r="BJ859" i="1" s="1"/>
  <c r="BI861" i="1"/>
  <c r="BH861" i="1"/>
  <c r="BG861" i="1"/>
  <c r="BF861" i="1"/>
  <c r="BE861" i="1"/>
  <c r="BD861" i="1"/>
  <c r="BC861" i="1"/>
  <c r="BB861" i="1"/>
  <c r="BB859" i="1" s="1"/>
  <c r="BA861" i="1"/>
  <c r="AZ861" i="1"/>
  <c r="AY861" i="1"/>
  <c r="AX861" i="1"/>
  <c r="AX859" i="1" s="1"/>
  <c r="AW861" i="1"/>
  <c r="AV861" i="1"/>
  <c r="AU861" i="1"/>
  <c r="AS861" i="1"/>
  <c r="AS859" i="1" s="1"/>
  <c r="AQ861" i="1"/>
  <c r="AP861" i="1"/>
  <c r="AO861" i="1"/>
  <c r="AO859" i="1" s="1"/>
  <c r="AN861" i="1"/>
  <c r="AN859" i="1" s="1"/>
  <c r="AM861" i="1"/>
  <c r="AL861" i="1"/>
  <c r="AL859" i="1" s="1"/>
  <c r="AK861" i="1"/>
  <c r="AJ861" i="1"/>
  <c r="AJ859" i="1" s="1"/>
  <c r="AI861" i="1"/>
  <c r="AH861" i="1"/>
  <c r="AG861" i="1"/>
  <c r="AE861" i="1"/>
  <c r="AE859" i="1" s="1"/>
  <c r="BP860" i="1"/>
  <c r="BO860" i="1"/>
  <c r="BN860" i="1"/>
  <c r="BF859" i="1"/>
  <c r="BP854" i="1"/>
  <c r="BO854" i="1"/>
  <c r="BN854" i="1"/>
  <c r="BP853" i="1"/>
  <c r="BO853" i="1"/>
  <c r="BN853" i="1"/>
  <c r="BP852" i="1"/>
  <c r="BO852" i="1"/>
  <c r="BN852" i="1"/>
  <c r="BP851" i="1"/>
  <c r="BO851" i="1"/>
  <c r="BN851" i="1"/>
  <c r="BP850" i="1"/>
  <c r="BO850" i="1"/>
  <c r="BN850" i="1"/>
  <c r="BP849" i="1"/>
  <c r="BO849" i="1"/>
  <c r="BN849" i="1"/>
  <c r="BP848" i="1"/>
  <c r="BO848" i="1"/>
  <c r="BN848" i="1"/>
  <c r="BP847" i="1"/>
  <c r="BO847" i="1"/>
  <c r="BN847" i="1"/>
  <c r="BP846" i="1"/>
  <c r="BO846" i="1"/>
  <c r="BN846" i="1"/>
  <c r="BP845" i="1"/>
  <c r="BO845" i="1"/>
  <c r="BN845" i="1"/>
  <c r="BP844" i="1"/>
  <c r="BO844" i="1"/>
  <c r="BN844" i="1"/>
  <c r="BP843" i="1"/>
  <c r="BO843" i="1"/>
  <c r="BN843" i="1"/>
  <c r="BP842" i="1"/>
  <c r="BO842" i="1"/>
  <c r="BN842" i="1"/>
  <c r="BP841" i="1"/>
  <c r="BO841" i="1"/>
  <c r="BN841" i="1"/>
  <c r="BP840" i="1"/>
  <c r="BO840" i="1"/>
  <c r="BN840" i="1"/>
  <c r="BP839" i="1"/>
  <c r="BO839" i="1"/>
  <c r="BN839" i="1"/>
  <c r="BP838" i="1"/>
  <c r="BO838" i="1"/>
  <c r="BN838" i="1"/>
  <c r="BP837" i="1"/>
  <c r="BO837" i="1"/>
  <c r="BN837" i="1"/>
  <c r="BP836" i="1"/>
  <c r="BO836" i="1"/>
  <c r="BN836" i="1"/>
  <c r="BP835" i="1"/>
  <c r="BO835" i="1"/>
  <c r="BN835" i="1"/>
  <c r="BP834" i="1"/>
  <c r="BO834" i="1"/>
  <c r="BN834" i="1"/>
  <c r="BP833" i="1"/>
  <c r="BO833" i="1"/>
  <c r="BN833" i="1"/>
  <c r="BK832" i="1"/>
  <c r="BJ832" i="1"/>
  <c r="BJ830" i="1" s="1"/>
  <c r="BI832" i="1"/>
  <c r="BI830" i="1" s="1"/>
  <c r="BH832" i="1"/>
  <c r="BH830" i="1" s="1"/>
  <c r="BG832" i="1"/>
  <c r="BF832" i="1"/>
  <c r="BE832" i="1"/>
  <c r="BE830" i="1" s="1"/>
  <c r="BD832" i="1"/>
  <c r="BD830" i="1" s="1"/>
  <c r="BC832" i="1"/>
  <c r="BC830" i="1" s="1"/>
  <c r="BC826" i="1" s="1"/>
  <c r="BB832" i="1"/>
  <c r="BA832" i="1"/>
  <c r="BA830" i="1" s="1"/>
  <c r="AZ832" i="1"/>
  <c r="AY832" i="1"/>
  <c r="AX832" i="1"/>
  <c r="AX830" i="1" s="1"/>
  <c r="AX826" i="1" s="1"/>
  <c r="AW832" i="1"/>
  <c r="AW830" i="1" s="1"/>
  <c r="AW820" i="1" s="1"/>
  <c r="AV832" i="1"/>
  <c r="AV830" i="1" s="1"/>
  <c r="AV820" i="1" s="1" a="1"/>
  <c r="AV820" i="1" s="1"/>
  <c r="AU832" i="1"/>
  <c r="AT832" i="1"/>
  <c r="AT830" i="1" s="1"/>
  <c r="AT820" i="1" s="1"/>
  <c r="AS832" i="1"/>
  <c r="AS830" i="1" s="1"/>
  <c r="AS826" i="1" s="1"/>
  <c r="AS823" i="1" s="1"/>
  <c r="AR832" i="1"/>
  <c r="AR830" i="1" s="1"/>
  <c r="AQ832" i="1"/>
  <c r="AP832" i="1"/>
  <c r="AO832" i="1"/>
  <c r="AO830" i="1" s="1"/>
  <c r="AO820" i="1" s="1" a="1"/>
  <c r="AO820" i="1" s="1"/>
  <c r="AN832" i="1"/>
  <c r="AN830" i="1" s="1"/>
  <c r="AN820" i="1" s="1"/>
  <c r="AM832" i="1"/>
  <c r="AM830" i="1" s="1"/>
  <c r="AL832" i="1"/>
  <c r="AL830" i="1" s="1"/>
  <c r="AK832" i="1"/>
  <c r="AK830" i="1" s="1"/>
  <c r="AJ832" i="1"/>
  <c r="AJ830" i="1" s="1"/>
  <c r="AJ826" i="1" s="1"/>
  <c r="AJ829" i="1" s="1"/>
  <c r="AI832" i="1"/>
  <c r="AG832" i="1"/>
  <c r="AG830" i="1" s="1"/>
  <c r="AF832" i="1"/>
  <c r="AE832" i="1"/>
  <c r="AE830" i="1" s="1"/>
  <c r="BP831" i="1"/>
  <c r="BO831" i="1"/>
  <c r="BN831" i="1"/>
  <c r="BK830" i="1"/>
  <c r="BK826" i="1" s="1"/>
  <c r="BG830" i="1"/>
  <c r="BG826" i="1" s="1"/>
  <c r="BF830" i="1"/>
  <c r="BB830" i="1"/>
  <c r="BB826" i="1" s="1"/>
  <c r="AZ830" i="1"/>
  <c r="AZ826" i="1" s="1"/>
  <c r="AY830" i="1"/>
  <c r="AU830" i="1"/>
  <c r="AU820" i="1" s="1" a="1"/>
  <c r="AU820" i="1" s="1"/>
  <c r="AQ830" i="1"/>
  <c r="AQ820" i="1" s="1"/>
  <c r="AP830" i="1"/>
  <c r="AP820" i="1" s="1" a="1"/>
  <c r="AP820" i="1" s="1"/>
  <c r="AW829" i="1"/>
  <c r="AV829" i="1"/>
  <c r="AU829" i="1"/>
  <c r="AT829" i="1"/>
  <c r="AP829" i="1"/>
  <c r="AO829" i="1"/>
  <c r="AN829" i="1"/>
  <c r="AH829" i="1"/>
  <c r="BP828" i="1"/>
  <c r="BO828" i="1"/>
  <c r="BN828" i="1"/>
  <c r="BP827" i="1"/>
  <c r="BO827" i="1"/>
  <c r="BN827" i="1"/>
  <c r="AY826" i="1"/>
  <c r="AY829" i="1" s="1"/>
  <c r="AQ826" i="1"/>
  <c r="AQ823" i="1" s="1"/>
  <c r="AM826" i="1"/>
  <c r="AM829" i="1" s="1"/>
  <c r="AI826" i="1"/>
  <c r="AI829" i="1" s="1"/>
  <c r="BP825" i="1"/>
  <c r="BO825" i="1"/>
  <c r="BN825" i="1"/>
  <c r="BP824" i="1"/>
  <c r="BO824" i="1"/>
  <c r="BN824" i="1"/>
  <c r="Y824" i="1"/>
  <c r="AV823" i="1"/>
  <c r="AU823" i="1"/>
  <c r="AT823" i="1"/>
  <c r="AP823" i="1"/>
  <c r="AO823" i="1"/>
  <c r="AN823" i="1"/>
  <c r="BG820" i="1" a="1"/>
  <c r="BG820" i="1" s="1"/>
  <c r="AY820" i="1" a="1"/>
  <c r="AY820" i="1" s="1"/>
  <c r="AM820" i="1" a="1"/>
  <c r="AM820" i="1" s="1"/>
  <c r="AI820" i="1" a="1"/>
  <c r="AI820" i="1"/>
  <c r="AB820" i="1"/>
  <c r="AG819" i="1"/>
  <c r="AF819" i="1"/>
  <c r="AE819" i="1"/>
  <c r="AB819" i="1"/>
  <c r="AF818" i="1"/>
  <c r="AE818" i="1" a="1"/>
  <c r="AE818" i="1" s="1"/>
  <c r="AG815" i="1"/>
  <c r="AE815" i="1"/>
  <c r="AG813" i="1"/>
  <c r="AF813" i="1"/>
  <c r="AE813" i="1"/>
  <c r="AG812" i="1" a="1"/>
  <c r="AG812" i="1" s="1"/>
  <c r="AE812" i="1" a="1"/>
  <c r="AE812" i="1" s="1"/>
  <c r="AF811" i="1"/>
  <c r="AE811" i="1"/>
  <c r="AB811" i="1"/>
  <c r="E811" i="1" a="1"/>
  <c r="E811" i="1" s="1"/>
  <c r="AB810" i="1"/>
  <c r="AB812" i="1" s="1"/>
  <c r="E810" i="1" a="1"/>
  <c r="E810" i="1" s="1"/>
  <c r="AB808" i="1"/>
  <c r="A807" i="1"/>
  <c r="Y806" i="1" a="1"/>
  <c r="Y806" i="1" s="1"/>
  <c r="M817" i="1" s="1" a="1"/>
  <c r="M817" i="1" s="1"/>
  <c r="B806" i="1"/>
  <c r="M805" i="1"/>
  <c r="A805" i="1"/>
  <c r="B805" i="1" s="1"/>
  <c r="M804" i="1"/>
  <c r="A804" i="1"/>
  <c r="B804" i="1" s="1"/>
  <c r="M803" i="1"/>
  <c r="A803" i="1"/>
  <c r="B803" i="1" s="1"/>
  <c r="M802" i="1"/>
  <c r="A802" i="1"/>
  <c r="B802" i="1" s="1"/>
  <c r="M801" i="1"/>
  <c r="A801" i="1"/>
  <c r="B801" i="1" s="1" a="1"/>
  <c r="B801" i="1" s="1"/>
  <c r="M800" i="1"/>
  <c r="B800" i="1" a="1"/>
  <c r="A800" i="1"/>
  <c r="M799" i="1"/>
  <c r="A799" i="1"/>
  <c r="B799" i="1" s="1" a="1"/>
  <c r="B799" i="1" s="1"/>
  <c r="M798" i="1"/>
  <c r="A798" i="1"/>
  <c r="B798" i="1" s="1" a="1"/>
  <c r="B798" i="1" s="1"/>
  <c r="M797" i="1"/>
  <c r="A797" i="1"/>
  <c r="B797" i="1" s="1" a="1"/>
  <c r="B797" i="1" s="1"/>
  <c r="M796" i="1"/>
  <c r="B796" i="1" a="1"/>
  <c r="A796" i="1"/>
  <c r="M795" i="1"/>
  <c r="A795" i="1"/>
  <c r="B795" i="1" s="1" a="1"/>
  <c r="B795" i="1" s="1"/>
  <c r="M794" i="1"/>
  <c r="A794" i="1"/>
  <c r="B794" i="1" s="1" a="1"/>
  <c r="B794" i="1" s="1"/>
  <c r="M793" i="1"/>
  <c r="A793" i="1"/>
  <c r="B793" i="1" s="1" a="1"/>
  <c r="B793" i="1" s="1"/>
  <c r="M792" i="1"/>
  <c r="A792" i="1"/>
  <c r="B792" i="1" s="1" a="1"/>
  <c r="B792" i="1" s="1"/>
  <c r="M791" i="1"/>
  <c r="A791" i="1"/>
  <c r="B791" i="1" s="1" a="1"/>
  <c r="B791" i="1" s="1"/>
  <c r="M790" i="1"/>
  <c r="AG789" i="1" a="1"/>
  <c r="AG789" i="1" s="1"/>
  <c r="AF789" i="1" a="1"/>
  <c r="AF789" i="1" s="1"/>
  <c r="AE789" i="1" a="1"/>
  <c r="AE789" i="1" s="1"/>
  <c r="B789" i="1"/>
  <c r="AF788" i="1"/>
  <c r="AE788" i="1"/>
  <c r="B788" i="1"/>
  <c r="AF787" i="1"/>
  <c r="B787" i="1"/>
  <c r="BP785" i="1"/>
  <c r="BK785" i="1"/>
  <c r="BH785" i="1"/>
  <c r="BE785" i="1"/>
  <c r="BB785" i="1"/>
  <c r="AY785" i="1"/>
  <c r="AV785" i="1"/>
  <c r="AS785" i="1"/>
  <c r="AP785" i="1"/>
  <c r="AM785" i="1"/>
  <c r="AJ785" i="1"/>
  <c r="AG785" i="1"/>
  <c r="BK784" i="1"/>
  <c r="BJ784" i="1"/>
  <c r="BI784" i="1"/>
  <c r="BH784" i="1"/>
  <c r="BG784" i="1"/>
  <c r="BF784" i="1"/>
  <c r="BE784" i="1"/>
  <c r="BD784" i="1"/>
  <c r="BC784" i="1"/>
  <c r="BB784" i="1"/>
  <c r="BA784" i="1"/>
  <c r="AZ784" i="1"/>
  <c r="AY784" i="1"/>
  <c r="AX784" i="1"/>
  <c r="AW784" i="1"/>
  <c r="AV784" i="1"/>
  <c r="AU784" i="1"/>
  <c r="AT784" i="1"/>
  <c r="AS784" i="1"/>
  <c r="AR784" i="1"/>
  <c r="AQ784" i="1"/>
  <c r="AP784" i="1"/>
  <c r="AO784" i="1"/>
  <c r="AN784" i="1"/>
  <c r="AM784" i="1"/>
  <c r="AL784" i="1"/>
  <c r="AK784" i="1"/>
  <c r="AJ784" i="1"/>
  <c r="AI784" i="1"/>
  <c r="AH784" i="1"/>
  <c r="AG784" i="1"/>
  <c r="AG788" i="1" s="1"/>
  <c r="AE784" i="1"/>
  <c r="BK778" i="1"/>
  <c r="BJ778" i="1"/>
  <c r="BH778" i="1"/>
  <c r="BG778" i="1"/>
  <c r="BE778" i="1"/>
  <c r="BD778" i="1"/>
  <c r="BB778" i="1"/>
  <c r="BA778" i="1"/>
  <c r="AY778" i="1"/>
  <c r="AX778" i="1"/>
  <c r="AV778" i="1"/>
  <c r="AU778" i="1"/>
  <c r="AS778" i="1"/>
  <c r="AR778" i="1"/>
  <c r="AP778" i="1"/>
  <c r="AO778" i="1"/>
  <c r="AJ778" i="1"/>
  <c r="AI778" i="1"/>
  <c r="AG778" i="1"/>
  <c r="AF778" i="1"/>
  <c r="BP774" i="1"/>
  <c r="BO774" i="1"/>
  <c r="BN774" i="1"/>
  <c r="G774" i="1"/>
  <c r="B774" i="1" a="1"/>
  <c r="A774" i="1"/>
  <c r="BP773" i="1"/>
  <c r="BO773" i="1"/>
  <c r="BN773" i="1"/>
  <c r="G773" i="1"/>
  <c r="A773" i="1"/>
  <c r="B773" i="1" s="1" a="1"/>
  <c r="B773" i="1" s="1"/>
  <c r="BP772" i="1"/>
  <c r="BO772" i="1"/>
  <c r="BN772" i="1"/>
  <c r="G772" i="1"/>
  <c r="BP771" i="1"/>
  <c r="BO771" i="1"/>
  <c r="BN771" i="1"/>
  <c r="G771" i="1"/>
  <c r="BP770" i="1"/>
  <c r="BO770" i="1"/>
  <c r="BN770" i="1"/>
  <c r="G770" i="1"/>
  <c r="BP768" i="1"/>
  <c r="BO768" i="1"/>
  <c r="BN768" i="1"/>
  <c r="BP767" i="1"/>
  <c r="BO767" i="1"/>
  <c r="BN767" i="1"/>
  <c r="BP766" i="1"/>
  <c r="BO766" i="1"/>
  <c r="BN766" i="1"/>
  <c r="BP765" i="1"/>
  <c r="BO765" i="1"/>
  <c r="BN765" i="1"/>
  <c r="BP764" i="1"/>
  <c r="BO764" i="1"/>
  <c r="BN764" i="1"/>
  <c r="BP763" i="1"/>
  <c r="BN763" i="1"/>
  <c r="BJ763" i="1"/>
  <c r="BG763" i="1"/>
  <c r="BA763" i="1"/>
  <c r="AX763" i="1"/>
  <c r="AU763" i="1"/>
  <c r="BP762" i="1"/>
  <c r="BO762" i="1"/>
  <c r="BN762" i="1"/>
  <c r="BP761" i="1"/>
  <c r="BO761" i="1"/>
  <c r="BN761" i="1"/>
  <c r="BP760" i="1"/>
  <c r="BO760" i="1"/>
  <c r="BN760" i="1"/>
  <c r="BP759" i="1"/>
  <c r="BO759" i="1"/>
  <c r="BN759" i="1"/>
  <c r="A759" i="1"/>
  <c r="A760" i="1" s="1" a="1"/>
  <c r="A760" i="1" s="1"/>
  <c r="A761" i="1" s="1" a="1"/>
  <c r="A761" i="1" s="1"/>
  <c r="B761" i="1" s="1" a="1"/>
  <c r="B761" i="1" s="1"/>
  <c r="BP758" i="1"/>
  <c r="BO758" i="1"/>
  <c r="BN758" i="1"/>
  <c r="A758" i="1"/>
  <c r="B758" i="1" s="1" a="1"/>
  <c r="B758" i="1" s="1"/>
  <c r="AI753" i="1"/>
  <c r="AF751" i="1"/>
  <c r="AF750" i="1"/>
  <c r="AO748" i="1"/>
  <c r="AO734" i="1" s="1"/>
  <c r="AO746" i="1"/>
  <c r="AO747" i="1" s="1"/>
  <c r="BP742" i="1"/>
  <c r="BO742" i="1"/>
  <c r="BN742" i="1"/>
  <c r="BP741" i="1"/>
  <c r="BO741" i="1"/>
  <c r="BN741" i="1"/>
  <c r="BP740" i="1"/>
  <c r="BO740" i="1"/>
  <c r="BN740" i="1"/>
  <c r="BP739" i="1"/>
  <c r="BO739" i="1"/>
  <c r="BN739" i="1"/>
  <c r="BP738" i="1"/>
  <c r="BO738" i="1"/>
  <c r="BN738" i="1"/>
  <c r="BP737" i="1"/>
  <c r="BO737" i="1"/>
  <c r="BN737" i="1"/>
  <c r="BP736" i="1"/>
  <c r="BO736" i="1"/>
  <c r="BN736" i="1"/>
  <c r="BP735" i="1"/>
  <c r="BO735" i="1"/>
  <c r="BN735" i="1"/>
  <c r="BK734" i="1"/>
  <c r="BJ734" i="1"/>
  <c r="BH734" i="1"/>
  <c r="BG734" i="1"/>
  <c r="BE734" i="1"/>
  <c r="BD734" i="1"/>
  <c r="BC734" i="1"/>
  <c r="BN734" i="1" s="1"/>
  <c r="BB734" i="1"/>
  <c r="BA734" i="1"/>
  <c r="AY734" i="1"/>
  <c r="AX734" i="1"/>
  <c r="AV734" i="1"/>
  <c r="AU734" i="1"/>
  <c r="AS734" i="1"/>
  <c r="AR734" i="1"/>
  <c r="AP734" i="1"/>
  <c r="AJ734" i="1"/>
  <c r="AI734" i="1"/>
  <c r="AG734" i="1"/>
  <c r="AF734" i="1"/>
  <c r="A734" i="1"/>
  <c r="B734" i="1" s="1" a="1"/>
  <c r="B734" i="1" s="1"/>
  <c r="BP733" i="1"/>
  <c r="BO733" i="1"/>
  <c r="BN733" i="1"/>
  <c r="BP732" i="1"/>
  <c r="BO732" i="1"/>
  <c r="BN732" i="1"/>
  <c r="BP731" i="1"/>
  <c r="BO731" i="1"/>
  <c r="BN731" i="1"/>
  <c r="BP730" i="1"/>
  <c r="BO730" i="1"/>
  <c r="BN730" i="1"/>
  <c r="BP729" i="1"/>
  <c r="BO729" i="1"/>
  <c r="BN729" i="1"/>
  <c r="B729" i="1" a="1"/>
  <c r="A729" i="1"/>
  <c r="A730" i="1" s="1" a="1"/>
  <c r="A730" i="1" s="1"/>
  <c r="B730" i="1" s="1" a="1"/>
  <c r="B730" i="1" s="1"/>
  <c r="BP728" i="1"/>
  <c r="BO728" i="1"/>
  <c r="BN728" i="1"/>
  <c r="AG728" i="1"/>
  <c r="AG1101" i="1" s="1"/>
  <c r="BP727" i="1"/>
  <c r="BO727" i="1"/>
  <c r="BN727" i="1"/>
  <c r="BP726" i="1"/>
  <c r="BO726" i="1"/>
  <c r="BN726" i="1"/>
  <c r="BP725" i="1"/>
  <c r="BO725" i="1"/>
  <c r="BN725" i="1"/>
  <c r="BP724" i="1"/>
  <c r="BO724" i="1"/>
  <c r="BN724" i="1"/>
  <c r="BK723" i="1"/>
  <c r="BJ723" i="1"/>
  <c r="BJ717" i="1" s="1"/>
  <c r="BJ716" i="1" s="1"/>
  <c r="BJ1099" i="1" s="1"/>
  <c r="BI723" i="1"/>
  <c r="BH723" i="1"/>
  <c r="BG723" i="1"/>
  <c r="BF723" i="1"/>
  <c r="BE723" i="1"/>
  <c r="BD723" i="1"/>
  <c r="BC723" i="1"/>
  <c r="BB723" i="1"/>
  <c r="BA723" i="1"/>
  <c r="BA717" i="1" s="1"/>
  <c r="BA716" i="1" s="1"/>
  <c r="BA1099" i="1" s="1"/>
  <c r="AZ723" i="1"/>
  <c r="AY723" i="1"/>
  <c r="AX723" i="1"/>
  <c r="AW723" i="1"/>
  <c r="BN723" i="1" s="1"/>
  <c r="AV723" i="1"/>
  <c r="AU723" i="1"/>
  <c r="AS723" i="1"/>
  <c r="AR723" i="1"/>
  <c r="AP723" i="1"/>
  <c r="AO723" i="1"/>
  <c r="AJ723" i="1"/>
  <c r="AI723" i="1"/>
  <c r="BO723" i="1" s="1"/>
  <c r="AG723" i="1"/>
  <c r="AF723" i="1"/>
  <c r="BP722" i="1"/>
  <c r="BO722" i="1"/>
  <c r="BN722" i="1"/>
  <c r="BP721" i="1"/>
  <c r="BO721" i="1"/>
  <c r="BN721" i="1"/>
  <c r="BP720" i="1"/>
  <c r="BO720" i="1"/>
  <c r="BN720" i="1"/>
  <c r="BP719" i="1"/>
  <c r="BO719" i="1"/>
  <c r="BN719" i="1"/>
  <c r="Y719" i="1"/>
  <c r="BP718" i="1"/>
  <c r="BO718" i="1"/>
  <c r="BN718" i="1"/>
  <c r="AB718" i="1"/>
  <c r="BP717" i="1"/>
  <c r="BN717" i="1"/>
  <c r="AX717" i="1"/>
  <c r="AX716" i="1" s="1"/>
  <c r="AX1099" i="1" s="1"/>
  <c r="AF717" i="1"/>
  <c r="BK716" i="1"/>
  <c r="BK1099" i="1" s="1"/>
  <c r="BI716" i="1"/>
  <c r="BI1099" i="1" s="1"/>
  <c r="BH716" i="1"/>
  <c r="BH1099" i="1" s="1"/>
  <c r="BG716" i="1"/>
  <c r="BG1099" i="1" s="1"/>
  <c r="BF716" i="1"/>
  <c r="BF1099" i="1" s="1"/>
  <c r="BE716" i="1"/>
  <c r="BE1099" i="1" s="1"/>
  <c r="BD716" i="1"/>
  <c r="BD1099" i="1" s="1"/>
  <c r="BC716" i="1"/>
  <c r="BC1099" i="1" s="1"/>
  <c r="AV716" i="1"/>
  <c r="AV1099" i="1" s="1"/>
  <c r="AU716" i="1"/>
  <c r="AU1099" i="1" s="1"/>
  <c r="AT716" i="1"/>
  <c r="AT1099" i="1" s="1"/>
  <c r="AS716" i="1"/>
  <c r="AS1099" i="1" s="1"/>
  <c r="AR716" i="1"/>
  <c r="AR1099" i="1" s="1"/>
  <c r="AQ716" i="1"/>
  <c r="AQ1099" i="1" s="1"/>
  <c r="AP716" i="1"/>
  <c r="AP1099" i="1" s="1"/>
  <c r="AO716" i="1"/>
  <c r="AO1099" i="1" s="1"/>
  <c r="AN716" i="1"/>
  <c r="AN1099" i="1" s="1"/>
  <c r="AJ716" i="1"/>
  <c r="AJ1099" i="1" s="1"/>
  <c r="AI716" i="1"/>
  <c r="AI1099" i="1" s="1"/>
  <c r="AH716" i="1"/>
  <c r="AH1099" i="1" s="1"/>
  <c r="AG716" i="1"/>
  <c r="AE716" i="1"/>
  <c r="AE1099" i="1" s="1"/>
  <c r="BP715" i="1"/>
  <c r="BO715" i="1"/>
  <c r="BN715" i="1"/>
  <c r="BP714" i="1"/>
  <c r="BO714" i="1"/>
  <c r="BN714" i="1"/>
  <c r="BP713" i="1"/>
  <c r="BO713" i="1"/>
  <c r="BN713" i="1"/>
  <c r="BP712" i="1"/>
  <c r="BO712" i="1"/>
  <c r="BN712" i="1"/>
  <c r="BP711" i="1"/>
  <c r="BO711" i="1"/>
  <c r="BN711" i="1"/>
  <c r="A711" i="1"/>
  <c r="B711" i="1" s="1" a="1"/>
  <c r="B711" i="1" s="1"/>
  <c r="BP710" i="1"/>
  <c r="BO710" i="1"/>
  <c r="BN710" i="1"/>
  <c r="A710" i="1" a="1"/>
  <c r="BP709" i="1"/>
  <c r="BO709" i="1"/>
  <c r="BN709" i="1"/>
  <c r="BP708" i="1"/>
  <c r="BO708" i="1"/>
  <c r="BN708" i="1"/>
  <c r="A708" i="1"/>
  <c r="BP707" i="1"/>
  <c r="BO707" i="1"/>
  <c r="BN707" i="1"/>
  <c r="A707" i="1"/>
  <c r="BP706" i="1"/>
  <c r="BO706" i="1"/>
  <c r="BN706" i="1"/>
  <c r="A706" i="1"/>
  <c r="B706" i="1" s="1" a="1"/>
  <c r="B706" i="1" s="1"/>
  <c r="BP705" i="1"/>
  <c r="BO705" i="1"/>
  <c r="BN705" i="1"/>
  <c r="A705" i="1"/>
  <c r="B705" i="1" s="1" a="1"/>
  <c r="B705" i="1" s="1"/>
  <c r="BP704" i="1"/>
  <c r="BO704" i="1"/>
  <c r="BN704" i="1"/>
  <c r="BP703" i="1"/>
  <c r="BO703" i="1"/>
  <c r="BN703" i="1"/>
  <c r="BP702" i="1"/>
  <c r="BO702" i="1"/>
  <c r="BN702" i="1"/>
  <c r="BP701" i="1"/>
  <c r="BO701" i="1"/>
  <c r="BN701" i="1"/>
  <c r="Y701" i="1"/>
  <c r="BP700" i="1"/>
  <c r="BO700" i="1"/>
  <c r="BN700" i="1"/>
  <c r="BP699" i="1"/>
  <c r="BO699" i="1"/>
  <c r="BN699" i="1"/>
  <c r="BP698" i="1"/>
  <c r="BO698" i="1"/>
  <c r="BN698" i="1"/>
  <c r="BK697" i="1"/>
  <c r="BJ697" i="1"/>
  <c r="BI697" i="1"/>
  <c r="BH697" i="1"/>
  <c r="BG697" i="1"/>
  <c r="BF697" i="1"/>
  <c r="BE697" i="1"/>
  <c r="BD697" i="1"/>
  <c r="BC697" i="1"/>
  <c r="BB697" i="1"/>
  <c r="BA697" i="1"/>
  <c r="AZ697" i="1"/>
  <c r="AY697" i="1"/>
  <c r="AW697" i="1"/>
  <c r="AV697" i="1"/>
  <c r="AU697" i="1"/>
  <c r="AT697" i="1"/>
  <c r="AS697" i="1"/>
  <c r="AQ697" i="1"/>
  <c r="AP697" i="1"/>
  <c r="AO697" i="1"/>
  <c r="AN697" i="1"/>
  <c r="AJ697" i="1"/>
  <c r="AI697" i="1"/>
  <c r="AH697" i="1"/>
  <c r="AG697" i="1"/>
  <c r="AE697" i="1"/>
  <c r="BP696" i="1"/>
  <c r="BO696" i="1"/>
  <c r="BN696" i="1"/>
  <c r="BP695" i="1"/>
  <c r="BO695" i="1"/>
  <c r="BN695" i="1"/>
  <c r="BO694" i="1"/>
  <c r="BN694" i="1"/>
  <c r="BB694" i="1"/>
  <c r="BB1085" i="1" s="1"/>
  <c r="BP693" i="1"/>
  <c r="BO693" i="1"/>
  <c r="BN693" i="1"/>
  <c r="BP692" i="1"/>
  <c r="BO692" i="1"/>
  <c r="BN692" i="1"/>
  <c r="BP691" i="1"/>
  <c r="BO691" i="1"/>
  <c r="BN691" i="1"/>
  <c r="BP690" i="1"/>
  <c r="BO690" i="1"/>
  <c r="BN690" i="1"/>
  <c r="BP689" i="1"/>
  <c r="BO689" i="1"/>
  <c r="BN689" i="1"/>
  <c r="Y689" i="1"/>
  <c r="BP688" i="1"/>
  <c r="BO688" i="1"/>
  <c r="BN688" i="1"/>
  <c r="BK687" i="1"/>
  <c r="BJ687" i="1"/>
  <c r="BI687" i="1"/>
  <c r="BH687" i="1"/>
  <c r="BG687" i="1"/>
  <c r="BF687" i="1"/>
  <c r="BE687" i="1"/>
  <c r="BD687" i="1"/>
  <c r="BC687" i="1"/>
  <c r="BA687" i="1"/>
  <c r="AZ687" i="1"/>
  <c r="AY687" i="1"/>
  <c r="AX687" i="1"/>
  <c r="AW687" i="1"/>
  <c r="AV687" i="1"/>
  <c r="AU687" i="1"/>
  <c r="AT687" i="1"/>
  <c r="AS687" i="1"/>
  <c r="AR687" i="1"/>
  <c r="AQ687" i="1"/>
  <c r="AQ672" i="1" s="1"/>
  <c r="AP687" i="1"/>
  <c r="AO687" i="1"/>
  <c r="AN687" i="1"/>
  <c r="AN672" i="1" s="1"/>
  <c r="AJ687" i="1"/>
  <c r="AI687" i="1"/>
  <c r="AH687" i="1"/>
  <c r="AG687" i="1"/>
  <c r="AF687" i="1"/>
  <c r="AF672" i="1" s="1"/>
  <c r="AE687" i="1"/>
  <c r="BP686" i="1"/>
  <c r="BO686" i="1"/>
  <c r="BN686" i="1"/>
  <c r="BP685" i="1"/>
  <c r="BO685" i="1"/>
  <c r="BN685" i="1"/>
  <c r="BP684" i="1"/>
  <c r="BO684" i="1"/>
  <c r="BN684" i="1"/>
  <c r="BP683" i="1"/>
  <c r="BO683" i="1"/>
  <c r="BN683" i="1"/>
  <c r="BP682" i="1"/>
  <c r="BO682" i="1"/>
  <c r="BN682" i="1"/>
  <c r="BP681" i="1"/>
  <c r="BO681" i="1"/>
  <c r="BN681" i="1"/>
  <c r="BP680" i="1"/>
  <c r="BO680" i="1"/>
  <c r="BN680" i="1"/>
  <c r="BP679" i="1"/>
  <c r="BO679" i="1"/>
  <c r="BN679" i="1"/>
  <c r="BP678" i="1"/>
  <c r="BO678" i="1"/>
  <c r="BN678" i="1"/>
  <c r="BP677" i="1"/>
  <c r="BO677" i="1"/>
  <c r="BN677" i="1"/>
  <c r="BP676" i="1"/>
  <c r="BO676" i="1"/>
  <c r="BN676" i="1"/>
  <c r="BP675" i="1"/>
  <c r="BO675" i="1"/>
  <c r="BN675" i="1"/>
  <c r="Y675" i="1"/>
  <c r="BP674" i="1"/>
  <c r="BO674" i="1"/>
  <c r="BN674" i="1"/>
  <c r="BK673" i="1"/>
  <c r="BJ673" i="1"/>
  <c r="BJ672" i="1" s="1"/>
  <c r="BI673" i="1"/>
  <c r="BI672" i="1" s="1"/>
  <c r="BH673" i="1"/>
  <c r="BG673" i="1"/>
  <c r="BF673" i="1"/>
  <c r="BF672" i="1" s="1"/>
  <c r="BE673" i="1"/>
  <c r="BE672" i="1" s="1"/>
  <c r="BD673" i="1"/>
  <c r="BC673" i="1"/>
  <c r="BB673" i="1"/>
  <c r="BA673" i="1"/>
  <c r="BA672" i="1" s="1"/>
  <c r="AZ673" i="1"/>
  <c r="AY673" i="1"/>
  <c r="AX673" i="1"/>
  <c r="AX672" i="1" s="1"/>
  <c r="AW673" i="1"/>
  <c r="AV673" i="1"/>
  <c r="AU673" i="1"/>
  <c r="AT673" i="1"/>
  <c r="AS673" i="1"/>
  <c r="AR673" i="1"/>
  <c r="AQ673" i="1"/>
  <c r="AP673" i="1"/>
  <c r="AO673" i="1"/>
  <c r="AN673" i="1"/>
  <c r="AJ673" i="1"/>
  <c r="AI673" i="1"/>
  <c r="AH673" i="1"/>
  <c r="AG673" i="1"/>
  <c r="AF673" i="1"/>
  <c r="AE673" i="1"/>
  <c r="AE672" i="1" s="1"/>
  <c r="BK672" i="1"/>
  <c r="BG672" i="1"/>
  <c r="AW672" i="1"/>
  <c r="BP671" i="1"/>
  <c r="BO671" i="1"/>
  <c r="BN671" i="1"/>
  <c r="BP670" i="1"/>
  <c r="BO670" i="1"/>
  <c r="BN670" i="1"/>
  <c r="BP669" i="1"/>
  <c r="BO669" i="1"/>
  <c r="BN669" i="1"/>
  <c r="Y669" i="1"/>
  <c r="Y670" i="1" s="1"/>
  <c r="BP668" i="1"/>
  <c r="BO668" i="1"/>
  <c r="BN668" i="1"/>
  <c r="AP667" i="1"/>
  <c r="AN667" i="1"/>
  <c r="AZ666" i="1"/>
  <c r="AY665" i="1"/>
  <c r="AY666" i="1" s="1"/>
  <c r="AW665" i="1"/>
  <c r="AW666" i="1" s="1"/>
  <c r="AS665" i="1"/>
  <c r="AR665" i="1"/>
  <c r="AQ665" i="1"/>
  <c r="AP665" i="1"/>
  <c r="AO665" i="1"/>
  <c r="AN665" i="1"/>
  <c r="AV664" i="1"/>
  <c r="AU664" i="1"/>
  <c r="AT664" i="1"/>
  <c r="AZ663" i="1"/>
  <c r="AJ663" i="1"/>
  <c r="BP663" i="1" s="1"/>
  <c r="AI663" i="1"/>
  <c r="BO663" i="1" s="1"/>
  <c r="AH663" i="1"/>
  <c r="BN663" i="1" s="1"/>
  <c r="AV662" i="1"/>
  <c r="BP662" i="1" s="1"/>
  <c r="AU662" i="1"/>
  <c r="BO662" i="1" s="1"/>
  <c r="AT662" i="1"/>
  <c r="BN662" i="1" s="1"/>
  <c r="BP661" i="1"/>
  <c r="BO661" i="1"/>
  <c r="BN661" i="1"/>
  <c r="BP660" i="1"/>
  <c r="AJ660" i="1"/>
  <c r="AI660" i="1"/>
  <c r="BO660" i="1" s="1"/>
  <c r="AH660" i="1"/>
  <c r="BN660" i="1" s="1"/>
  <c r="BP659" i="1"/>
  <c r="BO659" i="1"/>
  <c r="BN659" i="1"/>
  <c r="BP658" i="1"/>
  <c r="BO658" i="1"/>
  <c r="BN658" i="1"/>
  <c r="AI658" i="1"/>
  <c r="BA657" i="1"/>
  <c r="AX657" i="1"/>
  <c r="AY656" i="1"/>
  <c r="AY655" i="1" s="1"/>
  <c r="AW656" i="1"/>
  <c r="AJ656" i="1"/>
  <c r="AJ655" i="1" s="1"/>
  <c r="AH656" i="1"/>
  <c r="BN656" i="1" s="1"/>
  <c r="BN657" i="1" s="1"/>
  <c r="AF656" i="1"/>
  <c r="BO656" i="1" s="1"/>
  <c r="BK655" i="1"/>
  <c r="BJ655" i="1"/>
  <c r="BI655" i="1"/>
  <c r="BH655" i="1"/>
  <c r="BG655" i="1"/>
  <c r="BF655" i="1"/>
  <c r="BE655" i="1"/>
  <c r="BD655" i="1"/>
  <c r="BC655" i="1"/>
  <c r="BB655" i="1"/>
  <c r="BA655" i="1"/>
  <c r="AZ655" i="1"/>
  <c r="AX655" i="1"/>
  <c r="AW655" i="1"/>
  <c r="AV655" i="1"/>
  <c r="AT655" i="1"/>
  <c r="AS655" i="1"/>
  <c r="AR655" i="1"/>
  <c r="AQ655" i="1"/>
  <c r="AP655" i="1"/>
  <c r="AO655" i="1"/>
  <c r="AN655" i="1"/>
  <c r="AI655" i="1"/>
  <c r="AG655" i="1"/>
  <c r="AE655" i="1"/>
  <c r="BP654" i="1"/>
  <c r="BO654" i="1"/>
  <c r="BN654" i="1"/>
  <c r="BO653" i="1"/>
  <c r="BI653" i="1"/>
  <c r="BI1044" i="1" s="1"/>
  <c r="BB653" i="1"/>
  <c r="BB1044" i="1" s="1"/>
  <c r="AV653" i="1"/>
  <c r="BP652" i="1"/>
  <c r="BO652" i="1"/>
  <c r="BN652" i="1"/>
  <c r="BO651" i="1"/>
  <c r="AY651" i="1"/>
  <c r="BP651" i="1" s="1"/>
  <c r="AW651" i="1"/>
  <c r="BN651" i="1" s="1"/>
  <c r="BP650" i="1"/>
  <c r="BO650" i="1"/>
  <c r="BN650" i="1"/>
  <c r="BB648" i="1"/>
  <c r="BB1039" i="1" s="1"/>
  <c r="BA648" i="1"/>
  <c r="BA644" i="1" s="1"/>
  <c r="BA641" i="1" s="1"/>
  <c r="AZ648" i="1"/>
  <c r="AY648" i="1"/>
  <c r="BP648" i="1" s="1"/>
  <c r="AW648" i="1"/>
  <c r="AG648" i="1"/>
  <c r="AE648" i="1"/>
  <c r="BP647" i="1"/>
  <c r="BO647" i="1"/>
  <c r="BN647" i="1"/>
  <c r="BK646" i="1"/>
  <c r="BJ646" i="1"/>
  <c r="BI646" i="1"/>
  <c r="BH646" i="1"/>
  <c r="BG646" i="1"/>
  <c r="BF646" i="1"/>
  <c r="BE646" i="1"/>
  <c r="BD646" i="1"/>
  <c r="BC646" i="1"/>
  <c r="BB646" i="1"/>
  <c r="BA646" i="1"/>
  <c r="AZ646" i="1"/>
  <c r="AY646" i="1"/>
  <c r="AW646" i="1"/>
  <c r="AV646" i="1"/>
  <c r="AU646" i="1"/>
  <c r="AT646" i="1"/>
  <c r="AS646" i="1"/>
  <c r="AR646" i="1"/>
  <c r="AQ646" i="1"/>
  <c r="AP646" i="1"/>
  <c r="AO646" i="1"/>
  <c r="AN646" i="1"/>
  <c r="AG646" i="1"/>
  <c r="AF646" i="1"/>
  <c r="AE646" i="1"/>
  <c r="BP645" i="1"/>
  <c r="BO645" i="1"/>
  <c r="BN645" i="1"/>
  <c r="G645" i="1" a="1"/>
  <c r="G645" i="1" s="1"/>
  <c r="BI644" i="1"/>
  <c r="BF644" i="1"/>
  <c r="BE644" i="1"/>
  <c r="BE641" i="1" s="1"/>
  <c r="BD644" i="1"/>
  <c r="BD641" i="1" s="1"/>
  <c r="BC644" i="1"/>
  <c r="AZ644" i="1"/>
  <c r="AY644" i="1"/>
  <c r="AY641" i="1" s="1"/>
  <c r="AW644" i="1"/>
  <c r="AV644" i="1"/>
  <c r="AU644" i="1"/>
  <c r="AU641" i="1" s="1"/>
  <c r="AT644" i="1"/>
  <c r="AT641" i="1" s="1"/>
  <c r="AS644" i="1"/>
  <c r="AS641" i="1" s="1"/>
  <c r="AR644" i="1"/>
  <c r="AQ644" i="1"/>
  <c r="AN644" i="1"/>
  <c r="AN641" i="1" s="1"/>
  <c r="AJ644" i="1"/>
  <c r="AJ641" i="1" s="1"/>
  <c r="AI644" i="1"/>
  <c r="AH644" i="1"/>
  <c r="AH641" i="1" s="1"/>
  <c r="AF644" i="1"/>
  <c r="AF641" i="1" s="1"/>
  <c r="AE644" i="1"/>
  <c r="BP643" i="1"/>
  <c r="BO643" i="1"/>
  <c r="BN643" i="1"/>
  <c r="BP642" i="1"/>
  <c r="BO642" i="1"/>
  <c r="BN642" i="1"/>
  <c r="BK641" i="1"/>
  <c r="BJ641" i="1"/>
  <c r="BH641" i="1"/>
  <c r="BG641" i="1"/>
  <c r="BF641" i="1"/>
  <c r="BC641" i="1"/>
  <c r="AZ641" i="1"/>
  <c r="AX641" i="1"/>
  <c r="AV641" i="1"/>
  <c r="AR641" i="1"/>
  <c r="AQ641" i="1"/>
  <c r="AP641" i="1"/>
  <c r="AO641" i="1"/>
  <c r="AM641" i="1"/>
  <c r="AL641" i="1"/>
  <c r="AK641" i="1"/>
  <c r="AI641" i="1"/>
  <c r="AG641" i="1"/>
  <c r="BP640" i="1"/>
  <c r="BO640" i="1"/>
  <c r="BN640" i="1"/>
  <c r="BP639" i="1"/>
  <c r="BO639" i="1"/>
  <c r="BE639" i="1"/>
  <c r="AT639" i="1"/>
  <c r="AT1027" i="1" s="1"/>
  <c r="BP638" i="1"/>
  <c r="BO638" i="1"/>
  <c r="BN638" i="1"/>
  <c r="BP637" i="1"/>
  <c r="BO637" i="1"/>
  <c r="BN637" i="1"/>
  <c r="BO636" i="1"/>
  <c r="BN636" i="1"/>
  <c r="AS636" i="1"/>
  <c r="BP635" i="1"/>
  <c r="BO635" i="1"/>
  <c r="BN635" i="1"/>
  <c r="BK634" i="1"/>
  <c r="BK1009" i="1" s="1"/>
  <c r="BK1008" i="1" s="1"/>
  <c r="BK1001" i="1" s="1"/>
  <c r="BI634" i="1"/>
  <c r="BH634" i="1"/>
  <c r="BH1009" i="1" s="1"/>
  <c r="BH1008" i="1" s="1"/>
  <c r="BB634" i="1"/>
  <c r="BB630" i="1" s="1"/>
  <c r="BB623" i="1" s="1"/>
  <c r="BA634" i="1"/>
  <c r="BA1009" i="1" s="1"/>
  <c r="BA1008" i="1" s="1"/>
  <c r="AZ634" i="1"/>
  <c r="AY634" i="1"/>
  <c r="AS634" i="1"/>
  <c r="BP633" i="1"/>
  <c r="BO633" i="1"/>
  <c r="BN633" i="1"/>
  <c r="BO632" i="1"/>
  <c r="BN632" i="1"/>
  <c r="AS632" i="1"/>
  <c r="AS1010" i="1" s="1"/>
  <c r="BP631" i="1"/>
  <c r="BO631" i="1"/>
  <c r="BN631" i="1"/>
  <c r="BK630" i="1"/>
  <c r="BK623" i="1" s="1"/>
  <c r="BJ630" i="1"/>
  <c r="BJ623" i="1" s="1"/>
  <c r="BG630" i="1"/>
  <c r="BG623" i="1" s="1"/>
  <c r="BF630" i="1"/>
  <c r="BE630" i="1"/>
  <c r="BE623" i="1" s="1"/>
  <c r="BD630" i="1"/>
  <c r="BD623" i="1" s="1"/>
  <c r="BC630" i="1"/>
  <c r="BC623" i="1" s="1"/>
  <c r="AY630" i="1"/>
  <c r="AY623" i="1" s="1"/>
  <c r="AX630" i="1"/>
  <c r="AX623" i="1" s="1"/>
  <c r="AW630" i="1"/>
  <c r="AW623" i="1" s="1"/>
  <c r="AV630" i="1"/>
  <c r="AV623" i="1" s="1"/>
  <c r="AU630" i="1"/>
  <c r="AU623" i="1" s="1"/>
  <c r="AR630" i="1"/>
  <c r="AR623" i="1" s="1"/>
  <c r="AQ630" i="1"/>
  <c r="AQ623" i="1" s="1"/>
  <c r="AP630" i="1"/>
  <c r="AO630" i="1"/>
  <c r="AN630" i="1"/>
  <c r="AN623" i="1" s="1"/>
  <c r="AM630" i="1"/>
  <c r="AM623" i="1" s="1"/>
  <c r="AL630" i="1"/>
  <c r="AL623" i="1" s="1"/>
  <c r="AK630" i="1"/>
  <c r="AK623" i="1" s="1"/>
  <c r="AJ630" i="1"/>
  <c r="AJ623" i="1" s="1"/>
  <c r="AI630" i="1"/>
  <c r="AI623" i="1" s="1"/>
  <c r="AH630" i="1"/>
  <c r="AG630" i="1"/>
  <c r="AG623" i="1" s="1"/>
  <c r="AF630" i="1"/>
  <c r="AE630" i="1"/>
  <c r="BP629" i="1"/>
  <c r="BO629" i="1"/>
  <c r="BN629" i="1"/>
  <c r="BP628" i="1"/>
  <c r="BO628" i="1"/>
  <c r="BN628" i="1"/>
  <c r="BP627" i="1"/>
  <c r="BO627" i="1"/>
  <c r="BN627" i="1"/>
  <c r="BP626" i="1"/>
  <c r="BO626" i="1"/>
  <c r="BN626" i="1"/>
  <c r="BP625" i="1"/>
  <c r="BO625" i="1"/>
  <c r="BN625" i="1"/>
  <c r="BP624" i="1"/>
  <c r="BO624" i="1"/>
  <c r="BN624" i="1"/>
  <c r="BF623" i="1"/>
  <c r="AP623" i="1"/>
  <c r="AO623" i="1"/>
  <c r="AH623" i="1"/>
  <c r="BP622" i="1"/>
  <c r="BO622" i="1"/>
  <c r="BN622" i="1"/>
  <c r="BP621" i="1"/>
  <c r="BO621" i="1"/>
  <c r="BN621" i="1"/>
  <c r="BP620" i="1"/>
  <c r="BO620" i="1"/>
  <c r="BN620" i="1"/>
  <c r="BP619" i="1"/>
  <c r="BO619" i="1"/>
  <c r="BN619" i="1"/>
  <c r="BN617" i="1"/>
  <c r="BB617" i="1"/>
  <c r="BB613" i="1" s="1"/>
  <c r="BA617" i="1"/>
  <c r="BO617" i="1" s="1"/>
  <c r="AZ617" i="1"/>
  <c r="AY617" i="1"/>
  <c r="BP616" i="1"/>
  <c r="BO616" i="1"/>
  <c r="BN616" i="1"/>
  <c r="BK615" i="1"/>
  <c r="BJ615" i="1"/>
  <c r="BI615" i="1"/>
  <c r="BH615" i="1"/>
  <c r="BG615" i="1"/>
  <c r="BF615" i="1"/>
  <c r="BB615" i="1"/>
  <c r="BA615" i="1"/>
  <c r="AZ615" i="1"/>
  <c r="AY615" i="1"/>
  <c r="AX615" i="1"/>
  <c r="AW615" i="1"/>
  <c r="AV615" i="1"/>
  <c r="AU615" i="1"/>
  <c r="AT615" i="1"/>
  <c r="AS615" i="1"/>
  <c r="AR615" i="1"/>
  <c r="AQ615" i="1"/>
  <c r="AP615" i="1"/>
  <c r="AO615" i="1"/>
  <c r="AN615" i="1"/>
  <c r="AG615" i="1"/>
  <c r="AF615" i="1"/>
  <c r="AE615" i="1"/>
  <c r="BP614" i="1"/>
  <c r="BO614" i="1"/>
  <c r="BO615" i="1" s="1"/>
  <c r="BN614" i="1"/>
  <c r="BN615" i="1" s="1"/>
  <c r="BK613" i="1"/>
  <c r="BJ613" i="1"/>
  <c r="BI613" i="1"/>
  <c r="BH613" i="1"/>
  <c r="BG613" i="1"/>
  <c r="BF613" i="1"/>
  <c r="BE613" i="1"/>
  <c r="BD613" i="1"/>
  <c r="BC613" i="1"/>
  <c r="BA613" i="1"/>
  <c r="AZ613" i="1"/>
  <c r="AX613" i="1"/>
  <c r="AW613" i="1"/>
  <c r="AV613" i="1"/>
  <c r="AU613" i="1"/>
  <c r="AT613" i="1"/>
  <c r="AS613" i="1"/>
  <c r="AR613" i="1"/>
  <c r="AQ613" i="1"/>
  <c r="AP613" i="1"/>
  <c r="AO613" i="1"/>
  <c r="AN613" i="1"/>
  <c r="AJ613" i="1"/>
  <c r="AI613" i="1"/>
  <c r="AH613" i="1"/>
  <c r="AG613" i="1"/>
  <c r="AF613" i="1"/>
  <c r="AE613" i="1"/>
  <c r="BP612" i="1"/>
  <c r="BO612" i="1"/>
  <c r="BN612" i="1"/>
  <c r="BP611" i="1"/>
  <c r="BO611" i="1"/>
  <c r="BN611" i="1"/>
  <c r="BP610" i="1"/>
  <c r="BO610" i="1"/>
  <c r="BN610" i="1"/>
  <c r="BP609" i="1"/>
  <c r="BO609" i="1"/>
  <c r="BN609" i="1"/>
  <c r="BP608" i="1"/>
  <c r="BO608" i="1"/>
  <c r="BN608" i="1"/>
  <c r="BP607" i="1"/>
  <c r="BO607" i="1"/>
  <c r="BN607" i="1"/>
  <c r="BP606" i="1"/>
  <c r="BO606" i="1"/>
  <c r="BN606" i="1"/>
  <c r="BK605" i="1"/>
  <c r="BJ605" i="1"/>
  <c r="BI605" i="1"/>
  <c r="BH605" i="1"/>
  <c r="BG605" i="1"/>
  <c r="BF605" i="1"/>
  <c r="BE605" i="1"/>
  <c r="BD605" i="1"/>
  <c r="BC605" i="1"/>
  <c r="BB605" i="1"/>
  <c r="BA605" i="1"/>
  <c r="AZ605" i="1"/>
  <c r="AY605" i="1"/>
  <c r="AX605" i="1"/>
  <c r="AX604" i="1" s="1"/>
  <c r="AW605" i="1"/>
  <c r="AV605" i="1"/>
  <c r="AU605" i="1"/>
  <c r="AT605" i="1"/>
  <c r="AS605" i="1"/>
  <c r="AR605" i="1"/>
  <c r="AQ605" i="1"/>
  <c r="AP605" i="1"/>
  <c r="AO605" i="1"/>
  <c r="AN605" i="1"/>
  <c r="AJ605" i="1"/>
  <c r="AI605" i="1"/>
  <c r="AH605" i="1"/>
  <c r="AG605" i="1"/>
  <c r="AF605" i="1"/>
  <c r="AE605" i="1"/>
  <c r="AJ603" i="1"/>
  <c r="AI603" i="1"/>
  <c r="BB602" i="1"/>
  <c r="BA602" i="1"/>
  <c r="BO602" i="1" s="1"/>
  <c r="AZ602" i="1"/>
  <c r="AZ598" i="1" s="1"/>
  <c r="AZ595" i="1" s="1"/>
  <c r="AY602" i="1"/>
  <c r="AY598" i="1" s="1"/>
  <c r="AY595" i="1" s="1"/>
  <c r="AW602" i="1"/>
  <c r="AJ602" i="1"/>
  <c r="AJ598" i="1" s="1"/>
  <c r="AJ595" i="1" s="1"/>
  <c r="AH602" i="1"/>
  <c r="AH603" i="1" s="1"/>
  <c r="AE602" i="1"/>
  <c r="BP601" i="1"/>
  <c r="BO601" i="1"/>
  <c r="BN601" i="1"/>
  <c r="BK600" i="1"/>
  <c r="BJ600" i="1"/>
  <c r="BI600" i="1"/>
  <c r="BH600" i="1"/>
  <c r="BG600" i="1"/>
  <c r="BF600" i="1"/>
  <c r="BE600" i="1"/>
  <c r="BD600" i="1"/>
  <c r="BC600" i="1"/>
  <c r="BB600" i="1"/>
  <c r="BA600" i="1"/>
  <c r="AZ600" i="1"/>
  <c r="AY600" i="1"/>
  <c r="AX600" i="1"/>
  <c r="AW600" i="1"/>
  <c r="AV600" i="1"/>
  <c r="AU600" i="1"/>
  <c r="AT600" i="1"/>
  <c r="AS600" i="1"/>
  <c r="AR600" i="1"/>
  <c r="AQ600" i="1"/>
  <c r="AP600" i="1"/>
  <c r="AO600" i="1"/>
  <c r="AN600" i="1"/>
  <c r="AJ600" i="1"/>
  <c r="AI600" i="1"/>
  <c r="AH600" i="1"/>
  <c r="AG600" i="1"/>
  <c r="AF600" i="1"/>
  <c r="BP599" i="1"/>
  <c r="BO599" i="1"/>
  <c r="BO600" i="1" s="1"/>
  <c r="BN599" i="1"/>
  <c r="BN600" i="1" s="1"/>
  <c r="AE599" i="1"/>
  <c r="AE600" i="1" s="1"/>
  <c r="BK598" i="1"/>
  <c r="BK595" i="1" s="1"/>
  <c r="BJ598" i="1"/>
  <c r="BJ595" i="1" s="1"/>
  <c r="BI598" i="1"/>
  <c r="BI595" i="1" s="1"/>
  <c r="BH598" i="1"/>
  <c r="BG598" i="1"/>
  <c r="BG595" i="1" s="1"/>
  <c r="BF598" i="1"/>
  <c r="BF595" i="1" s="1"/>
  <c r="BE598" i="1"/>
  <c r="BE595" i="1" s="1"/>
  <c r="BD598" i="1"/>
  <c r="BD595" i="1" s="1"/>
  <c r="BC598" i="1"/>
  <c r="BC595" i="1" s="1"/>
  <c r="BB598" i="1"/>
  <c r="BB595" i="1" s="1"/>
  <c r="BA598" i="1"/>
  <c r="BA595" i="1" s="1"/>
  <c r="AX598" i="1"/>
  <c r="AW598" i="1"/>
  <c r="AW595" i="1" s="1"/>
  <c r="AV598" i="1"/>
  <c r="AV595" i="1" s="1"/>
  <c r="AU598" i="1"/>
  <c r="AU595" i="1" s="1"/>
  <c r="AT598" i="1"/>
  <c r="AS598" i="1"/>
  <c r="AS595" i="1" s="1"/>
  <c r="AR598" i="1"/>
  <c r="AR595" i="1" s="1"/>
  <c r="AQ598" i="1"/>
  <c r="AQ595" i="1" s="1"/>
  <c r="AP598" i="1"/>
  <c r="AO598" i="1"/>
  <c r="AN598" i="1"/>
  <c r="AI598" i="1"/>
  <c r="AG598" i="1"/>
  <c r="AG595" i="1" s="1"/>
  <c r="AF598" i="1"/>
  <c r="BP597" i="1"/>
  <c r="BO597" i="1"/>
  <c r="BN597" i="1"/>
  <c r="BP596" i="1"/>
  <c r="BO596" i="1"/>
  <c r="BN596" i="1"/>
  <c r="BH595" i="1"/>
  <c r="AX595" i="1"/>
  <c r="AT595" i="1"/>
  <c r="AP595" i="1"/>
  <c r="AO595" i="1"/>
  <c r="AN595" i="1"/>
  <c r="AM595" i="1"/>
  <c r="AL595" i="1"/>
  <c r="AK595" i="1"/>
  <c r="AI595" i="1"/>
  <c r="BP594" i="1"/>
  <c r="BO594" i="1"/>
  <c r="BN594" i="1"/>
  <c r="BP593" i="1"/>
  <c r="BO593" i="1"/>
  <c r="BN593" i="1"/>
  <c r="BO592" i="1"/>
  <c r="BN592" i="1"/>
  <c r="AJ592" i="1"/>
  <c r="AJ943" i="1" s="1"/>
  <c r="AH592" i="1"/>
  <c r="AH943" i="1" s="1"/>
  <c r="BP591" i="1"/>
  <c r="BO591" i="1"/>
  <c r="BN591" i="1"/>
  <c r="BP590" i="1"/>
  <c r="BO590" i="1"/>
  <c r="BN590" i="1"/>
  <c r="BP589" i="1"/>
  <c r="BO589" i="1"/>
  <c r="BN589" i="1"/>
  <c r="BP588" i="1"/>
  <c r="BO588" i="1"/>
  <c r="BN588" i="1"/>
  <c r="BP587" i="1"/>
  <c r="BO587" i="1"/>
  <c r="BN587" i="1"/>
  <c r="BO586" i="1"/>
  <c r="BN586" i="1"/>
  <c r="BB586" i="1"/>
  <c r="BB951" i="1" s="1"/>
  <c r="BO585" i="1"/>
  <c r="BC585" i="1"/>
  <c r="BC963" i="1" s="1"/>
  <c r="BB585" i="1"/>
  <c r="BB963" i="1" s="1"/>
  <c r="AZ585" i="1"/>
  <c r="AZ963" i="1" s="1"/>
  <c r="BO584" i="1"/>
  <c r="AY584" i="1"/>
  <c r="AY944" i="1" s="1"/>
  <c r="AW584" i="1"/>
  <c r="BO583" i="1"/>
  <c r="BE583" i="1"/>
  <c r="BC583" i="1"/>
  <c r="BC967" i="1" s="1"/>
  <c r="AV583" i="1"/>
  <c r="AV967" i="1" s="1"/>
  <c r="AT583" i="1"/>
  <c r="AT967" i="1" s="1"/>
  <c r="BP582" i="1"/>
  <c r="BO582" i="1"/>
  <c r="BN582" i="1"/>
  <c r="BP581" i="1"/>
  <c r="BO581" i="1"/>
  <c r="BN581" i="1"/>
  <c r="BP580" i="1"/>
  <c r="BO580" i="1"/>
  <c r="BN580" i="1"/>
  <c r="BC580" i="1"/>
  <c r="BC959" i="1" s="1"/>
  <c r="BP579" i="1"/>
  <c r="BO579" i="1"/>
  <c r="BN579" i="1"/>
  <c r="BC579" i="1"/>
  <c r="BC939" i="1" s="1"/>
  <c r="BP578" i="1"/>
  <c r="BO578" i="1"/>
  <c r="BN578" i="1"/>
  <c r="BC578" i="1"/>
  <c r="BC946" i="1" s="1"/>
  <c r="BO577" i="1"/>
  <c r="BE577" i="1"/>
  <c r="BE966" i="1" s="1"/>
  <c r="BC577" i="1"/>
  <c r="BC966" i="1" s="1"/>
  <c r="BB577" i="1"/>
  <c r="AZ577" i="1"/>
  <c r="AY577" i="1"/>
  <c r="AY966" i="1" s="1"/>
  <c r="AW577" i="1"/>
  <c r="AW966" i="1" s="1"/>
  <c r="AV577" i="1"/>
  <c r="AV966" i="1" s="1"/>
  <c r="BP576" i="1"/>
  <c r="BO576" i="1"/>
  <c r="BC576" i="1"/>
  <c r="BC940" i="1" s="1"/>
  <c r="BP575" i="1"/>
  <c r="BO575" i="1"/>
  <c r="BN575" i="1"/>
  <c r="BP574" i="1"/>
  <c r="BO574" i="1"/>
  <c r="BN574" i="1"/>
  <c r="BP573" i="1"/>
  <c r="BO573" i="1"/>
  <c r="AH573" i="1"/>
  <c r="AH957" i="1" s="1"/>
  <c r="BP572" i="1"/>
  <c r="BO572" i="1"/>
  <c r="BC572" i="1"/>
  <c r="BC921" i="1" s="1"/>
  <c r="BP571" i="1"/>
  <c r="BO571" i="1"/>
  <c r="BN571" i="1"/>
  <c r="BP570" i="1"/>
  <c r="BO570" i="1"/>
  <c r="BN570" i="1"/>
  <c r="BO569" i="1"/>
  <c r="BI569" i="1"/>
  <c r="BI947" i="1" s="1"/>
  <c r="BI920" i="1" s="1"/>
  <c r="BE569" i="1"/>
  <c r="BC569" i="1"/>
  <c r="BC947" i="1" s="1"/>
  <c r="BB569" i="1"/>
  <c r="BB947" i="1" s="1"/>
  <c r="AZ569" i="1"/>
  <c r="AZ947" i="1" s="1"/>
  <c r="AT569" i="1"/>
  <c r="AP569" i="1"/>
  <c r="AP947" i="1" s="1"/>
  <c r="BO568" i="1"/>
  <c r="BN568" i="1"/>
  <c r="AS568" i="1"/>
  <c r="AS921" i="1" s="1"/>
  <c r="AQ568" i="1"/>
  <c r="AQ921" i="1" s="1"/>
  <c r="AQ920" i="1" s="1"/>
  <c r="BP567" i="1"/>
  <c r="BO567" i="1"/>
  <c r="BN567" i="1"/>
  <c r="BP566" i="1"/>
  <c r="BO566" i="1"/>
  <c r="BN566" i="1"/>
  <c r="BO565" i="1"/>
  <c r="AY565" i="1"/>
  <c r="AW565" i="1"/>
  <c r="AW934" i="1" s="1"/>
  <c r="AS565" i="1"/>
  <c r="AS934" i="1" s="1"/>
  <c r="BP564" i="1"/>
  <c r="BO564" i="1"/>
  <c r="BN564" i="1"/>
  <c r="BK563" i="1"/>
  <c r="BJ563" i="1"/>
  <c r="BJ533" i="1" s="1"/>
  <c r="BI563" i="1"/>
  <c r="BH563" i="1"/>
  <c r="BG563" i="1"/>
  <c r="BF563" i="1"/>
  <c r="BF533" i="1" s="1"/>
  <c r="BD563" i="1"/>
  <c r="BA563" i="1"/>
  <c r="AX563" i="1"/>
  <c r="AV563" i="1"/>
  <c r="AU563" i="1"/>
  <c r="AR563" i="1"/>
  <c r="AQ563" i="1"/>
  <c r="AP563" i="1"/>
  <c r="AP533" i="1" s="1"/>
  <c r="AO563" i="1"/>
  <c r="AN563" i="1"/>
  <c r="AM563" i="1"/>
  <c r="AL563" i="1"/>
  <c r="AL533" i="1" s="1"/>
  <c r="AL512" i="1" s="1"/>
  <c r="AK563" i="1"/>
  <c r="AJ563" i="1"/>
  <c r="AI563" i="1"/>
  <c r="AH563" i="1"/>
  <c r="AG563" i="1"/>
  <c r="AF563" i="1"/>
  <c r="AE563" i="1"/>
  <c r="G563" i="1"/>
  <c r="A563" i="1"/>
  <c r="BP562" i="1"/>
  <c r="BO562" i="1"/>
  <c r="BN562" i="1"/>
  <c r="BP561" i="1"/>
  <c r="BO561" i="1"/>
  <c r="BN561" i="1"/>
  <c r="BP560" i="1"/>
  <c r="BO560" i="1"/>
  <c r="BN560" i="1"/>
  <c r="BP559" i="1"/>
  <c r="BO559" i="1"/>
  <c r="BN559" i="1"/>
  <c r="BP558" i="1"/>
  <c r="BO558" i="1"/>
  <c r="BN558" i="1"/>
  <c r="BP557" i="1"/>
  <c r="BO557" i="1"/>
  <c r="BN557" i="1"/>
  <c r="BP556" i="1"/>
  <c r="BO556" i="1"/>
  <c r="BN556" i="1"/>
  <c r="BP555" i="1"/>
  <c r="BO555" i="1"/>
  <c r="BN555" i="1"/>
  <c r="BP554" i="1"/>
  <c r="BO554" i="1"/>
  <c r="BN554" i="1"/>
  <c r="BP553" i="1"/>
  <c r="BO553" i="1"/>
  <c r="BN553" i="1"/>
  <c r="BP552" i="1"/>
  <c r="BO552" i="1"/>
  <c r="BN552" i="1"/>
  <c r="BP551" i="1"/>
  <c r="BO551" i="1"/>
  <c r="BN551" i="1"/>
  <c r="BP550" i="1"/>
  <c r="BO550" i="1"/>
  <c r="BN550" i="1"/>
  <c r="BP549" i="1"/>
  <c r="BO549" i="1"/>
  <c r="BN549" i="1"/>
  <c r="BP548" i="1"/>
  <c r="BO548" i="1"/>
  <c r="BN548" i="1"/>
  <c r="BP547" i="1"/>
  <c r="BO547" i="1"/>
  <c r="BN547" i="1"/>
  <c r="BP546" i="1"/>
  <c r="BO546" i="1"/>
  <c r="BN546" i="1"/>
  <c r="BP545" i="1"/>
  <c r="BO545" i="1"/>
  <c r="BN545" i="1"/>
  <c r="BP544" i="1"/>
  <c r="BO544" i="1"/>
  <c r="BN544" i="1"/>
  <c r="BP543" i="1"/>
  <c r="BO543" i="1"/>
  <c r="BN543" i="1"/>
  <c r="BP542" i="1"/>
  <c r="BO542" i="1"/>
  <c r="BN542" i="1"/>
  <c r="BP541" i="1"/>
  <c r="BO541" i="1"/>
  <c r="BN541" i="1"/>
  <c r="BK540" i="1"/>
  <c r="BK533" i="1" s="1"/>
  <c r="BJ540" i="1"/>
  <c r="BI540" i="1"/>
  <c r="BH540" i="1"/>
  <c r="BG540" i="1"/>
  <c r="BG533" i="1" s="1"/>
  <c r="BF540" i="1"/>
  <c r="BE540" i="1"/>
  <c r="BD540" i="1"/>
  <c r="BC540" i="1"/>
  <c r="BB540" i="1"/>
  <c r="BA540" i="1"/>
  <c r="AZ540" i="1"/>
  <c r="AY540" i="1"/>
  <c r="AX540" i="1"/>
  <c r="AW540" i="1"/>
  <c r="AV540" i="1"/>
  <c r="AU540" i="1"/>
  <c r="AU533" i="1" s="1"/>
  <c r="AT540" i="1"/>
  <c r="AS540" i="1"/>
  <c r="AR540" i="1"/>
  <c r="AQ540" i="1"/>
  <c r="AP540" i="1"/>
  <c r="AO540" i="1"/>
  <c r="AN540" i="1"/>
  <c r="AM540" i="1"/>
  <c r="AL540" i="1"/>
  <c r="AK540" i="1"/>
  <c r="AJ540" i="1"/>
  <c r="AI540" i="1"/>
  <c r="AH540" i="1"/>
  <c r="AG540" i="1"/>
  <c r="AF540" i="1"/>
  <c r="AE540" i="1"/>
  <c r="BP539" i="1"/>
  <c r="BO539" i="1"/>
  <c r="BN539" i="1"/>
  <c r="BP538" i="1"/>
  <c r="BO538" i="1"/>
  <c r="BN538" i="1"/>
  <c r="BP537" i="1"/>
  <c r="BO537" i="1"/>
  <c r="BN537" i="1"/>
  <c r="BP536" i="1"/>
  <c r="BO536" i="1"/>
  <c r="BN536" i="1"/>
  <c r="BP535" i="1"/>
  <c r="BO535" i="1"/>
  <c r="BN535" i="1"/>
  <c r="BP534" i="1"/>
  <c r="BO534" i="1"/>
  <c r="BN534" i="1"/>
  <c r="AX533" i="1"/>
  <c r="AH533" i="1"/>
  <c r="BP532" i="1"/>
  <c r="BO532" i="1"/>
  <c r="BN532" i="1"/>
  <c r="BP531" i="1"/>
  <c r="BO531" i="1"/>
  <c r="BN531" i="1"/>
  <c r="BP530" i="1"/>
  <c r="BO530" i="1"/>
  <c r="BN530" i="1"/>
  <c r="BP529" i="1"/>
  <c r="BO529" i="1"/>
  <c r="BN529" i="1"/>
  <c r="BP528" i="1"/>
  <c r="BO528" i="1"/>
  <c r="BN528" i="1"/>
  <c r="BP527" i="1"/>
  <c r="BO527" i="1"/>
  <c r="BN527" i="1"/>
  <c r="BP526" i="1"/>
  <c r="BO526" i="1"/>
  <c r="BN526" i="1"/>
  <c r="A526" i="1"/>
  <c r="A527" i="1" s="1" a="1"/>
  <c r="A527" i="1" s="1"/>
  <c r="A528" i="1" s="1" a="1"/>
  <c r="A528" i="1" s="1"/>
  <c r="A529" i="1" s="1" a="1"/>
  <c r="A529" i="1" s="1"/>
  <c r="A530" i="1" s="1" a="1"/>
  <c r="A530" i="1" s="1"/>
  <c r="A531" i="1" s="1" a="1"/>
  <c r="A531" i="1" s="1"/>
  <c r="A532" i="1" s="1" a="1"/>
  <c r="A532" i="1" s="1"/>
  <c r="BP525" i="1"/>
  <c r="BO525" i="1"/>
  <c r="BN525" i="1"/>
  <c r="BP524" i="1"/>
  <c r="BO524" i="1"/>
  <c r="BN524" i="1"/>
  <c r="BB522" i="1"/>
  <c r="BA522" i="1"/>
  <c r="AZ522" i="1"/>
  <c r="AZ518" i="1" s="1"/>
  <c r="AY522" i="1"/>
  <c r="AY518" i="1" s="1"/>
  <c r="AX522" i="1"/>
  <c r="AX518" i="1" s="1"/>
  <c r="AW522" i="1"/>
  <c r="AW518" i="1" s="1"/>
  <c r="AJ522" i="1"/>
  <c r="AH522" i="1"/>
  <c r="AH523" i="1" s="1"/>
  <c r="AE522" i="1"/>
  <c r="BP521" i="1"/>
  <c r="BO521" i="1"/>
  <c r="BN521" i="1"/>
  <c r="BK520" i="1"/>
  <c r="BJ520" i="1"/>
  <c r="BI520" i="1"/>
  <c r="BH520" i="1"/>
  <c r="BG520" i="1"/>
  <c r="BF520" i="1"/>
  <c r="BE520" i="1"/>
  <c r="BD520" i="1"/>
  <c r="BC520" i="1"/>
  <c r="BB520" i="1"/>
  <c r="BA520" i="1"/>
  <c r="AZ520" i="1"/>
  <c r="AY520" i="1"/>
  <c r="AX520" i="1"/>
  <c r="AW520" i="1"/>
  <c r="AV520" i="1"/>
  <c r="AU520" i="1"/>
  <c r="AT520" i="1"/>
  <c r="AS520" i="1"/>
  <c r="AR520" i="1"/>
  <c r="AQ520" i="1"/>
  <c r="AP520" i="1"/>
  <c r="AO520" i="1"/>
  <c r="AN520" i="1"/>
  <c r="AJ520" i="1"/>
  <c r="AI520" i="1"/>
  <c r="AH520" i="1"/>
  <c r="AG520" i="1"/>
  <c r="AF520" i="1"/>
  <c r="BP519" i="1"/>
  <c r="BP520" i="1" s="1"/>
  <c r="BO519" i="1"/>
  <c r="BO520" i="1" s="1"/>
  <c r="AE519" i="1"/>
  <c r="BN519" i="1" s="1"/>
  <c r="BK518" i="1"/>
  <c r="BJ518" i="1"/>
  <c r="BI518" i="1"/>
  <c r="BH518" i="1"/>
  <c r="BG518" i="1"/>
  <c r="BF518" i="1"/>
  <c r="BE518" i="1"/>
  <c r="BD518" i="1"/>
  <c r="BC518" i="1"/>
  <c r="BB518" i="1"/>
  <c r="BA518" i="1"/>
  <c r="AV518" i="1"/>
  <c r="AU518" i="1"/>
  <c r="AT518" i="1"/>
  <c r="AS518" i="1"/>
  <c r="AR518" i="1"/>
  <c r="AQ518" i="1"/>
  <c r="AP518" i="1"/>
  <c r="AO518" i="1"/>
  <c r="AN518" i="1"/>
  <c r="AI518" i="1"/>
  <c r="AH518" i="1"/>
  <c r="AG518" i="1"/>
  <c r="AF518" i="1"/>
  <c r="BP517" i="1"/>
  <c r="BO517" i="1"/>
  <c r="BN517" i="1"/>
  <c r="BO516" i="1"/>
  <c r="BN516" i="1"/>
  <c r="BE516" i="1"/>
  <c r="BP515" i="1"/>
  <c r="BN515" i="1"/>
  <c r="AF515" i="1"/>
  <c r="AF861" i="1" s="1"/>
  <c r="BP514" i="1"/>
  <c r="BO514" i="1"/>
  <c r="BN514" i="1"/>
  <c r="BK513" i="1"/>
  <c r="BJ513" i="1"/>
  <c r="BI513" i="1"/>
  <c r="BH513" i="1"/>
  <c r="BG513" i="1"/>
  <c r="BF513" i="1"/>
  <c r="BD513" i="1"/>
  <c r="BC513" i="1"/>
  <c r="BB513" i="1"/>
  <c r="BA513" i="1"/>
  <c r="AZ513" i="1"/>
  <c r="AY513" i="1"/>
  <c r="AX513" i="1"/>
  <c r="AW513" i="1"/>
  <c r="AV513" i="1"/>
  <c r="AU513" i="1"/>
  <c r="AT513" i="1"/>
  <c r="AS513" i="1"/>
  <c r="AR513" i="1"/>
  <c r="AQ513" i="1"/>
  <c r="AP513" i="1"/>
  <c r="AO513" i="1"/>
  <c r="AN513" i="1"/>
  <c r="BN513" i="1" s="1"/>
  <c r="AJ513" i="1"/>
  <c r="AI513" i="1"/>
  <c r="AH513" i="1"/>
  <c r="AG513" i="1"/>
  <c r="AF513" i="1"/>
  <c r="AE513" i="1"/>
  <c r="BP507" i="1"/>
  <c r="BO507" i="1"/>
  <c r="BN507" i="1"/>
  <c r="AO506" i="1"/>
  <c r="BP504" i="1"/>
  <c r="BO504" i="1"/>
  <c r="BN504" i="1"/>
  <c r="AV503" i="1"/>
  <c r="AV505" i="1" s="1"/>
  <c r="AU503" i="1"/>
  <c r="BO503" i="1" s="1"/>
  <c r="AT503" i="1"/>
  <c r="BN503" i="1" s="1"/>
  <c r="BP502" i="1"/>
  <c r="BO502" i="1"/>
  <c r="BN502" i="1"/>
  <c r="BP501" i="1"/>
  <c r="BO501" i="1"/>
  <c r="BN501" i="1"/>
  <c r="BP500" i="1"/>
  <c r="BO500" i="1"/>
  <c r="BN500" i="1"/>
  <c r="BK499" i="1"/>
  <c r="BK498" i="1" s="1"/>
  <c r="BJ499" i="1"/>
  <c r="BI499" i="1"/>
  <c r="BI498" i="1" s="1"/>
  <c r="BH499" i="1"/>
  <c r="BH498" i="1" s="1"/>
  <c r="BG499" i="1"/>
  <c r="BG498" i="1" s="1"/>
  <c r="BF499" i="1"/>
  <c r="BE499" i="1"/>
  <c r="BE498" i="1" s="1"/>
  <c r="BD499" i="1"/>
  <c r="BD498" i="1" s="1"/>
  <c r="BC499" i="1"/>
  <c r="BC498" i="1" s="1"/>
  <c r="BB499" i="1"/>
  <c r="BA499" i="1"/>
  <c r="BA498" i="1" s="1"/>
  <c r="AZ499" i="1"/>
  <c r="AZ498" i="1" s="1"/>
  <c r="AY499" i="1"/>
  <c r="AY498" i="1" s="1"/>
  <c r="AY496" i="1" s="1"/>
  <c r="AX499" i="1"/>
  <c r="AX498" i="1" s="1"/>
  <c r="AX496" i="1" s="1"/>
  <c r="AX491" i="1" s="1" a="1"/>
  <c r="AX491" i="1" s="1"/>
  <c r="AW499" i="1"/>
  <c r="AW498" i="1" s="1"/>
  <c r="AW505" i="1" s="1"/>
  <c r="AV499" i="1"/>
  <c r="AU499" i="1"/>
  <c r="AT499" i="1"/>
  <c r="AS499" i="1"/>
  <c r="AS498" i="1" s="1"/>
  <c r="AR499" i="1"/>
  <c r="AR498" i="1" s="1"/>
  <c r="AQ499" i="1"/>
  <c r="AQ498" i="1" s="1"/>
  <c r="AP499" i="1"/>
  <c r="AP498" i="1" s="1"/>
  <c r="AO499" i="1"/>
  <c r="AO498" i="1" s="1"/>
  <c r="AN499" i="1"/>
  <c r="AN498" i="1" s="1"/>
  <c r="AN505" i="1" s="1"/>
  <c r="AJ499" i="1"/>
  <c r="AJ498" i="1" s="1"/>
  <c r="AH499" i="1"/>
  <c r="AH498" i="1" s="1"/>
  <c r="AG499" i="1"/>
  <c r="AF499" i="1"/>
  <c r="AE499" i="1"/>
  <c r="AE498" i="1" s="1"/>
  <c r="BJ498" i="1"/>
  <c r="BF498" i="1"/>
  <c r="BB498" i="1"/>
  <c r="AI498" i="1"/>
  <c r="AF498" i="1"/>
  <c r="BP497" i="1"/>
  <c r="BO497" i="1"/>
  <c r="BN497" i="1"/>
  <c r="AW496" i="1"/>
  <c r="BP495" i="1"/>
  <c r="BO495" i="1"/>
  <c r="BN495" i="1"/>
  <c r="BP494" i="1"/>
  <c r="BO494" i="1"/>
  <c r="BN494" i="1"/>
  <c r="BK491" i="1" a="1"/>
  <c r="BK491" i="1" s="1"/>
  <c r="BJ491" i="1" a="1"/>
  <c r="BJ491" i="1" s="1"/>
  <c r="BI491" i="1" a="1"/>
  <c r="BI491" i="1" s="1"/>
  <c r="BH491" i="1" a="1"/>
  <c r="BH491" i="1" s="1"/>
  <c r="BG491" i="1" a="1"/>
  <c r="BG491" i="1"/>
  <c r="BF491" i="1" a="1"/>
  <c r="BF491" i="1" s="1"/>
  <c r="BE491" i="1" a="1"/>
  <c r="BE491" i="1" s="1"/>
  <c r="BD491" i="1" a="1"/>
  <c r="BD491" i="1" s="1"/>
  <c r="BC491" i="1" a="1"/>
  <c r="BC491" i="1" s="1"/>
  <c r="BB491" i="1" a="1"/>
  <c r="BB491" i="1" s="1"/>
  <c r="BB492" i="1" s="1"/>
  <c r="BA491" i="1" a="1"/>
  <c r="BA491" i="1" s="1"/>
  <c r="AZ491" i="1" a="1"/>
  <c r="AZ491" i="1" s="1"/>
  <c r="AV491" i="1" a="1"/>
  <c r="AV491" i="1" s="1"/>
  <c r="AU491" i="1" a="1"/>
  <c r="AU491" i="1" s="1"/>
  <c r="AT491" i="1" a="1"/>
  <c r="AT491" i="1" s="1"/>
  <c r="AS491" i="1" a="1"/>
  <c r="AS491" i="1"/>
  <c r="AS664" i="1" s="1"/>
  <c r="AS667" i="1" s="1"/>
  <c r="AR491" i="1" a="1"/>
  <c r="AR491" i="1" s="1"/>
  <c r="AR664" i="1" s="1"/>
  <c r="AQ491" i="1" a="1"/>
  <c r="AQ491" i="1" s="1"/>
  <c r="AQ664" i="1" s="1"/>
  <c r="AP491" i="1" a="1"/>
  <c r="AP491" i="1" s="1"/>
  <c r="AO491" i="1" a="1"/>
  <c r="AO491" i="1" s="1"/>
  <c r="AN491" i="1" a="1"/>
  <c r="AN491" i="1" s="1"/>
  <c r="AJ491" i="1" a="1"/>
  <c r="AJ491" i="1" s="1"/>
  <c r="AJ492" i="1" s="1"/>
  <c r="AI491" i="1" a="1"/>
  <c r="AI491" i="1" s="1"/>
  <c r="AH491" i="1" a="1"/>
  <c r="AH491" i="1" s="1"/>
  <c r="AG491" i="1" a="1"/>
  <c r="AG491" i="1" s="1"/>
  <c r="AF491" i="1" a="1"/>
  <c r="AF491" i="1" s="1"/>
  <c r="AE491" i="1" a="1"/>
  <c r="AE491" i="1" s="1"/>
  <c r="AB491" i="1"/>
  <c r="AB505" i="1" s="1"/>
  <c r="Y478" i="1"/>
  <c r="AB473" i="1"/>
  <c r="AF472" i="1"/>
  <c r="AE472" i="1" a="1"/>
  <c r="AE472" i="1" s="1"/>
  <c r="AE467" i="1"/>
  <c r="AE466" i="1"/>
  <c r="AE465" i="1"/>
  <c r="AB465" i="1"/>
  <c r="E465" i="1" a="1"/>
  <c r="E465" i="1" s="1"/>
  <c r="AG464" i="1"/>
  <c r="AF464" i="1"/>
  <c r="AB464" i="1"/>
  <c r="AB472" i="1" s="1"/>
  <c r="E464" i="1" a="1"/>
  <c r="E464" i="1" s="1"/>
  <c r="AB462" i="1"/>
  <c r="A461" i="1"/>
  <c r="A462" i="1" s="1" a="1"/>
  <c r="A462" i="1" s="1"/>
  <c r="A463" i="1" s="1" a="1"/>
  <c r="A463" i="1" s="1"/>
  <c r="A464" i="1" s="1" a="1"/>
  <c r="A464" i="1" s="1"/>
  <c r="A465" i="1" s="1" a="1"/>
  <c r="A465" i="1" s="1"/>
  <c r="Y460" i="1" a="1"/>
  <c r="Y460" i="1" s="1"/>
  <c r="M492" i="1" s="1" a="1"/>
  <c r="B460" i="1"/>
  <c r="M459" i="1"/>
  <c r="A459" i="1"/>
  <c r="B459" i="1" s="1"/>
  <c r="M458" i="1"/>
  <c r="A458" i="1"/>
  <c r="B458" i="1" s="1"/>
  <c r="M457" i="1"/>
  <c r="A457" i="1"/>
  <c r="B457" i="1" s="1"/>
  <c r="M456" i="1"/>
  <c r="A456" i="1"/>
  <c r="B456" i="1" s="1"/>
  <c r="M455" i="1"/>
  <c r="B455" i="1" a="1"/>
  <c r="A455" i="1"/>
  <c r="M454" i="1"/>
  <c r="A454" i="1"/>
  <c r="B454" i="1" s="1" a="1"/>
  <c r="B454" i="1" s="1"/>
  <c r="M453" i="1"/>
  <c r="A453" i="1"/>
  <c r="B453" i="1" s="1" a="1"/>
  <c r="B453" i="1" s="1"/>
  <c r="M452" i="1"/>
  <c r="B452" i="1" a="1"/>
  <c r="A452" i="1"/>
  <c r="M451" i="1"/>
  <c r="A451" i="1"/>
  <c r="B451" i="1" s="1" a="1"/>
  <c r="M450" i="1"/>
  <c r="A450" i="1"/>
  <c r="B450" i="1" s="1" a="1"/>
  <c r="B450" i="1" s="1"/>
  <c r="M449" i="1"/>
  <c r="A449" i="1"/>
  <c r="B449" i="1" s="1" a="1"/>
  <c r="B449" i="1" s="1"/>
  <c r="M448" i="1"/>
  <c r="A448" i="1"/>
  <c r="B448" i="1" s="1" a="1"/>
  <c r="B448" i="1" s="1"/>
  <c r="M447" i="1"/>
  <c r="B447" i="1" a="1"/>
  <c r="A447" i="1"/>
  <c r="M446" i="1"/>
  <c r="A446" i="1"/>
  <c r="B446" i="1" s="1" a="1"/>
  <c r="B446" i="1" s="1"/>
  <c r="M445" i="1"/>
  <c r="A445" i="1"/>
  <c r="B445" i="1" s="1" a="1"/>
  <c r="B445" i="1" s="1"/>
  <c r="M444" i="1"/>
  <c r="B444" i="1"/>
  <c r="M443" i="1"/>
  <c r="AG442" i="1" a="1"/>
  <c r="AG442" i="1" s="1"/>
  <c r="AF442" i="1" a="1"/>
  <c r="AF442" i="1" s="1"/>
  <c r="AE442" i="1" a="1"/>
  <c r="AE442" i="1" s="1"/>
  <c r="B442" i="1"/>
  <c r="AG441" i="1"/>
  <c r="AF441" i="1"/>
  <c r="AE441" i="1"/>
  <c r="B441" i="1"/>
  <c r="AG440" i="1"/>
  <c r="AF440" i="1"/>
  <c r="AE440" i="1"/>
  <c r="B440" i="1"/>
  <c r="BP438" i="1"/>
  <c r="BK438" i="1"/>
  <c r="BH438" i="1"/>
  <c r="BE438" i="1"/>
  <c r="BB438" i="1"/>
  <c r="AY438" i="1"/>
  <c r="AV438" i="1"/>
  <c r="AS438" i="1"/>
  <c r="AP438" i="1"/>
  <c r="AM438" i="1"/>
  <c r="AJ438" i="1"/>
  <c r="AG438" i="1"/>
  <c r="BP437" i="1"/>
  <c r="BO437" i="1"/>
  <c r="BN437" i="1"/>
  <c r="BK437" i="1"/>
  <c r="BJ437" i="1"/>
  <c r="BI437" i="1"/>
  <c r="BH437" i="1"/>
  <c r="BG437" i="1"/>
  <c r="BF437" i="1"/>
  <c r="BE437" i="1"/>
  <c r="BD437" i="1"/>
  <c r="BC437" i="1"/>
  <c r="BB437" i="1"/>
  <c r="BA437" i="1"/>
  <c r="AZ437" i="1"/>
  <c r="AY437" i="1"/>
  <c r="AX437" i="1"/>
  <c r="AW437" i="1"/>
  <c r="AV437" i="1"/>
  <c r="AU437" i="1"/>
  <c r="AT437" i="1"/>
  <c r="AS437" i="1"/>
  <c r="AR437" i="1"/>
  <c r="AQ437" i="1"/>
  <c r="AP437" i="1"/>
  <c r="AO437" i="1"/>
  <c r="AN437" i="1"/>
  <c r="AM437" i="1"/>
  <c r="AL437" i="1"/>
  <c r="AK437" i="1"/>
  <c r="AJ437" i="1"/>
  <c r="AI437" i="1"/>
  <c r="AH437" i="1"/>
  <c r="AG437" i="1"/>
  <c r="AF437" i="1"/>
  <c r="AE437" i="1"/>
  <c r="BP428" i="1"/>
  <c r="BO428" i="1"/>
  <c r="BN428" i="1"/>
  <c r="BP427" i="1"/>
  <c r="BO427" i="1"/>
  <c r="BN427" i="1"/>
  <c r="BP426" i="1"/>
  <c r="BO426" i="1"/>
  <c r="BN426" i="1"/>
  <c r="BP425" i="1"/>
  <c r="BO425" i="1"/>
  <c r="BN425" i="1"/>
  <c r="BP424" i="1"/>
  <c r="BO424" i="1"/>
  <c r="BN424" i="1"/>
  <c r="BP423" i="1"/>
  <c r="BO423" i="1"/>
  <c r="BN423" i="1"/>
  <c r="BP422" i="1"/>
  <c r="BO422" i="1"/>
  <c r="BN422" i="1"/>
  <c r="BP421" i="1"/>
  <c r="BO421" i="1"/>
  <c r="BN421" i="1"/>
  <c r="BP420" i="1"/>
  <c r="BO420" i="1"/>
  <c r="BN420" i="1"/>
  <c r="BP419" i="1"/>
  <c r="BO419" i="1"/>
  <c r="BN419" i="1"/>
  <c r="BP418" i="1"/>
  <c r="BO418" i="1"/>
  <c r="BN418" i="1"/>
  <c r="BP417" i="1"/>
  <c r="BO417" i="1"/>
  <c r="BN417" i="1"/>
  <c r="BP416" i="1"/>
  <c r="BO416" i="1"/>
  <c r="BN416" i="1"/>
  <c r="AB416" i="1"/>
  <c r="B416" i="1"/>
  <c r="BP415" i="1"/>
  <c r="BO415" i="1"/>
  <c r="BN415" i="1"/>
  <c r="BP414" i="1"/>
  <c r="BO414" i="1"/>
  <c r="BN414" i="1"/>
  <c r="BP413" i="1"/>
  <c r="BO413" i="1"/>
  <c r="BN413" i="1"/>
  <c r="BP412" i="1"/>
  <c r="BO412" i="1"/>
  <c r="BN412" i="1"/>
  <c r="BP411" i="1"/>
  <c r="BO411" i="1"/>
  <c r="BN411" i="1"/>
  <c r="BP410" i="1"/>
  <c r="BO410" i="1"/>
  <c r="BN410" i="1"/>
  <c r="BP409" i="1"/>
  <c r="BO409" i="1"/>
  <c r="BN409" i="1"/>
  <c r="BP408" i="1"/>
  <c r="BO408" i="1"/>
  <c r="BN408" i="1"/>
  <c r="BP407" i="1"/>
  <c r="BO407" i="1"/>
  <c r="BN407" i="1"/>
  <c r="BP406" i="1"/>
  <c r="BO406" i="1"/>
  <c r="BN406" i="1"/>
  <c r="BP405" i="1"/>
  <c r="BO405" i="1"/>
  <c r="BN405" i="1"/>
  <c r="BP404" i="1"/>
  <c r="BO404" i="1"/>
  <c r="BN404" i="1"/>
  <c r="BP403" i="1"/>
  <c r="BO403" i="1"/>
  <c r="BN403" i="1"/>
  <c r="BP402" i="1"/>
  <c r="BO402" i="1"/>
  <c r="BN402" i="1"/>
  <c r="BP401" i="1"/>
  <c r="BO401" i="1"/>
  <c r="BN401" i="1"/>
  <c r="BP400" i="1"/>
  <c r="BO400" i="1"/>
  <c r="BN400" i="1"/>
  <c r="BP399" i="1"/>
  <c r="BO399" i="1"/>
  <c r="BN399" i="1"/>
  <c r="BK398" i="1"/>
  <c r="BJ398" i="1"/>
  <c r="BH398" i="1"/>
  <c r="BG398" i="1"/>
  <c r="BE398" i="1"/>
  <c r="BD398" i="1"/>
  <c r="BB398" i="1"/>
  <c r="BA398" i="1"/>
  <c r="AY398" i="1"/>
  <c r="AX398" i="1"/>
  <c r="AV398" i="1"/>
  <c r="AU398" i="1"/>
  <c r="AR398" i="1"/>
  <c r="AO398" i="1"/>
  <c r="AL398" i="1"/>
  <c r="AJ398" i="1"/>
  <c r="AI398" i="1"/>
  <c r="AG398" i="1"/>
  <c r="AF398" i="1"/>
  <c r="BP393" i="1"/>
  <c r="BO393" i="1"/>
  <c r="BN393" i="1"/>
  <c r="BP392" i="1"/>
  <c r="BO392" i="1"/>
  <c r="BN392" i="1"/>
  <c r="BP391" i="1"/>
  <c r="BO391" i="1"/>
  <c r="BN391" i="1"/>
  <c r="BP390" i="1"/>
  <c r="BO390" i="1"/>
  <c r="BN390" i="1"/>
  <c r="BJ389" i="1"/>
  <c r="BG389" i="1"/>
  <c r="BA389" i="1"/>
  <c r="AX389" i="1"/>
  <c r="AV389" i="1"/>
  <c r="AU389" i="1"/>
  <c r="AT389" i="1"/>
  <c r="BN389" i="1" s="1"/>
  <c r="AS389" i="1"/>
  <c r="AR389" i="1"/>
  <c r="BP388" i="1"/>
  <c r="BO388" i="1"/>
  <c r="BN388" i="1"/>
  <c r="B388" i="1" a="1"/>
  <c r="A388" i="1"/>
  <c r="BP387" i="1"/>
  <c r="BO387" i="1"/>
  <c r="BN387" i="1"/>
  <c r="A387" i="1" a="1"/>
  <c r="A387" i="1"/>
  <c r="B387" i="1" s="1" a="1"/>
  <c r="B387" i="1" s="1"/>
  <c r="AI385" i="1"/>
  <c r="AO383" i="1"/>
  <c r="AL383" i="1"/>
  <c r="AO381" i="1"/>
  <c r="AO379" i="1" s="1"/>
  <c r="AF381" i="1"/>
  <c r="AF379" i="1" s="1"/>
  <c r="BP380" i="1"/>
  <c r="BO380" i="1"/>
  <c r="BN380" i="1"/>
  <c r="A380" i="1" a="1"/>
  <c r="A380" i="1" s="1"/>
  <c r="B380" i="1" s="1" a="1"/>
  <c r="B380" i="1" s="1"/>
  <c r="BK379" i="1"/>
  <c r="BJ379" i="1"/>
  <c r="BI379" i="1"/>
  <c r="BH379" i="1"/>
  <c r="BG379" i="1"/>
  <c r="BF379" i="1"/>
  <c r="BE379" i="1"/>
  <c r="BD379" i="1"/>
  <c r="BC379" i="1"/>
  <c r="BB379" i="1"/>
  <c r="BA379" i="1"/>
  <c r="AZ379" i="1"/>
  <c r="AY379" i="1"/>
  <c r="AX379" i="1"/>
  <c r="AW379" i="1"/>
  <c r="AV379" i="1"/>
  <c r="AU379" i="1"/>
  <c r="AT379" i="1"/>
  <c r="AS379" i="1"/>
  <c r="AR379" i="1"/>
  <c r="AQ379" i="1"/>
  <c r="AP379" i="1"/>
  <c r="AM379" i="1"/>
  <c r="AL379" i="1"/>
  <c r="AK379" i="1"/>
  <c r="AJ379" i="1"/>
  <c r="AI379" i="1"/>
  <c r="AH379" i="1"/>
  <c r="AG379" i="1"/>
  <c r="AE379" i="1"/>
  <c r="A379" i="1"/>
  <c r="B379" i="1" s="1" a="1"/>
  <c r="B379" i="1" s="1"/>
  <c r="BP378" i="1"/>
  <c r="BO378" i="1"/>
  <c r="BN378" i="1"/>
  <c r="BP377" i="1"/>
  <c r="BO377" i="1"/>
  <c r="BN377" i="1"/>
  <c r="BK376" i="1"/>
  <c r="BJ376" i="1"/>
  <c r="BI376" i="1"/>
  <c r="BH376" i="1"/>
  <c r="BG376" i="1"/>
  <c r="BF376" i="1"/>
  <c r="BE376" i="1"/>
  <c r="BD376" i="1"/>
  <c r="BC376" i="1"/>
  <c r="BB376" i="1"/>
  <c r="BA376" i="1"/>
  <c r="AZ376" i="1"/>
  <c r="AY376" i="1"/>
  <c r="AX376" i="1"/>
  <c r="AW376" i="1"/>
  <c r="AV376" i="1"/>
  <c r="AU376" i="1"/>
  <c r="AT376" i="1"/>
  <c r="AS376" i="1"/>
  <c r="AR376" i="1"/>
  <c r="AQ376" i="1"/>
  <c r="AP376" i="1"/>
  <c r="AO376" i="1"/>
  <c r="AN376" i="1"/>
  <c r="AM376" i="1"/>
  <c r="AL376" i="1"/>
  <c r="AK376" i="1"/>
  <c r="AJ376" i="1"/>
  <c r="AI376" i="1"/>
  <c r="AH376" i="1"/>
  <c r="AG376" i="1"/>
  <c r="AF376" i="1"/>
  <c r="AE376" i="1"/>
  <c r="BP375" i="1"/>
  <c r="BO375" i="1"/>
  <c r="BN375" i="1"/>
  <c r="BP374" i="1"/>
  <c r="BO374" i="1"/>
  <c r="BN374" i="1"/>
  <c r="A374" i="1"/>
  <c r="BP373" i="1"/>
  <c r="BO373" i="1"/>
  <c r="BN373" i="1"/>
  <c r="A373" i="1"/>
  <c r="B373" i="1" s="1" a="1"/>
  <c r="B373" i="1" s="1"/>
  <c r="BP372" i="1"/>
  <c r="BO372" i="1"/>
  <c r="BN372" i="1"/>
  <c r="A372" i="1"/>
  <c r="B372" i="1" s="1" a="1"/>
  <c r="B372" i="1" s="1"/>
  <c r="BP371" i="1"/>
  <c r="BO371" i="1"/>
  <c r="BN371" i="1"/>
  <c r="BP370" i="1"/>
  <c r="BO370" i="1"/>
  <c r="BN370" i="1"/>
  <c r="BP369" i="1"/>
  <c r="BN369" i="1"/>
  <c r="AF369" i="1"/>
  <c r="AF1093" i="1" s="1"/>
  <c r="BO1093" i="1" s="1"/>
  <c r="BP368" i="1"/>
  <c r="BO368" i="1"/>
  <c r="BN368" i="1"/>
  <c r="Y368" i="1"/>
  <c r="Y369" i="1" s="1"/>
  <c r="Y370" i="1" s="1"/>
  <c r="BP367" i="1"/>
  <c r="BO367" i="1"/>
  <c r="BN367" i="1"/>
  <c r="BP366" i="1"/>
  <c r="BO366" i="1"/>
  <c r="BN366" i="1"/>
  <c r="BP365" i="1"/>
  <c r="BO365" i="1"/>
  <c r="BN365" i="1"/>
  <c r="BK364" i="1"/>
  <c r="BJ364" i="1"/>
  <c r="BI364" i="1"/>
  <c r="BH364" i="1"/>
  <c r="BG364" i="1"/>
  <c r="BF364" i="1"/>
  <c r="BE364" i="1"/>
  <c r="BD364" i="1"/>
  <c r="BC364" i="1"/>
  <c r="BB364" i="1"/>
  <c r="BA364" i="1"/>
  <c r="AZ364" i="1"/>
  <c r="AY364" i="1"/>
  <c r="AW364" i="1"/>
  <c r="AV364" i="1"/>
  <c r="AU364" i="1"/>
  <c r="AT364" i="1"/>
  <c r="AS364" i="1"/>
  <c r="AQ364" i="1"/>
  <c r="AP364" i="1"/>
  <c r="AO364" i="1"/>
  <c r="AN364" i="1"/>
  <c r="AM364" i="1"/>
  <c r="AL364" i="1"/>
  <c r="AK364" i="1"/>
  <c r="AJ364" i="1"/>
  <c r="AI364" i="1"/>
  <c r="AH364" i="1"/>
  <c r="AG364" i="1"/>
  <c r="AE364" i="1"/>
  <c r="BP363" i="1"/>
  <c r="BO363" i="1"/>
  <c r="BN363" i="1"/>
  <c r="BP362" i="1"/>
  <c r="BO362" i="1"/>
  <c r="BN362" i="1"/>
  <c r="BP361" i="1"/>
  <c r="BO361" i="1"/>
  <c r="BN361" i="1"/>
  <c r="BP360" i="1"/>
  <c r="BO360" i="1"/>
  <c r="BN360" i="1"/>
  <c r="BP359" i="1"/>
  <c r="BO359" i="1"/>
  <c r="BN359" i="1"/>
  <c r="BP358" i="1"/>
  <c r="BN358" i="1"/>
  <c r="AO358" i="1"/>
  <c r="AO1082" i="1" s="1"/>
  <c r="BP357" i="1"/>
  <c r="BO357" i="1"/>
  <c r="BN357" i="1"/>
  <c r="BP356" i="1"/>
  <c r="BN356" i="1"/>
  <c r="AO356" i="1"/>
  <c r="Y356" i="1"/>
  <c r="BP355" i="1"/>
  <c r="BO355" i="1"/>
  <c r="BN355" i="1"/>
  <c r="BK354" i="1"/>
  <c r="BJ354" i="1"/>
  <c r="BI354" i="1"/>
  <c r="BH354" i="1"/>
  <c r="BG354" i="1"/>
  <c r="BF354" i="1"/>
  <c r="BE354" i="1"/>
  <c r="BD354" i="1"/>
  <c r="BC354" i="1"/>
  <c r="BB354" i="1"/>
  <c r="BA354" i="1"/>
  <c r="AZ354" i="1"/>
  <c r="AY354" i="1"/>
  <c r="AX354" i="1"/>
  <c r="AW354" i="1"/>
  <c r="AV354" i="1"/>
  <c r="AU354" i="1"/>
  <c r="AT354" i="1"/>
  <c r="AS354" i="1"/>
  <c r="AR354" i="1"/>
  <c r="AQ354" i="1"/>
  <c r="AP354" i="1"/>
  <c r="AN354" i="1"/>
  <c r="AM354" i="1"/>
  <c r="AL354" i="1"/>
  <c r="AK354" i="1"/>
  <c r="AJ354" i="1"/>
  <c r="AI354" i="1"/>
  <c r="AH354" i="1"/>
  <c r="AG354" i="1"/>
  <c r="AF354" i="1"/>
  <c r="AE354" i="1"/>
  <c r="BP353" i="1"/>
  <c r="BO353" i="1"/>
  <c r="BN353" i="1"/>
  <c r="BP352" i="1"/>
  <c r="BO352" i="1"/>
  <c r="BN352" i="1"/>
  <c r="BP351" i="1"/>
  <c r="BO351" i="1"/>
  <c r="BN351" i="1"/>
  <c r="BP350" i="1"/>
  <c r="BO350" i="1"/>
  <c r="BN350" i="1"/>
  <c r="BP349" i="1"/>
  <c r="BO349" i="1"/>
  <c r="BN349" i="1"/>
  <c r="BP348" i="1"/>
  <c r="BO348" i="1"/>
  <c r="BN348" i="1"/>
  <c r="BP347" i="1"/>
  <c r="BO347" i="1"/>
  <c r="BN347" i="1"/>
  <c r="BP346" i="1"/>
  <c r="BO346" i="1"/>
  <c r="BN346" i="1"/>
  <c r="BP345" i="1"/>
  <c r="BN345" i="1"/>
  <c r="AO345" i="1"/>
  <c r="AO340" i="1" s="1"/>
  <c r="BP344" i="1"/>
  <c r="BO344" i="1"/>
  <c r="BN344" i="1"/>
  <c r="BP343" i="1"/>
  <c r="BO343" i="1"/>
  <c r="BN343" i="1"/>
  <c r="BP342" i="1"/>
  <c r="BO342" i="1"/>
  <c r="BN342" i="1"/>
  <c r="Y342" i="1"/>
  <c r="Y343" i="1" s="1"/>
  <c r="BP341" i="1"/>
  <c r="BO341" i="1"/>
  <c r="BN341" i="1"/>
  <c r="BK340" i="1"/>
  <c r="BK339" i="1" s="1"/>
  <c r="BJ340" i="1"/>
  <c r="BI340" i="1"/>
  <c r="BH340" i="1"/>
  <c r="BH339" i="1" s="1"/>
  <c r="BG340" i="1"/>
  <c r="BF340" i="1"/>
  <c r="BE340" i="1"/>
  <c r="BD340" i="1"/>
  <c r="BD339" i="1" s="1"/>
  <c r="BC340" i="1"/>
  <c r="BC339" i="1" s="1"/>
  <c r="BB340" i="1"/>
  <c r="BA340" i="1"/>
  <c r="AZ340" i="1"/>
  <c r="AZ339" i="1" s="1"/>
  <c r="AY340" i="1"/>
  <c r="AY339" i="1" s="1"/>
  <c r="AX340" i="1"/>
  <c r="AW340" i="1"/>
  <c r="AV340" i="1"/>
  <c r="AV339" i="1" s="1"/>
  <c r="AU340" i="1"/>
  <c r="AU339" i="1" s="1"/>
  <c r="AT340" i="1"/>
  <c r="AS340" i="1"/>
  <c r="AR340" i="1"/>
  <c r="AR339" i="1" s="1"/>
  <c r="AQ340" i="1"/>
  <c r="AP340" i="1"/>
  <c r="AN340" i="1"/>
  <c r="AM340" i="1"/>
  <c r="AL340" i="1"/>
  <c r="AL339" i="1" s="1"/>
  <c r="AK340" i="1"/>
  <c r="AJ340" i="1"/>
  <c r="AJ339" i="1" s="1"/>
  <c r="AI340" i="1"/>
  <c r="AH340" i="1"/>
  <c r="AH339" i="1" s="1"/>
  <c r="AG340" i="1"/>
  <c r="AF340" i="1"/>
  <c r="AE340" i="1"/>
  <c r="BG339" i="1"/>
  <c r="AN339" i="1"/>
  <c r="BP338" i="1"/>
  <c r="BO338" i="1"/>
  <c r="BN338" i="1"/>
  <c r="BP337" i="1"/>
  <c r="BO337" i="1"/>
  <c r="BN337" i="1"/>
  <c r="BP336" i="1"/>
  <c r="BO336" i="1"/>
  <c r="BN336" i="1"/>
  <c r="Y336" i="1"/>
  <c r="BO335" i="1"/>
  <c r="BK335" i="1"/>
  <c r="BI335" i="1"/>
  <c r="BH335" i="1"/>
  <c r="BF335" i="1"/>
  <c r="BE335" i="1"/>
  <c r="BC335" i="1"/>
  <c r="BB335" i="1"/>
  <c r="AZ335" i="1"/>
  <c r="AY335" i="1" a="1"/>
  <c r="AY335" i="1" s="1"/>
  <c r="AW335" i="1"/>
  <c r="AV335" i="1" a="1"/>
  <c r="AV335" i="1" s="1"/>
  <c r="AT335" i="1"/>
  <c r="AS335" i="1" a="1"/>
  <c r="AS335" i="1" s="1"/>
  <c r="AQ335" i="1"/>
  <c r="AP335" i="1" a="1"/>
  <c r="AP335" i="1" s="1"/>
  <c r="AN335" i="1"/>
  <c r="AM335" i="1" a="1"/>
  <c r="AM335" i="1" s="1"/>
  <c r="AK335" i="1"/>
  <c r="AJ335" i="1" a="1"/>
  <c r="AJ335" i="1" s="1"/>
  <c r="AH335" i="1"/>
  <c r="AG335" i="1" a="1"/>
  <c r="AG335" i="1" s="1"/>
  <c r="AE335" i="1"/>
  <c r="BP334" i="1"/>
  <c r="BN334" i="1"/>
  <c r="AX334" i="1"/>
  <c r="BO334" i="1" s="1"/>
  <c r="BK333" i="1"/>
  <c r="BI333" i="1"/>
  <c r="BH333" i="1"/>
  <c r="BF333" i="1"/>
  <c r="BE333" i="1"/>
  <c r="BD333" i="1"/>
  <c r="BC333" i="1"/>
  <c r="AW333" i="1"/>
  <c r="AV333" i="1"/>
  <c r="AU333" i="1"/>
  <c r="AT333" i="1"/>
  <c r="AS333" i="1"/>
  <c r="AR333" i="1"/>
  <c r="AQ333" i="1"/>
  <c r="AP333" i="1"/>
  <c r="AN333" i="1"/>
  <c r="AM333" i="1"/>
  <c r="AL333" i="1"/>
  <c r="AK333" i="1"/>
  <c r="AJ333" i="1"/>
  <c r="AH333" i="1"/>
  <c r="AG333" i="1"/>
  <c r="AE333" i="1"/>
  <c r="BP332" i="1"/>
  <c r="BN332" i="1"/>
  <c r="AX332" i="1"/>
  <c r="BO332" i="1" s="1"/>
  <c r="BP331" i="1"/>
  <c r="BO331" i="1"/>
  <c r="BN331" i="1"/>
  <c r="BA330" i="1"/>
  <c r="BO330" i="1" s="1"/>
  <c r="AZ330" i="1"/>
  <c r="AJ330" i="1"/>
  <c r="AH330" i="1"/>
  <c r="BO329" i="1"/>
  <c r="BN329" i="1"/>
  <c r="BB329" i="1"/>
  <c r="BP329" i="1" s="1"/>
  <c r="BO328" i="1"/>
  <c r="AG328" i="1" a="1"/>
  <c r="AG328" i="1" s="1"/>
  <c r="BP328" i="1" s="1"/>
  <c r="AE328" i="1" a="1"/>
  <c r="AE328" i="1" s="1"/>
  <c r="BO327" i="1"/>
  <c r="AG327" i="1" a="1"/>
  <c r="AG327" i="1" s="1"/>
  <c r="BP327" i="1" s="1"/>
  <c r="AG326" i="1" a="1"/>
  <c r="AG326" i="1" s="1"/>
  <c r="BP326" i="1" s="1"/>
  <c r="AE326" i="1" a="1"/>
  <c r="AE326" i="1" s="1"/>
  <c r="BN326" i="1" s="1"/>
  <c r="BP325" i="1"/>
  <c r="BN325" i="1"/>
  <c r="AI325" i="1"/>
  <c r="BB324" i="1"/>
  <c r="BB323" i="1" s="1"/>
  <c r="BB1047" i="1" s="1"/>
  <c r="BA324" i="1"/>
  <c r="AX324" i="1"/>
  <c r="BK323" i="1"/>
  <c r="BK1047" i="1" s="1"/>
  <c r="BJ323" i="1"/>
  <c r="BJ1047" i="1" s="1"/>
  <c r="BI323" i="1"/>
  <c r="BI1047" i="1" s="1"/>
  <c r="BH323" i="1"/>
  <c r="BH1047" i="1" s="1"/>
  <c r="BG323" i="1"/>
  <c r="BG1047" i="1" s="1"/>
  <c r="BF323" i="1"/>
  <c r="BF1047" i="1" s="1"/>
  <c r="BE323" i="1"/>
  <c r="BE1047" i="1" s="1"/>
  <c r="BD323" i="1"/>
  <c r="BD1047" i="1" s="1"/>
  <c r="BC323" i="1"/>
  <c r="BC1047" i="1" s="1"/>
  <c r="AZ323" i="1"/>
  <c r="AZ1047" i="1" s="1"/>
  <c r="AY323" i="1"/>
  <c r="AY322" i="1" s="1"/>
  <c r="AW323" i="1"/>
  <c r="AV323" i="1"/>
  <c r="AV1047" i="1" s="1"/>
  <c r="AU323" i="1"/>
  <c r="AU1047" i="1" s="1"/>
  <c r="AT323" i="1"/>
  <c r="AT1047" i="1" s="1"/>
  <c r="AS323" i="1"/>
  <c r="AR323" i="1"/>
  <c r="AR1047" i="1" s="1"/>
  <c r="AQ323" i="1"/>
  <c r="AQ1047" i="1" s="1"/>
  <c r="AP323" i="1"/>
  <c r="AP1047" i="1" s="1"/>
  <c r="AO323" i="1"/>
  <c r="AN323" i="1"/>
  <c r="AN1047" i="1" s="1"/>
  <c r="AM323" i="1"/>
  <c r="AM1047" i="1" s="1"/>
  <c r="AL323" i="1"/>
  <c r="AL1047" i="1" s="1"/>
  <c r="AK323" i="1"/>
  <c r="AJ323" i="1"/>
  <c r="AJ1047" i="1" s="1"/>
  <c r="AH323" i="1"/>
  <c r="AH1047" i="1" s="1"/>
  <c r="AG323" i="1"/>
  <c r="AF323" i="1"/>
  <c r="AE323" i="1"/>
  <c r="AE1047" i="1" s="1"/>
  <c r="BJ322" i="1"/>
  <c r="BI322" i="1"/>
  <c r="BB322" i="1"/>
  <c r="BA322" i="1"/>
  <c r="AX322" i="1"/>
  <c r="AU322" i="1"/>
  <c r="AR322" i="1"/>
  <c r="AQ322" i="1"/>
  <c r="AP322" i="1"/>
  <c r="AN322" i="1"/>
  <c r="AI322" i="1"/>
  <c r="BP321" i="1"/>
  <c r="BO321" i="1"/>
  <c r="BN321" i="1"/>
  <c r="BO320" i="1"/>
  <c r="BN320" i="1"/>
  <c r="AV320" i="1"/>
  <c r="BP319" i="1"/>
  <c r="BO319" i="1"/>
  <c r="BN319" i="1"/>
  <c r="BP318" i="1"/>
  <c r="BO318" i="1"/>
  <c r="AY318" i="1"/>
  <c r="AY1042" i="1" s="1"/>
  <c r="AW318" i="1"/>
  <c r="AW1042" i="1" s="1"/>
  <c r="BP317" i="1"/>
  <c r="BO317" i="1"/>
  <c r="BN317" i="1"/>
  <c r="BH315" i="1"/>
  <c r="BH1039" i="1" s="1"/>
  <c r="BH1035" i="1" s="1"/>
  <c r="BH1032" i="1" s="1"/>
  <c r="BF315" i="1"/>
  <c r="BF1039" i="1" s="1"/>
  <c r="BA315" i="1"/>
  <c r="AZ315" i="1"/>
  <c r="AZ1039" i="1" s="1"/>
  <c r="AZ1035" i="1" s="1"/>
  <c r="AZ1032" i="1" s="1"/>
  <c r="AY315" i="1"/>
  <c r="AY1039" i="1" s="1"/>
  <c r="AW315" i="1"/>
  <c r="AE315" i="1"/>
  <c r="AE1039" i="1" s="1"/>
  <c r="BP314" i="1"/>
  <c r="BO314" i="1"/>
  <c r="BN314" i="1"/>
  <c r="BK313" i="1"/>
  <c r="BJ313" i="1"/>
  <c r="BI313" i="1"/>
  <c r="BH313" i="1"/>
  <c r="BG313" i="1"/>
  <c r="BF313" i="1"/>
  <c r="BE313" i="1"/>
  <c r="BD313" i="1"/>
  <c r="BC313" i="1"/>
  <c r="BB313" i="1"/>
  <c r="BA313" i="1"/>
  <c r="AZ313" i="1"/>
  <c r="AY313" i="1"/>
  <c r="AW313" i="1"/>
  <c r="AV313" i="1"/>
  <c r="AU313" i="1"/>
  <c r="AT313" i="1"/>
  <c r="AS313" i="1"/>
  <c r="AR313" i="1"/>
  <c r="AQ313" i="1"/>
  <c r="AP313" i="1"/>
  <c r="AO313" i="1"/>
  <c r="AN313" i="1"/>
  <c r="AM313" i="1"/>
  <c r="AL313" i="1"/>
  <c r="AK313" i="1"/>
  <c r="AJ313" i="1"/>
  <c r="AI313" i="1"/>
  <c r="AH313" i="1"/>
  <c r="AG313" i="1"/>
  <c r="AF313" i="1"/>
  <c r="AE313" i="1"/>
  <c r="BP312" i="1"/>
  <c r="BP313" i="1" s="1"/>
  <c r="BO312" i="1"/>
  <c r="BO313" i="1" s="1"/>
  <c r="BN312" i="1"/>
  <c r="G312" i="1" a="1"/>
  <c r="G312" i="1" s="1"/>
  <c r="BK311" i="1"/>
  <c r="BK308" i="1" s="1"/>
  <c r="BI311" i="1"/>
  <c r="BI308" i="1" s="1"/>
  <c r="BB311" i="1"/>
  <c r="AZ311" i="1"/>
  <c r="AZ308" i="1" s="1"/>
  <c r="AV311" i="1"/>
  <c r="AU311" i="1"/>
  <c r="AU308" i="1" s="1"/>
  <c r="AT311" i="1"/>
  <c r="AT308" i="1" s="1"/>
  <c r="AS311" i="1"/>
  <c r="AS308" i="1" s="1"/>
  <c r="AQ311" i="1"/>
  <c r="AQ308" i="1" s="1"/>
  <c r="AP311" i="1"/>
  <c r="AP308" i="1" s="1"/>
  <c r="AN311" i="1"/>
  <c r="AN308" i="1" s="1"/>
  <c r="AM311" i="1"/>
  <c r="AM308" i="1" s="1"/>
  <c r="AK311" i="1"/>
  <c r="AK308" i="1" s="1"/>
  <c r="AH311" i="1"/>
  <c r="AH308" i="1" s="1"/>
  <c r="AG311" i="1"/>
  <c r="AG315" i="1" s="1"/>
  <c r="AG1039" i="1" s="1"/>
  <c r="AF311" i="1"/>
  <c r="AF315" i="1" s="1"/>
  <c r="AE311" i="1"/>
  <c r="AE308" i="1" s="1"/>
  <c r="BP310" i="1"/>
  <c r="BO310" i="1"/>
  <c r="BN310" i="1"/>
  <c r="BP309" i="1"/>
  <c r="BO309" i="1"/>
  <c r="BN309" i="1"/>
  <c r="BJ308" i="1"/>
  <c r="BG308" i="1"/>
  <c r="BE308" i="1"/>
  <c r="BD308" i="1"/>
  <c r="BC308" i="1"/>
  <c r="BB308" i="1"/>
  <c r="AX308" i="1"/>
  <c r="AR308" i="1"/>
  <c r="AO308" i="1"/>
  <c r="AL308" i="1"/>
  <c r="AJ308" i="1"/>
  <c r="AI308" i="1"/>
  <c r="AG308" i="1"/>
  <c r="BP307" i="1"/>
  <c r="BO307" i="1"/>
  <c r="BN307" i="1"/>
  <c r="BP306" i="1"/>
  <c r="BO306" i="1"/>
  <c r="BN306" i="1"/>
  <c r="BP305" i="1"/>
  <c r="BO305" i="1"/>
  <c r="BN305" i="1"/>
  <c r="BP304" i="1"/>
  <c r="BO304" i="1"/>
  <c r="BN304" i="1"/>
  <c r="BO303" i="1"/>
  <c r="BN303" i="1"/>
  <c r="BE303" i="1"/>
  <c r="AG303" i="1"/>
  <c r="AG1027" i="1" s="1"/>
  <c r="BP302" i="1"/>
  <c r="BO302" i="1"/>
  <c r="BN302" i="1"/>
  <c r="BP301" i="1"/>
  <c r="BO301" i="1"/>
  <c r="BN301" i="1"/>
  <c r="BP300" i="1"/>
  <c r="BO300" i="1"/>
  <c r="BN300" i="1"/>
  <c r="BP299" i="1"/>
  <c r="BO299" i="1"/>
  <c r="BN299" i="1"/>
  <c r="BP298" i="1"/>
  <c r="BO298" i="1"/>
  <c r="BN298" i="1"/>
  <c r="BP297" i="1"/>
  <c r="BO297" i="1"/>
  <c r="BN297" i="1"/>
  <c r="BP296" i="1"/>
  <c r="BO296" i="1"/>
  <c r="BN296" i="1"/>
  <c r="BP295" i="1"/>
  <c r="BO295" i="1"/>
  <c r="BN295" i="1"/>
  <c r="BP294" i="1"/>
  <c r="BO294" i="1"/>
  <c r="BN294" i="1"/>
  <c r="BP293" i="1"/>
  <c r="BO293" i="1"/>
  <c r="BN293" i="1"/>
  <c r="BP292" i="1"/>
  <c r="BO292" i="1"/>
  <c r="BN292" i="1"/>
  <c r="BP291" i="1"/>
  <c r="BO291" i="1"/>
  <c r="BN291" i="1"/>
  <c r="BP290" i="1"/>
  <c r="BO290" i="1"/>
  <c r="BN290" i="1"/>
  <c r="BP289" i="1"/>
  <c r="BO289" i="1"/>
  <c r="BN289" i="1"/>
  <c r="BP288" i="1"/>
  <c r="BO288" i="1"/>
  <c r="BN288" i="1"/>
  <c r="BP287" i="1"/>
  <c r="BO287" i="1"/>
  <c r="BN287" i="1"/>
  <c r="BP286" i="1"/>
  <c r="BO286" i="1"/>
  <c r="BN286" i="1"/>
  <c r="BO285" i="1"/>
  <c r="BB285" i="1"/>
  <c r="BB284" i="1" s="1"/>
  <c r="AZ285" i="1"/>
  <c r="AZ284" i="1" s="1"/>
  <c r="AZ277" i="1" s="1"/>
  <c r="AY285" i="1"/>
  <c r="AY284" i="1" s="1"/>
  <c r="AY277" i="1" s="1"/>
  <c r="AW285" i="1"/>
  <c r="AS285" i="1"/>
  <c r="BK284" i="1"/>
  <c r="BK277" i="1" s="1"/>
  <c r="BJ284" i="1"/>
  <c r="BJ277" i="1" s="1"/>
  <c r="BI284" i="1"/>
  <c r="BI277" i="1" s="1"/>
  <c r="BH284" i="1"/>
  <c r="BH277" i="1" s="1"/>
  <c r="BG284" i="1"/>
  <c r="BG277" i="1" s="1"/>
  <c r="BF284" i="1"/>
  <c r="BF277" i="1" s="1"/>
  <c r="BD284" i="1"/>
  <c r="BD277" i="1" s="1"/>
  <c r="BC284" i="1"/>
  <c r="BC277" i="1" s="1"/>
  <c r="BC258" i="1" s="1"/>
  <c r="BA284" i="1"/>
  <c r="BA277" i="1" s="1"/>
  <c r="AX284" i="1"/>
  <c r="AV284" i="1"/>
  <c r="AV277" i="1" s="1"/>
  <c r="AU284" i="1"/>
  <c r="AU277" i="1" s="1"/>
  <c r="AT284" i="1"/>
  <c r="AT277" i="1" s="1"/>
  <c r="AR284" i="1"/>
  <c r="AR277" i="1" s="1"/>
  <c r="AQ284" i="1"/>
  <c r="AQ277" i="1" s="1"/>
  <c r="AP284" i="1"/>
  <c r="AP277" i="1" s="1"/>
  <c r="AO284" i="1"/>
  <c r="AN284" i="1"/>
  <c r="AN277" i="1" s="1"/>
  <c r="AM284" i="1"/>
  <c r="AM277" i="1" s="1"/>
  <c r="AL284" i="1"/>
  <c r="AL277" i="1" s="1"/>
  <c r="AK284" i="1"/>
  <c r="AK277" i="1" s="1"/>
  <c r="AJ284" i="1"/>
  <c r="AJ277" i="1" s="1"/>
  <c r="AI284" i="1"/>
  <c r="AI277" i="1" s="1"/>
  <c r="AH284" i="1"/>
  <c r="AH277" i="1" s="1"/>
  <c r="AG284" i="1"/>
  <c r="AF284" i="1"/>
  <c r="AE284" i="1"/>
  <c r="BP283" i="1"/>
  <c r="BO283" i="1"/>
  <c r="BN283" i="1"/>
  <c r="BP282" i="1"/>
  <c r="BO282" i="1"/>
  <c r="BN282" i="1"/>
  <c r="BP281" i="1"/>
  <c r="BO281" i="1"/>
  <c r="BN281" i="1"/>
  <c r="BP280" i="1"/>
  <c r="BO280" i="1"/>
  <c r="BN280" i="1"/>
  <c r="BP279" i="1"/>
  <c r="BO279" i="1"/>
  <c r="BN279" i="1"/>
  <c r="BP278" i="1"/>
  <c r="BO278" i="1"/>
  <c r="BN278" i="1"/>
  <c r="BB277" i="1"/>
  <c r="AX277" i="1"/>
  <c r="AO277" i="1"/>
  <c r="AG277" i="1"/>
  <c r="BP276" i="1"/>
  <c r="BO276" i="1"/>
  <c r="BN276" i="1"/>
  <c r="BP275" i="1"/>
  <c r="BO275" i="1"/>
  <c r="BN275" i="1"/>
  <c r="BP274" i="1"/>
  <c r="BO274" i="1"/>
  <c r="BN274" i="1"/>
  <c r="BP273" i="1"/>
  <c r="BO273" i="1"/>
  <c r="BN273" i="1"/>
  <c r="BK271" i="1"/>
  <c r="BK995" i="1" s="1"/>
  <c r="BK991" i="1" s="1"/>
  <c r="BH271" i="1"/>
  <c r="BH995" i="1" s="1"/>
  <c r="BH991" i="1" s="1"/>
  <c r="BA271" i="1"/>
  <c r="AZ271" i="1"/>
  <c r="AZ995" i="1" s="1"/>
  <c r="AZ991" i="1" s="1"/>
  <c r="AY271" i="1"/>
  <c r="AX271" i="1"/>
  <c r="AX995" i="1" s="1"/>
  <c r="AX991" i="1" s="1"/>
  <c r="AO271" i="1"/>
  <c r="BN270" i="1"/>
  <c r="BB270" i="1"/>
  <c r="AO270" i="1"/>
  <c r="AO269" i="1" s="1"/>
  <c r="BH269" i="1"/>
  <c r="BA269" i="1"/>
  <c r="AZ269" i="1"/>
  <c r="AY269" i="1"/>
  <c r="AX269" i="1"/>
  <c r="AV269" i="1"/>
  <c r="AU269" i="1"/>
  <c r="AT269" i="1"/>
  <c r="AS269" i="1"/>
  <c r="AR269" i="1"/>
  <c r="AQ269" i="1"/>
  <c r="AP269" i="1"/>
  <c r="BO268" i="1"/>
  <c r="BN268" i="1"/>
  <c r="BN269" i="1" s="1"/>
  <c r="BK267" i="1"/>
  <c r="BJ267" i="1"/>
  <c r="BI267" i="1"/>
  <c r="BH267" i="1"/>
  <c r="BG267" i="1"/>
  <c r="BF267" i="1"/>
  <c r="BE267" i="1"/>
  <c r="BD267" i="1"/>
  <c r="BD258" i="1" s="1"/>
  <c r="BC267" i="1"/>
  <c r="AY267" i="1"/>
  <c r="AW267" i="1"/>
  <c r="AV267" i="1"/>
  <c r="AU267" i="1"/>
  <c r="AT267" i="1"/>
  <c r="AS267" i="1"/>
  <c r="AR267" i="1"/>
  <c r="AQ267" i="1"/>
  <c r="AP267" i="1"/>
  <c r="AN267" i="1"/>
  <c r="AN258" i="1" s="1"/>
  <c r="AM267" i="1"/>
  <c r="AL267" i="1"/>
  <c r="AK267" i="1"/>
  <c r="AJ267" i="1"/>
  <c r="AI267" i="1"/>
  <c r="AH267" i="1"/>
  <c r="AG267" i="1"/>
  <c r="AF267" i="1"/>
  <c r="AE267" i="1"/>
  <c r="AJ266" i="1"/>
  <c r="AJ990" i="1" s="1"/>
  <c r="AH266" i="1"/>
  <c r="AG266" i="1"/>
  <c r="AG990" i="1" s="1"/>
  <c r="AF266" i="1"/>
  <c r="AF990" i="1" s="1"/>
  <c r="BO990" i="1" s="1"/>
  <c r="BO265" i="1"/>
  <c r="BN265" i="1"/>
  <c r="AG265" i="1"/>
  <c r="BP264" i="1"/>
  <c r="BO264" i="1"/>
  <c r="BN264" i="1"/>
  <c r="BP263" i="1"/>
  <c r="BO263" i="1"/>
  <c r="BN263" i="1"/>
  <c r="BP262" i="1"/>
  <c r="BO262" i="1"/>
  <c r="BN262" i="1"/>
  <c r="BP261" i="1"/>
  <c r="BO261" i="1"/>
  <c r="BN261" i="1"/>
  <c r="BP260" i="1"/>
  <c r="BO260" i="1"/>
  <c r="BN260" i="1"/>
  <c r="BK259" i="1"/>
  <c r="BJ259" i="1"/>
  <c r="BI259" i="1"/>
  <c r="BH259" i="1"/>
  <c r="BG259" i="1"/>
  <c r="BF259" i="1"/>
  <c r="BE259" i="1"/>
  <c r="BD259" i="1"/>
  <c r="BC259" i="1"/>
  <c r="BB259" i="1"/>
  <c r="BA259" i="1"/>
  <c r="AZ259" i="1"/>
  <c r="AY259" i="1"/>
  <c r="AX259" i="1"/>
  <c r="AW259" i="1"/>
  <c r="AV259" i="1"/>
  <c r="AU259" i="1"/>
  <c r="AT259" i="1"/>
  <c r="AS259" i="1"/>
  <c r="AR259" i="1"/>
  <c r="AR258" i="1" s="1"/>
  <c r="AQ259" i="1"/>
  <c r="AP259" i="1"/>
  <c r="AO259" i="1"/>
  <c r="AN259" i="1"/>
  <c r="AM259" i="1"/>
  <c r="AL259" i="1"/>
  <c r="AK259" i="1"/>
  <c r="AI259" i="1"/>
  <c r="AG259" i="1"/>
  <c r="AF259" i="1"/>
  <c r="AE259" i="1"/>
  <c r="BK256" i="1"/>
  <c r="BK980" i="1" s="1"/>
  <c r="BK976" i="1" s="1"/>
  <c r="BK973" i="1" s="1"/>
  <c r="BJ256" i="1"/>
  <c r="BI256" i="1"/>
  <c r="BI980" i="1" s="1"/>
  <c r="BH256" i="1"/>
  <c r="BH980" i="1" s="1"/>
  <c r="BH976" i="1" s="1"/>
  <c r="BH973" i="1" s="1"/>
  <c r="BG256" i="1"/>
  <c r="BG980" i="1" s="1"/>
  <c r="BG976" i="1" s="1"/>
  <c r="BG973" i="1" s="1"/>
  <c r="BF256" i="1"/>
  <c r="BA256" i="1"/>
  <c r="BA980" i="1" s="1"/>
  <c r="AZ256" i="1"/>
  <c r="AZ980" i="1" s="1"/>
  <c r="AY256" i="1"/>
  <c r="AX256" i="1"/>
  <c r="AX980" i="1" s="1"/>
  <c r="AX976" i="1" s="1"/>
  <c r="AW256" i="1"/>
  <c r="AW980" i="1" s="1"/>
  <c r="AO256" i="1"/>
  <c r="AO980" i="1" s="1"/>
  <c r="AJ256" i="1"/>
  <c r="AH256" i="1"/>
  <c r="AH252" i="1" s="1"/>
  <c r="AH249" i="1" s="1"/>
  <c r="AE256" i="1"/>
  <c r="AE252" i="1" s="1"/>
  <c r="AE249" i="1" s="1"/>
  <c r="BO255" i="1"/>
  <c r="BN255" i="1"/>
  <c r="BB255" i="1"/>
  <c r="BK254" i="1"/>
  <c r="BJ254" i="1"/>
  <c r="BI254" i="1"/>
  <c r="BH254" i="1"/>
  <c r="BG254" i="1"/>
  <c r="BF254" i="1"/>
  <c r="BE254" i="1"/>
  <c r="BD254" i="1"/>
  <c r="BC254" i="1"/>
  <c r="BA254" i="1"/>
  <c r="AZ254" i="1"/>
  <c r="AY254" i="1"/>
  <c r="AX254" i="1"/>
  <c r="AW254" i="1"/>
  <c r="AV254" i="1"/>
  <c r="AU254" i="1"/>
  <c r="AT254" i="1"/>
  <c r="AS254" i="1"/>
  <c r="AR254" i="1"/>
  <c r="AQ254" i="1"/>
  <c r="AP254" i="1"/>
  <c r="AN254" i="1"/>
  <c r="AM254" i="1"/>
  <c r="AL254" i="1"/>
  <c r="AK254" i="1"/>
  <c r="AJ254" i="1"/>
  <c r="AI254" i="1"/>
  <c r="AH254" i="1"/>
  <c r="AF254" i="1"/>
  <c r="AO253" i="1"/>
  <c r="AG253" i="1"/>
  <c r="AE253" i="1"/>
  <c r="AE254" i="1" s="1"/>
  <c r="BK252" i="1"/>
  <c r="BK249" i="1" s="1"/>
  <c r="BG252" i="1"/>
  <c r="AZ252" i="1"/>
  <c r="AZ249" i="1" s="1"/>
  <c r="AV252" i="1"/>
  <c r="AU252" i="1"/>
  <c r="AU249" i="1" s="1"/>
  <c r="AT252" i="1"/>
  <c r="AT249" i="1" s="1"/>
  <c r="AS252" i="1"/>
  <c r="AS249" i="1" s="1"/>
  <c r="AR252" i="1"/>
  <c r="AQ252" i="1"/>
  <c r="AQ249" i="1" s="1"/>
  <c r="AP252" i="1"/>
  <c r="AP249" i="1" s="1"/>
  <c r="AN252" i="1"/>
  <c r="AN249" i="1" s="1"/>
  <c r="AI252" i="1"/>
  <c r="AI249" i="1" s="1"/>
  <c r="AF252" i="1"/>
  <c r="BO251" i="1"/>
  <c r="BN251" i="1"/>
  <c r="BE251" i="1"/>
  <c r="BE975" i="1" s="1"/>
  <c r="BB251" i="1"/>
  <c r="BB975" i="1" s="1"/>
  <c r="BP250" i="1"/>
  <c r="BO250" i="1"/>
  <c r="BN250" i="1"/>
  <c r="BG249" i="1"/>
  <c r="BE249" i="1"/>
  <c r="BD249" i="1"/>
  <c r="BC249" i="1"/>
  <c r="AV249" i="1"/>
  <c r="AR249" i="1"/>
  <c r="AM249" i="1"/>
  <c r="AL249" i="1"/>
  <c r="AK249" i="1"/>
  <c r="AF249" i="1"/>
  <c r="BP248" i="1"/>
  <c r="BO248" i="1"/>
  <c r="BN248" i="1"/>
  <c r="BP247" i="1"/>
  <c r="BO247" i="1"/>
  <c r="BN247" i="1"/>
  <c r="BP246" i="1"/>
  <c r="BO246" i="1"/>
  <c r="BN246" i="1"/>
  <c r="BP245" i="1"/>
  <c r="BO245" i="1"/>
  <c r="BN245" i="1"/>
  <c r="BO244" i="1"/>
  <c r="AZ244" i="1"/>
  <c r="AZ968" i="1" s="1"/>
  <c r="AY244" i="1"/>
  <c r="AY968" i="1" s="1"/>
  <c r="AW244" i="1"/>
  <c r="BO243" i="1"/>
  <c r="AJ243" i="1"/>
  <c r="AH243" i="1"/>
  <c r="AH967" i="1" s="1"/>
  <c r="BO242" i="1"/>
  <c r="BB242" i="1"/>
  <c r="BB966" i="1" s="1"/>
  <c r="AZ242" i="1"/>
  <c r="AJ242" i="1"/>
  <c r="AJ966" i="1" s="1"/>
  <c r="AH242" i="1"/>
  <c r="AH966" i="1" s="1"/>
  <c r="BP241" i="1"/>
  <c r="BO241" i="1"/>
  <c r="BN241" i="1"/>
  <c r="BP240" i="1"/>
  <c r="BO240" i="1"/>
  <c r="BN240" i="1"/>
  <c r="BP239" i="1"/>
  <c r="BO239" i="1"/>
  <c r="BN239" i="1"/>
  <c r="BP238" i="1"/>
  <c r="BO238" i="1"/>
  <c r="BN238" i="1"/>
  <c r="BP237" i="1"/>
  <c r="BO237" i="1"/>
  <c r="BN237" i="1"/>
  <c r="BP236" i="1"/>
  <c r="BO236" i="1"/>
  <c r="BN236" i="1"/>
  <c r="BN235" i="1"/>
  <c r="BE235" i="1"/>
  <c r="BE959" i="1" s="1"/>
  <c r="AF235" i="1"/>
  <c r="BO235" i="1" s="1"/>
  <c r="BP234" i="1"/>
  <c r="BO234" i="1"/>
  <c r="BN234" i="1"/>
  <c r="BO233" i="1"/>
  <c r="BN233" i="1"/>
  <c r="AS233" i="1"/>
  <c r="AS957" i="1" s="1"/>
  <c r="BP232" i="1"/>
  <c r="BO232" i="1"/>
  <c r="BN232" i="1"/>
  <c r="BP231" i="1"/>
  <c r="BO231" i="1"/>
  <c r="BN231" i="1"/>
  <c r="BP230" i="1"/>
  <c r="BO230" i="1"/>
  <c r="BN230" i="1"/>
  <c r="BP229" i="1"/>
  <c r="BO229" i="1"/>
  <c r="BN229" i="1"/>
  <c r="BO228" i="1"/>
  <c r="BN228" i="1"/>
  <c r="AJ228" i="1"/>
  <c r="BP228" i="1" s="1"/>
  <c r="BO227" i="1"/>
  <c r="BE227" i="1"/>
  <c r="BE951" i="1" s="1"/>
  <c r="AT227" i="1"/>
  <c r="AT196" i="1" s="1"/>
  <c r="AT169" i="1" s="1"/>
  <c r="AT148" i="1" s="1"/>
  <c r="BP226" i="1"/>
  <c r="BO226" i="1"/>
  <c r="BN226" i="1"/>
  <c r="BO225" i="1"/>
  <c r="AP225" i="1"/>
  <c r="AP949" i="1" s="1"/>
  <c r="AN225" i="1"/>
  <c r="BP224" i="1"/>
  <c r="BO224" i="1"/>
  <c r="BN224" i="1"/>
  <c r="BP223" i="1"/>
  <c r="BO223" i="1"/>
  <c r="BN223" i="1"/>
  <c r="BP222" i="1"/>
  <c r="BO222" i="1"/>
  <c r="BN222" i="1"/>
  <c r="BP221" i="1"/>
  <c r="BO221" i="1"/>
  <c r="BN221" i="1"/>
  <c r="BP220" i="1"/>
  <c r="BO220" i="1"/>
  <c r="BN220" i="1"/>
  <c r="BP219" i="1"/>
  <c r="BO219" i="1"/>
  <c r="BN219" i="1"/>
  <c r="BP218" i="1"/>
  <c r="BO218" i="1"/>
  <c r="BN218" i="1"/>
  <c r="BP217" i="1"/>
  <c r="BO217" i="1"/>
  <c r="BN217" i="1"/>
  <c r="BP216" i="1"/>
  <c r="BO216" i="1"/>
  <c r="BN216" i="1"/>
  <c r="BO215" i="1"/>
  <c r="BN215" i="1"/>
  <c r="AV215" i="1"/>
  <c r="BP215" i="1" s="1"/>
  <c r="BP214" i="1"/>
  <c r="BO214" i="1"/>
  <c r="BN214" i="1"/>
  <c r="BP213" i="1"/>
  <c r="BO213" i="1"/>
  <c r="BN213" i="1"/>
  <c r="BP212" i="1"/>
  <c r="BO212" i="1"/>
  <c r="BN212" i="1"/>
  <c r="BP211" i="1"/>
  <c r="BN211" i="1"/>
  <c r="AO211" i="1"/>
  <c r="AO196" i="1" s="1"/>
  <c r="BP210" i="1"/>
  <c r="BO210" i="1"/>
  <c r="BN210" i="1"/>
  <c r="BP209" i="1"/>
  <c r="BO209" i="1"/>
  <c r="BN209" i="1"/>
  <c r="BP208" i="1"/>
  <c r="BO208" i="1"/>
  <c r="BN208" i="1"/>
  <c r="BP207" i="1"/>
  <c r="BO207" i="1"/>
  <c r="BN207" i="1"/>
  <c r="BP206" i="1"/>
  <c r="BO206" i="1"/>
  <c r="BN206" i="1"/>
  <c r="BP205" i="1"/>
  <c r="BO205" i="1"/>
  <c r="BN205" i="1"/>
  <c r="BP204" i="1"/>
  <c r="BO204" i="1"/>
  <c r="BN204" i="1"/>
  <c r="BP203" i="1"/>
  <c r="BO203" i="1"/>
  <c r="BN203" i="1"/>
  <c r="BP202" i="1"/>
  <c r="BO202" i="1"/>
  <c r="BN202" i="1"/>
  <c r="BO201" i="1"/>
  <c r="BN201" i="1"/>
  <c r="BE201" i="1"/>
  <c r="BE925" i="1" s="1"/>
  <c r="BP200" i="1"/>
  <c r="BO200" i="1"/>
  <c r="BN200" i="1"/>
  <c r="BP199" i="1"/>
  <c r="BO199" i="1"/>
  <c r="BN199" i="1"/>
  <c r="BP198" i="1"/>
  <c r="BN198" i="1"/>
  <c r="AL198" i="1"/>
  <c r="AL922" i="1" s="1"/>
  <c r="AL920" i="1" s="1"/>
  <c r="AY197" i="1"/>
  <c r="AY196" i="1" s="1"/>
  <c r="AW197" i="1"/>
  <c r="AW921" i="1" s="1"/>
  <c r="AO197" i="1"/>
  <c r="AO921" i="1" s="1"/>
  <c r="BK196" i="1"/>
  <c r="BJ196" i="1"/>
  <c r="BJ169" i="1" s="1"/>
  <c r="BI196" i="1"/>
  <c r="BH196" i="1"/>
  <c r="BG196" i="1"/>
  <c r="BF196" i="1"/>
  <c r="BF169" i="1" s="1"/>
  <c r="BD196" i="1"/>
  <c r="BC196" i="1"/>
  <c r="BA196" i="1"/>
  <c r="AX196" i="1"/>
  <c r="AX169" i="1" s="1"/>
  <c r="AU196" i="1"/>
  <c r="AS196" i="1"/>
  <c r="AR196" i="1"/>
  <c r="AQ196" i="1"/>
  <c r="AM196" i="1"/>
  <c r="AK196" i="1"/>
  <c r="AI196" i="1"/>
  <c r="AG196" i="1"/>
  <c r="AE196" i="1"/>
  <c r="G196" i="1"/>
  <c r="A196" i="1"/>
  <c r="BP195" i="1"/>
  <c r="BO195" i="1"/>
  <c r="BN195" i="1"/>
  <c r="BP194" i="1"/>
  <c r="BO194" i="1"/>
  <c r="BN194" i="1"/>
  <c r="BP193" i="1"/>
  <c r="BO193" i="1"/>
  <c r="BN193" i="1"/>
  <c r="BP192" i="1"/>
  <c r="BO192" i="1"/>
  <c r="BN192" i="1"/>
  <c r="BP191" i="1"/>
  <c r="BO191" i="1"/>
  <c r="BN191" i="1"/>
  <c r="BP190" i="1"/>
  <c r="BO190" i="1"/>
  <c r="BN190" i="1"/>
  <c r="BP189" i="1"/>
  <c r="BO189" i="1"/>
  <c r="BN189" i="1"/>
  <c r="BP188" i="1"/>
  <c r="BO188" i="1"/>
  <c r="BN188" i="1"/>
  <c r="BP187" i="1"/>
  <c r="BO187" i="1"/>
  <c r="BN187" i="1"/>
  <c r="BP186" i="1"/>
  <c r="BO186" i="1"/>
  <c r="BN186" i="1"/>
  <c r="BP185" i="1"/>
  <c r="BO185" i="1"/>
  <c r="BN185" i="1"/>
  <c r="BP184" i="1"/>
  <c r="BO184" i="1"/>
  <c r="BN184" i="1"/>
  <c r="BP183" i="1"/>
  <c r="BO183" i="1"/>
  <c r="BN183" i="1"/>
  <c r="BP182" i="1"/>
  <c r="BO182" i="1"/>
  <c r="BN182" i="1"/>
  <c r="BP181" i="1"/>
  <c r="BO181" i="1"/>
  <c r="BN181" i="1"/>
  <c r="BP180" i="1"/>
  <c r="BO180" i="1"/>
  <c r="BN180" i="1"/>
  <c r="BP179" i="1"/>
  <c r="BO179" i="1"/>
  <c r="BN179" i="1"/>
  <c r="BP178" i="1"/>
  <c r="BO178" i="1"/>
  <c r="BN178" i="1"/>
  <c r="BP177" i="1"/>
  <c r="BO177" i="1"/>
  <c r="BN177" i="1"/>
  <c r="BK176" i="1"/>
  <c r="BK169" i="1" s="1"/>
  <c r="BJ176" i="1"/>
  <c r="BI176" i="1"/>
  <c r="BH176" i="1"/>
  <c r="BH169" i="1" s="1"/>
  <c r="BG176" i="1"/>
  <c r="BG169" i="1" s="1"/>
  <c r="BF176" i="1"/>
  <c r="BE176" i="1"/>
  <c r="BD176" i="1"/>
  <c r="BC176" i="1"/>
  <c r="BB176" i="1"/>
  <c r="BA176" i="1"/>
  <c r="AZ176" i="1"/>
  <c r="AY176" i="1"/>
  <c r="AX176" i="1"/>
  <c r="AW176" i="1"/>
  <c r="AV176" i="1"/>
  <c r="AU176" i="1"/>
  <c r="AU169" i="1" s="1"/>
  <c r="AT176" i="1"/>
  <c r="AS176" i="1"/>
  <c r="AR176" i="1"/>
  <c r="AQ176" i="1"/>
  <c r="AQ169" i="1" s="1"/>
  <c r="AP176" i="1"/>
  <c r="AO176" i="1"/>
  <c r="AN176" i="1"/>
  <c r="AM176" i="1"/>
  <c r="AM169" i="1" s="1"/>
  <c r="AL176" i="1"/>
  <c r="AK176" i="1"/>
  <c r="AJ176" i="1"/>
  <c r="AI176" i="1"/>
  <c r="AH176" i="1"/>
  <c r="AG176" i="1"/>
  <c r="AF176" i="1"/>
  <c r="AE176" i="1"/>
  <c r="BP175" i="1"/>
  <c r="BO175" i="1"/>
  <c r="BN175" i="1"/>
  <c r="BP174" i="1"/>
  <c r="BO174" i="1"/>
  <c r="BN174" i="1"/>
  <c r="BP173" i="1"/>
  <c r="BO173" i="1"/>
  <c r="BN173" i="1"/>
  <c r="BP172" i="1"/>
  <c r="BO172" i="1"/>
  <c r="BN172" i="1"/>
  <c r="BP171" i="1"/>
  <c r="BO171" i="1"/>
  <c r="BN171" i="1"/>
  <c r="BP170" i="1"/>
  <c r="BO170" i="1"/>
  <c r="BN170" i="1"/>
  <c r="BD169" i="1"/>
  <c r="BC169" i="1"/>
  <c r="BP168" i="1"/>
  <c r="BO168" i="1"/>
  <c r="BN168" i="1"/>
  <c r="BP167" i="1"/>
  <c r="BO167" i="1"/>
  <c r="BN167" i="1"/>
  <c r="BP166" i="1"/>
  <c r="BO166" i="1"/>
  <c r="BN166" i="1"/>
  <c r="BP165" i="1"/>
  <c r="BO165" i="1"/>
  <c r="BN165" i="1"/>
  <c r="BP164" i="1"/>
  <c r="BO164" i="1"/>
  <c r="BN164" i="1"/>
  <c r="BP163" i="1"/>
  <c r="BO163" i="1"/>
  <c r="BN163" i="1"/>
  <c r="BP162" i="1"/>
  <c r="BO162" i="1"/>
  <c r="BN162" i="1"/>
  <c r="BP161" i="1"/>
  <c r="BO161" i="1"/>
  <c r="BN161" i="1"/>
  <c r="BP160" i="1"/>
  <c r="BO160" i="1"/>
  <c r="BN160" i="1"/>
  <c r="BE160" i="1"/>
  <c r="BE870" i="1" s="1"/>
  <c r="BK158" i="1"/>
  <c r="BK868" i="1" s="1"/>
  <c r="BK864" i="1" s="1"/>
  <c r="BJ158" i="1"/>
  <c r="BJ868" i="1" s="1"/>
  <c r="BJ864" i="1" s="1"/>
  <c r="BI158" i="1"/>
  <c r="BB158" i="1"/>
  <c r="BB868" i="1" s="1"/>
  <c r="BB864" i="1" s="1"/>
  <c r="BA158" i="1"/>
  <c r="BA868" i="1" s="1"/>
  <c r="BA864" i="1" s="1"/>
  <c r="AZ158" i="1"/>
  <c r="AZ868" i="1" s="1"/>
  <c r="AY158" i="1"/>
  <c r="AY868" i="1" s="1"/>
  <c r="AY864" i="1" s="1"/>
  <c r="AX158" i="1"/>
  <c r="AX868" i="1" s="1"/>
  <c r="AX864" i="1" s="1"/>
  <c r="AW158" i="1"/>
  <c r="AW868" i="1" s="1"/>
  <c r="AW864" i="1" s="1"/>
  <c r="AO158" i="1"/>
  <c r="AO868" i="1" s="1"/>
  <c r="AJ158" i="1"/>
  <c r="AJ868" i="1" s="1"/>
  <c r="AH158" i="1"/>
  <c r="AH868" i="1" s="1"/>
  <c r="AH864" i="1" s="1"/>
  <c r="AG158" i="1"/>
  <c r="AG868" i="1" s="1"/>
  <c r="AE158" i="1"/>
  <c r="AE868" i="1" s="1"/>
  <c r="BO157" i="1"/>
  <c r="BN157" i="1"/>
  <c r="BB157" i="1"/>
  <c r="BB1154" i="1" s="1"/>
  <c r="BK156" i="1"/>
  <c r="BJ156" i="1"/>
  <c r="BI156" i="1"/>
  <c r="BH156" i="1"/>
  <c r="BG156" i="1"/>
  <c r="BF156" i="1"/>
  <c r="BE156" i="1"/>
  <c r="BD156" i="1"/>
  <c r="BC156" i="1"/>
  <c r="BA156" i="1"/>
  <c r="AZ156" i="1"/>
  <c r="AY156" i="1"/>
  <c r="AX156" i="1"/>
  <c r="AW156" i="1"/>
  <c r="AV156" i="1"/>
  <c r="AU156" i="1"/>
  <c r="AT156" i="1"/>
  <c r="AS156" i="1"/>
  <c r="AR156" i="1"/>
  <c r="AQ156" i="1"/>
  <c r="AP156" i="1"/>
  <c r="AN156" i="1"/>
  <c r="AM156" i="1"/>
  <c r="AL156" i="1"/>
  <c r="AK156" i="1"/>
  <c r="AJ156" i="1"/>
  <c r="AI156" i="1"/>
  <c r="AH156" i="1"/>
  <c r="AG156" i="1"/>
  <c r="AF156" i="1"/>
  <c r="BP155" i="1"/>
  <c r="AO155" i="1"/>
  <c r="AO156" i="1" s="1"/>
  <c r="AE155" i="1"/>
  <c r="BH154" i="1"/>
  <c r="BG154" i="1"/>
  <c r="BF154" i="1"/>
  <c r="BE154" i="1"/>
  <c r="BD154" i="1"/>
  <c r="BC154" i="1"/>
  <c r="AY154" i="1"/>
  <c r="AW154" i="1"/>
  <c r="AV154" i="1"/>
  <c r="AU154" i="1"/>
  <c r="AT154" i="1"/>
  <c r="AS154" i="1"/>
  <c r="AR154" i="1"/>
  <c r="AQ154" i="1"/>
  <c r="AP154" i="1"/>
  <c r="AN154" i="1"/>
  <c r="AM154" i="1"/>
  <c r="AL154" i="1"/>
  <c r="AK154" i="1"/>
  <c r="AI154" i="1"/>
  <c r="AH154" i="1"/>
  <c r="AF154" i="1"/>
  <c r="BP153" i="1"/>
  <c r="BO153" i="1"/>
  <c r="BN153" i="1"/>
  <c r="BN152" i="1"/>
  <c r="BE152" i="1"/>
  <c r="AG152" i="1"/>
  <c r="AG862" i="1" s="1"/>
  <c r="AF152" i="1"/>
  <c r="AF862" i="1" s="1"/>
  <c r="BO862" i="1" s="1"/>
  <c r="BP151" i="1"/>
  <c r="BO151" i="1"/>
  <c r="BN151" i="1"/>
  <c r="AT151" i="1"/>
  <c r="AT861" i="1" s="1"/>
  <c r="AT859" i="1" s="1"/>
  <c r="AR151" i="1"/>
  <c r="AR861" i="1" s="1"/>
  <c r="AR859" i="1" s="1"/>
  <c r="BP150" i="1"/>
  <c r="BO150" i="1"/>
  <c r="BN150" i="1"/>
  <c r="BK149" i="1"/>
  <c r="BJ149" i="1"/>
  <c r="BI149" i="1"/>
  <c r="BH149" i="1"/>
  <c r="BG149" i="1"/>
  <c r="BF149" i="1"/>
  <c r="BF148" i="1" s="1"/>
  <c r="BD149" i="1"/>
  <c r="BC149" i="1"/>
  <c r="BB149" i="1"/>
  <c r="BA149" i="1"/>
  <c r="AZ149" i="1"/>
  <c r="AY149" i="1"/>
  <c r="AX149" i="1"/>
  <c r="AW149" i="1"/>
  <c r="AV149" i="1"/>
  <c r="AU149" i="1"/>
  <c r="AT149" i="1"/>
  <c r="AS149" i="1"/>
  <c r="AR149" i="1"/>
  <c r="AQ149" i="1"/>
  <c r="AP149" i="1"/>
  <c r="AO149" i="1"/>
  <c r="AN149" i="1"/>
  <c r="AM149" i="1"/>
  <c r="AL149" i="1"/>
  <c r="AK149" i="1"/>
  <c r="AJ149" i="1"/>
  <c r="AI149" i="1"/>
  <c r="AH149" i="1"/>
  <c r="AG149" i="1"/>
  <c r="AE149" i="1"/>
  <c r="BP144" i="1"/>
  <c r="BO144" i="1"/>
  <c r="BN144" i="1"/>
  <c r="BP143" i="1"/>
  <c r="BO143" i="1"/>
  <c r="BN143" i="1"/>
  <c r="BP142" i="1"/>
  <c r="BO142" i="1"/>
  <c r="BN142" i="1"/>
  <c r="BP141" i="1"/>
  <c r="BO141" i="1"/>
  <c r="BN141" i="1"/>
  <c r="BP140" i="1"/>
  <c r="BO140" i="1"/>
  <c r="BN140" i="1"/>
  <c r="BP139" i="1"/>
  <c r="BO139" i="1"/>
  <c r="BN139" i="1"/>
  <c r="BP138" i="1"/>
  <c r="BO138" i="1"/>
  <c r="BN138" i="1"/>
  <c r="BP137" i="1"/>
  <c r="BO137" i="1"/>
  <c r="BN137" i="1"/>
  <c r="BP136" i="1"/>
  <c r="BO136" i="1"/>
  <c r="BN136" i="1"/>
  <c r="BP135" i="1"/>
  <c r="BO135" i="1"/>
  <c r="BN135" i="1"/>
  <c r="BP134" i="1"/>
  <c r="BO134" i="1"/>
  <c r="BN134" i="1"/>
  <c r="BP133" i="1"/>
  <c r="BO133" i="1"/>
  <c r="BN133" i="1"/>
  <c r="BP132" i="1"/>
  <c r="BO132" i="1"/>
  <c r="BN132" i="1"/>
  <c r="BP131" i="1"/>
  <c r="BO131" i="1"/>
  <c r="BN131" i="1"/>
  <c r="BP130" i="1"/>
  <c r="BO130" i="1"/>
  <c r="BN130" i="1"/>
  <c r="BP129" i="1"/>
  <c r="BO129" i="1"/>
  <c r="BN129" i="1"/>
  <c r="BP128" i="1"/>
  <c r="BO128" i="1"/>
  <c r="BN128" i="1"/>
  <c r="BP127" i="1"/>
  <c r="BO127" i="1"/>
  <c r="BN127" i="1"/>
  <c r="BP126" i="1"/>
  <c r="BO126" i="1"/>
  <c r="BN126" i="1"/>
  <c r="BP125" i="1"/>
  <c r="BO125" i="1"/>
  <c r="BN125" i="1"/>
  <c r="BP124" i="1"/>
  <c r="BO124" i="1"/>
  <c r="BN124" i="1"/>
  <c r="BP123" i="1"/>
  <c r="BO123" i="1"/>
  <c r="BN123" i="1"/>
  <c r="BK122" i="1"/>
  <c r="BK120" i="1" s="1"/>
  <c r="BJ122" i="1"/>
  <c r="BI122" i="1"/>
  <c r="BH122" i="1"/>
  <c r="BG122" i="1"/>
  <c r="BG120" i="1" s="1"/>
  <c r="BG116" i="1" s="1"/>
  <c r="BF122" i="1"/>
  <c r="BF120" i="1" s="1"/>
  <c r="BF116" i="1" s="1"/>
  <c r="BE122" i="1"/>
  <c r="BD122" i="1"/>
  <c r="BC122" i="1"/>
  <c r="BC120" i="1" s="1"/>
  <c r="BC110" i="1" s="1"/>
  <c r="BB122" i="1"/>
  <c r="BA122" i="1"/>
  <c r="AZ122" i="1"/>
  <c r="AY122" i="1"/>
  <c r="AY120" i="1" s="1"/>
  <c r="AX122" i="1"/>
  <c r="AW122" i="1"/>
  <c r="AV122" i="1"/>
  <c r="AV120" i="1" s="1"/>
  <c r="AV110" i="1" s="1" a="1"/>
  <c r="AV110" i="1" s="1"/>
  <c r="AU122" i="1"/>
  <c r="AU120" i="1" s="1"/>
  <c r="AU110" i="1" s="1" a="1"/>
  <c r="AU110" i="1" s="1"/>
  <c r="AT122" i="1"/>
  <c r="AS122" i="1"/>
  <c r="AR122" i="1"/>
  <c r="AQ122" i="1"/>
  <c r="AQ120" i="1" s="1"/>
  <c r="AQ110" i="1" s="1"/>
  <c r="AP122" i="1"/>
  <c r="AP120" i="1" s="1"/>
  <c r="AP110" i="1" s="1" a="1"/>
  <c r="AP110" i="1" s="1"/>
  <c r="AO122" i="1"/>
  <c r="AN122" i="1"/>
  <c r="AM122" i="1"/>
  <c r="AM120" i="1" s="1"/>
  <c r="AL122" i="1"/>
  <c r="AK122" i="1"/>
  <c r="AJ122" i="1"/>
  <c r="AI122" i="1"/>
  <c r="AG122" i="1"/>
  <c r="AF122" i="1"/>
  <c r="AF120" i="1" s="1"/>
  <c r="AE122" i="1"/>
  <c r="BP121" i="1"/>
  <c r="BO121" i="1"/>
  <c r="BN121" i="1"/>
  <c r="BJ120" i="1"/>
  <c r="BJ110" i="1" s="1" a="1"/>
  <c r="BJ110" i="1" s="1"/>
  <c r="BI120" i="1"/>
  <c r="BI116" i="1" s="1"/>
  <c r="BH120" i="1"/>
  <c r="BE120" i="1"/>
  <c r="BE110" i="1" s="1" a="1"/>
  <c r="BE110" i="1" s="1"/>
  <c r="BD120" i="1"/>
  <c r="BD116" i="1" s="1"/>
  <c r="BB120" i="1"/>
  <c r="BB110" i="1" s="1" a="1"/>
  <c r="BB110" i="1" s="1"/>
  <c r="BA120" i="1"/>
  <c r="BA116" i="1" s="1"/>
  <c r="AZ120" i="1"/>
  <c r="AX120" i="1"/>
  <c r="AX110" i="1" s="1" a="1"/>
  <c r="AX110" i="1" s="1"/>
  <c r="AW120" i="1"/>
  <c r="AT120" i="1"/>
  <c r="AT110" i="1" s="1"/>
  <c r="AS120" i="1"/>
  <c r="AS110" i="1" s="1" a="1"/>
  <c r="AS110" i="1" s="1"/>
  <c r="AR120" i="1"/>
  <c r="AO120" i="1"/>
  <c r="AO110" i="1" s="1" a="1"/>
  <c r="AO110" i="1" s="1"/>
  <c r="AN120" i="1"/>
  <c r="AL120" i="1"/>
  <c r="AL110" i="1" s="1" a="1"/>
  <c r="AL110" i="1" s="1"/>
  <c r="AK120" i="1"/>
  <c r="AK110" i="1" s="1"/>
  <c r="AJ120" i="1"/>
  <c r="AE120" i="1"/>
  <c r="AE116" i="1" s="1"/>
  <c r="AE113" i="1" s="1"/>
  <c r="AW119" i="1"/>
  <c r="AV119" i="1"/>
  <c r="AU119" i="1"/>
  <c r="AT119" i="1"/>
  <c r="AP119" i="1"/>
  <c r="AO119" i="1"/>
  <c r="AN119" i="1"/>
  <c r="AH119" i="1"/>
  <c r="BP118" i="1"/>
  <c r="BO118" i="1"/>
  <c r="BN118" i="1"/>
  <c r="BP117" i="1"/>
  <c r="BO117" i="1"/>
  <c r="BN117" i="1"/>
  <c r="BH116" i="1"/>
  <c r="BH119" i="1" s="1"/>
  <c r="BE116" i="1"/>
  <c r="BE119" i="1" s="1"/>
  <c r="AZ116" i="1"/>
  <c r="AZ119" i="1" s="1"/>
  <c r="AS116" i="1"/>
  <c r="AS113" i="1" s="1"/>
  <c r="AR116" i="1"/>
  <c r="AR113" i="1" s="1"/>
  <c r="AK116" i="1"/>
  <c r="AK119" i="1" s="1"/>
  <c r="AJ116" i="1"/>
  <c r="AJ119" i="1" s="1"/>
  <c r="AI116" i="1"/>
  <c r="AI119" i="1" s="1"/>
  <c r="BP115" i="1"/>
  <c r="BO115" i="1"/>
  <c r="BN115" i="1"/>
  <c r="BP114" i="1"/>
  <c r="BO114" i="1"/>
  <c r="BN114" i="1"/>
  <c r="Y114" i="1"/>
  <c r="Y115" i="1" s="1"/>
  <c r="Y116" i="1" s="1"/>
  <c r="AV113" i="1"/>
  <c r="AU113" i="1"/>
  <c r="AT113" i="1"/>
  <c r="AP113" i="1"/>
  <c r="AO113" i="1"/>
  <c r="AN113" i="1"/>
  <c r="BH110" i="1" a="1"/>
  <c r="BH110" i="1" s="1"/>
  <c r="BD110" i="1" a="1"/>
  <c r="BD110" i="1" s="1"/>
  <c r="BA110" i="1" a="1"/>
  <c r="BA110" i="1" s="1"/>
  <c r="AZ110" i="1"/>
  <c r="AZ111" i="1" s="1"/>
  <c r="BN111" i="1" s="1"/>
  <c r="AW110" i="1"/>
  <c r="AR110" i="1" a="1"/>
  <c r="AR110" i="1" s="1"/>
  <c r="AN110" i="1"/>
  <c r="AI110" i="1" a="1"/>
  <c r="AI110" i="1" s="1"/>
  <c r="AB110" i="1"/>
  <c r="AG109" i="1"/>
  <c r="AF109" i="1"/>
  <c r="AE109" i="1"/>
  <c r="AB109" i="1"/>
  <c r="AF108" i="1"/>
  <c r="AE108" i="1" a="1"/>
  <c r="AE108" i="1" s="1"/>
  <c r="AG105" i="1"/>
  <c r="AE105" i="1" a="1"/>
  <c r="AE105" i="1" s="1"/>
  <c r="AG103" i="1"/>
  <c r="AF103" i="1"/>
  <c r="AE103" i="1"/>
  <c r="AG102" i="1" a="1"/>
  <c r="AG102" i="1" s="1"/>
  <c r="AE102" i="1" a="1"/>
  <c r="AE102" i="1" s="1"/>
  <c r="AF101" i="1"/>
  <c r="AE101" i="1"/>
  <c r="AB101" i="1"/>
  <c r="E101" i="1" a="1"/>
  <c r="E101" i="1" s="1"/>
  <c r="AB100" i="1"/>
  <c r="AB102" i="1" s="1"/>
  <c r="E100" i="1" a="1"/>
  <c r="E100" i="1" s="1"/>
  <c r="AB98" i="1"/>
  <c r="A97" i="1"/>
  <c r="A98" i="1" s="1" a="1"/>
  <c r="A98" i="1" s="1"/>
  <c r="A99" i="1" s="1" a="1"/>
  <c r="A99" i="1" s="1"/>
  <c r="A100" i="1" s="1" a="1"/>
  <c r="A100" i="1" s="1"/>
  <c r="Y96" i="1" a="1"/>
  <c r="Y96" i="1" s="1"/>
  <c r="B96" i="1"/>
  <c r="M95" i="1"/>
  <c r="A95" i="1"/>
  <c r="B95" i="1" s="1"/>
  <c r="M94" i="1"/>
  <c r="A94" i="1"/>
  <c r="B94" i="1" s="1"/>
  <c r="M93" i="1"/>
  <c r="A93" i="1"/>
  <c r="B93" i="1" s="1"/>
  <c r="M92" i="1"/>
  <c r="A92" i="1"/>
  <c r="B92" i="1" s="1"/>
  <c r="M91" i="1"/>
  <c r="A91" i="1"/>
  <c r="B91" i="1" s="1" a="1"/>
  <c r="B91" i="1" s="1"/>
  <c r="M90" i="1"/>
  <c r="A90" i="1"/>
  <c r="B90" i="1" s="1" a="1"/>
  <c r="B90" i="1" s="1"/>
  <c r="M89" i="1"/>
  <c r="A89" i="1"/>
  <c r="B89" i="1" s="1" a="1"/>
  <c r="B89" i="1" s="1"/>
  <c r="M88" i="1"/>
  <c r="A88" i="1"/>
  <c r="B88" i="1" s="1" a="1"/>
  <c r="B88" i="1" s="1"/>
  <c r="M87" i="1"/>
  <c r="A87" i="1"/>
  <c r="B87" i="1" s="1" a="1"/>
  <c r="B87" i="1" s="1"/>
  <c r="M86" i="1"/>
  <c r="A86" i="1"/>
  <c r="B86" i="1" s="1" a="1"/>
  <c r="B86" i="1" s="1"/>
  <c r="M85" i="1"/>
  <c r="A85" i="1"/>
  <c r="B85" i="1" s="1" a="1"/>
  <c r="B85" i="1" s="1"/>
  <c r="M84" i="1"/>
  <c r="A84" i="1"/>
  <c r="B84" i="1" s="1" a="1"/>
  <c r="B84" i="1" s="1"/>
  <c r="M83" i="1"/>
  <c r="A83" i="1"/>
  <c r="B83" i="1" s="1" a="1"/>
  <c r="B83" i="1" s="1"/>
  <c r="M82" i="1"/>
  <c r="A82" i="1"/>
  <c r="B82" i="1" s="1" a="1"/>
  <c r="B82" i="1" s="1"/>
  <c r="M81" i="1"/>
  <c r="A81" i="1"/>
  <c r="B81" i="1" s="1" a="1"/>
  <c r="B81" i="1" s="1"/>
  <c r="M80" i="1"/>
  <c r="AG79" i="1" a="1"/>
  <c r="AG79" i="1" s="1"/>
  <c r="AG269" i="1" s="1"/>
  <c r="AF79" i="1" a="1"/>
  <c r="AF79" i="1" s="1"/>
  <c r="AE79" i="1" a="1"/>
  <c r="AE79" i="1" s="1"/>
  <c r="B79" i="1"/>
  <c r="AF78" i="1"/>
  <c r="AE78" i="1"/>
  <c r="B78" i="1"/>
  <c r="AF77" i="1"/>
  <c r="B77" i="1"/>
  <c r="BP75" i="1"/>
  <c r="BK75" i="1"/>
  <c r="BH75" i="1"/>
  <c r="BE75" i="1"/>
  <c r="BB75" i="1"/>
  <c r="AY75" i="1"/>
  <c r="AV75" i="1"/>
  <c r="AS75" i="1"/>
  <c r="AP75" i="1"/>
  <c r="AM75" i="1"/>
  <c r="AJ75" i="1"/>
  <c r="AG75" i="1"/>
  <c r="BP74" i="1"/>
  <c r="BO74" i="1"/>
  <c r="BN74" i="1"/>
  <c r="BK74" i="1"/>
  <c r="BJ74" i="1"/>
  <c r="BI74" i="1"/>
  <c r="BH74" i="1"/>
  <c r="BG74" i="1"/>
  <c r="BF74" i="1"/>
  <c r="BE74" i="1"/>
  <c r="BD74" i="1"/>
  <c r="BC74" i="1"/>
  <c r="BB74" i="1"/>
  <c r="BA74" i="1"/>
  <c r="AZ74" i="1"/>
  <c r="AY74" i="1"/>
  <c r="AX74" i="1"/>
  <c r="AW74" i="1"/>
  <c r="AV74" i="1"/>
  <c r="AU74" i="1"/>
  <c r="AT74" i="1"/>
  <c r="AS74" i="1"/>
  <c r="AR74" i="1"/>
  <c r="AQ74" i="1"/>
  <c r="AP74" i="1"/>
  <c r="AO74" i="1"/>
  <c r="AN74" i="1"/>
  <c r="AM74" i="1"/>
  <c r="AL74" i="1"/>
  <c r="AK74" i="1"/>
  <c r="AJ74" i="1"/>
  <c r="AI74" i="1"/>
  <c r="AH74" i="1"/>
  <c r="AG74" i="1"/>
  <c r="AG787" i="1" s="1"/>
  <c r="AE74" i="1"/>
  <c r="AE787" i="1" s="1"/>
  <c r="AD56" i="1" a="1"/>
  <c r="AD56" i="1" s="1"/>
  <c r="AD55" i="1"/>
  <c r="AD54" i="1"/>
  <c r="AD53" i="1" a="1"/>
  <c r="AD53" i="1" s="1"/>
  <c r="AD52" i="1" a="1"/>
  <c r="AD52" i="1" s="1"/>
  <c r="AD51" i="1" a="1"/>
  <c r="AD51" i="1" s="1"/>
  <c r="AD50" i="1" a="1"/>
  <c r="AD50" i="1" s="1"/>
  <c r="A719" i="1" s="1"/>
  <c r="B719" i="1" s="1" a="1"/>
  <c r="B719" i="1" s="1"/>
  <c r="AD49" i="1" a="1"/>
  <c r="AD49" i="1" s="1"/>
  <c r="AD48" i="1" a="1"/>
  <c r="AD48" i="1" s="1"/>
  <c r="A669" i="1" s="1"/>
  <c r="B669" i="1" s="1" a="1"/>
  <c r="B669" i="1" s="1"/>
  <c r="AD47" i="1" a="1"/>
  <c r="AD47" i="1" s="1"/>
  <c r="A722" i="1" s="1"/>
  <c r="B722" i="1" s="1" a="1"/>
  <c r="B722" i="1" s="1"/>
  <c r="AD46" i="1" a="1"/>
  <c r="AD46" i="1" s="1"/>
  <c r="AD45" i="1" a="1"/>
  <c r="AD45" i="1" s="1"/>
  <c r="AD44" i="1" a="1"/>
  <c r="AD44" i="1" s="1"/>
  <c r="AD43" i="1" a="1"/>
  <c r="AD43" i="1" s="1"/>
  <c r="AD42" i="1" a="1"/>
  <c r="AD42" i="1" s="1"/>
  <c r="AD41" i="1"/>
  <c r="AD40" i="1" a="1"/>
  <c r="AD40" i="1" s="1"/>
  <c r="AD39" i="1" a="1"/>
  <c r="AD39" i="1" s="1"/>
  <c r="AD38" i="1" a="1"/>
  <c r="AD38" i="1" s="1"/>
  <c r="AD37" i="1" a="1"/>
  <c r="AD37" i="1" s="1"/>
  <c r="AD36" i="1" a="1"/>
  <c r="AD36" i="1" s="1"/>
  <c r="B326" i="1" s="1"/>
  <c r="B335" i="1" s="1" a="1"/>
  <c r="B335" i="1" s="1"/>
  <c r="AD35" i="1" a="1"/>
  <c r="AD35" i="1" s="1"/>
  <c r="AD34" i="1" a="1"/>
  <c r="AD34" i="1" s="1"/>
  <c r="AD33" i="1" a="1"/>
  <c r="AD33" i="1" s="1"/>
  <c r="AD32" i="1" a="1"/>
  <c r="AD32" i="1" s="1"/>
  <c r="AD31" i="1" a="1"/>
  <c r="AD31" i="1" s="1"/>
  <c r="AD30" i="1" a="1"/>
  <c r="AD30" i="1" s="1"/>
  <c r="AD29" i="1" a="1"/>
  <c r="AD29" i="1" s="1"/>
  <c r="AD28" i="1" a="1"/>
  <c r="AD28" i="1" s="1"/>
  <c r="AD27" i="1" a="1"/>
  <c r="AD27" i="1" s="1"/>
  <c r="AD26" i="1" a="1"/>
  <c r="AD26" i="1" s="1"/>
  <c r="AD25" i="1" a="1"/>
  <c r="AD25" i="1" s="1"/>
  <c r="AD24" i="1" a="1"/>
  <c r="AD24" i="1" s="1"/>
  <c r="AD23" i="1"/>
  <c r="AD22" i="1" a="1"/>
  <c r="AD22" i="1" s="1"/>
  <c r="AG21" i="1" a="1"/>
  <c r="AG21" i="1" s="1"/>
  <c r="AG9" i="1" s="1" a="1"/>
  <c r="AG9" i="1" s="1"/>
  <c r="AF21" i="1" a="1"/>
  <c r="AF21" i="1" s="1"/>
  <c r="AE21" i="1" a="1"/>
  <c r="AE21" i="1" s="1"/>
  <c r="AE9" i="1" s="1" a="1"/>
  <c r="AE9" i="1" s="1"/>
  <c r="AH932" i="2" l="1"/>
  <c r="CB946" i="2"/>
  <c r="AS959" i="2"/>
  <c r="AS561" i="2"/>
  <c r="BG978" i="2"/>
  <c r="AR263" i="2"/>
  <c r="AH1059" i="2"/>
  <c r="AH318" i="2"/>
  <c r="BJ1125" i="2"/>
  <c r="BJ1123" i="2" s="1"/>
  <c r="CB388" i="2"/>
  <c r="CB538" i="2"/>
  <c r="BL832" i="2" a="1"/>
  <c r="AH842" i="2"/>
  <c r="CB844" i="2"/>
  <c r="CB998" i="2"/>
  <c r="CB1002" i="2"/>
  <c r="CB1071" i="2"/>
  <c r="CB1069" i="2"/>
  <c r="AR165" i="2"/>
  <c r="BM145" i="2"/>
  <c r="AU165" i="2"/>
  <c r="BT165" i="2"/>
  <c r="AM165" i="2"/>
  <c r="CC378" i="2"/>
  <c r="AR375" i="2"/>
  <c r="CA386" i="2"/>
  <c r="BP531" i="2"/>
  <c r="BY954" i="2"/>
  <c r="BZ962" i="2"/>
  <c r="BY962" i="2"/>
  <c r="AL144" i="2"/>
  <c r="BY152" i="2"/>
  <c r="BY239" i="2"/>
  <c r="AP248" i="2"/>
  <c r="AP245" i="2" s="1"/>
  <c r="AP1059" i="2"/>
  <c r="AP318" i="2"/>
  <c r="CA331" i="2"/>
  <c r="BC489" i="2" a="1"/>
  <c r="BQ531" i="2"/>
  <c r="BU531" i="2"/>
  <c r="AU561" i="2"/>
  <c r="BS561" i="2"/>
  <c r="AH602" i="2"/>
  <c r="AY628" i="2"/>
  <c r="AY621" i="2" s="1"/>
  <c r="BS838" i="2"/>
  <c r="AI871" i="2"/>
  <c r="AN871" i="2"/>
  <c r="CB991" i="2"/>
  <c r="CB1000" i="2"/>
  <c r="CB1046" i="2"/>
  <c r="AY1047" i="2"/>
  <c r="BB986" i="2"/>
  <c r="BH992" i="2"/>
  <c r="BH988" i="2" s="1"/>
  <c r="BH985" i="2" s="1"/>
  <c r="BV992" i="2"/>
  <c r="BF1003" i="2"/>
  <c r="CB882" i="2"/>
  <c r="AE1049" i="2"/>
  <c r="AV1049" i="2"/>
  <c r="BM871" i="2"/>
  <c r="BI1007" i="2"/>
  <c r="AW1059" i="2"/>
  <c r="AX642" i="2"/>
  <c r="AX639" i="2" s="1"/>
  <c r="AX1051" i="2"/>
  <c r="AX1047" i="2" s="1"/>
  <c r="AX1044" i="2" s="1"/>
  <c r="AH1005" i="2"/>
  <c r="AW1049" i="2"/>
  <c r="AW1171" i="2"/>
  <c r="BF995" i="2"/>
  <c r="BE1007" i="2"/>
  <c r="AK1059" i="2"/>
  <c r="AK1058" i="2" s="1"/>
  <c r="AP871" i="2"/>
  <c r="CB874" i="2"/>
  <c r="BO871" i="2"/>
  <c r="CB1050" i="2"/>
  <c r="CB1054" i="2"/>
  <c r="CB1055" i="2"/>
  <c r="AF100" i="1"/>
  <c r="AF5" i="2" a="1"/>
  <c r="AF5" i="2" s="1"/>
  <c r="B452" i="1"/>
  <c r="BT531" i="2"/>
  <c r="AN192" i="2"/>
  <c r="AV165" i="2"/>
  <c r="BP165" i="2"/>
  <c r="BU165" i="2"/>
  <c r="BQ248" i="2"/>
  <c r="BQ245" i="2" s="1"/>
  <c r="AZ254" i="2"/>
  <c r="BZ309" i="2"/>
  <c r="BF1044" i="2"/>
  <c r="AK516" i="2"/>
  <c r="CB732" i="2"/>
  <c r="BZ742" i="2"/>
  <c r="AX832" i="2" a="1"/>
  <c r="BP832" i="2" a="1"/>
  <c r="CA1046" i="2"/>
  <c r="AS1115" i="2"/>
  <c r="BR1115" i="2"/>
  <c r="AY1177" i="2"/>
  <c r="AZ1195" i="2"/>
  <c r="AF1" i="2" a="1"/>
  <c r="AF1" i="2" s="1"/>
  <c r="AG107" i="2"/>
  <c r="AK880" i="2"/>
  <c r="AK876" i="2" s="1"/>
  <c r="BJ154" i="2"/>
  <c r="AY192" i="2"/>
  <c r="BQ263" i="2"/>
  <c r="BQ254" i="2" s="1"/>
  <c r="AG304" i="2"/>
  <c r="AE1051" i="2"/>
  <c r="BG1051" i="2"/>
  <c r="BG1047" i="2" s="1"/>
  <c r="BG1044" i="2" s="1"/>
  <c r="AT1090" i="2"/>
  <c r="BY563" i="2"/>
  <c r="BE639" i="2"/>
  <c r="BA876" i="2"/>
  <c r="BO878" i="2"/>
  <c r="AQ1100" i="2"/>
  <c r="BP732" i="2"/>
  <c r="BS150" i="2"/>
  <c r="BC880" i="2"/>
  <c r="BG880" i="2"/>
  <c r="AN165" i="2"/>
  <c r="BD165" i="2"/>
  <c r="BO165" i="2"/>
  <c r="AJ165" i="2"/>
  <c r="AF255" i="2"/>
  <c r="AF254" i="2" s="1"/>
  <c r="BU335" i="2"/>
  <c r="BE489" i="2" a="1"/>
  <c r="BE489" i="2" s="1"/>
  <c r="CA489" i="2" s="1"/>
  <c r="BF494" i="2"/>
  <c r="CB494" i="2" s="1"/>
  <c r="AE518" i="2"/>
  <c r="BB833" i="2"/>
  <c r="BJ838" i="2"/>
  <c r="BK871" i="2"/>
  <c r="AW1115" i="2"/>
  <c r="BV1115" i="2"/>
  <c r="BE992" i="2"/>
  <c r="BI992" i="2"/>
  <c r="AL596" i="2"/>
  <c r="AL593" i="2" s="1"/>
  <c r="AZ602" i="2"/>
  <c r="AY670" i="2"/>
  <c r="BA670" i="2"/>
  <c r="AL992" i="2"/>
  <c r="AL988" i="2" s="1"/>
  <c r="AL985" i="2" s="1"/>
  <c r="BB1056" i="2"/>
  <c r="AJ1061" i="2"/>
  <c r="AQ602" i="2"/>
  <c r="AV602" i="2"/>
  <c r="BK602" i="2"/>
  <c r="AR531" i="2"/>
  <c r="BR531" i="2"/>
  <c r="BH670" i="2"/>
  <c r="BC1090" i="2"/>
  <c r="BE988" i="2"/>
  <c r="BI988" i="2"/>
  <c r="AP1047" i="2"/>
  <c r="AP1044" i="2" s="1"/>
  <c r="BI602" i="2"/>
  <c r="AF670" i="2"/>
  <c r="AF876" i="2"/>
  <c r="AO876" i="2"/>
  <c r="BZ952" i="2"/>
  <c r="BZ955" i="2"/>
  <c r="BY981" i="2"/>
  <c r="BE880" i="2"/>
  <c r="BE876" i="2" s="1"/>
  <c r="BI880" i="2"/>
  <c r="BI876" i="2" s="1"/>
  <c r="AH1007" i="2"/>
  <c r="AT1047" i="2"/>
  <c r="BO1044" i="2"/>
  <c r="BA602" i="2"/>
  <c r="BU602" i="2"/>
  <c r="BT602" i="2"/>
  <c r="AM871" i="2"/>
  <c r="AU871" i="2"/>
  <c r="BP871" i="2"/>
  <c r="AW871" i="2"/>
  <c r="AN876" i="2"/>
  <c r="BV531" i="2"/>
  <c r="CA1179" i="2"/>
  <c r="BD531" i="2"/>
  <c r="AH992" i="2"/>
  <c r="AZ1003" i="2"/>
  <c r="BV880" i="2"/>
  <c r="CA964" i="2"/>
  <c r="BZ971" i="2"/>
  <c r="BQ988" i="2"/>
  <c r="BC1020" i="2"/>
  <c r="BC1013" i="2" s="1"/>
  <c r="BM1020" i="2"/>
  <c r="BM1013" i="2" s="1"/>
  <c r="AU1059" i="2"/>
  <c r="AU1060" i="2" s="1"/>
  <c r="AL516" i="2"/>
  <c r="BY946" i="2"/>
  <c r="CA600" i="2"/>
  <c r="CA663" i="2"/>
  <c r="BC878" i="2"/>
  <c r="BP876" i="2"/>
  <c r="AF878" i="2"/>
  <c r="AJ878" i="2"/>
  <c r="AN878" i="2"/>
  <c r="AS876" i="2"/>
  <c r="AJ995" i="2"/>
  <c r="BO1100" i="2"/>
  <c r="BU1171" i="2"/>
  <c r="BU988" i="2"/>
  <c r="BD1003" i="2"/>
  <c r="AF1059" i="2"/>
  <c r="AF1058" i="2" s="1"/>
  <c r="BD516" i="2"/>
  <c r="BY518" i="2"/>
  <c r="BZ598" i="2"/>
  <c r="AK670" i="2"/>
  <c r="BD880" i="2"/>
  <c r="BD876" i="2" s="1"/>
  <c r="BH880" i="2"/>
  <c r="BH876" i="2" s="1"/>
  <c r="AT992" i="2"/>
  <c r="AT988" i="2" s="1"/>
  <c r="AT985" i="2" s="1"/>
  <c r="CA1001" i="2"/>
  <c r="AT1007" i="2"/>
  <c r="AT1003" i="2" s="1"/>
  <c r="BG1007" i="2"/>
  <c r="BG1003" i="2" s="1"/>
  <c r="BN1051" i="2"/>
  <c r="CA1056" i="2"/>
  <c r="AV1059" i="2"/>
  <c r="BU510" i="2"/>
  <c r="BB1221" i="2"/>
  <c r="BO602" i="2"/>
  <c r="CB721" i="2"/>
  <c r="BD119" i="1"/>
  <c r="BD113" i="1"/>
  <c r="AX492" i="1"/>
  <c r="AX493" i="1" s="1"/>
  <c r="AL826" i="1"/>
  <c r="AL820" i="1" a="1"/>
  <c r="AL820" i="1" s="1"/>
  <c r="BI252" i="1"/>
  <c r="BI249" i="1" s="1"/>
  <c r="BO259" i="1"/>
  <c r="BB268" i="1"/>
  <c r="BB271" i="1" s="1"/>
  <c r="BB995" i="1" s="1"/>
  <c r="BG258" i="1"/>
  <c r="BK258" i="1"/>
  <c r="AH322" i="1"/>
  <c r="AT322" i="1"/>
  <c r="AZ322" i="1"/>
  <c r="BF322" i="1"/>
  <c r="BN330" i="1"/>
  <c r="M460" i="1" a="1"/>
  <c r="M478" i="1" a="1"/>
  <c r="BI533" i="1"/>
  <c r="BJ604" i="1"/>
  <c r="BP646" i="1"/>
  <c r="AF753" i="1"/>
  <c r="AL973" i="1"/>
  <c r="AY169" i="1"/>
  <c r="BN271" i="1"/>
  <c r="AU258" i="1"/>
  <c r="BO379" i="1"/>
  <c r="M467" i="1" a="1"/>
  <c r="AU859" i="1"/>
  <c r="AY859" i="1"/>
  <c r="BC859" i="1"/>
  <c r="BG148" i="1"/>
  <c r="AR169" i="1"/>
  <c r="BB253" i="1"/>
  <c r="BH258" i="1"/>
  <c r="AP258" i="1"/>
  <c r="AY258" i="1"/>
  <c r="AI258" i="1"/>
  <c r="AQ258" i="1"/>
  <c r="AV258" i="1"/>
  <c r="AV308" i="1"/>
  <c r="AL322" i="1"/>
  <c r="AF364" i="1"/>
  <c r="BO364" i="1" s="1"/>
  <c r="BP364" i="1"/>
  <c r="M482" i="1" a="1"/>
  <c r="BP503" i="1"/>
  <c r="M510" i="1" a="1"/>
  <c r="M537" i="1" a="1"/>
  <c r="BP605" i="1"/>
  <c r="AP604" i="1"/>
  <c r="AU604" i="1"/>
  <c r="AS672" i="1"/>
  <c r="BK820" i="1" a="1"/>
  <c r="BK820" i="1" s="1"/>
  <c r="BF826" i="1"/>
  <c r="BF820" i="1"/>
  <c r="AG920" i="1"/>
  <c r="AU978" i="1"/>
  <c r="AU976" i="1"/>
  <c r="AL978" i="1"/>
  <c r="AB103" i="1"/>
  <c r="AB104" i="1"/>
  <c r="AB106" i="1" s="1"/>
  <c r="AB115" i="1"/>
  <c r="AL116" i="1"/>
  <c r="AL119" i="1" s="1"/>
  <c r="AQ148" i="1"/>
  <c r="AU148" i="1"/>
  <c r="BA169" i="1"/>
  <c r="BI169" i="1"/>
  <c r="AI169" i="1"/>
  <c r="AP196" i="1"/>
  <c r="AP169" i="1" s="1"/>
  <c r="AP148" i="1" s="1"/>
  <c r="BH252" i="1"/>
  <c r="BH249" i="1" s="1"/>
  <c r="AK258" i="1"/>
  <c r="BI258" i="1"/>
  <c r="AZ267" i="1"/>
  <c r="AZ258" i="1" s="1"/>
  <c r="AF308" i="1"/>
  <c r="BN313" i="1"/>
  <c r="AM322" i="1"/>
  <c r="BE322" i="1"/>
  <c r="BP333" i="1"/>
  <c r="BO333" i="1"/>
  <c r="BP354" i="1"/>
  <c r="BO369" i="1"/>
  <c r="M470" i="1" a="1"/>
  <c r="M483" i="1" a="1"/>
  <c r="AE518" i="1"/>
  <c r="AX512" i="1"/>
  <c r="AX511" i="1" s="1"/>
  <c r="AX510" i="1" s="1"/>
  <c r="AX509" i="1" s="1"/>
  <c r="AX769" i="1" s="1"/>
  <c r="AX775" i="1" s="1"/>
  <c r="AS563" i="1"/>
  <c r="BA533" i="1"/>
  <c r="BN572" i="1"/>
  <c r="BN573" i="1"/>
  <c r="BP634" i="1"/>
  <c r="BB604" i="1"/>
  <c r="AO672" i="1"/>
  <c r="A709" i="1" a="1"/>
  <c r="A709" i="1" s="1"/>
  <c r="B709" i="1" s="1" a="1"/>
  <c r="B709" i="1" s="1"/>
  <c r="B708" i="1" a="1"/>
  <c r="B708" i="1" s="1"/>
  <c r="BA1168" i="1"/>
  <c r="BA866" i="1"/>
  <c r="BH920" i="1"/>
  <c r="BI641" i="1"/>
  <c r="BO646" i="1"/>
  <c r="AR672" i="1"/>
  <c r="AV672" i="1"/>
  <c r="AZ672" i="1"/>
  <c r="BO734" i="1"/>
  <c r="AW859" i="1"/>
  <c r="BA859" i="1"/>
  <c r="AH859" i="1"/>
  <c r="AP859" i="1"/>
  <c r="BG859" i="1"/>
  <c r="BP863" i="1"/>
  <c r="AL1168" i="1"/>
  <c r="AQ1168" i="1"/>
  <c r="AU1168" i="1"/>
  <c r="AY1168" i="1"/>
  <c r="BC1168" i="1"/>
  <c r="BG1168" i="1"/>
  <c r="BK1168" i="1"/>
  <c r="BO884" i="1"/>
  <c r="AR920" i="1"/>
  <c r="AR879" i="1" s="1"/>
  <c r="AE920" i="1"/>
  <c r="AW978" i="1"/>
  <c r="BF978" i="1"/>
  <c r="BJ978" i="1"/>
  <c r="AE993" i="1"/>
  <c r="AI993" i="1"/>
  <c r="AM993" i="1"/>
  <c r="AI991" i="1"/>
  <c r="AM991" i="1"/>
  <c r="BN1004" i="1"/>
  <c r="BD1008" i="1"/>
  <c r="BD1001" i="1" s="1"/>
  <c r="BO1012" i="1"/>
  <c r="AP1008" i="1"/>
  <c r="BP1013" i="1"/>
  <c r="AK1008" i="1"/>
  <c r="BO1014" i="1"/>
  <c r="AV1008" i="1"/>
  <c r="AV1001" i="1" s="1"/>
  <c r="BO1018" i="1"/>
  <c r="BO1022" i="1"/>
  <c r="BO1028" i="1"/>
  <c r="AE1078" i="1"/>
  <c r="AR1078" i="1"/>
  <c r="BH1078" i="1"/>
  <c r="AF1078" i="1"/>
  <c r="AN1078" i="1"/>
  <c r="AH1158" i="1"/>
  <c r="AL1158" i="1"/>
  <c r="AP1161" i="1"/>
  <c r="AT1161" i="1"/>
  <c r="AX1161" i="1"/>
  <c r="BC1161" i="1"/>
  <c r="BG1161" i="1"/>
  <c r="BK1161" i="1"/>
  <c r="AT110" i="2"/>
  <c r="AK150" i="2"/>
  <c r="BA304" i="2"/>
  <c r="AF993" i="1"/>
  <c r="AJ993" i="1"/>
  <c r="AN993" i="1"/>
  <c r="BP1003" i="1"/>
  <c r="AF1008" i="1"/>
  <c r="AF1001" i="1" s="1"/>
  <c r="AN1008" i="1"/>
  <c r="AN1001" i="1" s="1"/>
  <c r="AX1008" i="1"/>
  <c r="BO1010" i="1"/>
  <c r="BO1025" i="1"/>
  <c r="BN1036" i="1"/>
  <c r="BP1036" i="1"/>
  <c r="BO1057" i="1"/>
  <c r="AE1064" i="1"/>
  <c r="AM1064" i="1"/>
  <c r="AU1064" i="1"/>
  <c r="BC1064" i="1"/>
  <c r="BK1064" i="1"/>
  <c r="BP1066" i="1"/>
  <c r="BN1066" i="1"/>
  <c r="BO1066" i="1"/>
  <c r="AF1064" i="1"/>
  <c r="AN1064" i="1"/>
  <c r="AV1064" i="1"/>
  <c r="BD1064" i="1"/>
  <c r="BP1071" i="1"/>
  <c r="BN1071" i="1"/>
  <c r="BO1071" i="1"/>
  <c r="AI880" i="2"/>
  <c r="AI150" i="2"/>
  <c r="AT880" i="2"/>
  <c r="AT876" i="2" s="1"/>
  <c r="AT870" i="2" s="1"/>
  <c r="AT150" i="2"/>
  <c r="AT144" i="2" s="1"/>
  <c r="BD1037" i="1"/>
  <c r="AV1035" i="1"/>
  <c r="AR1063" i="1"/>
  <c r="AG874" i="2"/>
  <c r="AG145" i="2"/>
  <c r="CA145" i="2" s="1"/>
  <c r="AX880" i="2"/>
  <c r="AX876" i="2" s="1"/>
  <c r="AX870" i="2" s="1"/>
  <c r="AX150" i="2"/>
  <c r="AX144" i="2" s="1"/>
  <c r="BU880" i="2"/>
  <c r="BU876" i="2" s="1"/>
  <c r="BU150" i="2"/>
  <c r="BG980" i="2"/>
  <c r="BG932" i="2" s="1"/>
  <c r="BG192" i="2"/>
  <c r="BG165" i="2" s="1"/>
  <c r="AK561" i="2"/>
  <c r="AV859" i="1"/>
  <c r="AZ859" i="1"/>
  <c r="BD859" i="1"/>
  <c r="AK1168" i="1"/>
  <c r="AT864" i="1"/>
  <c r="BN887" i="1"/>
  <c r="AI886" i="1"/>
  <c r="AI879" i="1" s="1"/>
  <c r="AM886" i="1"/>
  <c r="AQ886" i="1"/>
  <c r="AQ879" i="1" s="1"/>
  <c r="AQ858" i="1" s="1"/>
  <c r="AU886" i="1"/>
  <c r="AU879" i="1" s="1"/>
  <c r="AY886" i="1"/>
  <c r="BC886" i="1"/>
  <c r="BG886" i="1"/>
  <c r="BK886" i="1"/>
  <c r="AH886" i="1"/>
  <c r="AL886" i="1"/>
  <c r="AP886" i="1"/>
  <c r="AT886" i="1"/>
  <c r="AX886" i="1"/>
  <c r="BB886" i="1"/>
  <c r="BF886" i="1"/>
  <c r="BJ886" i="1"/>
  <c r="BP889" i="1"/>
  <c r="AK886" i="1"/>
  <c r="BO889" i="1"/>
  <c r="AS886" i="1"/>
  <c r="AW886" i="1"/>
  <c r="BA886" i="1"/>
  <c r="BA879" i="1" s="1"/>
  <c r="BE886" i="1"/>
  <c r="BI886" i="1"/>
  <c r="BI879" i="1" s="1"/>
  <c r="BN891" i="1"/>
  <c r="BP893" i="1"/>
  <c r="BO893" i="1"/>
  <c r="BN895" i="1"/>
  <c r="BP897" i="1"/>
  <c r="BO897" i="1"/>
  <c r="BN899" i="1"/>
  <c r="BP901" i="1"/>
  <c r="BO901" i="1"/>
  <c r="BN903" i="1"/>
  <c r="BP905" i="1"/>
  <c r="BO905" i="1"/>
  <c r="BN907" i="1"/>
  <c r="BP909" i="1"/>
  <c r="BO909" i="1"/>
  <c r="BN911" i="1"/>
  <c r="BP913" i="1"/>
  <c r="BO913" i="1"/>
  <c r="BP917" i="1"/>
  <c r="BN917" i="1"/>
  <c r="BO917" i="1"/>
  <c r="BK920" i="1"/>
  <c r="AM920" i="1"/>
  <c r="BP937" i="1"/>
  <c r="BO938" i="1"/>
  <c r="BN938" i="1"/>
  <c r="BO940" i="1"/>
  <c r="BO941" i="1"/>
  <c r="BN941" i="1"/>
  <c r="BO945" i="1"/>
  <c r="BN945" i="1"/>
  <c r="BO949" i="1"/>
  <c r="BO951" i="1"/>
  <c r="BN956" i="1"/>
  <c r="BO956" i="1"/>
  <c r="BP956" i="1"/>
  <c r="BN958" i="1"/>
  <c r="BP958" i="1"/>
  <c r="BO960" i="1"/>
  <c r="BN961" i="1"/>
  <c r="BP961" i="1"/>
  <c r="BN964" i="1"/>
  <c r="BO964" i="1"/>
  <c r="BP964" i="1"/>
  <c r="BN970" i="1"/>
  <c r="BO970" i="1"/>
  <c r="BP970" i="1"/>
  <c r="AI978" i="1"/>
  <c r="AM978" i="1"/>
  <c r="AP976" i="1"/>
  <c r="AP973" i="1" s="1"/>
  <c r="AT976" i="1"/>
  <c r="AT973" i="1" s="1"/>
  <c r="BN985" i="1"/>
  <c r="AM983" i="1"/>
  <c r="BC983" i="1"/>
  <c r="AL983" i="1"/>
  <c r="AT983" i="1"/>
  <c r="BB983" i="1"/>
  <c r="BJ983" i="1"/>
  <c r="BO988" i="1"/>
  <c r="BN988" i="1"/>
  <c r="BN989" i="1"/>
  <c r="BC991" i="1"/>
  <c r="AT993" i="1"/>
  <c r="AL991" i="1"/>
  <c r="BP999" i="1"/>
  <c r="BN999" i="1"/>
  <c r="BO999" i="1"/>
  <c r="BP1016" i="1"/>
  <c r="BN1018" i="1"/>
  <c r="BO1026" i="1"/>
  <c r="BP1030" i="1"/>
  <c r="AK1035" i="1"/>
  <c r="AK1032" i="1" s="1"/>
  <c r="AO1035" i="1"/>
  <c r="AO1032" i="1" s="1"/>
  <c r="AS1035" i="1"/>
  <c r="AS1032" i="1" s="1"/>
  <c r="AU1078" i="1"/>
  <c r="BF1103" i="1"/>
  <c r="BI150" i="2"/>
  <c r="BZ249" i="2"/>
  <c r="BZ250" i="2" s="1"/>
  <c r="AR248" i="2"/>
  <c r="AR245" i="2" s="1"/>
  <c r="AE992" i="2"/>
  <c r="AE248" i="2"/>
  <c r="BE1054" i="2"/>
  <c r="CA314" i="2"/>
  <c r="AF375" i="2"/>
  <c r="CC377" i="2"/>
  <c r="BZ377" i="2"/>
  <c r="BF510" i="2"/>
  <c r="A758" i="2" a="1"/>
  <c r="A758" i="2" s="1"/>
  <c r="B757" i="2" a="1"/>
  <c r="B757" i="2" s="1"/>
  <c r="AN838" i="2"/>
  <c r="AN832" i="2" a="1"/>
  <c r="AN832" i="2" s="1"/>
  <c r="AV838" i="2"/>
  <c r="AV835" i="2" s="1"/>
  <c r="AV832" i="2" a="1"/>
  <c r="AV832" i="2" s="1"/>
  <c r="BI832" i="2" a="1"/>
  <c r="BI832" i="2" s="1"/>
  <c r="BI838" i="2"/>
  <c r="BI841" i="2" s="1"/>
  <c r="BP1049" i="1"/>
  <c r="BA1048" i="1"/>
  <c r="BN1057" i="1"/>
  <c r="AE1088" i="1"/>
  <c r="BP1153" i="1"/>
  <c r="AK1165" i="1"/>
  <c r="AP1165" i="1"/>
  <c r="AT1165" i="1"/>
  <c r="AX1165" i="1"/>
  <c r="BF1165" i="1"/>
  <c r="BJ1165" i="1"/>
  <c r="BO1154" i="1"/>
  <c r="BA1155" i="1"/>
  <c r="AI1158" i="1"/>
  <c r="AM1158" i="1"/>
  <c r="BO1157" i="1"/>
  <c r="AF1164" i="1"/>
  <c r="AJ1164" i="1"/>
  <c r="AN1164" i="1"/>
  <c r="AR1164" i="1"/>
  <c r="AV1164" i="1"/>
  <c r="AZ1164" i="1"/>
  <c r="BD1164" i="1"/>
  <c r="BH1164" i="1"/>
  <c r="AO144" i="2"/>
  <c r="BN880" i="2"/>
  <c r="BN876" i="2" s="1"/>
  <c r="BN870" i="2" s="1"/>
  <c r="AS192" i="2"/>
  <c r="AZ165" i="2"/>
  <c r="AZ144" i="2" s="1"/>
  <c r="BK165" i="2"/>
  <c r="BQ165" i="2"/>
  <c r="CA223" i="2"/>
  <c r="AG252" i="2"/>
  <c r="AG992" i="2" s="1"/>
  <c r="AS254" i="2"/>
  <c r="BY262" i="2"/>
  <c r="AR336" i="2"/>
  <c r="BZ341" i="2"/>
  <c r="BJ386" i="2"/>
  <c r="CB386" i="2" s="1"/>
  <c r="AM531" i="2"/>
  <c r="AM510" i="2" s="1"/>
  <c r="AM509" i="2" s="1"/>
  <c r="AM508" i="2" s="1"/>
  <c r="AM507" i="2" s="1"/>
  <c r="BH531" i="2"/>
  <c r="BL602" i="2"/>
  <c r="BD670" i="2"/>
  <c r="BM670" i="2"/>
  <c r="BS670" i="2"/>
  <c r="AX1092" i="2"/>
  <c r="AX685" i="2"/>
  <c r="AX670" i="2" s="1"/>
  <c r="CC749" i="2"/>
  <c r="BZ749" i="2"/>
  <c r="BV838" i="2"/>
  <c r="BC871" i="2"/>
  <c r="BN1082" i="1"/>
  <c r="AI1078" i="1"/>
  <c r="AM1078" i="1"/>
  <c r="AV1078" i="1"/>
  <c r="AZ1078" i="1"/>
  <c r="BD1078" i="1"/>
  <c r="BN1083" i="1"/>
  <c r="AS1088" i="1"/>
  <c r="B1103" i="1"/>
  <c r="AH1103" i="1"/>
  <c r="AL1103" i="1"/>
  <c r="AT1103" i="1"/>
  <c r="AX1103" i="1"/>
  <c r="BB1103" i="1"/>
  <c r="BJ1103" i="1"/>
  <c r="AK1158" i="1"/>
  <c r="BO1163" i="1"/>
  <c r="AH144" i="2"/>
  <c r="AH871" i="2"/>
  <c r="AF192" i="2"/>
  <c r="AF165" i="2" s="1"/>
  <c r="BL165" i="2"/>
  <c r="BG992" i="2"/>
  <c r="AI255" i="2"/>
  <c r="AH1051" i="2"/>
  <c r="BC1051" i="2"/>
  <c r="BC1047" i="2" s="1"/>
  <c r="BH1051" i="2"/>
  <c r="BV1051" i="2"/>
  <c r="BV1047" i="2" s="1"/>
  <c r="BV1044" i="2" s="1"/>
  <c r="AT1059" i="2"/>
  <c r="AT1058" i="2" s="1"/>
  <c r="AX1059" i="2"/>
  <c r="AX1060" i="2" s="1"/>
  <c r="AW335" i="2"/>
  <c r="AE516" i="2"/>
  <c r="BH510" i="2"/>
  <c r="AE531" i="2"/>
  <c r="AJ531" i="2"/>
  <c r="AO531" i="2"/>
  <c r="AO510" i="2" s="1"/>
  <c r="AU531" i="2"/>
  <c r="AZ531" i="2"/>
  <c r="AZ510" i="2" s="1"/>
  <c r="AG531" i="2"/>
  <c r="AN531" i="2"/>
  <c r="AN510" i="2" s="1"/>
  <c r="AS531" i="2"/>
  <c r="AS510" i="2" s="1"/>
  <c r="BA561" i="2"/>
  <c r="BG561" i="2"/>
  <c r="BG531" i="2" s="1"/>
  <c r="BG510" i="2" s="1"/>
  <c r="BC561" i="2"/>
  <c r="BC531" i="2" s="1"/>
  <c r="BY590" i="2"/>
  <c r="AE596" i="2"/>
  <c r="AK596" i="2"/>
  <c r="AK593" i="2" s="1"/>
  <c r="BZ613" i="2"/>
  <c r="CA654" i="2"/>
  <c r="CA655" i="2" s="1"/>
  <c r="AK653" i="2"/>
  <c r="CA653" i="2" s="1"/>
  <c r="BY663" i="2"/>
  <c r="AZ670" i="2"/>
  <c r="BM838" i="2"/>
  <c r="BA254" i="2"/>
  <c r="BE1051" i="2"/>
  <c r="BE1047" i="2" s="1"/>
  <c r="BC1054" i="2"/>
  <c r="BY1054" i="2" s="1"/>
  <c r="CA518" i="2"/>
  <c r="AK531" i="2"/>
  <c r="AQ531" i="2"/>
  <c r="AV531" i="2"/>
  <c r="BA531" i="2"/>
  <c r="BA510" i="2" s="1"/>
  <c r="BA509" i="2" s="1"/>
  <c r="BA508" i="2" s="1"/>
  <c r="BA507" i="2" s="1"/>
  <c r="BA767" i="2" s="1"/>
  <c r="BA773" i="2" s="1"/>
  <c r="BL531" i="2"/>
  <c r="AY561" i="2"/>
  <c r="AY531" i="2" s="1"/>
  <c r="AY510" i="2" s="1"/>
  <c r="BQ1021" i="2"/>
  <c r="BQ1020" i="2" s="1"/>
  <c r="BQ1013" i="2" s="1"/>
  <c r="BQ628" i="2"/>
  <c r="BQ621" i="2" s="1"/>
  <c r="BQ602" i="2" s="1"/>
  <c r="CB654" i="2"/>
  <c r="AT653" i="2"/>
  <c r="BD838" i="2"/>
  <c r="BH841" i="2"/>
  <c r="BH835" i="2"/>
  <c r="BL835" i="2"/>
  <c r="BL841" i="2"/>
  <c r="BQ838" i="2"/>
  <c r="BQ841" i="2" s="1"/>
  <c r="BQ832" i="2" a="1"/>
  <c r="AN898" i="2"/>
  <c r="CA901" i="2"/>
  <c r="CA904" i="2"/>
  <c r="CA916" i="2"/>
  <c r="CA945" i="2"/>
  <c r="CA968" i="2"/>
  <c r="BZ977" i="2"/>
  <c r="AH995" i="2"/>
  <c r="AH1100" i="2"/>
  <c r="AM1100" i="2"/>
  <c r="AU1100" i="2"/>
  <c r="AY1100" i="2"/>
  <c r="BC1100" i="2"/>
  <c r="BZ1170" i="2"/>
  <c r="BY1194" i="2"/>
  <c r="AF822" i="2"/>
  <c r="AJ871" i="2"/>
  <c r="AO871" i="2"/>
  <c r="AS871" i="2"/>
  <c r="BS871" i="2"/>
  <c r="BY874" i="2"/>
  <c r="AQ871" i="2"/>
  <c r="BU871" i="2"/>
  <c r="AV878" i="2"/>
  <c r="AZ878" i="2"/>
  <c r="BD878" i="2"/>
  <c r="BH878" i="2"/>
  <c r="BL876" i="2"/>
  <c r="CA910" i="2"/>
  <c r="BY912" i="2"/>
  <c r="CA922" i="2"/>
  <c r="BY922" i="2"/>
  <c r="CA926" i="2"/>
  <c r="CA930" i="2"/>
  <c r="BY947" i="2"/>
  <c r="BZ948" i="2"/>
  <c r="CA948" i="2"/>
  <c r="CA950" i="2"/>
  <c r="BZ972" i="2"/>
  <c r="CA972" i="2"/>
  <c r="BZ981" i="2"/>
  <c r="AH1020" i="2"/>
  <c r="CB1020" i="2" s="1"/>
  <c r="CA1069" i="2"/>
  <c r="AG1090" i="2"/>
  <c r="AK1090" i="2"/>
  <c r="AP1090" i="2"/>
  <c r="BF1090" i="2"/>
  <c r="AO1115" i="2"/>
  <c r="AY1115" i="2"/>
  <c r="BC1115" i="2"/>
  <c r="BH1115" i="2"/>
  <c r="BM1115" i="2"/>
  <c r="BA1115" i="2"/>
  <c r="BN1204" i="2"/>
  <c r="BH1218" i="2"/>
  <c r="BF1221" i="2"/>
  <c r="CA658" i="2"/>
  <c r="BP670" i="2"/>
  <c r="AE871" i="2"/>
  <c r="BI871" i="2"/>
  <c r="AR871" i="2"/>
  <c r="BQ871" i="2"/>
  <c r="BV871" i="2"/>
  <c r="AJ1184" i="2"/>
  <c r="AS1184" i="2"/>
  <c r="AW1184" i="2"/>
  <c r="BA1184" i="2"/>
  <c r="BK1184" i="2"/>
  <c r="BO1184" i="2"/>
  <c r="BT1184" i="2"/>
  <c r="BK878" i="2"/>
  <c r="BY905" i="2"/>
  <c r="BZ908" i="2"/>
  <c r="CA908" i="2"/>
  <c r="BY917" i="2"/>
  <c r="BZ920" i="2"/>
  <c r="CA920" i="2"/>
  <c r="BZ942" i="2"/>
  <c r="BZ944" i="2"/>
  <c r="CA944" i="2"/>
  <c r="BZ969" i="2"/>
  <c r="BJ1090" i="2"/>
  <c r="B1108" i="2"/>
  <c r="CB1170" i="2"/>
  <c r="BY1170" i="2"/>
  <c r="AG1180" i="2"/>
  <c r="BU1195" i="2"/>
  <c r="BF1198" i="2"/>
  <c r="BK1198" i="2"/>
  <c r="BO1198" i="2"/>
  <c r="AG1201" i="2"/>
  <c r="AK1201" i="2"/>
  <c r="AO1201" i="2"/>
  <c r="AG1204" i="2"/>
  <c r="AK1204" i="2"/>
  <c r="AO1204" i="2"/>
  <c r="AS1204" i="2"/>
  <c r="AW1204" i="2"/>
  <c r="BA1204" i="2"/>
  <c r="AJ1218" i="2"/>
  <c r="AZ1218" i="2"/>
  <c r="BC1221" i="2"/>
  <c r="BG1221" i="2"/>
  <c r="AF1221" i="2"/>
  <c r="AN1221" i="2"/>
  <c r="AV1221" i="2"/>
  <c r="BZ1222" i="2"/>
  <c r="AR1224" i="2"/>
  <c r="BE1224" i="2"/>
  <c r="BI1224" i="2"/>
  <c r="BC1227" i="2"/>
  <c r="BG1227" i="2"/>
  <c r="M688" i="1" a="1"/>
  <c r="M688" i="1" s="1"/>
  <c r="X460" i="1" a="1"/>
  <c r="X460" i="1" s="1"/>
  <c r="V460" i="1" s="1" a="1"/>
  <c r="V460" i="1" s="1"/>
  <c r="AC460" i="1" a="1"/>
  <c r="AC460" i="1" s="1"/>
  <c r="B388" i="1"/>
  <c r="B447" i="1"/>
  <c r="B455" i="1"/>
  <c r="M460" i="1"/>
  <c r="M467" i="1"/>
  <c r="B729" i="1"/>
  <c r="B774" i="1"/>
  <c r="B796" i="1"/>
  <c r="M482" i="1"/>
  <c r="M510" i="1"/>
  <c r="M537" i="1"/>
  <c r="B800" i="1"/>
  <c r="BP1059" i="1"/>
  <c r="AG9" i="2" a="1"/>
  <c r="AG9" i="2" s="1"/>
  <c r="B369" i="2"/>
  <c r="CA1063" i="2"/>
  <c r="AE327" i="1"/>
  <c r="BN327" i="1" s="1"/>
  <c r="B451" i="1"/>
  <c r="M470" i="1"/>
  <c r="M483" i="1"/>
  <c r="M492" i="1"/>
  <c r="A710" i="1"/>
  <c r="B710" i="1" s="1" a="1"/>
  <c r="B710" i="1" s="1"/>
  <c r="M478" i="1"/>
  <c r="AF810" i="1"/>
  <c r="AF602" i="2"/>
  <c r="BY654" i="2"/>
  <c r="BY655" i="2" s="1"/>
  <c r="BZ654" i="2"/>
  <c r="BL1221" i="2"/>
  <c r="BT1221" i="2"/>
  <c r="BS990" i="2"/>
  <c r="AU1090" i="2"/>
  <c r="BO1090" i="2"/>
  <c r="BY1097" i="2"/>
  <c r="AX1174" i="2"/>
  <c r="BL1180" i="2"/>
  <c r="BP1180" i="2"/>
  <c r="BO1231" i="2"/>
  <c r="BS1231" i="2"/>
  <c r="BF1224" i="2"/>
  <c r="BD1227" i="2"/>
  <c r="BH1227" i="2"/>
  <c r="BQ510" i="2"/>
  <c r="BL1047" i="2"/>
  <c r="BM1090" i="2"/>
  <c r="BR1090" i="2"/>
  <c r="BV1090" i="2"/>
  <c r="AQ1090" i="2"/>
  <c r="BG1090" i="2"/>
  <c r="AE1177" i="2"/>
  <c r="AI1177" i="2"/>
  <c r="AM1177" i="2"/>
  <c r="AQ1177" i="2"/>
  <c r="BD1177" i="2"/>
  <c r="BH1177" i="2"/>
  <c r="BM1177" i="2"/>
  <c r="BQ1177" i="2"/>
  <c r="AH1228" i="2"/>
  <c r="AH1231" i="2" s="1"/>
  <c r="AP1228" i="2"/>
  <c r="AX1228" i="2"/>
  <c r="BC1228" i="2"/>
  <c r="BC1231" i="2" s="1"/>
  <c r="BG1228" i="2"/>
  <c r="BG1231" i="2" s="1"/>
  <c r="BE1221" i="2"/>
  <c r="BI1221" i="2"/>
  <c r="AL1224" i="2"/>
  <c r="BC1224" i="2"/>
  <c r="BG1224" i="2"/>
  <c r="BL1224" i="2"/>
  <c r="BP1224" i="2"/>
  <c r="BT1224" i="2"/>
  <c r="AJ602" i="2"/>
  <c r="AU602" i="2"/>
  <c r="AW670" i="2"/>
  <c r="BH932" i="2"/>
  <c r="BL988" i="2"/>
  <c r="AU1020" i="2"/>
  <c r="AV1177" i="2"/>
  <c r="AZ1177" i="2"/>
  <c r="AF1180" i="2"/>
  <c r="AJ1180" i="2"/>
  <c r="AN1180" i="2"/>
  <c r="AR1180" i="2"/>
  <c r="AV1180" i="2"/>
  <c r="AZ1180" i="2"/>
  <c r="AE1224" i="2"/>
  <c r="AI1224" i="2"/>
  <c r="AM1224" i="2"/>
  <c r="AQ1224" i="2"/>
  <c r="AU1224" i="2"/>
  <c r="AY1224" i="2"/>
  <c r="AW254" i="2"/>
  <c r="AJ144" i="2"/>
  <c r="BO254" i="2"/>
  <c r="BS254" i="2"/>
  <c r="AI335" i="2"/>
  <c r="AN335" i="2"/>
  <c r="BY360" i="2"/>
  <c r="BM335" i="2"/>
  <c r="BZ386" i="2"/>
  <c r="BV1003" i="2"/>
  <c r="BI1049" i="2"/>
  <c r="AV1047" i="2"/>
  <c r="AV1044" i="2" s="1"/>
  <c r="BU1181" i="2"/>
  <c r="BE1174" i="2"/>
  <c r="BM1180" i="2"/>
  <c r="BQ1180" i="2"/>
  <c r="BL1204" i="2"/>
  <c r="BP1204" i="2"/>
  <c r="AM254" i="2"/>
  <c r="BH165" i="2"/>
  <c r="CB497" i="2"/>
  <c r="BS995" i="2"/>
  <c r="BY1015" i="2"/>
  <c r="BZ1015" i="2"/>
  <c r="BZ1016" i="2"/>
  <c r="AK1020" i="2"/>
  <c r="AP1020" i="2"/>
  <c r="AP1013" i="2" s="1"/>
  <c r="AT1020" i="2"/>
  <c r="AZ1020" i="2"/>
  <c r="AZ1013" i="2" s="1"/>
  <c r="BL1020" i="2"/>
  <c r="BL1013" i="2" s="1"/>
  <c r="BR1020" i="2"/>
  <c r="BR1013" i="2" s="1"/>
  <c r="BZ1022" i="2"/>
  <c r="BY1022" i="2"/>
  <c r="BD1020" i="2"/>
  <c r="BO1020" i="2"/>
  <c r="BO1013" i="2" s="1"/>
  <c r="BY1023" i="2"/>
  <c r="BZ1023" i="2"/>
  <c r="CA1023" i="2"/>
  <c r="CA1024" i="2"/>
  <c r="BY1024" i="2"/>
  <c r="BY1025" i="2"/>
  <c r="BC1049" i="2"/>
  <c r="BG1049" i="2"/>
  <c r="BL1049" i="2"/>
  <c r="BP1049" i="2"/>
  <c r="BV1049" i="2"/>
  <c r="AW1047" i="2"/>
  <c r="AS1174" i="2"/>
  <c r="AW1174" i="2"/>
  <c r="BA1174" i="2"/>
  <c r="AQ1201" i="2"/>
  <c r="BH1204" i="2"/>
  <c r="BM1204" i="2"/>
  <c r="BQ1204" i="2"/>
  <c r="AR254" i="2"/>
  <c r="BK254" i="2"/>
  <c r="BP254" i="2"/>
  <c r="AT263" i="2"/>
  <c r="AT254" i="2" s="1"/>
  <c r="Y334" i="2"/>
  <c r="BU1020" i="2"/>
  <c r="BU1013" i="2" s="1"/>
  <c r="AI1184" i="2"/>
  <c r="AZ1184" i="2"/>
  <c r="BE1184" i="2"/>
  <c r="BI1184" i="2"/>
  <c r="CA984" i="2"/>
  <c r="AK1003" i="2"/>
  <c r="BD1049" i="2"/>
  <c r="BH1049" i="2"/>
  <c r="BY1050" i="2"/>
  <c r="AF1201" i="2"/>
  <c r="AJ1201" i="2"/>
  <c r="AN1201" i="2"/>
  <c r="BE1201" i="2"/>
  <c r="BN1201" i="2"/>
  <c r="BR1201" i="2"/>
  <c r="BV1201" i="2"/>
  <c r="AR1204" i="2"/>
  <c r="AZ1204" i="2"/>
  <c r="CA1202" i="2"/>
  <c r="CA1204" i="2" s="1"/>
  <c r="BI1204" i="2"/>
  <c r="AM109" i="2"/>
  <c r="AM115" i="2"/>
  <c r="AM118" i="2" s="1"/>
  <c r="CA121" i="2"/>
  <c r="BL115" i="2"/>
  <c r="BL118" i="2" s="1"/>
  <c r="BK109" i="2"/>
  <c r="BK115" i="2"/>
  <c r="BK118" i="2" s="1"/>
  <c r="AG119" i="2"/>
  <c r="BT115" i="2"/>
  <c r="BT112" i="2" s="1"/>
  <c r="AI992" i="2"/>
  <c r="AN509" i="2"/>
  <c r="AN508" i="2" s="1"/>
  <c r="AN507" i="2" s="1"/>
  <c r="BY603" i="2"/>
  <c r="BC602" i="2"/>
  <c r="BV602" i="2"/>
  <c r="AY602" i="2"/>
  <c r="AY509" i="2" s="1"/>
  <c r="AY508" i="2" s="1"/>
  <c r="AY507" i="2" s="1"/>
  <c r="AY767" i="2" s="1"/>
  <c r="AY773" i="2" s="1"/>
  <c r="AY774" i="2" s="1"/>
  <c r="AY775" i="2" s="1"/>
  <c r="AY776" i="2" s="1"/>
  <c r="BD602" i="2"/>
  <c r="CA613" i="2"/>
  <c r="BY644" i="2"/>
  <c r="BM841" i="2"/>
  <c r="BM835" i="2"/>
  <c r="BV841" i="2"/>
  <c r="BV835" i="2"/>
  <c r="BU832" i="2" a="1"/>
  <c r="BU832" i="2" s="1"/>
  <c r="BU838" i="2"/>
  <c r="BU835" i="2" s="1"/>
  <c r="BB987" i="2"/>
  <c r="AK992" i="2"/>
  <c r="AK988" i="2" s="1"/>
  <c r="AK985" i="2" s="1"/>
  <c r="BE1059" i="2"/>
  <c r="BE1060" i="2" s="1"/>
  <c r="AT509" i="2"/>
  <c r="BG611" i="2"/>
  <c r="BM602" i="2"/>
  <c r="AS602" i="2"/>
  <c r="BZ644" i="2"/>
  <c r="AG670" i="2"/>
  <c r="AQ670" i="2"/>
  <c r="BC670" i="2"/>
  <c r="BV670" i="2"/>
  <c r="AU832" i="2"/>
  <c r="BL832" i="2"/>
  <c r="AM838" i="2"/>
  <c r="AM841" i="2" s="1"/>
  <c r="AK1231" i="2"/>
  <c r="AO1231" i="2"/>
  <c r="AS1231" i="2"/>
  <c r="AW1231" i="2"/>
  <c r="BA1231" i="2"/>
  <c r="BF1231" i="2"/>
  <c r="BK1231" i="2"/>
  <c r="BH1221" i="2"/>
  <c r="AX1007" i="2"/>
  <c r="AX1003" i="2" s="1"/>
  <c r="BH1007" i="2"/>
  <c r="BH1003" i="2" s="1"/>
  <c r="BH596" i="2"/>
  <c r="BH593" i="2" s="1"/>
  <c r="BZ593" i="2" s="1"/>
  <c r="BH611" i="2"/>
  <c r="BN509" i="2"/>
  <c r="BN508" i="2" s="1"/>
  <c r="BZ655" i="2"/>
  <c r="AE670" i="2"/>
  <c r="AJ670" i="2"/>
  <c r="AS670" i="2"/>
  <c r="AV670" i="2"/>
  <c r="BF695" i="2"/>
  <c r="CB695" i="2" s="1"/>
  <c r="BK670" i="2"/>
  <c r="BU670" i="2"/>
  <c r="BZ761" i="2"/>
  <c r="AP832" i="2"/>
  <c r="BP832" i="2"/>
  <c r="BL1044" i="2"/>
  <c r="AP1049" i="2"/>
  <c r="BP1047" i="2"/>
  <c r="BP1044" i="2" s="1"/>
  <c r="BZ1219" i="2"/>
  <c r="AK602" i="2"/>
  <c r="BB832" i="2" a="1"/>
  <c r="BB832" i="2" s="1"/>
  <c r="BK832" i="2"/>
  <c r="BK838" i="2"/>
  <c r="BT832" i="2"/>
  <c r="BT838" i="2"/>
  <c r="BH1224" i="2"/>
  <c r="BO1003" i="2"/>
  <c r="BT1003" i="2"/>
  <c r="AT1013" i="2"/>
  <c r="BA1090" i="2"/>
  <c r="BE1090" i="2"/>
  <c r="BT1174" i="2"/>
  <c r="BZ1173" i="2"/>
  <c r="BY1176" i="2"/>
  <c r="CA1178" i="2"/>
  <c r="CA1180" i="2" s="1"/>
  <c r="BN1180" i="2"/>
  <c r="AJ1221" i="2"/>
  <c r="AR1221" i="2"/>
  <c r="AZ1221" i="2"/>
  <c r="BZ1225" i="2"/>
  <c r="BZ1227" i="2" s="1"/>
  <c r="BE1227" i="2"/>
  <c r="BI1227" i="2"/>
  <c r="AX832" i="2"/>
  <c r="BH832" i="2"/>
  <c r="BZ991" i="2"/>
  <c r="AV990" i="2"/>
  <c r="AZ990" i="2"/>
  <c r="BP1003" i="2"/>
  <c r="BS1049" i="2"/>
  <c r="BD1058" i="2"/>
  <c r="BH1060" i="2"/>
  <c r="BI1076" i="2"/>
  <c r="CA1079" i="2"/>
  <c r="BS1090" i="2"/>
  <c r="BS1100" i="2"/>
  <c r="BM1100" i="2"/>
  <c r="BR1100" i="2"/>
  <c r="BV1100" i="2"/>
  <c r="BV1075" i="2" s="1"/>
  <c r="AI1115" i="2"/>
  <c r="BG1115" i="2"/>
  <c r="BQ1115" i="2"/>
  <c r="BU1115" i="2"/>
  <c r="AI1181" i="2"/>
  <c r="AI1182" i="2" s="1"/>
  <c r="AM1181" i="2"/>
  <c r="BC1174" i="2"/>
  <c r="BG1174" i="2"/>
  <c r="BL1174" i="2"/>
  <c r="BP1174" i="2"/>
  <c r="AG1177" i="2"/>
  <c r="AK1177" i="2"/>
  <c r="AO1177" i="2"/>
  <c r="BF1177" i="2"/>
  <c r="BK1177" i="2"/>
  <c r="BO1177" i="2"/>
  <c r="BS1177" i="2"/>
  <c r="AK1180" i="2"/>
  <c r="AS1180" i="2"/>
  <c r="AW1180" i="2"/>
  <c r="BA1180" i="2"/>
  <c r="AG1221" i="2"/>
  <c r="AK1221" i="2"/>
  <c r="AO1221" i="2"/>
  <c r="AS1221" i="2"/>
  <c r="AW1221" i="2"/>
  <c r="BA1221" i="2"/>
  <c r="AG1224" i="2"/>
  <c r="AK1224" i="2"/>
  <c r="AO1224" i="2"/>
  <c r="AS1224" i="2"/>
  <c r="AW1224" i="2"/>
  <c r="BA1224" i="2"/>
  <c r="AG1227" i="2"/>
  <c r="AK1227" i="2"/>
  <c r="AO1227" i="2"/>
  <c r="AS1227" i="2"/>
  <c r="AW1227" i="2"/>
  <c r="BA1227" i="2"/>
  <c r="BF1227" i="2"/>
  <c r="AI670" i="2"/>
  <c r="AR670" i="2"/>
  <c r="BE670" i="2"/>
  <c r="BY844" i="2"/>
  <c r="BD1184" i="2"/>
  <c r="BH1184" i="2"/>
  <c r="AF988" i="2"/>
  <c r="AF985" i="2" s="1"/>
  <c r="AO988" i="2"/>
  <c r="BC990" i="2"/>
  <c r="BG990" i="2"/>
  <c r="BA995" i="2"/>
  <c r="BK1020" i="2"/>
  <c r="BP1020" i="2"/>
  <c r="BP1013" i="2" s="1"/>
  <c r="BV1020" i="2"/>
  <c r="BV1013" i="2" s="1"/>
  <c r="AM1020" i="2"/>
  <c r="AM1013" i="2" s="1"/>
  <c r="AQ1020" i="2"/>
  <c r="BT1020" i="2"/>
  <c r="BT1013" i="2" s="1"/>
  <c r="BK1047" i="2"/>
  <c r="AF1049" i="2"/>
  <c r="BA1047" i="2"/>
  <c r="BA1044" i="2" s="1"/>
  <c r="CB1122" i="2"/>
  <c r="AF1181" i="2"/>
  <c r="AJ1181" i="2"/>
  <c r="AN1181" i="2"/>
  <c r="AS1181" i="2"/>
  <c r="BA1181" i="2"/>
  <c r="BK1181" i="2"/>
  <c r="BK1182" i="2" s="1"/>
  <c r="BO1181" i="2"/>
  <c r="BO1182" i="2" s="1"/>
  <c r="BT1181" i="2"/>
  <c r="AU1174" i="2"/>
  <c r="AY1174" i="2"/>
  <c r="BD1174" i="2"/>
  <c r="BH1174" i="2"/>
  <c r="BM1174" i="2"/>
  <c r="BQ1174" i="2"/>
  <c r="BF1174" i="2"/>
  <c r="BK1174" i="2"/>
  <c r="AH1177" i="2"/>
  <c r="AP1177" i="2"/>
  <c r="AT1177" i="2"/>
  <c r="AX1177" i="2"/>
  <c r="BC1177" i="2"/>
  <c r="BG1177" i="2"/>
  <c r="BL1177" i="2"/>
  <c r="BP1177" i="2"/>
  <c r="BT1177" i="2"/>
  <c r="BE1177" i="2"/>
  <c r="AL1180" i="2"/>
  <c r="AR1228" i="2"/>
  <c r="AR1231" i="2" s="1"/>
  <c r="BE1228" i="2"/>
  <c r="BE1231" i="2" s="1"/>
  <c r="BI1228" i="2"/>
  <c r="BI1231" i="2" s="1"/>
  <c r="AL1227" i="2"/>
  <c r="AP1227" i="2"/>
  <c r="AT1227" i="2"/>
  <c r="AX1227" i="2"/>
  <c r="AJ1227" i="2"/>
  <c r="AR1227" i="2"/>
  <c r="AZ1227" i="2"/>
  <c r="BP1227" i="2"/>
  <c r="BT1227" i="2"/>
  <c r="BZ1229" i="2"/>
  <c r="AI248" i="2"/>
  <c r="AI245" i="2" s="1"/>
  <c r="BV248" i="2"/>
  <c r="BV245" i="2" s="1"/>
  <c r="BI263" i="2"/>
  <c r="BI254" i="2" s="1"/>
  <c r="BE254" i="2"/>
  <c r="CB280" i="2"/>
  <c r="AP307" i="2"/>
  <c r="AP304" i="2" s="1"/>
  <c r="BN307" i="2"/>
  <c r="CA309" i="2"/>
  <c r="BQ1044" i="2"/>
  <c r="AE318" i="2"/>
  <c r="AO318" i="2"/>
  <c r="AX318" i="2"/>
  <c r="BY326" i="2"/>
  <c r="AS335" i="2"/>
  <c r="BC335" i="2"/>
  <c r="BH335" i="2"/>
  <c r="BL335" i="2"/>
  <c r="BQ335" i="2"/>
  <c r="BC1003" i="2"/>
  <c r="AO1076" i="2"/>
  <c r="AO254" i="2"/>
  <c r="AO143" i="2" s="1"/>
  <c r="BT254" i="2"/>
  <c r="BZ265" i="2"/>
  <c r="BF307" i="2"/>
  <c r="BF304" i="2" s="1"/>
  <c r="BO307" i="2"/>
  <c r="BO304" i="2" s="1"/>
  <c r="AF318" i="2"/>
  <c r="BA318" i="2"/>
  <c r="BZ987" i="2"/>
  <c r="BM1003" i="2"/>
  <c r="BL254" i="2"/>
  <c r="AT248" i="2"/>
  <c r="AT245" i="2" s="1"/>
  <c r="BZ255" i="2"/>
  <c r="AQ254" i="2"/>
  <c r="BD263" i="2"/>
  <c r="BD254" i="2" s="1"/>
  <c r="AJ1060" i="2"/>
  <c r="CA375" i="2"/>
  <c r="BC489" i="2"/>
  <c r="CA497" i="2"/>
  <c r="AI1020" i="2"/>
  <c r="AI1013" i="2" s="1"/>
  <c r="BE1204" i="2"/>
  <c r="BZ1025" i="2"/>
  <c r="CA1025" i="2"/>
  <c r="CA1026" i="2"/>
  <c r="BY1026" i="2"/>
  <c r="BY1027" i="2"/>
  <c r="BZ1027" i="2"/>
  <c r="CA1027" i="2"/>
  <c r="CA1028" i="2"/>
  <c r="BY1028" i="2"/>
  <c r="BY1029" i="2"/>
  <c r="BZ1029" i="2"/>
  <c r="CA1029" i="2"/>
  <c r="CA1030" i="2"/>
  <c r="BY1030" i="2"/>
  <c r="BY1031" i="2"/>
  <c r="BZ1031" i="2"/>
  <c r="CA1031" i="2"/>
  <c r="CA1032" i="2"/>
  <c r="BY1032" i="2"/>
  <c r="BY1033" i="2"/>
  <c r="BZ1033" i="2"/>
  <c r="CA1033" i="2"/>
  <c r="CA1034" i="2"/>
  <c r="BY1034" i="2"/>
  <c r="BY1035" i="2"/>
  <c r="BZ1035" i="2"/>
  <c r="CA1035" i="2"/>
  <c r="CA1036" i="2"/>
  <c r="BY1036" i="2"/>
  <c r="BY1037" i="2"/>
  <c r="BZ1037" i="2"/>
  <c r="AF1076" i="2"/>
  <c r="AJ1076" i="2"/>
  <c r="AS1076" i="2"/>
  <c r="AW1076" i="2"/>
  <c r="BA1076" i="2"/>
  <c r="BA1075" i="2" s="1"/>
  <c r="BE1076" i="2"/>
  <c r="BJ1076" i="2"/>
  <c r="AY1090" i="2"/>
  <c r="BK1180" i="2"/>
  <c r="AF1198" i="2"/>
  <c r="BU1198" i="2"/>
  <c r="AS1201" i="2"/>
  <c r="AW1201" i="2"/>
  <c r="BA1201" i="2"/>
  <c r="BQ1201" i="2"/>
  <c r="BK1204" i="2"/>
  <c r="BO1204" i="2"/>
  <c r="AJ1204" i="2"/>
  <c r="AY1020" i="2"/>
  <c r="AY1013" i="2" s="1"/>
  <c r="AX1090" i="2"/>
  <c r="AM988" i="2"/>
  <c r="AM985" i="2" s="1"/>
  <c r="AE1003" i="2"/>
  <c r="AN1005" i="2"/>
  <c r="AV1003" i="2"/>
  <c r="BO1005" i="2"/>
  <c r="BL1005" i="2"/>
  <c r="BU1005" i="2"/>
  <c r="BZ1011" i="2"/>
  <c r="CA1082" i="2"/>
  <c r="AK1076" i="2"/>
  <c r="AK1075" i="2" s="1"/>
  <c r="BY1112" i="2"/>
  <c r="BR1177" i="2"/>
  <c r="CB1176" i="2"/>
  <c r="BC1180" i="2"/>
  <c r="BG1180" i="2"/>
  <c r="BD1198" i="2"/>
  <c r="BH1198" i="2"/>
  <c r="BM1198" i="2"/>
  <c r="BQ1198" i="2"/>
  <c r="AH1201" i="2"/>
  <c r="AP1201" i="2"/>
  <c r="BC1201" i="2"/>
  <c r="BG1201" i="2"/>
  <c r="BL1201" i="2"/>
  <c r="BP1201" i="2"/>
  <c r="BC1204" i="2"/>
  <c r="BG1204" i="2"/>
  <c r="BV1061" i="2"/>
  <c r="CB336" i="2"/>
  <c r="BD335" i="2"/>
  <c r="BI335" i="2"/>
  <c r="BZ372" i="2"/>
  <c r="BY375" i="2"/>
  <c r="AJ988" i="2"/>
  <c r="AJ985" i="2" s="1"/>
  <c r="AS988" i="2"/>
  <c r="AS985" i="2" s="1"/>
  <c r="AW988" i="2"/>
  <c r="AW985" i="2" s="1"/>
  <c r="BK988" i="2"/>
  <c r="AM990" i="2"/>
  <c r="AQ990" i="2"/>
  <c r="BT990" i="2"/>
  <c r="BA988" i="2"/>
  <c r="BA985" i="2" s="1"/>
  <c r="BO995" i="2"/>
  <c r="CA999" i="2"/>
  <c r="AS995" i="2"/>
  <c r="AW995" i="2"/>
  <c r="CA1000" i="2"/>
  <c r="BY1001" i="2"/>
  <c r="AF1003" i="2"/>
  <c r="AJ1003" i="2"/>
  <c r="AO1003" i="2"/>
  <c r="AW1003" i="2"/>
  <c r="BA1003" i="2"/>
  <c r="BF1005" i="2"/>
  <c r="BP1005" i="2"/>
  <c r="BT1005" i="2"/>
  <c r="AV1005" i="2"/>
  <c r="AZ1005" i="2"/>
  <c r="AI1003" i="2"/>
  <c r="AN1003" i="2"/>
  <c r="BL1003" i="2"/>
  <c r="BM1049" i="2"/>
  <c r="BQ1049" i="2"/>
  <c r="BU1049" i="2"/>
  <c r="AK1047" i="2"/>
  <c r="AK1044" i="2" s="1"/>
  <c r="AQ1047" i="2"/>
  <c r="BM1047" i="2"/>
  <c r="BM1044" i="2" s="1"/>
  <c r="BU1047" i="2"/>
  <c r="CA1061" i="2"/>
  <c r="BT1090" i="2"/>
  <c r="AE1100" i="2"/>
  <c r="AG1115" i="2"/>
  <c r="AZ1115" i="2"/>
  <c r="BO1115" i="2"/>
  <c r="BS1115" i="2"/>
  <c r="CA1122" i="2"/>
  <c r="CA1125" i="2"/>
  <c r="AE1180" i="2"/>
  <c r="AM1180" i="2"/>
  <c r="AU1180" i="2"/>
  <c r="AV1198" i="2"/>
  <c r="AZ1198" i="2"/>
  <c r="BS1198" i="2"/>
  <c r="AU1198" i="2"/>
  <c r="AU1201" i="2"/>
  <c r="AY1201" i="2"/>
  <c r="AT1201" i="2"/>
  <c r="AE1204" i="2"/>
  <c r="AI1204" i="2"/>
  <c r="AM1204" i="2"/>
  <c r="AQ1204" i="2"/>
  <c r="AU1204" i="2"/>
  <c r="AY1204" i="2"/>
  <c r="AH1090" i="2"/>
  <c r="CB1088" i="2"/>
  <c r="BY1088" i="2"/>
  <c r="BZ1088" i="2"/>
  <c r="BO1076" i="2"/>
  <c r="BT1076" i="2"/>
  <c r="CA1085" i="2"/>
  <c r="BY1085" i="2"/>
  <c r="BY336" i="2"/>
  <c r="AF335" i="2"/>
  <c r="AK335" i="2"/>
  <c r="AY335" i="2"/>
  <c r="BT335" i="2"/>
  <c r="CB1082" i="2"/>
  <c r="BY1082" i="2"/>
  <c r="BS1076" i="2"/>
  <c r="CA1088" i="2"/>
  <c r="AT335" i="2"/>
  <c r="BJ335" i="2"/>
  <c r="BO335" i="2"/>
  <c r="AZ335" i="2"/>
  <c r="CB1083" i="2"/>
  <c r="BZ1084" i="2"/>
  <c r="AB101" i="2"/>
  <c r="AF99" i="2"/>
  <c r="AL1221" i="2"/>
  <c r="BI119" i="1"/>
  <c r="BI113" i="1"/>
  <c r="AM110" i="1" a="1"/>
  <c r="AM110" i="1" s="1"/>
  <c r="AM116" i="1"/>
  <c r="AY116" i="1"/>
  <c r="AY119" i="1" s="1"/>
  <c r="AY110" i="1" a="1"/>
  <c r="AY110" i="1" s="1"/>
  <c r="BK116" i="1"/>
  <c r="BK110" i="1" a="1"/>
  <c r="BK110" i="1" s="1"/>
  <c r="BO491" i="1"/>
  <c r="BA119" i="1"/>
  <c r="BA113" i="1"/>
  <c r="BO120" i="1"/>
  <c r="AF110" i="1" a="1"/>
  <c r="AF110" i="1" s="1"/>
  <c r="AG108" i="1"/>
  <c r="AE119" i="1"/>
  <c r="BN120" i="1"/>
  <c r="BB330" i="1"/>
  <c r="BO340" i="1"/>
  <c r="AB467" i="1"/>
  <c r="BO498" i="1"/>
  <c r="AV533" i="1"/>
  <c r="AV512" i="1" s="1"/>
  <c r="BD533" i="1"/>
  <c r="BD512" i="1" s="1"/>
  <c r="M613" i="1" a="1"/>
  <c r="M613" i="1" s="1"/>
  <c r="AH604" i="1"/>
  <c r="AW604" i="1"/>
  <c r="M616" i="1" a="1"/>
  <c r="M616" i="1" s="1"/>
  <c r="AL511" i="1"/>
  <c r="AL510" i="1" s="1"/>
  <c r="AL509" i="1" s="1"/>
  <c r="M648" i="1" a="1"/>
  <c r="M648" i="1" s="1"/>
  <c r="AT672" i="1"/>
  <c r="AY672" i="1"/>
  <c r="BC672" i="1"/>
  <c r="AX829" i="1"/>
  <c r="AX823" i="1"/>
  <c r="BC829" i="1"/>
  <c r="BC823" i="1"/>
  <c r="BG147" i="1"/>
  <c r="B97" i="1" a="1"/>
  <c r="B97" i="1" s="1"/>
  <c r="BI110" i="1"/>
  <c r="BN122" i="1"/>
  <c r="BB156" i="1"/>
  <c r="BB196" i="1"/>
  <c r="BB169" i="1" s="1"/>
  <c r="BN197" i="1"/>
  <c r="BN243" i="1"/>
  <c r="BA252" i="1"/>
  <c r="BA249" i="1" s="1"/>
  <c r="BO266" i="1"/>
  <c r="AL258" i="1"/>
  <c r="BF258" i="1"/>
  <c r="BJ258" i="1"/>
  <c r="AJ322" i="1"/>
  <c r="BP330" i="1"/>
  <c r="BN333" i="1"/>
  <c r="AK339" i="1"/>
  <c r="AS339" i="1"/>
  <c r="AW339" i="1"/>
  <c r="BA339" i="1"/>
  <c r="BE339" i="1"/>
  <c r="BI339" i="1"/>
  <c r="BP389" i="1"/>
  <c r="BO389" i="1"/>
  <c r="M742" i="1" a="1"/>
  <c r="M742" i="1" s="1"/>
  <c r="M711" i="1" a="1"/>
  <c r="M711" i="1" s="1"/>
  <c r="M697" i="1" a="1"/>
  <c r="M697" i="1" s="1"/>
  <c r="M687" i="1" a="1"/>
  <c r="M687" i="1" s="1"/>
  <c r="M673" i="1" a="1"/>
  <c r="M673" i="1" s="1"/>
  <c r="M717" i="1" a="1"/>
  <c r="M717" i="1" s="1"/>
  <c r="M771" i="1" a="1"/>
  <c r="M771" i="1" s="1"/>
  <c r="M736" i="1" a="1"/>
  <c r="M736" i="1" s="1"/>
  <c r="A466" i="1" a="1"/>
  <c r="A466" i="1" s="1"/>
  <c r="A467" i="1" s="1" a="1"/>
  <c r="A467" i="1" s="1"/>
  <c r="A468" i="1" s="1" a="1"/>
  <c r="A468" i="1" s="1"/>
  <c r="A469" i="1" s="1" a="1"/>
  <c r="A469" i="1" s="1"/>
  <c r="A470" i="1" s="1" a="1"/>
  <c r="A470" i="1" s="1"/>
  <c r="A471" i="1" s="1" a="1"/>
  <c r="A471" i="1" s="1"/>
  <c r="A472" i="1" s="1" a="1"/>
  <c r="A472" i="1" s="1"/>
  <c r="A473" i="1" s="1" a="1"/>
  <c r="A473" i="1" s="1"/>
  <c r="M484" i="1" a="1"/>
  <c r="M484" i="1" s="1"/>
  <c r="M504" i="1" a="1"/>
  <c r="M504" i="1" s="1"/>
  <c r="M505" i="1" a="1"/>
  <c r="M505" i="1" s="1"/>
  <c r="AE520" i="1"/>
  <c r="BO522" i="1"/>
  <c r="M535" i="1" a="1"/>
  <c r="M535" i="1" s="1"/>
  <c r="AJ533" i="1"/>
  <c r="AN533" i="1"/>
  <c r="AN512" i="1" s="1"/>
  <c r="AR533" i="1"/>
  <c r="AR512" i="1" s="1"/>
  <c r="BN565" i="1"/>
  <c r="BP568" i="1"/>
  <c r="BN577" i="1"/>
  <c r="BP584" i="1"/>
  <c r="BN585" i="1"/>
  <c r="BP600" i="1"/>
  <c r="M601" i="1" a="1"/>
  <c r="M601" i="1" s="1"/>
  <c r="AE598" i="1"/>
  <c r="BN605" i="1"/>
  <c r="M611" i="1" a="1"/>
  <c r="M611" i="1" s="1"/>
  <c r="M629" i="1" a="1"/>
  <c r="M629" i="1" s="1"/>
  <c r="AI604" i="1"/>
  <c r="AQ604" i="1"/>
  <c r="BK604" i="1"/>
  <c r="BN648" i="1"/>
  <c r="AH655" i="1"/>
  <c r="M661" i="1" a="1"/>
  <c r="M661" i="1" s="1"/>
  <c r="BP665" i="1"/>
  <c r="M672" i="1" a="1"/>
  <c r="M672" i="1" s="1"/>
  <c r="AJ672" i="1"/>
  <c r="BN687" i="1"/>
  <c r="BF829" i="1"/>
  <c r="BF823" i="1"/>
  <c r="AG820" i="1" a="1"/>
  <c r="AG820" i="1" s="1"/>
  <c r="AG826" i="1"/>
  <c r="BJ820" i="1" a="1"/>
  <c r="BJ820" i="1" s="1"/>
  <c r="BJ826" i="1"/>
  <c r="AP147" i="1"/>
  <c r="AE110" i="1"/>
  <c r="AK113" i="1"/>
  <c r="BE113" i="1"/>
  <c r="BO122" i="1"/>
  <c r="AI148" i="1"/>
  <c r="AI147" i="1" s="1"/>
  <c r="AM148" i="1"/>
  <c r="AQ147" i="1"/>
  <c r="AU147" i="1"/>
  <c r="AU146" i="1" s="1"/>
  <c r="AY148" i="1"/>
  <c r="BC148" i="1"/>
  <c r="BC147" i="1" s="1"/>
  <c r="BH148" i="1"/>
  <c r="BH147" i="1" s="1"/>
  <c r="AG154" i="1"/>
  <c r="AZ154" i="1"/>
  <c r="BJ154" i="1"/>
  <c r="BJ148" i="1" s="1"/>
  <c r="BP156" i="1"/>
  <c r="BP157" i="1"/>
  <c r="BN176" i="1"/>
  <c r="BP201" i="1"/>
  <c r="BP966" i="1"/>
  <c r="BP242" i="1"/>
  <c r="AW252" i="1"/>
  <c r="AW249" i="1" s="1"/>
  <c r="BP990" i="1"/>
  <c r="BN267" i="1"/>
  <c r="BP270" i="1"/>
  <c r="BH311" i="1"/>
  <c r="BH308" i="1" s="1"/>
  <c r="BN318" i="1"/>
  <c r="AE322" i="1"/>
  <c r="AV322" i="1"/>
  <c r="BG322" i="1"/>
  <c r="BK322" i="1"/>
  <c r="AP339" i="1"/>
  <c r="AT339" i="1"/>
  <c r="AX339" i="1"/>
  <c r="BB339" i="1"/>
  <c r="BF339" i="1"/>
  <c r="BJ339" i="1"/>
  <c r="BN354" i="1"/>
  <c r="AO354" i="1"/>
  <c r="BO354" i="1" s="1"/>
  <c r="BO358" i="1"/>
  <c r="BP376" i="1"/>
  <c r="BO376" i="1"/>
  <c r="BP379" i="1"/>
  <c r="T460" i="1" a="1"/>
  <c r="T460" i="1" s="1"/>
  <c r="M463" i="1" a="1"/>
  <c r="M463" i="1" s="1"/>
  <c r="M465" i="1" a="1"/>
  <c r="M465" i="1" s="1"/>
  <c r="AE464" i="1"/>
  <c r="M479" i="1" a="1"/>
  <c r="M479" i="1" s="1"/>
  <c r="M491" i="1" a="1"/>
  <c r="M491" i="1" s="1"/>
  <c r="M499" i="1" a="1"/>
  <c r="M499" i="1" s="1"/>
  <c r="M509" i="1" a="1"/>
  <c r="M509" i="1" s="1"/>
  <c r="BG512" i="1"/>
  <c r="BG511" i="1" s="1"/>
  <c r="BG510" i="1" s="1"/>
  <c r="BG509" i="1" s="1"/>
  <c r="BG769" i="1" s="1"/>
  <c r="BG775" i="1" s="1"/>
  <c r="BK512" i="1"/>
  <c r="BK511" i="1" s="1"/>
  <c r="BK510" i="1" s="1"/>
  <c r="BK509" i="1" s="1"/>
  <c r="BK769" i="1" s="1"/>
  <c r="BK775" i="1" s="1"/>
  <c r="BO861" i="1"/>
  <c r="AH512" i="1"/>
  <c r="AK533" i="1"/>
  <c r="AK512" i="1" s="1"/>
  <c r="AK511" i="1" s="1"/>
  <c r="AK510" i="1" s="1"/>
  <c r="AK509" i="1" s="1"/>
  <c r="AO533" i="1"/>
  <c r="AO512" i="1" s="1"/>
  <c r="AS533" i="1"/>
  <c r="AS512" i="1" s="1"/>
  <c r="AZ563" i="1"/>
  <c r="AZ533" i="1" s="1"/>
  <c r="BP569" i="1"/>
  <c r="BB563" i="1"/>
  <c r="BB533" i="1" s="1"/>
  <c r="M600" i="1" a="1"/>
  <c r="M600" i="1" s="1"/>
  <c r="M603" i="1" a="1"/>
  <c r="M603" i="1" s="1"/>
  <c r="BO605" i="1"/>
  <c r="M609" i="1" a="1"/>
  <c r="M609" i="1" s="1"/>
  <c r="BD604" i="1"/>
  <c r="M614" i="1" a="1"/>
  <c r="M614" i="1" s="1"/>
  <c r="M618" i="1" a="1"/>
  <c r="M618" i="1" s="1"/>
  <c r="BF604" i="1"/>
  <c r="M627" i="1" a="1"/>
  <c r="M627" i="1" s="1"/>
  <c r="AJ604" i="1"/>
  <c r="BC604" i="1"/>
  <c r="BG604" i="1"/>
  <c r="BN639" i="1"/>
  <c r="BB644" i="1"/>
  <c r="BP644" i="1" s="1"/>
  <c r="M645" i="1" a="1"/>
  <c r="M645" i="1" s="1"/>
  <c r="M655" i="1" a="1"/>
  <c r="M655" i="1" s="1"/>
  <c r="BO657" i="1"/>
  <c r="BP655" i="1"/>
  <c r="M665" i="1" a="1"/>
  <c r="M665" i="1" s="1"/>
  <c r="M669" i="1" a="1"/>
  <c r="M669" i="1" s="1"/>
  <c r="BP673" i="1"/>
  <c r="BN673" i="1"/>
  <c r="BD672" i="1"/>
  <c r="BH672" i="1"/>
  <c r="M674" i="1" a="1"/>
  <c r="M674" i="1" s="1"/>
  <c r="BG829" i="1"/>
  <c r="BG823" i="1"/>
  <c r="BF110" i="1"/>
  <c r="AZ113" i="1"/>
  <c r="BH113" i="1"/>
  <c r="BP122" i="1"/>
  <c r="BN149" i="1"/>
  <c r="AR148" i="1"/>
  <c r="AR147" i="1" s="1"/>
  <c r="AR146" i="1" s="1"/>
  <c r="BD148" i="1"/>
  <c r="BD147" i="1" s="1"/>
  <c r="BD146" i="1" s="1"/>
  <c r="BA154" i="1"/>
  <c r="BA148" i="1" s="1"/>
  <c r="BK154" i="1"/>
  <c r="BK148" i="1" s="1"/>
  <c r="BK147" i="1" s="1"/>
  <c r="BK146" i="1" s="1"/>
  <c r="BO176" i="1"/>
  <c r="BP244" i="1"/>
  <c r="AX252" i="1"/>
  <c r="AX249" i="1" s="1"/>
  <c r="AJ259" i="1"/>
  <c r="AJ258" i="1" s="1"/>
  <c r="AY311" i="1"/>
  <c r="AY308" i="1" s="1"/>
  <c r="BH322" i="1"/>
  <c r="Y338" i="1"/>
  <c r="Y337" i="1"/>
  <c r="AI339" i="1"/>
  <c r="AM339" i="1"/>
  <c r="AQ339" i="1"/>
  <c r="AB493" i="1"/>
  <c r="BN498" i="1"/>
  <c r="BI512" i="1"/>
  <c r="M522" i="1" a="1"/>
  <c r="M522" i="1" s="1"/>
  <c r="M524" i="1" a="1"/>
  <c r="M524" i="1" s="1"/>
  <c r="M539" i="1" a="1"/>
  <c r="M539" i="1" s="1"/>
  <c r="AI533" i="1"/>
  <c r="AI512" i="1" s="1"/>
  <c r="AI511" i="1" s="1"/>
  <c r="AM533" i="1"/>
  <c r="AM512" i="1" s="1"/>
  <c r="AM511" i="1" s="1"/>
  <c r="AM510" i="1" s="1"/>
  <c r="AM509" i="1" s="1"/>
  <c r="AQ533" i="1"/>
  <c r="AQ512" i="1" s="1"/>
  <c r="AQ511" i="1" s="1"/>
  <c r="AQ510" i="1" s="1"/>
  <c r="AQ509" i="1" s="1"/>
  <c r="AQ769" i="1" s="1"/>
  <c r="AQ775" i="1" s="1"/>
  <c r="AQ776" i="1" s="1"/>
  <c r="AQ777" i="1" s="1"/>
  <c r="AQ778" i="1" s="1"/>
  <c r="AU512" i="1"/>
  <c r="AU511" i="1" s="1"/>
  <c r="BH533" i="1"/>
  <c r="BH512" i="1" s="1"/>
  <c r="M607" i="1" a="1"/>
  <c r="M607" i="1" s="1"/>
  <c r="AN604" i="1"/>
  <c r="AR604" i="1"/>
  <c r="AV604" i="1"/>
  <c r="BE604" i="1"/>
  <c r="M625" i="1" a="1"/>
  <c r="M625" i="1" s="1"/>
  <c r="AT630" i="1"/>
  <c r="AT623" i="1" s="1"/>
  <c r="AT604" i="1" s="1"/>
  <c r="BH630" i="1"/>
  <c r="BH623" i="1" s="1"/>
  <c r="BH604" i="1" s="1"/>
  <c r="M643" i="1" a="1"/>
  <c r="M643" i="1" s="1"/>
  <c r="AW641" i="1"/>
  <c r="BN655" i="1"/>
  <c r="M666" i="1" a="1"/>
  <c r="M666" i="1" s="1"/>
  <c r="BP694" i="1"/>
  <c r="M700" i="1" a="1"/>
  <c r="M700" i="1" s="1"/>
  <c r="M702" i="1" a="1"/>
  <c r="M702" i="1" s="1"/>
  <c r="Y720" i="1"/>
  <c r="Y721" i="1" s="1"/>
  <c r="Y722" i="1" s="1"/>
  <c r="AL829" i="1"/>
  <c r="AL823" i="1"/>
  <c r="BB829" i="1"/>
  <c r="BB823" i="1"/>
  <c r="BK829" i="1"/>
  <c r="BK823" i="1"/>
  <c r="AR820" i="1" a="1"/>
  <c r="AR820" i="1" s="1"/>
  <c r="AR826" i="1"/>
  <c r="AR823" i="1" s="1"/>
  <c r="BD820" i="1" a="1"/>
  <c r="BD820" i="1" s="1"/>
  <c r="BD826" i="1"/>
  <c r="BH820" i="1" a="1"/>
  <c r="BH820" i="1" s="1"/>
  <c r="BH826" i="1"/>
  <c r="M837" i="1" a="1"/>
  <c r="M837" i="1" s="1"/>
  <c r="M843" i="1" a="1"/>
  <c r="M843" i="1" s="1"/>
  <c r="AU858" i="1"/>
  <c r="AI864" i="1"/>
  <c r="AI858" i="1" s="1"/>
  <c r="BH879" i="1"/>
  <c r="BC973" i="1"/>
  <c r="AU112" i="2"/>
  <c r="AU118" i="2"/>
  <c r="M809" i="1" a="1"/>
  <c r="M809" i="1" s="1"/>
  <c r="M812" i="1" a="1"/>
  <c r="M812" i="1" s="1"/>
  <c r="AZ820" i="1"/>
  <c r="AZ821" i="1" s="1"/>
  <c r="BN821" i="1" s="1"/>
  <c r="AB822" i="1"/>
  <c r="AM823" i="1"/>
  <c r="M847" i="1" a="1"/>
  <c r="M847" i="1" s="1"/>
  <c r="BE866" i="1"/>
  <c r="AG886" i="1"/>
  <c r="BP886" i="1" s="1"/>
  <c r="AO886" i="1"/>
  <c r="BO886" i="1" s="1"/>
  <c r="BN888" i="1"/>
  <c r="BP890" i="1"/>
  <c r="BO890" i="1"/>
  <c r="BN892" i="1"/>
  <c r="BP894" i="1"/>
  <c r="BO894" i="1"/>
  <c r="BN896" i="1"/>
  <c r="BP898" i="1"/>
  <c r="BO898" i="1"/>
  <c r="BN900" i="1"/>
  <c r="BP902" i="1"/>
  <c r="BO902" i="1"/>
  <c r="BN904" i="1"/>
  <c r="BP906" i="1"/>
  <c r="BO906" i="1"/>
  <c r="BN908" i="1"/>
  <c r="BP910" i="1"/>
  <c r="BO910" i="1"/>
  <c r="BN912" i="1"/>
  <c r="BP914" i="1"/>
  <c r="BN914" i="1"/>
  <c r="BO914" i="1"/>
  <c r="BP918" i="1"/>
  <c r="BN918" i="1"/>
  <c r="BO918" i="1"/>
  <c r="AK920" i="1"/>
  <c r="AK879" i="1" s="1"/>
  <c r="BG920" i="1"/>
  <c r="BG879" i="1" s="1"/>
  <c r="BG858" i="1" s="1"/>
  <c r="BP924" i="1"/>
  <c r="BO925" i="1"/>
  <c r="BN925" i="1"/>
  <c r="BO926" i="1"/>
  <c r="BN926" i="1"/>
  <c r="BP929" i="1"/>
  <c r="BO930" i="1"/>
  <c r="BN930" i="1"/>
  <c r="BP933" i="1"/>
  <c r="BO934" i="1"/>
  <c r="AR978" i="1"/>
  <c r="AV978" i="1"/>
  <c r="AZ978" i="1"/>
  <c r="AH991" i="1"/>
  <c r="AP993" i="1"/>
  <c r="AX993" i="1"/>
  <c r="BP1004" i="1"/>
  <c r="B759" i="1" a="1"/>
  <c r="B759" i="1" s="1"/>
  <c r="B760" i="1" a="1"/>
  <c r="B760" i="1" s="1"/>
  <c r="A762" i="1" a="1"/>
  <c r="A762" i="1" s="1"/>
  <c r="B762" i="1" s="1" a="1"/>
  <c r="B762" i="1" s="1"/>
  <c r="AE814" i="1"/>
  <c r="AE810" i="1" s="1"/>
  <c r="BB820" i="1" a="1"/>
  <c r="BB820" i="1" s="1"/>
  <c r="AB823" i="1"/>
  <c r="AB824" i="1"/>
  <c r="Y825" i="1"/>
  <c r="Y826" i="1" s="1"/>
  <c r="M840" i="1" a="1"/>
  <c r="M840" i="1" s="1"/>
  <c r="M851" i="1" a="1"/>
  <c r="M851" i="1" s="1"/>
  <c r="BH859" i="1"/>
  <c r="AS864" i="1"/>
  <c r="BE864" i="1"/>
  <c r="AS866" i="1"/>
  <c r="BI866" i="1"/>
  <c r="BN870" i="1"/>
  <c r="AX879" i="1"/>
  <c r="BF879" i="1"/>
  <c r="BF858" i="1" s="1"/>
  <c r="BJ879" i="1"/>
  <c r="BP887" i="1"/>
  <c r="BO887" i="1"/>
  <c r="BN889" i="1"/>
  <c r="BP891" i="1"/>
  <c r="BO891" i="1"/>
  <c r="BN893" i="1"/>
  <c r="BP895" i="1"/>
  <c r="BO895" i="1"/>
  <c r="BN897" i="1"/>
  <c r="BP899" i="1"/>
  <c r="BO899" i="1"/>
  <c r="BN901" i="1"/>
  <c r="BP903" i="1"/>
  <c r="BO903" i="1"/>
  <c r="AX920" i="1"/>
  <c r="BN922" i="1"/>
  <c r="BP926" i="1"/>
  <c r="BO927" i="1"/>
  <c r="BN927" i="1"/>
  <c r="BP930" i="1"/>
  <c r="BO931" i="1"/>
  <c r="BN931" i="1"/>
  <c r="BP938" i="1"/>
  <c r="BO939" i="1"/>
  <c r="BP940" i="1"/>
  <c r="BP941" i="1"/>
  <c r="BO942" i="1"/>
  <c r="BN942" i="1"/>
  <c r="BO944" i="1"/>
  <c r="BP945" i="1"/>
  <c r="BO946" i="1"/>
  <c r="BO947" i="1"/>
  <c r="BN952" i="1"/>
  <c r="BN953" i="1"/>
  <c r="BO953" i="1"/>
  <c r="BP953" i="1"/>
  <c r="BO958" i="1"/>
  <c r="BO961" i="1"/>
  <c r="BN962" i="1"/>
  <c r="BP962" i="1"/>
  <c r="BN965" i="1"/>
  <c r="BO965" i="1"/>
  <c r="BP965" i="1"/>
  <c r="BO966" i="1"/>
  <c r="BO967" i="1"/>
  <c r="AU973" i="1"/>
  <c r="BF993" i="1"/>
  <c r="AE8" i="2" a="1"/>
  <c r="AE8" i="2" s="1"/>
  <c r="AE2" i="2" a="1"/>
  <c r="AE2" i="2" s="1"/>
  <c r="AE6" i="2" a="1"/>
  <c r="AE6" i="2" s="1"/>
  <c r="AE9" i="2" a="1"/>
  <c r="AE9" i="2" s="1"/>
  <c r="BG115" i="2"/>
  <c r="BG109" i="2"/>
  <c r="BP115" i="2"/>
  <c r="BP109" i="2" a="1"/>
  <c r="BP109" i="2" s="1"/>
  <c r="BO665" i="1"/>
  <c r="BO697" i="1"/>
  <c r="AP672" i="1"/>
  <c r="AU672" i="1"/>
  <c r="M807" i="1" a="1"/>
  <c r="M807" i="1" s="1"/>
  <c r="AX820" i="1" a="1"/>
  <c r="AX820" i="1" s="1"/>
  <c r="BC820" i="1"/>
  <c r="M826" i="1" a="1"/>
  <c r="M826" i="1" s="1"/>
  <c r="M858" i="1" a="1"/>
  <c r="M858" i="1" s="1"/>
  <c r="M861" i="1" a="1"/>
  <c r="M861" i="1" s="1"/>
  <c r="BA858" i="1"/>
  <c r="BI859" i="1"/>
  <c r="AM864" i="1"/>
  <c r="AH866" i="1"/>
  <c r="AW866" i="1"/>
  <c r="BN867" i="1"/>
  <c r="BN884" i="1"/>
  <c r="AE886" i="1"/>
  <c r="BP888" i="1"/>
  <c r="BO888" i="1"/>
  <c r="BN890" i="1"/>
  <c r="BP892" i="1"/>
  <c r="BO892" i="1"/>
  <c r="BN894" i="1"/>
  <c r="BP896" i="1"/>
  <c r="BO896" i="1"/>
  <c r="BN898" i="1"/>
  <c r="BP900" i="1"/>
  <c r="BO900" i="1"/>
  <c r="BN902" i="1"/>
  <c r="BP904" i="1"/>
  <c r="BO904" i="1"/>
  <c r="BN906" i="1"/>
  <c r="BP908" i="1"/>
  <c r="BO908" i="1"/>
  <c r="BN910" i="1"/>
  <c r="BP912" i="1"/>
  <c r="BO912" i="1"/>
  <c r="BP916" i="1"/>
  <c r="BN916" i="1"/>
  <c r="BO916" i="1"/>
  <c r="BH109" i="2" a="1"/>
  <c r="BH109" i="2" s="1"/>
  <c r="BH115" i="2"/>
  <c r="BH118" i="2" s="1"/>
  <c r="BQ109" i="2" a="1"/>
  <c r="BQ109" i="2" s="1"/>
  <c r="BQ115" i="2"/>
  <c r="BQ118" i="2" s="1"/>
  <c r="BP936" i="1"/>
  <c r="BO937" i="1"/>
  <c r="BN937" i="1"/>
  <c r="BO948" i="1"/>
  <c r="BO950" i="1"/>
  <c r="BN955" i="1"/>
  <c r="BO955" i="1"/>
  <c r="BP955" i="1"/>
  <c r="BN960" i="1"/>
  <c r="BP960" i="1"/>
  <c r="BO963" i="1"/>
  <c r="BN969" i="1"/>
  <c r="BO969" i="1"/>
  <c r="BP969" i="1"/>
  <c r="BN979" i="1"/>
  <c r="AM976" i="1"/>
  <c r="AM973" i="1" s="1"/>
  <c r="BO985" i="1"/>
  <c r="AP983" i="1"/>
  <c r="AX983" i="1"/>
  <c r="BF983" i="1"/>
  <c r="AN983" i="1"/>
  <c r="AR983" i="1"/>
  <c r="AV983" i="1"/>
  <c r="AZ983" i="1"/>
  <c r="BD983" i="1"/>
  <c r="BH983" i="1"/>
  <c r="AP991" i="1"/>
  <c r="BE991" i="1"/>
  <c r="BI991" i="1"/>
  <c r="BJ993" i="1"/>
  <c r="BP998" i="1"/>
  <c r="AK1001" i="1"/>
  <c r="BO1003" i="1"/>
  <c r="BN1010" i="1"/>
  <c r="BP1012" i="1"/>
  <c r="BN1014" i="1"/>
  <c r="BP1015" i="1"/>
  <c r="BO1015" i="1"/>
  <c r="BN1017" i="1"/>
  <c r="BO1021" i="1"/>
  <c r="BP1022" i="1"/>
  <c r="BO1024" i="1"/>
  <c r="BP1026" i="1"/>
  <c r="BP1028" i="1"/>
  <c r="AN1035" i="1"/>
  <c r="AN1032" i="1" s="1"/>
  <c r="BO1042" i="1"/>
  <c r="BN1043" i="1"/>
  <c r="BP1043" i="1"/>
  <c r="BP1053" i="1"/>
  <c r="AH1064" i="1"/>
  <c r="AL1064" i="1"/>
  <c r="AP1064" i="1"/>
  <c r="AT1064" i="1"/>
  <c r="AT1063" i="1" s="1"/>
  <c r="AX1064" i="1"/>
  <c r="BB1064" i="1"/>
  <c r="BF1064" i="1"/>
  <c r="BJ1064" i="1"/>
  <c r="BP1069" i="1"/>
  <c r="BN1075" i="1"/>
  <c r="BO1076" i="1"/>
  <c r="AG1078" i="1"/>
  <c r="AK1078" i="1"/>
  <c r="AP1078" i="1"/>
  <c r="AT1078" i="1"/>
  <c r="AX1078" i="1"/>
  <c r="BF1078" i="1"/>
  <c r="BJ1078" i="1"/>
  <c r="AQ1078" i="1"/>
  <c r="AY1078" i="1"/>
  <c r="BG1078" i="1"/>
  <c r="BP1084" i="1"/>
  <c r="AH1088" i="1"/>
  <c r="AL1088" i="1"/>
  <c r="AP1088" i="1"/>
  <c r="BF1088" i="1"/>
  <c r="BP1104" i="1"/>
  <c r="BP1106" i="1"/>
  <c r="BP1107" i="1"/>
  <c r="AF1165" i="1"/>
  <c r="AJ1165" i="1"/>
  <c r="AN1165" i="1"/>
  <c r="AS1155" i="1"/>
  <c r="AW1165" i="1"/>
  <c r="AW1166" i="1" s="1"/>
  <c r="BA1165" i="1"/>
  <c r="BA1166" i="1" s="1"/>
  <c r="BN1157" i="1"/>
  <c r="AH1164" i="1"/>
  <c r="AL1164" i="1"/>
  <c r="AP1164" i="1"/>
  <c r="AT1164" i="1"/>
  <c r="AX1164" i="1"/>
  <c r="BB1164" i="1"/>
  <c r="BF1164" i="1"/>
  <c r="BJ1164" i="1"/>
  <c r="BP1163" i="1"/>
  <c r="AG2" i="2" a="1"/>
  <c r="AG2" i="2" s="1"/>
  <c r="AM112" i="2"/>
  <c r="BK112" i="2"/>
  <c r="BZ121" i="2"/>
  <c r="AY145" i="2"/>
  <c r="AY144" i="2" s="1"/>
  <c r="AY143" i="2" s="1"/>
  <c r="BZ147" i="2"/>
  <c r="AG150" i="2"/>
  <c r="BB154" i="2"/>
  <c r="AN144" i="2"/>
  <c r="AS165" i="2"/>
  <c r="AS144" i="2" s="1"/>
  <c r="AS143" i="2" s="1"/>
  <c r="AY165" i="2"/>
  <c r="BD144" i="2"/>
  <c r="BF192" i="2"/>
  <c r="BF165" i="2" s="1"/>
  <c r="BL144" i="2"/>
  <c r="BR192" i="2"/>
  <c r="BR165" i="2" s="1"/>
  <c r="BF1008" i="1"/>
  <c r="BO1027" i="1"/>
  <c r="AJ1063" i="1"/>
  <c r="BD1063" i="1"/>
  <c r="Y1093" i="1"/>
  <c r="AK1166" i="1"/>
  <c r="AK1155" i="1"/>
  <c r="AR880" i="2"/>
  <c r="BZ154" i="2"/>
  <c r="AR947" i="2"/>
  <c r="BZ207" i="2"/>
  <c r="BI978" i="2"/>
  <c r="BI192" i="2"/>
  <c r="BI165" i="2" s="1"/>
  <c r="BI144" i="2" s="1"/>
  <c r="BC980" i="2"/>
  <c r="BY240" i="2"/>
  <c r="AX992" i="2"/>
  <c r="AX248" i="2"/>
  <c r="AX245" i="2" s="1"/>
  <c r="BF992" i="2"/>
  <c r="BF988" i="2" s="1"/>
  <c r="BF985" i="2" s="1"/>
  <c r="BF248" i="2"/>
  <c r="BF245" i="2" s="1"/>
  <c r="M529" i="2" a="1"/>
  <c r="M529" i="2" s="1"/>
  <c r="M478" i="2" a="1"/>
  <c r="M478" i="2" s="1"/>
  <c r="M459" i="2" a="1"/>
  <c r="M459" i="2" s="1"/>
  <c r="M498" i="2" a="1"/>
  <c r="M498" i="2" s="1"/>
  <c r="M486" i="2" a="1"/>
  <c r="M486" i="2" s="1"/>
  <c r="M505" i="2" a="1"/>
  <c r="M505" i="2" s="1"/>
  <c r="M469" i="2" a="1"/>
  <c r="M469" i="2" s="1"/>
  <c r="BO968" i="1"/>
  <c r="BN971" i="1"/>
  <c r="BO971" i="1"/>
  <c r="BP971" i="1"/>
  <c r="AJ978" i="1"/>
  <c r="AN978" i="1"/>
  <c r="AS976" i="1"/>
  <c r="AS973" i="1" s="1"/>
  <c r="BN986" i="1"/>
  <c r="AI983" i="1"/>
  <c r="BP986" i="1"/>
  <c r="AQ983" i="1"/>
  <c r="AY983" i="1"/>
  <c r="BG983" i="1"/>
  <c r="AH993" i="1"/>
  <c r="AL993" i="1"/>
  <c r="BO1004" i="1"/>
  <c r="BO1013" i="1"/>
  <c r="BP1014" i="1"/>
  <c r="BO1016" i="1"/>
  <c r="BP1017" i="1"/>
  <c r="BP1020" i="1"/>
  <c r="BN1022" i="1"/>
  <c r="BP1023" i="1"/>
  <c r="BO1023" i="1"/>
  <c r="BN1025" i="1"/>
  <c r="BN1026" i="1"/>
  <c r="AI1008" i="1"/>
  <c r="AI1001" i="1" s="1"/>
  <c r="AM1008" i="1"/>
  <c r="AM1001" i="1" s="1"/>
  <c r="AM982" i="1" s="1"/>
  <c r="AQ1008" i="1"/>
  <c r="AQ1001" i="1" s="1"/>
  <c r="AU1008" i="1"/>
  <c r="AU1001" i="1" s="1"/>
  <c r="AU982" i="1" s="1"/>
  <c r="BC1008" i="1"/>
  <c r="BC1001" i="1" s="1"/>
  <c r="BC982" i="1" s="1"/>
  <c r="BG1008" i="1"/>
  <c r="BG1001" i="1" s="1"/>
  <c r="BN1034" i="1"/>
  <c r="BP1034" i="1"/>
  <c r="BO1044" i="1"/>
  <c r="BP1054" i="1"/>
  <c r="BO1065" i="1"/>
  <c r="BP1067" i="1"/>
  <c r="BN1067" i="1"/>
  <c r="BO1067" i="1"/>
  <c r="BN1070" i="1"/>
  <c r="AI1064" i="1"/>
  <c r="AQ1064" i="1"/>
  <c r="AY1064" i="1"/>
  <c r="BG1064" i="1"/>
  <c r="BP1072" i="1"/>
  <c r="BO1073" i="1"/>
  <c r="BP1077" i="1"/>
  <c r="BN1084" i="1"/>
  <c r="AI1088" i="1"/>
  <c r="AM1088" i="1"/>
  <c r="AM1063" i="1" s="1"/>
  <c r="AQ1088" i="1"/>
  <c r="AU1088" i="1"/>
  <c r="AU1063" i="1" s="1"/>
  <c r="AY1088" i="1"/>
  <c r="BC1088" i="1"/>
  <c r="BC1063" i="1" s="1"/>
  <c r="BG1088" i="1"/>
  <c r="BK1088" i="1"/>
  <c r="BK1063" i="1" s="1"/>
  <c r="Y1094" i="1"/>
  <c r="BP1094" i="1"/>
  <c r="AI1103" i="1"/>
  <c r="AM1103" i="1"/>
  <c r="AQ1103" i="1"/>
  <c r="AU1103" i="1"/>
  <c r="AY1103" i="1"/>
  <c r="BC1103" i="1"/>
  <c r="BG1103" i="1"/>
  <c r="BK1103" i="1"/>
  <c r="BO1105" i="1"/>
  <c r="BN1105" i="1"/>
  <c r="AH1165" i="1"/>
  <c r="AL1165" i="1"/>
  <c r="AQ1165" i="1"/>
  <c r="AU1165" i="1"/>
  <c r="AY1165" i="1"/>
  <c r="BC1165" i="1"/>
  <c r="BG1165" i="1"/>
  <c r="BK1165" i="1"/>
  <c r="AJ1158" i="1"/>
  <c r="AN1158" i="1"/>
  <c r="BA1158" i="1"/>
  <c r="AQ1161" i="1"/>
  <c r="AU1161" i="1"/>
  <c r="AY1161" i="1"/>
  <c r="BD1161" i="1"/>
  <c r="BH1161" i="1"/>
  <c r="BN1163" i="1"/>
  <c r="AU109" i="2"/>
  <c r="AV145" i="2"/>
  <c r="AV144" i="2" s="1"/>
  <c r="AU144" i="2"/>
  <c r="BY250" i="2"/>
  <c r="BN905" i="1"/>
  <c r="BP907" i="1"/>
  <c r="BO907" i="1"/>
  <c r="BN909" i="1"/>
  <c r="BP911" i="1"/>
  <c r="BO911" i="1"/>
  <c r="BN913" i="1"/>
  <c r="BP915" i="1"/>
  <c r="BN915" i="1"/>
  <c r="BO915" i="1"/>
  <c r="BP919" i="1"/>
  <c r="BN919" i="1"/>
  <c r="BO919" i="1"/>
  <c r="BO923" i="1"/>
  <c r="BN923" i="1"/>
  <c r="BP927" i="1"/>
  <c r="BO928" i="1"/>
  <c r="BN928" i="1"/>
  <c r="BP931" i="1"/>
  <c r="BO932" i="1"/>
  <c r="BN932" i="1"/>
  <c r="BN935" i="1"/>
  <c r="BO936" i="1"/>
  <c r="BN936" i="1"/>
  <c r="BP942" i="1"/>
  <c r="BO943" i="1"/>
  <c r="BP946" i="1"/>
  <c r="BN948" i="1"/>
  <c r="BP948" i="1"/>
  <c r="BN950" i="1"/>
  <c r="BP950" i="1"/>
  <c r="BO952" i="1"/>
  <c r="BN954" i="1"/>
  <c r="BO954" i="1"/>
  <c r="BP954" i="1"/>
  <c r="BO957" i="1"/>
  <c r="BO962" i="1"/>
  <c r="BN972" i="1"/>
  <c r="BO972" i="1"/>
  <c r="BP972" i="1"/>
  <c r="BP974" i="1"/>
  <c r="BO975" i="1"/>
  <c r="AF978" i="1"/>
  <c r="AK976" i="1"/>
  <c r="AK973" i="1" s="1"/>
  <c r="AQ976" i="1"/>
  <c r="AQ973" i="1" s="1"/>
  <c r="AK983" i="1"/>
  <c r="AK982" i="1" s="1"/>
  <c r="AO983" i="1"/>
  <c r="AS983" i="1"/>
  <c r="AW983" i="1"/>
  <c r="BA983" i="1"/>
  <c r="BE983" i="1"/>
  <c r="BI983" i="1"/>
  <c r="BO989" i="1"/>
  <c r="AN991" i="1"/>
  <c r="BD993" i="1"/>
  <c r="BH993" i="1"/>
  <c r="BO998" i="1"/>
  <c r="BN998" i="1"/>
  <c r="AJ1001" i="1"/>
  <c r="AR1001" i="1"/>
  <c r="BN1003" i="1"/>
  <c r="AH1008" i="1"/>
  <c r="BJ1008" i="1"/>
  <c r="BO1011" i="1"/>
  <c r="BN1013" i="1"/>
  <c r="BO1017" i="1"/>
  <c r="BP1018" i="1"/>
  <c r="BO1020" i="1"/>
  <c r="BP1021" i="1"/>
  <c r="BP1024" i="1"/>
  <c r="BO1030" i="1"/>
  <c r="BP1031" i="1"/>
  <c r="AG1037" i="1"/>
  <c r="AK1037" i="1"/>
  <c r="AO1037" i="1"/>
  <c r="AS1037" i="1"/>
  <c r="AW1037" i="1"/>
  <c r="BA1037" i="1"/>
  <c r="BE1037" i="1"/>
  <c r="BI1037" i="1"/>
  <c r="BO1038" i="1"/>
  <c r="AJ1037" i="1"/>
  <c r="BN1038" i="1"/>
  <c r="BN1037" i="1" s="1"/>
  <c r="AR1037" i="1"/>
  <c r="AZ1037" i="1"/>
  <c r="BH1037" i="1"/>
  <c r="BI1035" i="1"/>
  <c r="AX1046" i="1"/>
  <c r="BP1057" i="1"/>
  <c r="BN1059" i="1"/>
  <c r="BN1065" i="1"/>
  <c r="BP1068" i="1"/>
  <c r="BO1072" i="1"/>
  <c r="BN1074" i="1"/>
  <c r="BP1076" i="1"/>
  <c r="AS1078" i="1"/>
  <c r="AW1078" i="1"/>
  <c r="BA1078" i="1"/>
  <c r="BE1078" i="1"/>
  <c r="BI1078" i="1"/>
  <c r="BP1083" i="1"/>
  <c r="BN1085" i="1"/>
  <c r="AN1088" i="1"/>
  <c r="AN1063" i="1" s="1"/>
  <c r="AV1088" i="1"/>
  <c r="AV1063" i="1" s="1"/>
  <c r="AZ1088" i="1"/>
  <c r="AZ1063" i="1" s="1"/>
  <c r="BD1088" i="1"/>
  <c r="BH1088" i="1"/>
  <c r="BH1063" i="1" s="1"/>
  <c r="AG1088" i="1"/>
  <c r="AO1088" i="1"/>
  <c r="AW1088" i="1"/>
  <c r="BA1088" i="1"/>
  <c r="BE1088" i="1"/>
  <c r="BI1088" i="1"/>
  <c r="BP1095" i="1"/>
  <c r="BN1100" i="1"/>
  <c r="BO1104" i="1"/>
  <c r="AJ1103" i="1"/>
  <c r="AN1103" i="1"/>
  <c r="AR1103" i="1"/>
  <c r="AV1103" i="1"/>
  <c r="AZ1103" i="1"/>
  <c r="BD1103" i="1"/>
  <c r="BH1103" i="1"/>
  <c r="AG1103" i="1"/>
  <c r="AK1103" i="1"/>
  <c r="AO1103" i="1"/>
  <c r="AS1103" i="1"/>
  <c r="AW1103" i="1"/>
  <c r="BA1103" i="1"/>
  <c r="BE1103" i="1"/>
  <c r="BI1103" i="1"/>
  <c r="BO1107" i="1"/>
  <c r="AI1165" i="1"/>
  <c r="AM1165" i="1"/>
  <c r="AR1165" i="1"/>
  <c r="AV1165" i="1"/>
  <c r="AZ1165" i="1"/>
  <c r="BD1165" i="1"/>
  <c r="BH1165" i="1"/>
  <c r="AF1158" i="1"/>
  <c r="AR1161" i="1"/>
  <c r="AV1161" i="1"/>
  <c r="AZ1161" i="1"/>
  <c r="BE1161" i="1"/>
  <c r="BI1161" i="1"/>
  <c r="BP1162" i="1"/>
  <c r="BP1164" i="1" s="1"/>
  <c r="AK1164" i="1"/>
  <c r="BO1162" i="1"/>
  <c r="BO1164" i="1" s="1"/>
  <c r="AW1164" i="1"/>
  <c r="BA1164" i="1"/>
  <c r="BE1164" i="1"/>
  <c r="AG6" i="2" a="1"/>
  <c r="AG6" i="2" s="1"/>
  <c r="AG77" i="2"/>
  <c r="AB110" i="2"/>
  <c r="BY121" i="2"/>
  <c r="AM144" i="2"/>
  <c r="AM143" i="2" s="1"/>
  <c r="BK144" i="2"/>
  <c r="BK143" i="2" s="1"/>
  <c r="BP144" i="2"/>
  <c r="BG150" i="2"/>
  <c r="BG144" i="2" s="1"/>
  <c r="BV150" i="2"/>
  <c r="BV144" i="2" s="1"/>
  <c r="BV143" i="2" s="1"/>
  <c r="CA172" i="2"/>
  <c r="AG165" i="2"/>
  <c r="BH144" i="2"/>
  <c r="BQ144" i="2"/>
  <c r="BU144" i="2"/>
  <c r="BM971" i="2"/>
  <c r="CA231" i="2"/>
  <c r="AQ192" i="2"/>
  <c r="AQ165" i="2" s="1"/>
  <c r="AQ144" i="2" s="1"/>
  <c r="AQ143" i="2" s="1"/>
  <c r="BY221" i="2"/>
  <c r="CA987" i="2"/>
  <c r="BG248" i="2"/>
  <c r="BG245" i="2" s="1"/>
  <c r="CA249" i="2"/>
  <c r="CA250" i="2" s="1"/>
  <c r="BY255" i="2"/>
  <c r="AI254" i="2"/>
  <c r="AX263" i="2"/>
  <c r="AX254" i="2" s="1"/>
  <c r="BY265" i="2"/>
  <c r="BM280" i="2"/>
  <c r="BM273" i="2" s="1"/>
  <c r="BM254" i="2" s="1"/>
  <c r="CA281" i="2"/>
  <c r="AF304" i="2"/>
  <c r="AH321" i="2"/>
  <c r="AH1061" i="2" s="1"/>
  <c r="BA335" i="2"/>
  <c r="BG335" i="2"/>
  <c r="BK335" i="2"/>
  <c r="BP335" i="2"/>
  <c r="AX335" i="2"/>
  <c r="BS335" i="2"/>
  <c r="CC375" i="2"/>
  <c r="BI490" i="2"/>
  <c r="BI491" i="2" s="1"/>
  <c r="BZ494" i="2"/>
  <c r="AQ510" i="2"/>
  <c r="AQ509" i="2" s="1"/>
  <c r="AO509" i="2"/>
  <c r="AO508" i="2" s="1"/>
  <c r="AO507" i="2" s="1"/>
  <c r="BO531" i="2"/>
  <c r="BO510" i="2" s="1"/>
  <c r="BO509" i="2" s="1"/>
  <c r="BS531" i="2"/>
  <c r="BS510" i="2" s="1"/>
  <c r="BZ561" i="2"/>
  <c r="AW561" i="2"/>
  <c r="AW531" i="2" s="1"/>
  <c r="AW510" i="2" s="1"/>
  <c r="BE978" i="2"/>
  <c r="BE561" i="2"/>
  <c r="BE531" i="2" s="1"/>
  <c r="BE510" i="2" s="1"/>
  <c r="BY576" i="2"/>
  <c r="BK951" i="2"/>
  <c r="BY577" i="2"/>
  <c r="AI621" i="2"/>
  <c r="BZ639" i="2"/>
  <c r="BP898" i="2"/>
  <c r="BD932" i="2"/>
  <c r="AJ335" i="2"/>
  <c r="AO335" i="2"/>
  <c r="AU335" i="2"/>
  <c r="BD490" i="2"/>
  <c r="BD491" i="2" s="1"/>
  <c r="BC510" i="2"/>
  <c r="BZ538" i="2"/>
  <c r="AF531" i="2"/>
  <c r="AF510" i="2" s="1"/>
  <c r="AI561" i="2"/>
  <c r="AI531" i="2" s="1"/>
  <c r="CA593" i="2"/>
  <c r="AI596" i="2"/>
  <c r="AI593" i="2" s="1"/>
  <c r="AE602" i="2"/>
  <c r="CB603" i="2"/>
  <c r="BP602" i="2"/>
  <c r="AG602" i="2"/>
  <c r="BY632" i="2"/>
  <c r="BG628" i="2"/>
  <c r="BG621" i="2" s="1"/>
  <c r="BS1021" i="2"/>
  <c r="BS1020" i="2" s="1"/>
  <c r="BS628" i="2"/>
  <c r="BS621" i="2" s="1"/>
  <c r="BS602" i="2" s="1"/>
  <c r="AB835" i="2"/>
  <c r="AB833" i="2"/>
  <c r="BD835" i="2"/>
  <c r="BD841" i="2"/>
  <c r="AH263" i="2"/>
  <c r="AH254" i="2" s="1"/>
  <c r="AV254" i="2"/>
  <c r="BY267" i="2"/>
  <c r="BZ273" i="2"/>
  <c r="AU254" i="2"/>
  <c r="BZ280" i="2"/>
  <c r="BQ307" i="2"/>
  <c r="BQ304" i="2" s="1"/>
  <c r="BJ309" i="2"/>
  <c r="BJ311" i="2"/>
  <c r="BJ307" i="2" s="1"/>
  <c r="BJ304" i="2" s="1"/>
  <c r="BY329" i="2"/>
  <c r="BY331" i="2"/>
  <c r="AY959" i="2"/>
  <c r="BY567" i="2"/>
  <c r="BK933" i="2"/>
  <c r="BK561" i="2"/>
  <c r="BK531" i="2" s="1"/>
  <c r="BK510" i="2" s="1"/>
  <c r="BK952" i="2"/>
  <c r="BY574" i="2"/>
  <c r="BC956" i="2"/>
  <c r="BC932" i="2" s="1"/>
  <c r="BY582" i="2"/>
  <c r="CA615" i="2"/>
  <c r="BE611" i="2"/>
  <c r="BE602" i="2" s="1"/>
  <c r="BI1051" i="2"/>
  <c r="BI1047" i="2" s="1"/>
  <c r="BI1044" i="2" s="1"/>
  <c r="BI642" i="2"/>
  <c r="BI639" i="2" s="1"/>
  <c r="BY649" i="2"/>
  <c r="BC639" i="2"/>
  <c r="BY1111" i="2"/>
  <c r="BZ1111" i="2"/>
  <c r="AU1184" i="2"/>
  <c r="AU878" i="2"/>
  <c r="AY1184" i="2"/>
  <c r="AY878" i="2"/>
  <c r="BM1184" i="2"/>
  <c r="BM876" i="2"/>
  <c r="BQ1184" i="2"/>
  <c r="BQ876" i="2"/>
  <c r="BK898" i="2"/>
  <c r="CA156" i="2"/>
  <c r="BZ172" i="2"/>
  <c r="AI192" i="2"/>
  <c r="BC192" i="2"/>
  <c r="BC165" i="2" s="1"/>
  <c r="BC144" i="2" s="1"/>
  <c r="AR932" i="2"/>
  <c r="BY193" i="2"/>
  <c r="BZ194" i="2"/>
  <c r="BZ231" i="2"/>
  <c r="AH248" i="2"/>
  <c r="AH245" i="2" s="1"/>
  <c r="BR250" i="2"/>
  <c r="AN254" i="2"/>
  <c r="AY254" i="2"/>
  <c r="BR255" i="2"/>
  <c r="CB255" i="2" s="1"/>
  <c r="CA261" i="2"/>
  <c r="BG263" i="2"/>
  <c r="BY263" i="2" s="1"/>
  <c r="AR265" i="2"/>
  <c r="BE307" i="2"/>
  <c r="BE304" i="2" s="1"/>
  <c r="AG318" i="2"/>
  <c r="AK318" i="2"/>
  <c r="AT318" i="2"/>
  <c r="BV320" i="2"/>
  <c r="BV319" i="2" s="1"/>
  <c r="CA329" i="2"/>
  <c r="BZ329" i="2"/>
  <c r="CB490" i="2"/>
  <c r="BZ496" i="2"/>
  <c r="BZ497" i="2"/>
  <c r="AY503" i="2"/>
  <c r="AY504" i="2" s="1"/>
  <c r="AY506" i="2" s="1"/>
  <c r="BD510" i="2"/>
  <c r="BD509" i="2" s="1"/>
  <c r="BL510" i="2"/>
  <c r="BL509" i="2" s="1"/>
  <c r="BP510" i="2"/>
  <c r="BT510" i="2"/>
  <c r="BT509" i="2" s="1"/>
  <c r="CA644" i="2"/>
  <c r="BR832" i="2"/>
  <c r="BQ832" i="2"/>
  <c r="AE838" i="2"/>
  <c r="AE841" i="2" s="1"/>
  <c r="AE832" i="2"/>
  <c r="BY832" i="2" s="1"/>
  <c r="AJ898" i="2"/>
  <c r="AO898" i="2"/>
  <c r="AT898" i="2"/>
  <c r="AY898" i="2"/>
  <c r="BD898" i="2"/>
  <c r="BI898" i="2"/>
  <c r="BO898" i="2"/>
  <c r="BS898" i="2"/>
  <c r="BY900" i="2"/>
  <c r="AE898" i="2"/>
  <c r="AW898" i="2"/>
  <c r="AM1005" i="2"/>
  <c r="AM1003" i="2"/>
  <c r="AU1005" i="2"/>
  <c r="AU1003" i="2"/>
  <c r="AY1005" i="2"/>
  <c r="AY1003" i="2"/>
  <c r="AX1100" i="2"/>
  <c r="BB1100" i="2"/>
  <c r="BG1100" i="2"/>
  <c r="BL1100" i="2"/>
  <c r="BQ1100" i="2"/>
  <c r="BU1100" i="2"/>
  <c r="BH1021" i="2"/>
  <c r="BH1020" i="2" s="1"/>
  <c r="BH1013" i="2" s="1"/>
  <c r="BJ632" i="2"/>
  <c r="BJ628" i="2" s="1"/>
  <c r="BY661" i="2"/>
  <c r="AU670" i="2"/>
  <c r="BZ695" i="2"/>
  <c r="BZ715" i="2"/>
  <c r="AO838" i="2"/>
  <c r="AO832" i="2" a="1"/>
  <c r="AO832" i="2" s="1"/>
  <c r="BE832" i="2" a="1"/>
  <c r="BE832" i="2" s="1"/>
  <c r="BE838" i="2"/>
  <c r="BE841" i="2" s="1"/>
  <c r="BH871" i="2"/>
  <c r="AM1184" i="2"/>
  <c r="AM1182" i="2" s="1"/>
  <c r="AM878" i="2"/>
  <c r="AQ1184" i="2"/>
  <c r="AQ878" i="2"/>
  <c r="AV1184" i="2"/>
  <c r="AV876" i="2"/>
  <c r="BS1184" i="2"/>
  <c r="BS878" i="2"/>
  <c r="AI878" i="2"/>
  <c r="BY882" i="2"/>
  <c r="AK898" i="2"/>
  <c r="AQ898" i="2"/>
  <c r="AU898" i="2"/>
  <c r="AZ898" i="2"/>
  <c r="BE898" i="2"/>
  <c r="BT898" i="2"/>
  <c r="BZ900" i="2"/>
  <c r="AM898" i="2"/>
  <c r="AR898" i="2"/>
  <c r="AV898" i="2"/>
  <c r="BA898" i="2"/>
  <c r="BL898" i="2"/>
  <c r="BQ898" i="2"/>
  <c r="BU898" i="2"/>
  <c r="CA952" i="2"/>
  <c r="BZ961" i="2"/>
  <c r="CA965" i="2"/>
  <c r="BZ965" i="2"/>
  <c r="BZ966" i="2"/>
  <c r="BY966" i="2"/>
  <c r="BY967" i="2"/>
  <c r="AU988" i="2"/>
  <c r="AU985" i="2" s="1"/>
  <c r="AY988" i="2"/>
  <c r="AY990" i="2"/>
  <c r="BM988" i="2"/>
  <c r="BY991" i="2"/>
  <c r="BL990" i="2"/>
  <c r="BP990" i="2"/>
  <c r="BY1010" i="2"/>
  <c r="BZ1010" i="2"/>
  <c r="CA1010" i="2"/>
  <c r="BK1044" i="2"/>
  <c r="CA1050" i="2"/>
  <c r="AG1049" i="2"/>
  <c r="AW1044" i="2"/>
  <c r="BY1055" i="2"/>
  <c r="BZ336" i="2"/>
  <c r="CA350" i="2"/>
  <c r="BZ360" i="2"/>
  <c r="CA372" i="2"/>
  <c r="AT1112" i="2"/>
  <c r="CB1112" i="2" s="1"/>
  <c r="CB375" i="2"/>
  <c r="CD376" i="2" s="1"/>
  <c r="AE462" i="2"/>
  <c r="BY489" i="2"/>
  <c r="BA503" i="2"/>
  <c r="BR510" i="2"/>
  <c r="BR509" i="2" s="1"/>
  <c r="BR508" i="2" s="1"/>
  <c r="BR507" i="2" s="1"/>
  <c r="BR767" i="2" s="1"/>
  <c r="BR773" i="2" s="1"/>
  <c r="BV510" i="2"/>
  <c r="AJ510" i="2"/>
  <c r="AJ509" i="2" s="1"/>
  <c r="AJ508" i="2" s="1"/>
  <c r="AJ507" i="2" s="1"/>
  <c r="AJ767" i="2" s="1"/>
  <c r="AJ773" i="2" s="1"/>
  <c r="AR510" i="2"/>
  <c r="AR509" i="2" s="1"/>
  <c r="AR508" i="2" s="1"/>
  <c r="AR507" i="2" s="1"/>
  <c r="AV510" i="2"/>
  <c r="AV509" i="2" s="1"/>
  <c r="AX509" i="2"/>
  <c r="CA538" i="2"/>
  <c r="CA575" i="2"/>
  <c r="CA596" i="2"/>
  <c r="CA598" i="2"/>
  <c r="BZ603" i="2"/>
  <c r="BY613" i="2"/>
  <c r="BH628" i="2"/>
  <c r="BH621" i="2" s="1"/>
  <c r="BH602" i="2" s="1"/>
  <c r="CA632" i="2"/>
  <c r="CB653" i="2"/>
  <c r="CB663" i="2"/>
  <c r="BY685" i="2"/>
  <c r="BY695" i="2"/>
  <c r="BG670" i="2"/>
  <c r="BL670" i="2"/>
  <c r="BQ670" i="2"/>
  <c r="BZ721" i="2"/>
  <c r="CA726" i="2"/>
  <c r="BZ746" i="2"/>
  <c r="CB761" i="2"/>
  <c r="AH832" i="2" a="1"/>
  <c r="AH832" i="2" s="1"/>
  <c r="BQ835" i="2"/>
  <c r="BF841" i="2"/>
  <c r="BG841" i="2"/>
  <c r="AK871" i="2"/>
  <c r="BT871" i="2"/>
  <c r="AZ876" i="2"/>
  <c r="BG898" i="2"/>
  <c r="CA912" i="2"/>
  <c r="BY921" i="2"/>
  <c r="AJ932" i="2"/>
  <c r="AV932" i="2"/>
  <c r="BL932" i="2"/>
  <c r="BP932" i="2"/>
  <c r="AT932" i="2"/>
  <c r="BZ946" i="2"/>
  <c r="BZ958" i="2"/>
  <c r="CA960" i="2"/>
  <c r="AU990" i="2"/>
  <c r="BD1013" i="2"/>
  <c r="AF1020" i="2"/>
  <c r="AJ1020" i="2"/>
  <c r="AJ1013" i="2" s="1"/>
  <c r="AO1020" i="2"/>
  <c r="AO1013" i="2" s="1"/>
  <c r="AS1020" i="2"/>
  <c r="AS1013" i="2" s="1"/>
  <c r="AE1020" i="2"/>
  <c r="AN1020" i="2"/>
  <c r="AN1013" i="2" s="1"/>
  <c r="AR1020" i="2"/>
  <c r="AR1013" i="2" s="1"/>
  <c r="AV1020" i="2"/>
  <c r="AV1013" i="2" s="1"/>
  <c r="BZ1024" i="2"/>
  <c r="BZ1026" i="2"/>
  <c r="BZ1028" i="2"/>
  <c r="BZ1030" i="2"/>
  <c r="BZ1032" i="2"/>
  <c r="BZ1034" i="2"/>
  <c r="BZ1036" i="2"/>
  <c r="BZ1040" i="2"/>
  <c r="BY1042" i="2"/>
  <c r="BZ1042" i="2"/>
  <c r="CA1043" i="2"/>
  <c r="AI1049" i="2"/>
  <c r="AI1047" i="2"/>
  <c r="AI1044" i="2" s="1"/>
  <c r="AN1049" i="2"/>
  <c r="AN1047" i="2"/>
  <c r="AN1044" i="2" s="1"/>
  <c r="AR1049" i="2"/>
  <c r="AR1047" i="2"/>
  <c r="AR1044" i="2" s="1"/>
  <c r="AZ1049" i="2"/>
  <c r="AZ1047" i="2"/>
  <c r="AZ1044" i="2" s="1"/>
  <c r="BE1049" i="2"/>
  <c r="BN1049" i="2"/>
  <c r="CA336" i="2"/>
  <c r="CA360" i="2"/>
  <c r="CB372" i="2"/>
  <c r="BY372" i="2"/>
  <c r="BY386" i="2"/>
  <c r="AB465" i="2"/>
  <c r="BZ489" i="2"/>
  <c r="CB496" i="2"/>
  <c r="AK510" i="2"/>
  <c r="AU510" i="2"/>
  <c r="AU509" i="2" s="1"/>
  <c r="BZ516" i="2"/>
  <c r="BZ518" i="2"/>
  <c r="AU932" i="2"/>
  <c r="CA955" i="2"/>
  <c r="BY600" i="2"/>
  <c r="CA603" i="2"/>
  <c r="BZ611" i="2"/>
  <c r="BF611" i="2"/>
  <c r="BF602" i="2" s="1"/>
  <c r="AK639" i="2"/>
  <c r="BZ685" i="2"/>
  <c r="CA695" i="2"/>
  <c r="CA721" i="2"/>
  <c r="BY721" i="2"/>
  <c r="CA732" i="2"/>
  <c r="AR732" i="2"/>
  <c r="CC732" i="2" s="1"/>
  <c r="AG830" i="2"/>
  <c r="AW838" i="2"/>
  <c r="AW835" i="2" s="1"/>
  <c r="BU841" i="2"/>
  <c r="BZ904" i="2"/>
  <c r="CA906" i="2"/>
  <c r="BY908" i="2"/>
  <c r="CA909" i="2"/>
  <c r="BZ909" i="2"/>
  <c r="BZ910" i="2"/>
  <c r="BY910" i="2"/>
  <c r="BY911" i="2"/>
  <c r="CA913" i="2"/>
  <c r="BZ913" i="2"/>
  <c r="BZ914" i="2"/>
  <c r="BY914" i="2"/>
  <c r="BY915" i="2"/>
  <c r="CA957" i="2"/>
  <c r="CA958" i="2"/>
  <c r="BZ968" i="2"/>
  <c r="BY972" i="2"/>
  <c r="CA973" i="2"/>
  <c r="BZ973" i="2"/>
  <c r="BZ974" i="2"/>
  <c r="BY974" i="2"/>
  <c r="AQ1003" i="2"/>
  <c r="BZ1039" i="2"/>
  <c r="AY1044" i="2"/>
  <c r="AO1049" i="2"/>
  <c r="BF1049" i="2"/>
  <c r="BK1090" i="2"/>
  <c r="BY1083" i="2"/>
  <c r="AV1090" i="2"/>
  <c r="BP1090" i="2"/>
  <c r="AO1198" i="2"/>
  <c r="AO1205" i="2"/>
  <c r="AO1208" i="2" s="1"/>
  <c r="CA844" i="2"/>
  <c r="BZ875" i="2"/>
  <c r="AF1184" i="2"/>
  <c r="AN1184" i="2"/>
  <c r="CB879" i="2"/>
  <c r="BZ882" i="2"/>
  <c r="CA896" i="2"/>
  <c r="CA900" i="2"/>
  <c r="CA902" i="2"/>
  <c r="BY902" i="2"/>
  <c r="BY903" i="2"/>
  <c r="AI898" i="2"/>
  <c r="AS898" i="2"/>
  <c r="BC898" i="2"/>
  <c r="BY909" i="2"/>
  <c r="BZ912" i="2"/>
  <c r="CA914" i="2"/>
  <c r="BY916" i="2"/>
  <c r="CA917" i="2"/>
  <c r="BZ917" i="2"/>
  <c r="BZ918" i="2"/>
  <c r="BY918" i="2"/>
  <c r="BY919" i="2"/>
  <c r="CA923" i="2"/>
  <c r="CA924" i="2"/>
  <c r="BZ924" i="2"/>
  <c r="BZ925" i="2"/>
  <c r="BY925" i="2"/>
  <c r="BY926" i="2"/>
  <c r="CA927" i="2"/>
  <c r="CA928" i="2"/>
  <c r="BZ928" i="2"/>
  <c r="BZ929" i="2"/>
  <c r="BY929" i="2"/>
  <c r="BY930" i="2"/>
  <c r="CA931" i="2"/>
  <c r="BZ935" i="2"/>
  <c r="BY935" i="2"/>
  <c r="BZ939" i="2"/>
  <c r="BY939" i="2"/>
  <c r="CA941" i="2"/>
  <c r="AZ932" i="2"/>
  <c r="BT932" i="2"/>
  <c r="CA947" i="2"/>
  <c r="BZ949" i="2"/>
  <c r="BY949" i="2"/>
  <c r="CA953" i="2"/>
  <c r="BY953" i="2"/>
  <c r="BZ953" i="2"/>
  <c r="BY960" i="2"/>
  <c r="BZ967" i="2"/>
  <c r="BZ970" i="2"/>
  <c r="BY970" i="2"/>
  <c r="CA976" i="2"/>
  <c r="CA977" i="2"/>
  <c r="CA981" i="2"/>
  <c r="BZ982" i="2"/>
  <c r="BY982" i="2"/>
  <c r="BY983" i="2"/>
  <c r="BL985" i="2"/>
  <c r="AI990" i="2"/>
  <c r="AF990" i="2"/>
  <c r="AJ990" i="2"/>
  <c r="AN990" i="2"/>
  <c r="BD990" i="2"/>
  <c r="BH990" i="2"/>
  <c r="BM990" i="2"/>
  <c r="BQ990" i="2"/>
  <c r="BU990" i="2"/>
  <c r="AO995" i="2"/>
  <c r="BL995" i="2"/>
  <c r="BQ995" i="2"/>
  <c r="BU995" i="2"/>
  <c r="BU994" i="2" s="1"/>
  <c r="AP995" i="2"/>
  <c r="AT995" i="2"/>
  <c r="AX995" i="2"/>
  <c r="BC995" i="2"/>
  <c r="BC994" i="2" s="1"/>
  <c r="BH995" i="2"/>
  <c r="BZ1000" i="2"/>
  <c r="BS1005" i="2"/>
  <c r="BS1003" i="2"/>
  <c r="AE1005" i="2"/>
  <c r="BA1020" i="2"/>
  <c r="BA1013" i="2" s="1"/>
  <c r="AJ1049" i="2"/>
  <c r="AS1049" i="2"/>
  <c r="BA1049" i="2"/>
  <c r="BT1049" i="2"/>
  <c r="BT1047" i="2"/>
  <c r="BT1044" i="2" s="1"/>
  <c r="CA1071" i="2"/>
  <c r="CA1077" i="2"/>
  <c r="AP1076" i="2"/>
  <c r="AT1076" i="2"/>
  <c r="AT1075" i="2" s="1"/>
  <c r="AX1076" i="2"/>
  <c r="BB1076" i="2"/>
  <c r="BG1076" i="2"/>
  <c r="BK1076" i="2"/>
  <c r="BP1076" i="2"/>
  <c r="BU1076" i="2"/>
  <c r="CB1079" i="2"/>
  <c r="AM1090" i="2"/>
  <c r="AW1090" i="2"/>
  <c r="BB1090" i="2"/>
  <c r="BJ1075" i="2"/>
  <c r="BY1092" i="2"/>
  <c r="BY1094" i="2"/>
  <c r="BY1096" i="2"/>
  <c r="AG842" i="2"/>
  <c r="BG871" i="2"/>
  <c r="BL871" i="2"/>
  <c r="AJ876" i="2"/>
  <c r="AW876" i="2"/>
  <c r="AG878" i="2"/>
  <c r="AK1184" i="2"/>
  <c r="AO1184" i="2"/>
  <c r="BC1184" i="2"/>
  <c r="BG1184" i="2"/>
  <c r="BL1184" i="2"/>
  <c r="BP1184" i="2"/>
  <c r="BU1184" i="2"/>
  <c r="BU1182" i="2" s="1"/>
  <c r="BG878" i="2"/>
  <c r="BY879" i="2"/>
  <c r="BL878" i="2"/>
  <c r="BP878" i="2"/>
  <c r="BT878" i="2"/>
  <c r="BZ901" i="2"/>
  <c r="BZ902" i="2"/>
  <c r="BY904" i="2"/>
  <c r="CA905" i="2"/>
  <c r="BZ905" i="2"/>
  <c r="BZ906" i="2"/>
  <c r="BY906" i="2"/>
  <c r="BY907" i="2"/>
  <c r="BY913" i="2"/>
  <c r="BZ916" i="2"/>
  <c r="CA918" i="2"/>
  <c r="BY920" i="2"/>
  <c r="CA921" i="2"/>
  <c r="BZ921" i="2"/>
  <c r="BZ922" i="2"/>
  <c r="BY923" i="2"/>
  <c r="CA925" i="2"/>
  <c r="BY927" i="2"/>
  <c r="CA929" i="2"/>
  <c r="BY931" i="2"/>
  <c r="BZ936" i="2"/>
  <c r="BY936" i="2"/>
  <c r="BZ938" i="2"/>
  <c r="BQ932" i="2"/>
  <c r="BZ940" i="2"/>
  <c r="AO932" i="2"/>
  <c r="BZ943" i="2"/>
  <c r="BY943" i="2"/>
  <c r="BZ945" i="2"/>
  <c r="BZ950" i="2"/>
  <c r="BY950" i="2"/>
  <c r="BZ960" i="2"/>
  <c r="BY964" i="2"/>
  <c r="CA967" i="2"/>
  <c r="BY968" i="2"/>
  <c r="CA970" i="2"/>
  <c r="BZ979" i="2"/>
  <c r="AN988" i="2"/>
  <c r="AN985" i="2" s="1"/>
  <c r="BO990" i="2"/>
  <c r="BK990" i="2"/>
  <c r="BY998" i="2"/>
  <c r="AQ995" i="2"/>
  <c r="AU995" i="2"/>
  <c r="AY995" i="2"/>
  <c r="AY994" i="2" s="1"/>
  <c r="BD995" i="2"/>
  <c r="BI995" i="2"/>
  <c r="BY999" i="2"/>
  <c r="BZ999" i="2"/>
  <c r="AS1003" i="2"/>
  <c r="BK1005" i="2"/>
  <c r="BK1003" i="2"/>
  <c r="BY1014" i="2"/>
  <c r="CA1015" i="2"/>
  <c r="AK1013" i="2"/>
  <c r="AK1049" i="2"/>
  <c r="AT1049" i="2"/>
  <c r="BM1076" i="2"/>
  <c r="BY1084" i="2"/>
  <c r="CA1084" i="2"/>
  <c r="CA1011" i="2"/>
  <c r="CA1016" i="2"/>
  <c r="BY1016" i="2"/>
  <c r="BY1038" i="2"/>
  <c r="AQ1044" i="2"/>
  <c r="BU1044" i="2"/>
  <c r="CA1048" i="2"/>
  <c r="AS1047" i="2"/>
  <c r="AS1044" i="2" s="1"/>
  <c r="CA1055" i="2"/>
  <c r="BY1061" i="2"/>
  <c r="BY1066" i="2"/>
  <c r="BY1071" i="2"/>
  <c r="AH1076" i="2"/>
  <c r="AM1076" i="2"/>
  <c r="AQ1076" i="2"/>
  <c r="AQ1075" i="2" s="1"/>
  <c r="AU1076" i="2"/>
  <c r="AU1075" i="2" s="1"/>
  <c r="AY1076" i="2"/>
  <c r="AY1075" i="2" s="1"/>
  <c r="BC1076" i="2"/>
  <c r="BH1076" i="2"/>
  <c r="BL1076" i="2"/>
  <c r="BQ1076" i="2"/>
  <c r="CB1078" i="2"/>
  <c r="BY1079" i="2"/>
  <c r="CB1080" i="2"/>
  <c r="CA1080" i="2"/>
  <c r="BY1081" i="2"/>
  <c r="BZ1083" i="2"/>
  <c r="CA1083" i="2"/>
  <c r="BZ1085" i="2"/>
  <c r="BZ1086" i="2"/>
  <c r="CB1087" i="2"/>
  <c r="CA1087" i="2"/>
  <c r="AE1090" i="2"/>
  <c r="AI1090" i="2"/>
  <c r="AN1090" i="2"/>
  <c r="AS1090" i="2"/>
  <c r="AS1075" i="2" s="1"/>
  <c r="BZ1112" i="2"/>
  <c r="BZ1113" i="2"/>
  <c r="CA1123" i="2"/>
  <c r="BG1181" i="2"/>
  <c r="BE1195" i="2"/>
  <c r="BE1205" i="2"/>
  <c r="BE1208" i="2" s="1"/>
  <c r="BZ1224" i="2"/>
  <c r="BZ984" i="2"/>
  <c r="AQ988" i="2"/>
  <c r="AQ985" i="2" s="1"/>
  <c r="AV988" i="2"/>
  <c r="AZ988" i="2"/>
  <c r="AZ985" i="2" s="1"/>
  <c r="AK990" i="2"/>
  <c r="AO990" i="2"/>
  <c r="AS990" i="2"/>
  <c r="AW990" i="2"/>
  <c r="BA990" i="2"/>
  <c r="BE990" i="2"/>
  <c r="AN995" i="2"/>
  <c r="AR995" i="2"/>
  <c r="AV995" i="2"/>
  <c r="AZ995" i="2"/>
  <c r="BE995" i="2"/>
  <c r="BK995" i="2"/>
  <c r="BP995" i="2"/>
  <c r="BT995" i="2"/>
  <c r="BY1000" i="2"/>
  <c r="BZ1001" i="2"/>
  <c r="CA1004" i="2"/>
  <c r="AK1005" i="2"/>
  <c r="AP1005" i="2"/>
  <c r="AT1005" i="2"/>
  <c r="AX1005" i="2"/>
  <c r="BC1005" i="2"/>
  <c r="BG1005" i="2"/>
  <c r="BY1006" i="2"/>
  <c r="BY1011" i="2"/>
  <c r="AQ1013" i="2"/>
  <c r="AU1013" i="2"/>
  <c r="BK1013" i="2"/>
  <c r="BZ1038" i="2"/>
  <c r="CA1038" i="2"/>
  <c r="BY1040" i="2"/>
  <c r="BY1043" i="2"/>
  <c r="BY1046" i="2"/>
  <c r="AM1049" i="2"/>
  <c r="AQ1049" i="2"/>
  <c r="AU1049" i="2"/>
  <c r="AY1049" i="2"/>
  <c r="BZ1050" i="2"/>
  <c r="AJ1047" i="2"/>
  <c r="AJ1044" i="2" s="1"/>
  <c r="AO1047" i="2"/>
  <c r="AO1044" i="2" s="1"/>
  <c r="BZ1056" i="2"/>
  <c r="AI1076" i="2"/>
  <c r="AN1076" i="2"/>
  <c r="AV1076" i="2"/>
  <c r="AZ1076" i="2"/>
  <c r="BD1076" i="2"/>
  <c r="CA1078" i="2"/>
  <c r="BZ1080" i="2"/>
  <c r="CB1081" i="2"/>
  <c r="CB1084" i="2"/>
  <c r="CB1086" i="2"/>
  <c r="BY1086" i="2"/>
  <c r="BZ1087" i="2"/>
  <c r="AJ1090" i="2"/>
  <c r="AO1090" i="2"/>
  <c r="AZ1090" i="2"/>
  <c r="BD1090" i="2"/>
  <c r="BH1090" i="2"/>
  <c r="BL1090" i="2"/>
  <c r="BQ1090" i="2"/>
  <c r="AL1181" i="2"/>
  <c r="BM1171" i="2"/>
  <c r="CA1116" i="2"/>
  <c r="AU1115" i="2"/>
  <c r="BY1117" i="2"/>
  <c r="AP1181" i="2"/>
  <c r="AU1181" i="2"/>
  <c r="AY1181" i="2"/>
  <c r="AY1182" i="2" s="1"/>
  <c r="BD1181" i="2"/>
  <c r="BH1181" i="2"/>
  <c r="BO1171" i="2"/>
  <c r="BO1174" i="2"/>
  <c r="AF1177" i="2"/>
  <c r="AJ1177" i="2"/>
  <c r="AN1177" i="2"/>
  <c r="BN1177" i="2"/>
  <c r="BV1177" i="2"/>
  <c r="AL1177" i="2"/>
  <c r="AP1180" i="2"/>
  <c r="AT1180" i="2"/>
  <c r="AX1180" i="2"/>
  <c r="BP1195" i="2"/>
  <c r="BE1198" i="2"/>
  <c r="BN1198" i="2"/>
  <c r="AE1201" i="2"/>
  <c r="AI1201" i="2"/>
  <c r="AM1201" i="2"/>
  <c r="BD1201" i="2"/>
  <c r="BH1201" i="2"/>
  <c r="BM1201" i="2"/>
  <c r="BU1201" i="2"/>
  <c r="BY1200" i="2"/>
  <c r="AF1204" i="2"/>
  <c r="AN1204" i="2"/>
  <c r="AV1204" i="2"/>
  <c r="BH1205" i="2"/>
  <c r="BH1208" i="2" s="1"/>
  <c r="BH1228" i="2"/>
  <c r="BH1231" i="2" s="1"/>
  <c r="BY1106" i="2"/>
  <c r="BY1113" i="2"/>
  <c r="BZ1123" i="2"/>
  <c r="AV1181" i="2"/>
  <c r="AV1182" i="2" s="1"/>
  <c r="AZ1181" i="2"/>
  <c r="BS1181" i="2"/>
  <c r="AY1171" i="2"/>
  <c r="BG1171" i="2"/>
  <c r="AL1171" i="2"/>
  <c r="AF1174" i="2"/>
  <c r="BU1174" i="2"/>
  <c r="BN1174" i="2"/>
  <c r="BV1174" i="2"/>
  <c r="AS1177" i="2"/>
  <c r="AW1177" i="2"/>
  <c r="BA1177" i="2"/>
  <c r="BU1177" i="2"/>
  <c r="BD1180" i="2"/>
  <c r="BH1180" i="2"/>
  <c r="BV1180" i="2"/>
  <c r="AO1180" i="2"/>
  <c r="BE1180" i="2"/>
  <c r="BI1180" i="2"/>
  <c r="BU1180" i="2"/>
  <c r="AH1205" i="2"/>
  <c r="AP1205" i="2"/>
  <c r="AP1208" i="2" s="1"/>
  <c r="AU1205" i="2"/>
  <c r="AU1208" i="2" s="1"/>
  <c r="AP1195" i="2"/>
  <c r="AS1198" i="2"/>
  <c r="AW1198" i="2"/>
  <c r="BA1198" i="2"/>
  <c r="BT1198" i="2"/>
  <c r="BZ1197" i="2"/>
  <c r="AV1201" i="2"/>
  <c r="AZ1201" i="2"/>
  <c r="AL1201" i="2"/>
  <c r="BF1204" i="2"/>
  <c r="BT1204" i="2"/>
  <c r="BU1205" i="2"/>
  <c r="BU1208" i="2" s="1"/>
  <c r="AR1218" i="2"/>
  <c r="AL1228" i="2"/>
  <c r="AL1231" i="2" s="1"/>
  <c r="AP1221" i="2"/>
  <c r="AT1221" i="2"/>
  <c r="AX1221" i="2"/>
  <c r="BZ1220" i="2"/>
  <c r="BZ1221" i="2" s="1"/>
  <c r="AP1224" i="2"/>
  <c r="AT1224" i="2"/>
  <c r="AX1224" i="2"/>
  <c r="AI1228" i="2"/>
  <c r="AI1231" i="2" s="1"/>
  <c r="AM1228" i="2"/>
  <c r="AM1231" i="2" s="1"/>
  <c r="AQ1228" i="2"/>
  <c r="AQ1231" i="2" s="1"/>
  <c r="AU1228" i="2"/>
  <c r="AU1231" i="2" s="1"/>
  <c r="AY1228" i="2"/>
  <c r="AY1231" i="2" s="1"/>
  <c r="BM1228" i="2"/>
  <c r="BM1231" i="2" s="1"/>
  <c r="BQ1228" i="2"/>
  <c r="BQ1231" i="2" s="1"/>
  <c r="BU1228" i="2"/>
  <c r="BU1231" i="2" s="1"/>
  <c r="BD1221" i="2"/>
  <c r="AF1224" i="2"/>
  <c r="AJ1224" i="2"/>
  <c r="AN1224" i="2"/>
  <c r="AV1224" i="2"/>
  <c r="AZ1224" i="2"/>
  <c r="BD1224" i="2"/>
  <c r="CA1229" i="2"/>
  <c r="BE1100" i="2"/>
  <c r="BK1100" i="2"/>
  <c r="BP1100" i="2"/>
  <c r="BT1100" i="2"/>
  <c r="BY1107" i="2"/>
  <c r="CB1113" i="2"/>
  <c r="BY1116" i="2"/>
  <c r="CB1116" i="2"/>
  <c r="AM1115" i="2"/>
  <c r="AQ1115" i="2"/>
  <c r="BZ1117" i="2"/>
  <c r="BK1115" i="2"/>
  <c r="BZ1125" i="2"/>
  <c r="CA1169" i="2"/>
  <c r="BC1181" i="2"/>
  <c r="BL1181" i="2"/>
  <c r="BP1181" i="2"/>
  <c r="BE1171" i="2"/>
  <c r="AV1174" i="2"/>
  <c r="AZ1174" i="2"/>
  <c r="BS1174" i="2"/>
  <c r="BY1173" i="2"/>
  <c r="AU1177" i="2"/>
  <c r="BF1180" i="2"/>
  <c r="BT1180" i="2"/>
  <c r="AI1180" i="2"/>
  <c r="AQ1180" i="2"/>
  <c r="AY1180" i="2"/>
  <c r="BO1180" i="2"/>
  <c r="AW1195" i="2"/>
  <c r="BF1205" i="2"/>
  <c r="BF1208" i="2" s="1"/>
  <c r="BZ1194" i="2"/>
  <c r="AY1198" i="2"/>
  <c r="BV1198" i="2"/>
  <c r="CB1197" i="2"/>
  <c r="BY1197" i="2"/>
  <c r="AX1201" i="2"/>
  <c r="BT1201" i="2"/>
  <c r="BD1204" i="2"/>
  <c r="BV1204" i="2"/>
  <c r="AP1218" i="2"/>
  <c r="AX1218" i="2"/>
  <c r="BF1218" i="2"/>
  <c r="BN1218" i="2"/>
  <c r="BV1218" i="2"/>
  <c r="BN1221" i="2"/>
  <c r="BR1228" i="2"/>
  <c r="BV1221" i="2"/>
  <c r="BN1224" i="2"/>
  <c r="BV1224" i="2"/>
  <c r="BL1227" i="2"/>
  <c r="BJ531" i="2"/>
  <c r="BI326" i="2"/>
  <c r="CA326" i="2" s="1"/>
  <c r="BJ273" i="2"/>
  <c r="CB273" i="2" s="1"/>
  <c r="AF8" i="1" a="1"/>
  <c r="AF8" i="1" s="1"/>
  <c r="AF5" i="1" a="1"/>
  <c r="AF5" i="1" s="1"/>
  <c r="AF1" i="1" a="1"/>
  <c r="AF1" i="1" s="1"/>
  <c r="AF9" i="1" a="1"/>
  <c r="AF9" i="1" s="1"/>
  <c r="AF2" i="1" a="1"/>
  <c r="AF2" i="1" s="1"/>
  <c r="AF6" i="1" a="1"/>
  <c r="AF6" i="1" s="1"/>
  <c r="A1061" i="1"/>
  <c r="B1061" i="1" s="1" a="1"/>
  <c r="B1061" i="1" s="1"/>
  <c r="A720" i="1"/>
  <c r="B720" i="1" s="1" a="1"/>
  <c r="B720" i="1" s="1"/>
  <c r="A670" i="1"/>
  <c r="B670" i="1" s="1" a="1"/>
  <c r="B670" i="1" s="1"/>
  <c r="A713" i="1"/>
  <c r="B713" i="1" s="1" a="1"/>
  <c r="B713" i="1" s="1"/>
  <c r="A337" i="1"/>
  <c r="B337" i="1" s="1" a="1"/>
  <c r="B337" i="1" s="1"/>
  <c r="M424" i="1" a="1"/>
  <c r="M424" i="1" s="1"/>
  <c r="M420" i="1" a="1"/>
  <c r="M420" i="1" s="1"/>
  <c r="M412" i="1" a="1"/>
  <c r="M412" i="1" s="1"/>
  <c r="M404" i="1" a="1"/>
  <c r="M404" i="1" s="1"/>
  <c r="M397" i="1" a="1"/>
  <c r="M397" i="1" s="1"/>
  <c r="M395" i="1" a="1"/>
  <c r="M395" i="1" s="1"/>
  <c r="M393" i="1" a="1"/>
  <c r="M393" i="1" s="1"/>
  <c r="M391" i="1" a="1"/>
  <c r="M391" i="1" s="1"/>
  <c r="M387" i="1" a="1"/>
  <c r="M387" i="1" s="1"/>
  <c r="M375" i="1" a="1"/>
  <c r="M375" i="1" s="1"/>
  <c r="M364" i="1" a="1"/>
  <c r="M364" i="1" s="1"/>
  <c r="M360" i="1" a="1"/>
  <c r="M360" i="1" s="1"/>
  <c r="M353" i="1" a="1"/>
  <c r="M353" i="1" s="1"/>
  <c r="M351" i="1" a="1"/>
  <c r="M351" i="1" s="1"/>
  <c r="M349" i="1" a="1"/>
  <c r="M349" i="1" s="1"/>
  <c r="M347" i="1" a="1"/>
  <c r="M347" i="1" s="1"/>
  <c r="M344" i="1" a="1"/>
  <c r="M344" i="1" s="1"/>
  <c r="M338" i="1" a="1"/>
  <c r="M338" i="1" s="1"/>
  <c r="M336" i="1" a="1"/>
  <c r="M336" i="1" s="1"/>
  <c r="M330" i="1" a="1"/>
  <c r="M330" i="1" s="1"/>
  <c r="M328" i="1" a="1"/>
  <c r="M328" i="1" s="1"/>
  <c r="M326" i="1" a="1"/>
  <c r="M326" i="1" s="1"/>
  <c r="M325" i="1" a="1"/>
  <c r="M325" i="1" s="1"/>
  <c r="M320" i="1" a="1"/>
  <c r="M320" i="1" s="1"/>
  <c r="M317" i="1" a="1"/>
  <c r="M317" i="1" s="1"/>
  <c r="M314" i="1" a="1"/>
  <c r="M314" i="1" s="1"/>
  <c r="M312" i="1" a="1"/>
  <c r="M312" i="1" s="1"/>
  <c r="M310" i="1" a="1"/>
  <c r="M310" i="1" s="1"/>
  <c r="M284" i="1" a="1"/>
  <c r="M284" i="1" s="1"/>
  <c r="M282" i="1" a="1"/>
  <c r="M282" i="1" s="1"/>
  <c r="M280" i="1" a="1"/>
  <c r="M280" i="1" s="1"/>
  <c r="M278" i="1" a="1"/>
  <c r="M278" i="1" s="1"/>
  <c r="M271" i="1" a="1"/>
  <c r="M271" i="1" s="1"/>
  <c r="M270" i="1" a="1"/>
  <c r="M270" i="1" s="1"/>
  <c r="M268" i="1" a="1"/>
  <c r="M268" i="1" s="1"/>
  <c r="M265" i="1" a="1"/>
  <c r="M265" i="1" s="1"/>
  <c r="M263" i="1" a="1"/>
  <c r="M263" i="1" s="1"/>
  <c r="M261" i="1" a="1"/>
  <c r="M261" i="1" s="1"/>
  <c r="M258" i="1" a="1"/>
  <c r="M258" i="1" s="1"/>
  <c r="M254" i="1" a="1"/>
  <c r="M254" i="1" s="1"/>
  <c r="M249" i="1" a="1"/>
  <c r="M249" i="1" s="1"/>
  <c r="M169" i="1" a="1"/>
  <c r="M169" i="1" s="1"/>
  <c r="M160" i="1" a="1"/>
  <c r="M160" i="1" s="1"/>
  <c r="M154" i="1" a="1"/>
  <c r="M154" i="1" s="1"/>
  <c r="M423" i="1" a="1"/>
  <c r="M423" i="1" s="1"/>
  <c r="M419" i="1" a="1"/>
  <c r="M419" i="1" s="1"/>
  <c r="M416" i="1" a="1"/>
  <c r="M416" i="1" s="1"/>
  <c r="M413" i="1" a="1"/>
  <c r="M413" i="1" s="1"/>
  <c r="M405" i="1" a="1"/>
  <c r="M405" i="1" s="1"/>
  <c r="M398" i="1" a="1"/>
  <c r="M398" i="1" s="1"/>
  <c r="M389" i="1" a="1"/>
  <c r="M389" i="1" s="1"/>
  <c r="M379" i="1" a="1"/>
  <c r="M379" i="1" s="1"/>
  <c r="M378" i="1" a="1"/>
  <c r="M378" i="1" s="1"/>
  <c r="M372" i="1" a="1"/>
  <c r="M372" i="1" s="1"/>
  <c r="M368" i="1" a="1"/>
  <c r="M368" i="1" s="1"/>
  <c r="M366" i="1" a="1"/>
  <c r="M366" i="1" s="1"/>
  <c r="M361" i="1" a="1"/>
  <c r="M361" i="1" s="1"/>
  <c r="M357" i="1" a="1"/>
  <c r="M357" i="1" s="1"/>
  <c r="M356" i="1" a="1"/>
  <c r="M356" i="1" s="1"/>
  <c r="M345" i="1" a="1"/>
  <c r="M345" i="1" s="1"/>
  <c r="M342" i="1" a="1"/>
  <c r="M342" i="1" s="1"/>
  <c r="M339" i="1" a="1"/>
  <c r="M339" i="1" s="1"/>
  <c r="M425" i="1" a="1"/>
  <c r="M425" i="1" s="1"/>
  <c r="M421" i="1" a="1"/>
  <c r="M421" i="1" s="1"/>
  <c r="M417" i="1" a="1"/>
  <c r="M417" i="1" s="1"/>
  <c r="M415" i="1" a="1"/>
  <c r="M415" i="1" s="1"/>
  <c r="M411" i="1" a="1"/>
  <c r="M411" i="1" s="1"/>
  <c r="M403" i="1" a="1"/>
  <c r="M403" i="1" s="1"/>
  <c r="M396" i="1" a="1"/>
  <c r="M396" i="1" s="1"/>
  <c r="M388" i="1" a="1"/>
  <c r="M388" i="1" s="1"/>
  <c r="M380" i="1" a="1"/>
  <c r="M380" i="1" s="1"/>
  <c r="M377" i="1" a="1"/>
  <c r="M377" i="1" s="1"/>
  <c r="M374" i="1" a="1"/>
  <c r="M374" i="1" s="1"/>
  <c r="M373" i="1" a="1"/>
  <c r="M373" i="1" s="1"/>
  <c r="M371" i="1" a="1"/>
  <c r="M371" i="1" s="1"/>
  <c r="M367" i="1" a="1"/>
  <c r="M367" i="1" s="1"/>
  <c r="M365" i="1" a="1"/>
  <c r="M365" i="1" s="1"/>
  <c r="M363" i="1" a="1"/>
  <c r="M363" i="1" s="1"/>
  <c r="M359" i="1" a="1"/>
  <c r="M359" i="1" s="1"/>
  <c r="M358" i="1" a="1"/>
  <c r="M358" i="1" s="1"/>
  <c r="M355" i="1" a="1"/>
  <c r="M355" i="1" s="1"/>
  <c r="M341" i="1" a="1"/>
  <c r="M341" i="1" s="1"/>
  <c r="M334" i="1" a="1"/>
  <c r="M334" i="1" s="1"/>
  <c r="M332" i="1" a="1"/>
  <c r="M332" i="1" s="1"/>
  <c r="M331" i="1" a="1"/>
  <c r="M331" i="1" s="1"/>
  <c r="M327" i="1" a="1"/>
  <c r="M327" i="1" s="1"/>
  <c r="M322" i="1" a="1"/>
  <c r="M322" i="1" s="1"/>
  <c r="M316" i="1" a="1"/>
  <c r="M316" i="1" s="1"/>
  <c r="M277" i="1" a="1"/>
  <c r="M277" i="1" s="1"/>
  <c r="M275" i="1" a="1"/>
  <c r="M275" i="1" s="1"/>
  <c r="M273" i="1" a="1"/>
  <c r="M273" i="1" s="1"/>
  <c r="M267" i="1" a="1"/>
  <c r="M267" i="1" s="1"/>
  <c r="M257" i="1" a="1"/>
  <c r="M257" i="1" s="1"/>
  <c r="M252" i="1" a="1"/>
  <c r="M252" i="1" s="1"/>
  <c r="M251" i="1" a="1"/>
  <c r="M251" i="1" s="1"/>
  <c r="M408" i="1" a="1"/>
  <c r="M408" i="1" s="1"/>
  <c r="M400" i="1" a="1"/>
  <c r="M400" i="1" s="1"/>
  <c r="M392" i="1" a="1"/>
  <c r="M392" i="1" s="1"/>
  <c r="M369" i="1" a="1"/>
  <c r="M369" i="1" s="1"/>
  <c r="M354" i="1" a="1"/>
  <c r="M354" i="1" s="1"/>
  <c r="M350" i="1" a="1"/>
  <c r="M350" i="1" s="1"/>
  <c r="M335" i="1" a="1"/>
  <c r="M335" i="1" s="1"/>
  <c r="M321" i="1" a="1"/>
  <c r="M321" i="1" s="1"/>
  <c r="M283" i="1" a="1"/>
  <c r="M283" i="1" s="1"/>
  <c r="M196" i="1" a="1"/>
  <c r="M196" i="1" s="1"/>
  <c r="M168" i="1" a="1"/>
  <c r="M168" i="1" s="1"/>
  <c r="M164" i="1" a="1"/>
  <c r="M164" i="1" s="1"/>
  <c r="M159" i="1" a="1"/>
  <c r="M159" i="1" s="1"/>
  <c r="M155" i="1" a="1"/>
  <c r="M155" i="1" s="1"/>
  <c r="M151" i="1" a="1"/>
  <c r="M151" i="1" s="1"/>
  <c r="M150" i="1" a="1"/>
  <c r="M150" i="1" s="1"/>
  <c r="M148" i="1" a="1"/>
  <c r="M148" i="1" s="1"/>
  <c r="M141" i="1" a="1"/>
  <c r="M141" i="1" s="1"/>
  <c r="M137" i="1" a="1"/>
  <c r="M137" i="1" s="1"/>
  <c r="M133" i="1" a="1"/>
  <c r="M133" i="1" s="1"/>
  <c r="M130" i="1" a="1"/>
  <c r="M130" i="1" s="1"/>
  <c r="M127" i="1" a="1"/>
  <c r="M127" i="1" s="1"/>
  <c r="M116" i="1" a="1"/>
  <c r="M116" i="1" s="1"/>
  <c r="M107" i="1" a="1"/>
  <c r="M107" i="1" s="1"/>
  <c r="M104" i="1" a="1"/>
  <c r="M104" i="1" s="1"/>
  <c r="M103" i="1" a="1"/>
  <c r="M103" i="1" s="1"/>
  <c r="M426" i="1" a="1"/>
  <c r="M426" i="1" s="1"/>
  <c r="M409" i="1" a="1"/>
  <c r="M409" i="1" s="1"/>
  <c r="M390" i="1" a="1"/>
  <c r="M390" i="1" s="1"/>
  <c r="M352" i="1" a="1"/>
  <c r="M352" i="1" s="1"/>
  <c r="M260" i="1" a="1"/>
  <c r="M260" i="1" s="1"/>
  <c r="M255" i="1" a="1"/>
  <c r="M255" i="1" s="1"/>
  <c r="M172" i="1" a="1"/>
  <c r="M172" i="1" s="1"/>
  <c r="M161" i="1" a="1"/>
  <c r="M161" i="1" s="1"/>
  <c r="M147" i="1" a="1"/>
  <c r="M147" i="1" s="1"/>
  <c r="M124" i="1" a="1"/>
  <c r="M124" i="1" s="1"/>
  <c r="M121" i="1" a="1"/>
  <c r="M121" i="1" s="1"/>
  <c r="M117" i="1" a="1"/>
  <c r="M117" i="1" s="1"/>
  <c r="M111" i="1" a="1"/>
  <c r="M111" i="1" s="1"/>
  <c r="M100" i="1" a="1"/>
  <c r="M100" i="1" s="1"/>
  <c r="M422" i="1" a="1"/>
  <c r="M422" i="1" s="1"/>
  <c r="M407" i="1" a="1"/>
  <c r="M407" i="1" s="1"/>
  <c r="M399" i="1" a="1"/>
  <c r="M399" i="1" s="1"/>
  <c r="M394" i="1" a="1"/>
  <c r="M394" i="1" s="1"/>
  <c r="M362" i="1" a="1"/>
  <c r="M362" i="1" s="1"/>
  <c r="M348" i="1" a="1"/>
  <c r="M348" i="1" s="1"/>
  <c r="M343" i="1" a="1"/>
  <c r="M343" i="1" s="1"/>
  <c r="M340" i="1" a="1"/>
  <c r="M340" i="1" s="1"/>
  <c r="M333" i="1" a="1"/>
  <c r="M333" i="1" s="1"/>
  <c r="M318" i="1" a="1"/>
  <c r="M318" i="1" s="1"/>
  <c r="M313" i="1" a="1"/>
  <c r="M313" i="1" s="1"/>
  <c r="M308" i="1" a="1"/>
  <c r="M308" i="1" s="1"/>
  <c r="M281" i="1" a="1"/>
  <c r="M281" i="1" s="1"/>
  <c r="M264" i="1" a="1"/>
  <c r="M264" i="1" s="1"/>
  <c r="M175" i="1" a="1"/>
  <c r="M175" i="1" s="1"/>
  <c r="M174" i="1" a="1"/>
  <c r="M174" i="1" s="1"/>
  <c r="M171" i="1" a="1"/>
  <c r="M171" i="1" s="1"/>
  <c r="M170" i="1" a="1"/>
  <c r="M170" i="1" s="1"/>
  <c r="M165" i="1" a="1"/>
  <c r="M165" i="1" s="1"/>
  <c r="M157" i="1" a="1"/>
  <c r="M157" i="1" s="1"/>
  <c r="M153" i="1" a="1"/>
  <c r="M153" i="1" s="1"/>
  <c r="M152" i="1" a="1"/>
  <c r="M152" i="1" s="1"/>
  <c r="M149" i="1" a="1"/>
  <c r="M149" i="1" s="1"/>
  <c r="M142" i="1" a="1"/>
  <c r="M142" i="1" s="1"/>
  <c r="M138" i="1" a="1"/>
  <c r="M138" i="1" s="1"/>
  <c r="M134" i="1" a="1"/>
  <c r="M134" i="1" s="1"/>
  <c r="M128" i="1" a="1"/>
  <c r="M128" i="1" s="1"/>
  <c r="M119" i="1" a="1"/>
  <c r="M119" i="1" s="1"/>
  <c r="M118" i="1" a="1"/>
  <c r="M118" i="1" s="1"/>
  <c r="M106" i="1" a="1"/>
  <c r="M106" i="1" s="1"/>
  <c r="M105" i="1" a="1"/>
  <c r="M105" i="1" s="1"/>
  <c r="M102" i="1" a="1"/>
  <c r="M102" i="1" s="1"/>
  <c r="M101" i="1" a="1"/>
  <c r="M101" i="1" s="1"/>
  <c r="M99" i="1" a="1"/>
  <c r="M99" i="1" s="1"/>
  <c r="M98" i="1" a="1"/>
  <c r="M98" i="1" s="1"/>
  <c r="M97" i="1" a="1"/>
  <c r="M97" i="1" s="1"/>
  <c r="AC96" i="1" a="1"/>
  <c r="AC96" i="1" s="1"/>
  <c r="M96" i="1" a="1"/>
  <c r="M96" i="1" s="1"/>
  <c r="M324" i="1" a="1"/>
  <c r="M324" i="1" s="1"/>
  <c r="M323" i="1" a="1"/>
  <c r="M323" i="1" s="1"/>
  <c r="M309" i="1" a="1"/>
  <c r="M309" i="1" s="1"/>
  <c r="M274" i="1" a="1"/>
  <c r="M274" i="1" s="1"/>
  <c r="M253" i="1" a="1"/>
  <c r="M253" i="1" s="1"/>
  <c r="M176" i="1" a="1"/>
  <c r="M176" i="1" s="1"/>
  <c r="M144" i="1" a="1"/>
  <c r="M144" i="1" s="1"/>
  <c r="M140" i="1" a="1"/>
  <c r="M140" i="1" s="1"/>
  <c r="M120" i="1" a="1"/>
  <c r="M120" i="1" s="1"/>
  <c r="M108" i="1" a="1"/>
  <c r="M108" i="1" s="1"/>
  <c r="M414" i="1" a="1"/>
  <c r="M414" i="1" s="1"/>
  <c r="M410" i="1" a="1"/>
  <c r="M410" i="1" s="1"/>
  <c r="M406" i="1" a="1"/>
  <c r="M406" i="1" s="1"/>
  <c r="M402" i="1" a="1"/>
  <c r="M402" i="1" s="1"/>
  <c r="M376" i="1" a="1"/>
  <c r="M376" i="1" s="1"/>
  <c r="M370" i="1" a="1"/>
  <c r="M370" i="1" s="1"/>
  <c r="M346" i="1" a="1"/>
  <c r="M346" i="1" s="1"/>
  <c r="M337" i="1" a="1"/>
  <c r="M337" i="1" s="1"/>
  <c r="M319" i="1" a="1"/>
  <c r="M319" i="1" s="1"/>
  <c r="M315" i="1" a="1"/>
  <c r="M315" i="1" s="1"/>
  <c r="M311" i="1" a="1"/>
  <c r="M311" i="1" s="1"/>
  <c r="M279" i="1" a="1"/>
  <c r="M279" i="1" s="1"/>
  <c r="M276" i="1" a="1"/>
  <c r="M276" i="1" s="1"/>
  <c r="M272" i="1" a="1"/>
  <c r="M272" i="1" s="1"/>
  <c r="M269" i="1" a="1"/>
  <c r="M269" i="1" s="1"/>
  <c r="M262" i="1" a="1"/>
  <c r="M262" i="1" s="1"/>
  <c r="M259" i="1" a="1"/>
  <c r="M259" i="1" s="1"/>
  <c r="M250" i="1" a="1"/>
  <c r="M250" i="1" s="1"/>
  <c r="M166" i="1" a="1"/>
  <c r="M166" i="1" s="1"/>
  <c r="M162" i="1" a="1"/>
  <c r="M162" i="1" s="1"/>
  <c r="M156" i="1" a="1"/>
  <c r="M156" i="1" s="1"/>
  <c r="M146" i="1" a="1"/>
  <c r="M146" i="1" s="1"/>
  <c r="M145" i="1" a="1"/>
  <c r="M145" i="1" s="1"/>
  <c r="M143" i="1" a="1"/>
  <c r="M143" i="1" s="1"/>
  <c r="M139" i="1" a="1"/>
  <c r="M139" i="1" s="1"/>
  <c r="M135" i="1" a="1"/>
  <c r="M135" i="1" s="1"/>
  <c r="M131" i="1" a="1"/>
  <c r="M131" i="1" s="1"/>
  <c r="M129" i="1" a="1"/>
  <c r="M129" i="1" s="1"/>
  <c r="M115" i="1" a="1"/>
  <c r="M115" i="1" s="1"/>
  <c r="M113" i="1" a="1"/>
  <c r="M113" i="1" s="1"/>
  <c r="M112" i="1" a="1"/>
  <c r="M112" i="1" s="1"/>
  <c r="M109" i="1" a="1"/>
  <c r="M109" i="1" s="1"/>
  <c r="X96" i="1" a="1"/>
  <c r="X96" i="1" s="1"/>
  <c r="M418" i="1" a="1"/>
  <c r="M418" i="1" s="1"/>
  <c r="M401" i="1" a="1"/>
  <c r="M401" i="1" s="1"/>
  <c r="M329" i="1" a="1"/>
  <c r="M329" i="1" s="1"/>
  <c r="M167" i="1" a="1"/>
  <c r="M167" i="1" s="1"/>
  <c r="M136" i="1" a="1"/>
  <c r="M136" i="1" s="1"/>
  <c r="M132" i="1" a="1"/>
  <c r="M132" i="1" s="1"/>
  <c r="M126" i="1" a="1"/>
  <c r="M126" i="1" s="1"/>
  <c r="M125" i="1" a="1"/>
  <c r="M125" i="1" s="1"/>
  <c r="M122" i="1" a="1"/>
  <c r="M122" i="1" s="1"/>
  <c r="M114" i="1" a="1"/>
  <c r="M114" i="1" s="1"/>
  <c r="M266" i="1" a="1"/>
  <c r="M266" i="1" s="1"/>
  <c r="M256" i="1" a="1"/>
  <c r="M256" i="1" s="1"/>
  <c r="M173" i="1" a="1"/>
  <c r="M173" i="1" s="1"/>
  <c r="M163" i="1" a="1"/>
  <c r="M163" i="1" s="1"/>
  <c r="M158" i="1" a="1"/>
  <c r="M158" i="1" s="1"/>
  <c r="M123" i="1" a="1"/>
  <c r="M123" i="1" s="1"/>
  <c r="M110" i="1" a="1"/>
  <c r="M110" i="1" s="1"/>
  <c r="BA112" i="1"/>
  <c r="BA111" i="1"/>
  <c r="AR394" i="1"/>
  <c r="AR145" i="1"/>
  <c r="BD394" i="1"/>
  <c r="BD145" i="1"/>
  <c r="A790" i="1"/>
  <c r="B790" i="1" s="1" a="1"/>
  <c r="B790" i="1" s="1"/>
  <c r="B786" i="1"/>
  <c r="A443" i="1"/>
  <c r="B443" i="1" s="1" a="1"/>
  <c r="B443" i="1" s="1"/>
  <c r="A80" i="1"/>
  <c r="B80" i="1" s="1" a="1"/>
  <c r="B80" i="1" s="1"/>
  <c r="B76" i="1"/>
  <c r="B439" i="1"/>
  <c r="AI112" i="1"/>
  <c r="AI111" i="1"/>
  <c r="AX111" i="1"/>
  <c r="AX112" i="1" s="1"/>
  <c r="BB111" i="1"/>
  <c r="BP111" i="1" s="1"/>
  <c r="BF119" i="1"/>
  <c r="BF113" i="1"/>
  <c r="B1051" i="1"/>
  <c r="B1052" i="1" s="1" a="1"/>
  <c r="B1052" i="1" s="1"/>
  <c r="B1053" i="1" s="1"/>
  <c r="B1054" i="1" s="1" a="1"/>
  <c r="B1054" i="1" s="1"/>
  <c r="B1055" i="1" s="1" a="1"/>
  <c r="B1055" i="1" s="1"/>
  <c r="B1056" i="1" s="1" a="1"/>
  <c r="B1056" i="1" s="1"/>
  <c r="B1057" i="1" s="1" a="1"/>
  <c r="B1057" i="1" s="1"/>
  <c r="B1058" i="1" s="1" a="1"/>
  <c r="B1058" i="1" s="1"/>
  <c r="B660" i="1"/>
  <c r="B661" i="1" s="1" a="1"/>
  <c r="B661" i="1" s="1"/>
  <c r="B662" i="1" s="1"/>
  <c r="B663" i="1" s="1" a="1"/>
  <c r="B663" i="1" s="1"/>
  <c r="B664" i="1" s="1" a="1"/>
  <c r="B664" i="1" s="1"/>
  <c r="B665" i="1" s="1" a="1"/>
  <c r="B665" i="1" s="1"/>
  <c r="B666" i="1" s="1" a="1"/>
  <c r="B666" i="1" s="1"/>
  <c r="B667" i="1" s="1" a="1"/>
  <c r="B667" i="1" s="1"/>
  <c r="AF326" i="1"/>
  <c r="BO326" i="1" s="1"/>
  <c r="B327" i="1"/>
  <c r="B328" i="1" s="1" a="1"/>
  <c r="B328" i="1" s="1"/>
  <c r="B329" i="1" s="1"/>
  <c r="B330" i="1" s="1" a="1"/>
  <c r="B330" i="1" s="1"/>
  <c r="B331" i="1" s="1" a="1"/>
  <c r="B331" i="1" s="1"/>
  <c r="B332" i="1" s="1" a="1"/>
  <c r="B332" i="1" s="1"/>
  <c r="B333" i="1" s="1" a="1"/>
  <c r="B333" i="1" s="1"/>
  <c r="B334" i="1" s="1" a="1"/>
  <c r="B334" i="1" s="1"/>
  <c r="BG113" i="1"/>
  <c r="BG119" i="1"/>
  <c r="BK113" i="1"/>
  <c r="BK119" i="1"/>
  <c r="AQ667" i="1"/>
  <c r="BN667" i="1" s="1"/>
  <c r="BN664" i="1"/>
  <c r="AC824" i="1"/>
  <c r="AC114" i="1"/>
  <c r="A101" i="1" a="1"/>
  <c r="A101" i="1" s="1"/>
  <c r="A102" i="1" a="1"/>
  <c r="A102" i="1" s="1"/>
  <c r="A103" i="1" s="1" a="1"/>
  <c r="A103" i="1" s="1"/>
  <c r="A104" i="1" s="1" a="1"/>
  <c r="A104" i="1" s="1"/>
  <c r="A105" i="1" s="1" a="1"/>
  <c r="A105" i="1" s="1"/>
  <c r="A106" i="1" s="1" a="1"/>
  <c r="A106" i="1" s="1"/>
  <c r="A107" i="1" s="1" a="1"/>
  <c r="A107" i="1" s="1"/>
  <c r="A108" i="1" s="1" a="1"/>
  <c r="A108" i="1" s="1"/>
  <c r="A109" i="1" s="1" a="1"/>
  <c r="A109" i="1" s="1"/>
  <c r="AU394" i="1"/>
  <c r="AU145" i="1"/>
  <c r="AE1153" i="1"/>
  <c r="AE865" i="1"/>
  <c r="AW968" i="1"/>
  <c r="BN244" i="1"/>
  <c r="BJ980" i="1"/>
  <c r="BJ976" i="1" s="1"/>
  <c r="BJ252" i="1"/>
  <c r="BJ249" i="1" s="1"/>
  <c r="AG1035" i="1"/>
  <c r="BP1039" i="1"/>
  <c r="BN540" i="1"/>
  <c r="AE533" i="1"/>
  <c r="BN602" i="1"/>
  <c r="AG1099" i="1"/>
  <c r="BP1099" i="1" s="1"/>
  <c r="BP716" i="1"/>
  <c r="AI821" i="1"/>
  <c r="AI822" i="1" s="1"/>
  <c r="BA826" i="1"/>
  <c r="BA820" i="1" a="1"/>
  <c r="BA820" i="1" s="1"/>
  <c r="BE826" i="1"/>
  <c r="BE820" i="1" a="1"/>
  <c r="BE820" i="1" s="1"/>
  <c r="BI826" i="1"/>
  <c r="BI820" i="1"/>
  <c r="BO152" i="1"/>
  <c r="AN949" i="1"/>
  <c r="AN920" i="1" s="1"/>
  <c r="AN879" i="1" s="1"/>
  <c r="AN858" i="1" s="1"/>
  <c r="BN225" i="1"/>
  <c r="AN196" i="1"/>
  <c r="AN169" i="1" s="1"/>
  <c r="AN148" i="1" s="1"/>
  <c r="AN147" i="1" s="1"/>
  <c r="AN146" i="1" s="1"/>
  <c r="AO1156" i="1"/>
  <c r="AO977" i="1"/>
  <c r="BO977" i="1" s="1"/>
  <c r="BO978" i="1" s="1"/>
  <c r="AO254" i="1"/>
  <c r="BO253" i="1"/>
  <c r="BO254" i="1" s="1"/>
  <c r="BF980" i="1"/>
  <c r="BF976" i="1" s="1"/>
  <c r="BF252" i="1"/>
  <c r="BF249" i="1" s="1"/>
  <c r="AW1009" i="1"/>
  <c r="AW1008" i="1" s="1"/>
  <c r="AW284" i="1"/>
  <c r="AW277" i="1" s="1"/>
  <c r="AW258" i="1" s="1"/>
  <c r="BP315" i="1"/>
  <c r="BN335" i="1"/>
  <c r="BO598" i="1"/>
  <c r="AF595" i="1"/>
  <c r="BO595" i="1" s="1"/>
  <c r="AF830" i="1"/>
  <c r="BO832" i="1"/>
  <c r="AE5" i="1" a="1"/>
  <c r="AE5" i="1" s="1"/>
  <c r="AE104" i="1"/>
  <c r="AE100" i="1" s="1"/>
  <c r="AB108" i="1"/>
  <c r="AB111" i="1"/>
  <c r="AZ112" i="1"/>
  <c r="BN112" i="1" s="1"/>
  <c r="AB116" i="1"/>
  <c r="AB118" i="1" s="1"/>
  <c r="AB119" i="1" s="1"/>
  <c r="AX116" i="1"/>
  <c r="BB116" i="1"/>
  <c r="BJ116" i="1"/>
  <c r="Y120" i="1"/>
  <c r="AB120" i="1" s="1"/>
  <c r="AG120" i="1"/>
  <c r="AF149" i="1"/>
  <c r="AE154" i="1"/>
  <c r="AO1153" i="1"/>
  <c r="AO865" i="1"/>
  <c r="BO155" i="1"/>
  <c r="BO156" i="1" s="1"/>
  <c r="AO154" i="1"/>
  <c r="BI868" i="1"/>
  <c r="BI864" i="1" s="1"/>
  <c r="BI154" i="1"/>
  <c r="BI148" i="1" s="1"/>
  <c r="BI147" i="1" s="1"/>
  <c r="BI146" i="1" s="1"/>
  <c r="BO158" i="1"/>
  <c r="AY921" i="1"/>
  <c r="BP197" i="1"/>
  <c r="AO935" i="1"/>
  <c r="BO935" i="1" s="1"/>
  <c r="BO211" i="1"/>
  <c r="AV939" i="1"/>
  <c r="AV920" i="1" s="1"/>
  <c r="AV879" i="1" s="1"/>
  <c r="AV196" i="1"/>
  <c r="AV169" i="1" s="1"/>
  <c r="AV148" i="1" s="1"/>
  <c r="AV147" i="1" s="1"/>
  <c r="AV146" i="1" s="1"/>
  <c r="BN242" i="1"/>
  <c r="AJ967" i="1"/>
  <c r="AJ920" i="1" s="1"/>
  <c r="AJ879" i="1" s="1"/>
  <c r="BP243" i="1"/>
  <c r="AO252" i="1"/>
  <c r="AO249" i="1" s="1"/>
  <c r="BO249" i="1" s="1"/>
  <c r="BB1156" i="1"/>
  <c r="BB977" i="1"/>
  <c r="BB254" i="1"/>
  <c r="BB267" i="1"/>
  <c r="BB258" i="1" s="1"/>
  <c r="BB1159" i="1"/>
  <c r="BB992" i="1"/>
  <c r="BP992" i="1" s="1"/>
  <c r="BP993" i="1" s="1"/>
  <c r="BP268" i="1"/>
  <c r="BP269" i="1" s="1"/>
  <c r="BP308" i="1"/>
  <c r="BP311" i="1"/>
  <c r="AW1039" i="1"/>
  <c r="AW1035" i="1" s="1"/>
  <c r="AW1032" i="1" s="1"/>
  <c r="AW311" i="1"/>
  <c r="AW308" i="1" s="1"/>
  <c r="BC1048" i="1"/>
  <c r="BC1046" i="1"/>
  <c r="BG1048" i="1"/>
  <c r="BG1046" i="1"/>
  <c r="BK1048" i="1"/>
  <c r="BK1046" i="1"/>
  <c r="BN328" i="1"/>
  <c r="BP335" i="1"/>
  <c r="BP340" i="1"/>
  <c r="AG339" i="1"/>
  <c r="BP339" i="1" s="1"/>
  <c r="AO339" i="1"/>
  <c r="AO1069" i="1"/>
  <c r="BO1069" i="1" s="1"/>
  <c r="BO345" i="1"/>
  <c r="Y371" i="1"/>
  <c r="AI492" i="1"/>
  <c r="AW491" i="1" a="1"/>
  <c r="AW491" i="1" s="1"/>
  <c r="BN496" i="1"/>
  <c r="AU505" i="1"/>
  <c r="AP512" i="1"/>
  <c r="AP511" i="1" s="1"/>
  <c r="AP510" i="1" s="1"/>
  <c r="AP509" i="1" s="1"/>
  <c r="AP769" i="1" s="1"/>
  <c r="AP775" i="1" s="1"/>
  <c r="BO518" i="1"/>
  <c r="BO540" i="1"/>
  <c r="AW944" i="1"/>
  <c r="BN584" i="1"/>
  <c r="AW563" i="1"/>
  <c r="AW533" i="1" s="1"/>
  <c r="BP595" i="1"/>
  <c r="BO613" i="1"/>
  <c r="AE623" i="1"/>
  <c r="AZ1009" i="1"/>
  <c r="AZ1008" i="1" s="1"/>
  <c r="BN634" i="1"/>
  <c r="AZ630" i="1"/>
  <c r="AZ623" i="1" s="1"/>
  <c r="BI1009" i="1"/>
  <c r="BI1008" i="1" s="1"/>
  <c r="BI630" i="1"/>
  <c r="BI623" i="1" s="1"/>
  <c r="BB641" i="1"/>
  <c r="BP641" i="1" s="1"/>
  <c r="BP664" i="1"/>
  <c r="AS666" i="1"/>
  <c r="BP666" i="1" s="1"/>
  <c r="BO687" i="1"/>
  <c r="BB821" i="1"/>
  <c r="BP821" i="1" s="1"/>
  <c r="A1060" i="1"/>
  <c r="B1060" i="1" s="1" a="1"/>
  <c r="B1060" i="1" s="1"/>
  <c r="A714" i="1"/>
  <c r="B714" i="1" s="1" a="1"/>
  <c r="B714" i="1" s="1"/>
  <c r="A336" i="1"/>
  <c r="B336" i="1" s="1" a="1"/>
  <c r="B336" i="1" s="1"/>
  <c r="A1062" i="1"/>
  <c r="B1062" i="1" s="1" a="1"/>
  <c r="B1062" i="1" s="1"/>
  <c r="A712" i="1"/>
  <c r="B712" i="1" s="1" a="1"/>
  <c r="B712" i="1" s="1"/>
  <c r="A671" i="1"/>
  <c r="B671" i="1" s="1" a="1"/>
  <c r="B671" i="1" s="1"/>
  <c r="A338" i="1"/>
  <c r="B338" i="1" s="1" a="1"/>
  <c r="B338" i="1" s="1"/>
  <c r="A1070" i="1"/>
  <c r="A679" i="1"/>
  <c r="AJ980" i="1"/>
  <c r="AJ976" i="1" s="1"/>
  <c r="AJ973" i="1" s="1"/>
  <c r="AJ252" i="1"/>
  <c r="AJ249" i="1" s="1"/>
  <c r="AG989" i="1"/>
  <c r="BP989" i="1" s="1"/>
  <c r="BP265" i="1"/>
  <c r="BO271" i="1"/>
  <c r="BA1039" i="1"/>
  <c r="BA1035" i="1" s="1"/>
  <c r="BA1032" i="1" s="1"/>
  <c r="BA311" i="1"/>
  <c r="AN506" i="1"/>
  <c r="AW512" i="1"/>
  <c r="AW511" i="1" s="1"/>
  <c r="AW510" i="1" s="1"/>
  <c r="AW509" i="1" s="1"/>
  <c r="AW769" i="1" s="1"/>
  <c r="AW775" i="1" s="1"/>
  <c r="AW776" i="1" s="1"/>
  <c r="AW777" i="1" s="1"/>
  <c r="AW778" i="1" s="1"/>
  <c r="BI604" i="1"/>
  <c r="AE1" i="1" a="1"/>
  <c r="AE1" i="1" s="1"/>
  <c r="AG5" i="1" a="1"/>
  <c r="AG5" i="1" s="1"/>
  <c r="AE8" i="1" a="1"/>
  <c r="AE8" i="1" s="1"/>
  <c r="AG8" i="1" a="1"/>
  <c r="AG8" i="1" s="1"/>
  <c r="A872" i="1"/>
  <c r="A873" i="1" s="1" a="1"/>
  <c r="A873" i="1" s="1"/>
  <c r="A874" i="1" s="1" a="1"/>
  <c r="A874" i="1" s="1"/>
  <c r="A875" i="1" s="1" a="1"/>
  <c r="A875" i="1" s="1"/>
  <c r="A876" i="1" s="1" a="1"/>
  <c r="A876" i="1" s="1"/>
  <c r="A877" i="1" s="1" a="1"/>
  <c r="A877" i="1" s="1"/>
  <c r="A878" i="1" s="1" a="1"/>
  <c r="A878" i="1" s="1"/>
  <c r="A162" i="1"/>
  <c r="A163" i="1" s="1" a="1"/>
  <c r="A163" i="1" s="1"/>
  <c r="A164" i="1" s="1" a="1"/>
  <c r="A164" i="1" s="1"/>
  <c r="A165" i="1" s="1" a="1"/>
  <c r="A165" i="1" s="1"/>
  <c r="A166" i="1" s="1" a="1"/>
  <c r="A166" i="1" s="1"/>
  <c r="A167" i="1" s="1" a="1"/>
  <c r="A167" i="1" s="1"/>
  <c r="A168" i="1" s="1" a="1"/>
  <c r="A168" i="1" s="1"/>
  <c r="AE77" i="1"/>
  <c r="BG110" i="1" a="1"/>
  <c r="BG110" i="1" s="1"/>
  <c r="BO110" i="1" s="1"/>
  <c r="AB112" i="1"/>
  <c r="AB113" i="1"/>
  <c r="AB114" i="1"/>
  <c r="AQ116" i="1"/>
  <c r="AQ113" i="1" s="1"/>
  <c r="BC116" i="1"/>
  <c r="BE862" i="1"/>
  <c r="BP862" i="1" s="1"/>
  <c r="BE149" i="1"/>
  <c r="AJ154" i="1"/>
  <c r="BN155" i="1"/>
  <c r="BN156" i="1" s="1"/>
  <c r="AE156" i="1"/>
  <c r="BP158" i="1"/>
  <c r="AE169" i="1"/>
  <c r="AL196" i="1"/>
  <c r="AL169" i="1" s="1"/>
  <c r="AL148" i="1" s="1"/>
  <c r="AL147" i="1" s="1"/>
  <c r="AL146" i="1" s="1"/>
  <c r="BE196" i="1"/>
  <c r="BO198" i="1"/>
  <c r="BP227" i="1"/>
  <c r="BP233" i="1"/>
  <c r="AF959" i="1"/>
  <c r="AF196" i="1"/>
  <c r="BP235" i="1"/>
  <c r="BP251" i="1"/>
  <c r="BP253" i="1"/>
  <c r="BO256" i="1"/>
  <c r="AM258" i="1"/>
  <c r="AM147" i="1" s="1"/>
  <c r="AM146" i="1" s="1"/>
  <c r="BP266" i="1"/>
  <c r="AT258" i="1"/>
  <c r="AT147" i="1" s="1"/>
  <c r="AT146" i="1" s="1"/>
  <c r="AX267" i="1"/>
  <c r="AX258" i="1" s="1"/>
  <c r="BB269" i="1"/>
  <c r="AO994" i="1"/>
  <c r="AO1160" i="1"/>
  <c r="BO1160" i="1" s="1"/>
  <c r="BO270" i="1"/>
  <c r="AE277" i="1"/>
  <c r="BO284" i="1"/>
  <c r="AF277" i="1"/>
  <c r="BE1027" i="1"/>
  <c r="BE284" i="1"/>
  <c r="BE277" i="1" s="1"/>
  <c r="BE258" i="1" s="1"/>
  <c r="BC322" i="1"/>
  <c r="BC146" i="1" s="1"/>
  <c r="AF1047" i="1"/>
  <c r="BO323" i="1"/>
  <c r="AF322" i="1"/>
  <c r="AK1047" i="1"/>
  <c r="AK322" i="1"/>
  <c r="AO1047" i="1"/>
  <c r="AO322" i="1"/>
  <c r="AS1047" i="1"/>
  <c r="AS322" i="1"/>
  <c r="AW1047" i="1"/>
  <c r="AW322" i="1"/>
  <c r="BD1046" i="1"/>
  <c r="BD1048" i="1"/>
  <c r="BH1046" i="1"/>
  <c r="BH1048" i="1"/>
  <c r="BN323" i="1"/>
  <c r="BN324" i="1" s="1"/>
  <c r="AI1049" i="1"/>
  <c r="BO1049" i="1" s="1"/>
  <c r="BO325" i="1"/>
  <c r="BN364" i="1"/>
  <c r="AE339" i="1"/>
  <c r="BN339" i="1" s="1"/>
  <c r="BN376" i="1"/>
  <c r="BN379" i="1"/>
  <c r="W460" i="1" a="1"/>
  <c r="W460" i="1" s="1"/>
  <c r="U460" i="1" a="1"/>
  <c r="U460" i="1" s="1"/>
  <c r="A677" i="1" s="1"/>
  <c r="B677" i="1" s="1" a="1"/>
  <c r="B677" i="1" s="1"/>
  <c r="S460" i="1" a="1"/>
  <c r="S460" i="1" s="1"/>
  <c r="B732" i="1" s="1"/>
  <c r="B733" i="1" s="1" a="1"/>
  <c r="B733" i="1" s="1"/>
  <c r="AB506" i="1"/>
  <c r="AB507" i="1"/>
  <c r="AJ493" i="1"/>
  <c r="AR667" i="1"/>
  <c r="BO667" i="1" s="1"/>
  <c r="BO664" i="1"/>
  <c r="BB493" i="1"/>
  <c r="BO496" i="1"/>
  <c r="BO499" i="1"/>
  <c r="BP505" i="1"/>
  <c r="AV506" i="1"/>
  <c r="BO513" i="1"/>
  <c r="BE513" i="1"/>
  <c r="BP513" i="1" s="1"/>
  <c r="BP516" i="1"/>
  <c r="BN518" i="1"/>
  <c r="BA512" i="1"/>
  <c r="BI511" i="1"/>
  <c r="BI510" i="1" s="1"/>
  <c r="BI509" i="1" s="1"/>
  <c r="BI769" i="1" s="1"/>
  <c r="BI775" i="1" s="1"/>
  <c r="BI776" i="1" s="1"/>
  <c r="BI777" i="1" s="1"/>
  <c r="BI778" i="1" s="1"/>
  <c r="BN522" i="1"/>
  <c r="BP540" i="1"/>
  <c r="AV511" i="1"/>
  <c r="AV510" i="1" s="1"/>
  <c r="AV509" i="1" s="1"/>
  <c r="AV769" i="1" s="1"/>
  <c r="AV775" i="1" s="1"/>
  <c r="BD511" i="1"/>
  <c r="BD510" i="1" s="1"/>
  <c r="BD509" i="1" s="1"/>
  <c r="BD769" i="1" s="1"/>
  <c r="BD775" i="1" s="1"/>
  <c r="AT947" i="1"/>
  <c r="BN569" i="1"/>
  <c r="AT563" i="1"/>
  <c r="BE947" i="1"/>
  <c r="BP947" i="1" s="1"/>
  <c r="BE563" i="1"/>
  <c r="BE533" i="1" s="1"/>
  <c r="AE595" i="1"/>
  <c r="BP602" i="1"/>
  <c r="BP617" i="1"/>
  <c r="AY613" i="1"/>
  <c r="AY604" i="1" s="1"/>
  <c r="BN644" i="1"/>
  <c r="AE641" i="1"/>
  <c r="BN641" i="1" s="1"/>
  <c r="BP656" i="1"/>
  <c r="BP657" i="1" s="1"/>
  <c r="AQ666" i="1"/>
  <c r="BN666" i="1" s="1"/>
  <c r="BP667" i="1"/>
  <c r="AG672" i="1"/>
  <c r="BO673" i="1"/>
  <c r="BP734" i="1"/>
  <c r="AX822" i="1"/>
  <c r="AX821" i="1"/>
  <c r="BP830" i="1"/>
  <c r="AB107" i="1"/>
  <c r="BN158" i="1"/>
  <c r="AY980" i="1"/>
  <c r="AY976" i="1" s="1"/>
  <c r="AY973" i="1" s="1"/>
  <c r="AY252" i="1"/>
  <c r="AY249" i="1" s="1"/>
  <c r="AY147" i="1" s="1"/>
  <c r="AY146" i="1" s="1"/>
  <c r="BP259" i="1"/>
  <c r="AG258" i="1"/>
  <c r="BN285" i="1"/>
  <c r="A346" i="1"/>
  <c r="AO1080" i="1"/>
  <c r="AO1078" i="1" s="1"/>
  <c r="BO1078" i="1" s="1"/>
  <c r="BO356" i="1"/>
  <c r="BA492" i="1"/>
  <c r="BA493" i="1" s="1"/>
  <c r="BP496" i="1"/>
  <c r="AY491" i="1" a="1"/>
  <c r="AY491" i="1" s="1"/>
  <c r="BP491" i="1" s="1"/>
  <c r="BP613" i="1"/>
  <c r="AG604" i="1"/>
  <c r="AK820" i="1"/>
  <c r="AK826" i="1"/>
  <c r="AG1" i="1" a="1"/>
  <c r="AG1" i="1" s="1"/>
  <c r="B1050" i="1"/>
  <c r="B1059" i="1" s="1" a="1"/>
  <c r="B1059" i="1" s="1"/>
  <c r="B659" i="1"/>
  <c r="B668" i="1" s="1" a="1"/>
  <c r="B668" i="1" s="1"/>
  <c r="AE2" i="1" a="1"/>
  <c r="AE2" i="1" s="1"/>
  <c r="AG2" i="1" a="1"/>
  <c r="AG2" i="1" s="1"/>
  <c r="AE6" i="1" a="1"/>
  <c r="AE6" i="1" s="1"/>
  <c r="AG6" i="1" a="1"/>
  <c r="AG6" i="1" s="1"/>
  <c r="AG77" i="1"/>
  <c r="AG78" i="1"/>
  <c r="AB105" i="1"/>
  <c r="AL113" i="1"/>
  <c r="AF116" i="1"/>
  <c r="AX154" i="1"/>
  <c r="AX148" i="1" s="1"/>
  <c r="AX147" i="1" s="1"/>
  <c r="AX146" i="1" s="1"/>
  <c r="BB154" i="1"/>
  <c r="BB148" i="1" s="1"/>
  <c r="BP176" i="1"/>
  <c r="AG169" i="1"/>
  <c r="AK169" i="1"/>
  <c r="AK148" i="1" s="1"/>
  <c r="AK147" i="1" s="1"/>
  <c r="AO169" i="1"/>
  <c r="AS169" i="1"/>
  <c r="AS148" i="1" s="1"/>
  <c r="AW169" i="1"/>
  <c r="AW148" i="1" s="1"/>
  <c r="BE169" i="1"/>
  <c r="AH196" i="1"/>
  <c r="AH169" i="1" s="1"/>
  <c r="AH148" i="1" s="1"/>
  <c r="AW196" i="1"/>
  <c r="AO920" i="1"/>
  <c r="AO879" i="1" s="1"/>
  <c r="BO197" i="1"/>
  <c r="BP225" i="1"/>
  <c r="AT951" i="1"/>
  <c r="BN227" i="1"/>
  <c r="AJ952" i="1"/>
  <c r="BP952" i="1" s="1"/>
  <c r="AJ196" i="1"/>
  <c r="AJ169" i="1" s="1"/>
  <c r="AZ966" i="1"/>
  <c r="AZ196" i="1"/>
  <c r="AZ169" i="1" s="1"/>
  <c r="AZ148" i="1" s="1"/>
  <c r="AH980" i="1"/>
  <c r="AH976" i="1" s="1"/>
  <c r="BN256" i="1"/>
  <c r="BB256" i="1"/>
  <c r="AH990" i="1"/>
  <c r="AH259" i="1"/>
  <c r="BN266" i="1"/>
  <c r="BO269" i="1"/>
  <c r="BB1160" i="1"/>
  <c r="BB994" i="1"/>
  <c r="BP994" i="1" s="1"/>
  <c r="AO995" i="1"/>
  <c r="AO267" i="1"/>
  <c r="BA995" i="1"/>
  <c r="BA267" i="1"/>
  <c r="BA258" i="1" s="1"/>
  <c r="AS284" i="1"/>
  <c r="AS277" i="1" s="1"/>
  <c r="AS258" i="1" s="1"/>
  <c r="BP285" i="1"/>
  <c r="BF311" i="1"/>
  <c r="BF308" i="1" s="1"/>
  <c r="BO315" i="1"/>
  <c r="AV1044" i="1"/>
  <c r="BP320" i="1"/>
  <c r="AG1047" i="1"/>
  <c r="BP323" i="1"/>
  <c r="BP324" i="1" s="1"/>
  <c r="AG322" i="1"/>
  <c r="AL1048" i="1"/>
  <c r="AL1046" i="1"/>
  <c r="AP1048" i="1"/>
  <c r="AP1046" i="1"/>
  <c r="AT1048" i="1"/>
  <c r="AT1046" i="1"/>
  <c r="AY1047" i="1"/>
  <c r="BB1048" i="1"/>
  <c r="BB1046" i="1"/>
  <c r="BN340" i="1"/>
  <c r="BN491" i="1"/>
  <c r="AH492" i="1"/>
  <c r="AH493" i="1" s="1"/>
  <c r="AZ492" i="1"/>
  <c r="AZ493" i="1" s="1"/>
  <c r="BP492" i="1"/>
  <c r="BP499" i="1"/>
  <c r="AG498" i="1"/>
  <c r="BP498" i="1" s="1"/>
  <c r="BB512" i="1"/>
  <c r="BF512" i="1"/>
  <c r="BF511" i="1" s="1"/>
  <c r="BF510" i="1" s="1"/>
  <c r="BF509" i="1" s="1"/>
  <c r="BF769" i="1" s="1"/>
  <c r="BF775" i="1" s="1"/>
  <c r="BF776" i="1" s="1"/>
  <c r="BF777" i="1" s="1"/>
  <c r="BF778" i="1" s="1"/>
  <c r="BJ512" i="1"/>
  <c r="BJ511" i="1" s="1"/>
  <c r="BJ510" i="1" s="1"/>
  <c r="BJ509" i="1" s="1"/>
  <c r="BJ769" i="1" s="1"/>
  <c r="BJ775" i="1" s="1"/>
  <c r="BN520" i="1"/>
  <c r="AJ523" i="1"/>
  <c r="AJ518" i="1"/>
  <c r="BP518" i="1" s="1"/>
  <c r="BP522" i="1"/>
  <c r="AZ512" i="1"/>
  <c r="AF533" i="1"/>
  <c r="BO533" i="1" s="1"/>
  <c r="BO563" i="1"/>
  <c r="AN511" i="1"/>
  <c r="AN510" i="1" s="1"/>
  <c r="AN509" i="1" s="1"/>
  <c r="AN769" i="1" s="1"/>
  <c r="AN775" i="1" s="1"/>
  <c r="AN776" i="1" s="1"/>
  <c r="AN777" i="1" s="1"/>
  <c r="AN778" i="1" s="1"/>
  <c r="AR511" i="1"/>
  <c r="AR510" i="1" s="1"/>
  <c r="AR509" i="1" s="1"/>
  <c r="AR769" i="1" s="1"/>
  <c r="AR775" i="1" s="1"/>
  <c r="AY934" i="1"/>
  <c r="BP934" i="1" s="1"/>
  <c r="AY563" i="1"/>
  <c r="AY533" i="1" s="1"/>
  <c r="AY512" i="1" s="1"/>
  <c r="AY511" i="1" s="1"/>
  <c r="AY510" i="1" s="1"/>
  <c r="AY509" i="1" s="1"/>
  <c r="AY769" i="1" s="1"/>
  <c r="BE967" i="1"/>
  <c r="BP583" i="1"/>
  <c r="AZ604" i="1"/>
  <c r="BN613" i="1"/>
  <c r="BP615" i="1"/>
  <c r="AS1025" i="1"/>
  <c r="BP1025" i="1" s="1"/>
  <c r="AS630" i="1"/>
  <c r="AS623" i="1" s="1"/>
  <c r="BP623" i="1" s="1"/>
  <c r="BP636" i="1"/>
  <c r="BO641" i="1"/>
  <c r="BN646" i="1"/>
  <c r="BP653" i="1"/>
  <c r="BO655" i="1"/>
  <c r="BN665" i="1"/>
  <c r="AR666" i="1"/>
  <c r="BO666" i="1" s="1"/>
  <c r="BN697" i="1"/>
  <c r="AH672" i="1"/>
  <c r="BN672" i="1" s="1"/>
  <c r="A721" i="1"/>
  <c r="B721" i="1" s="1" a="1"/>
  <c r="B721" i="1" s="1"/>
  <c r="A808" i="1" a="1"/>
  <c r="A808" i="1" s="1"/>
  <c r="A809" i="1" s="1" a="1"/>
  <c r="A809" i="1" s="1"/>
  <c r="A810" i="1" s="1" a="1"/>
  <c r="A810" i="1" s="1"/>
  <c r="B807" i="1" a="1"/>
  <c r="B807" i="1" s="1"/>
  <c r="AS820" i="1" a="1"/>
  <c r="AS820" i="1" s="1"/>
  <c r="BP820" i="1" s="1"/>
  <c r="AZ829" i="1"/>
  <c r="AZ823" i="1"/>
  <c r="AG1156" i="1"/>
  <c r="AG977" i="1"/>
  <c r="AG1168" i="1" s="1"/>
  <c r="BB1157" i="1"/>
  <c r="BB979" i="1"/>
  <c r="BP979" i="1" s="1"/>
  <c r="AG256" i="1"/>
  <c r="BP1027" i="1"/>
  <c r="BP303" i="1"/>
  <c r="BN315" i="1"/>
  <c r="AE1048" i="1"/>
  <c r="AE1046" i="1"/>
  <c r="BN1047" i="1"/>
  <c r="AJ1046" i="1"/>
  <c r="AJ1048" i="1"/>
  <c r="AN1046" i="1"/>
  <c r="AN1048" i="1"/>
  <c r="AR1046" i="1"/>
  <c r="AR1048" i="1"/>
  <c r="AV1046" i="1"/>
  <c r="AV1048" i="1"/>
  <c r="BF1048" i="1"/>
  <c r="BF1046" i="1"/>
  <c r="BJ1048" i="1"/>
  <c r="BJ1046" i="1"/>
  <c r="Y344" i="1"/>
  <c r="Y345" i="1" s="1"/>
  <c r="B461" i="1" a="1"/>
  <c r="B461" i="1" s="1"/>
  <c r="AB466" i="1"/>
  <c r="AB468" i="1"/>
  <c r="M469" i="1" a="1"/>
  <c r="M469" i="1" s="1"/>
  <c r="M493" i="1" a="1"/>
  <c r="M493" i="1" s="1"/>
  <c r="M495" i="1" a="1"/>
  <c r="M495" i="1" s="1"/>
  <c r="AB496" i="1"/>
  <c r="BN499" i="1"/>
  <c r="AT505" i="1"/>
  <c r="AT506" i="1" s="1"/>
  <c r="AT508" i="1" s="1"/>
  <c r="AB508" i="1"/>
  <c r="M511" i="1" a="1"/>
  <c r="M511" i="1" s="1"/>
  <c r="M515" i="1" a="1"/>
  <c r="M515" i="1" s="1"/>
  <c r="BO515" i="1"/>
  <c r="M518" i="1" a="1"/>
  <c r="M518" i="1" s="1"/>
  <c r="M519" i="1" a="1"/>
  <c r="M519" i="1" s="1"/>
  <c r="M523" i="1" a="1"/>
  <c r="M523" i="1" s="1"/>
  <c r="M533" i="1" a="1"/>
  <c r="M533" i="1" s="1"/>
  <c r="AG533" i="1"/>
  <c r="BC563" i="1"/>
  <c r="BC533" i="1" s="1"/>
  <c r="BC512" i="1" s="1"/>
  <c r="BC511" i="1" s="1"/>
  <c r="BC510" i="1" s="1"/>
  <c r="BC509" i="1" s="1"/>
  <c r="BC769" i="1" s="1"/>
  <c r="BC775" i="1" s="1"/>
  <c r="BC776" i="1" s="1"/>
  <c r="BC777" i="1" s="1"/>
  <c r="BC778" i="1" s="1"/>
  <c r="BP565" i="1"/>
  <c r="AS920" i="1"/>
  <c r="AS879" i="1" s="1"/>
  <c r="AS858" i="1" s="1"/>
  <c r="AP920" i="1"/>
  <c r="BC920" i="1"/>
  <c r="BC879" i="1" s="1"/>
  <c r="BC858" i="1" s="1"/>
  <c r="M597" i="1" a="1"/>
  <c r="M597" i="1" s="1"/>
  <c r="BP598" i="1"/>
  <c r="AO604" i="1"/>
  <c r="M619" i="1" a="1"/>
  <c r="M619" i="1" s="1"/>
  <c r="M621" i="1" a="1"/>
  <c r="M621" i="1" s="1"/>
  <c r="M623" i="1" a="1"/>
  <c r="M623" i="1" s="1"/>
  <c r="AY1009" i="1"/>
  <c r="AY1008" i="1" s="1"/>
  <c r="AY1001" i="1" s="1"/>
  <c r="BO634" i="1"/>
  <c r="M641" i="1" a="1"/>
  <c r="M641" i="1" s="1"/>
  <c r="BO644" i="1"/>
  <c r="AF648" i="1"/>
  <c r="BO648" i="1" s="1"/>
  <c r="M651" i="1" a="1"/>
  <c r="M651" i="1" s="1"/>
  <c r="M652" i="1" a="1"/>
  <c r="M652" i="1" s="1"/>
  <c r="M662" i="1" a="1"/>
  <c r="M662" i="1" s="1"/>
  <c r="M668" i="1" a="1"/>
  <c r="M668" i="1" s="1"/>
  <c r="Y671" i="1"/>
  <c r="M677" i="1" a="1"/>
  <c r="M677" i="1" s="1"/>
  <c r="M679" i="1" a="1"/>
  <c r="M679" i="1" s="1"/>
  <c r="M681" i="1" a="1"/>
  <c r="M681" i="1" s="1"/>
  <c r="M683" i="1" a="1"/>
  <c r="M683" i="1" s="1"/>
  <c r="M685" i="1" a="1"/>
  <c r="M685" i="1" s="1"/>
  <c r="M691" i="1" a="1"/>
  <c r="M691" i="1" s="1"/>
  <c r="M693" i="1" a="1"/>
  <c r="M693" i="1" s="1"/>
  <c r="BP697" i="1"/>
  <c r="M698" i="1" a="1"/>
  <c r="M698" i="1" s="1"/>
  <c r="M706" i="1" a="1"/>
  <c r="M706" i="1" s="1"/>
  <c r="BN1099" i="1"/>
  <c r="BO716" i="1"/>
  <c r="BP723" i="1"/>
  <c r="AG818" i="1"/>
  <c r="M811" i="1" a="1"/>
  <c r="M811" i="1" s="1"/>
  <c r="BN830" i="1"/>
  <c r="AE826" i="1"/>
  <c r="AE820" i="1"/>
  <c r="BN832" i="1"/>
  <c r="BJ858" i="1"/>
  <c r="BP861" i="1"/>
  <c r="AG859" i="1"/>
  <c r="BN861" i="1"/>
  <c r="AK859" i="1"/>
  <c r="BP865" i="1"/>
  <c r="AP866" i="1"/>
  <c r="AT866" i="1"/>
  <c r="AX866" i="1"/>
  <c r="BB1168" i="1"/>
  <c r="BF866" i="1"/>
  <c r="BJ866" i="1"/>
  <c r="AL879" i="1"/>
  <c r="AL858" i="1" s="1"/>
  <c r="AP879" i="1"/>
  <c r="AP858" i="1" s="1"/>
  <c r="BO922" i="1"/>
  <c r="BP939" i="1"/>
  <c r="BP944" i="1"/>
  <c r="BN963" i="1"/>
  <c r="BP963" i="1"/>
  <c r="BN966" i="1"/>
  <c r="BN967" i="1"/>
  <c r="BE973" i="1"/>
  <c r="BF973" i="1"/>
  <c r="BJ973" i="1"/>
  <c r="BN995" i="1"/>
  <c r="AZ1001" i="1"/>
  <c r="BH1001" i="1"/>
  <c r="BH982" i="1" s="1"/>
  <c r="BO1009" i="1"/>
  <c r="AG1008" i="1"/>
  <c r="BP1042" i="1"/>
  <c r="BN1078" i="1"/>
  <c r="BP1088" i="1"/>
  <c r="BO1100" i="1"/>
  <c r="BB867" i="1"/>
  <c r="BP867" i="1" s="1"/>
  <c r="BO868" i="1"/>
  <c r="BO921" i="1"/>
  <c r="BN921" i="1"/>
  <c r="BP943" i="1"/>
  <c r="BN949" i="1"/>
  <c r="BP949" i="1"/>
  <c r="BN951" i="1"/>
  <c r="BP951" i="1"/>
  <c r="BP975" i="1"/>
  <c r="AH983" i="1"/>
  <c r="BE1008" i="1"/>
  <c r="BE1001" i="1" s="1"/>
  <c r="BE982" i="1" s="1"/>
  <c r="AO1161" i="1"/>
  <c r="M776" i="1" a="1"/>
  <c r="M776" i="1" s="1"/>
  <c r="M772" i="1" a="1"/>
  <c r="M772" i="1" s="1"/>
  <c r="M768" i="1" a="1"/>
  <c r="M768" i="1" s="1"/>
  <c r="M766" i="1" a="1"/>
  <c r="M766" i="1" s="1"/>
  <c r="M763" i="1" a="1"/>
  <c r="M763" i="1" s="1"/>
  <c r="M759" i="1" a="1"/>
  <c r="M759" i="1" s="1"/>
  <c r="M729" i="1" a="1"/>
  <c r="M729" i="1" s="1"/>
  <c r="M727" i="1" a="1"/>
  <c r="M727" i="1" s="1"/>
  <c r="M725" i="1" a="1"/>
  <c r="M725" i="1" s="1"/>
  <c r="M715" i="1" a="1"/>
  <c r="M715" i="1" s="1"/>
  <c r="M709" i="1" a="1"/>
  <c r="M709" i="1" s="1"/>
  <c r="M701" i="1" a="1"/>
  <c r="M701" i="1" s="1"/>
  <c r="M699" i="1" a="1"/>
  <c r="M699" i="1" s="1"/>
  <c r="M777" i="1" a="1"/>
  <c r="M777" i="1" s="1"/>
  <c r="M775" i="1" a="1"/>
  <c r="M775" i="1" s="1"/>
  <c r="M774" i="1" a="1"/>
  <c r="M774" i="1" s="1"/>
  <c r="M770" i="1" a="1"/>
  <c r="M770" i="1" s="1"/>
  <c r="M769" i="1" a="1"/>
  <c r="M769" i="1" s="1"/>
  <c r="M767" i="1" a="1"/>
  <c r="M767" i="1" s="1"/>
  <c r="M761" i="1" a="1"/>
  <c r="M761" i="1" s="1"/>
  <c r="M734" i="1" a="1"/>
  <c r="M734" i="1" s="1"/>
  <c r="M731" i="1" a="1"/>
  <c r="M731" i="1" s="1"/>
  <c r="M728" i="1" a="1"/>
  <c r="M728" i="1" s="1"/>
  <c r="M726" i="1" a="1"/>
  <c r="M726" i="1" s="1"/>
  <c r="M724" i="1" a="1"/>
  <c r="M724" i="1" s="1"/>
  <c r="M778" i="1" a="1"/>
  <c r="M778" i="1" s="1"/>
  <c r="M773" i="1" a="1"/>
  <c r="M773" i="1" s="1"/>
  <c r="M765" i="1" a="1"/>
  <c r="M765" i="1" s="1"/>
  <c r="M760" i="1" a="1"/>
  <c r="M760" i="1" s="1"/>
  <c r="M741" i="1" a="1"/>
  <c r="M741" i="1" s="1"/>
  <c r="M739" i="1" a="1"/>
  <c r="M739" i="1" s="1"/>
  <c r="M737" i="1" a="1"/>
  <c r="M737" i="1" s="1"/>
  <c r="M735" i="1" a="1"/>
  <c r="M735" i="1" s="1"/>
  <c r="M733" i="1" a="1"/>
  <c r="M733" i="1" s="1"/>
  <c r="M732" i="1" a="1"/>
  <c r="M732" i="1" s="1"/>
  <c r="M730" i="1" a="1"/>
  <c r="M730" i="1" s="1"/>
  <c r="M722" i="1" a="1"/>
  <c r="M722" i="1" s="1"/>
  <c r="M720" i="1" a="1"/>
  <c r="M720" i="1" s="1"/>
  <c r="M714" i="1" a="1"/>
  <c r="M714" i="1" s="1"/>
  <c r="M712" i="1" a="1"/>
  <c r="M712" i="1" s="1"/>
  <c r="M708" i="1" a="1"/>
  <c r="M708" i="1" s="1"/>
  <c r="M705" i="1" a="1"/>
  <c r="M705" i="1" s="1"/>
  <c r="M703" i="1" a="1"/>
  <c r="M703" i="1" s="1"/>
  <c r="M461" i="1" a="1"/>
  <c r="M461" i="1" s="1"/>
  <c r="M462" i="1" a="1"/>
  <c r="M462" i="1" s="1"/>
  <c r="M471" i="1" a="1"/>
  <c r="M471" i="1" s="1"/>
  <c r="M477" i="1" a="1"/>
  <c r="M477" i="1" s="1"/>
  <c r="Y479" i="1"/>
  <c r="Y480" i="1" s="1"/>
  <c r="Y484" i="1" s="1"/>
  <c r="M480" i="1" a="1"/>
  <c r="M480" i="1" s="1"/>
  <c r="M481" i="1" a="1"/>
  <c r="M481" i="1" s="1"/>
  <c r="M485" i="1" a="1"/>
  <c r="M485" i="1" s="1"/>
  <c r="M486" i="1" a="1"/>
  <c r="M486" i="1" s="1"/>
  <c r="M487" i="1" a="1"/>
  <c r="M487" i="1" s="1"/>
  <c r="M488" i="1" a="1"/>
  <c r="M488" i="1" s="1"/>
  <c r="M489" i="1" a="1"/>
  <c r="M489" i="1" s="1"/>
  <c r="M490" i="1" a="1"/>
  <c r="M490" i="1" s="1"/>
  <c r="AB492" i="1"/>
  <c r="M494" i="1" a="1"/>
  <c r="M494" i="1" s="1"/>
  <c r="M497" i="1" a="1"/>
  <c r="M497" i="1" s="1"/>
  <c r="M498" i="1" a="1"/>
  <c r="M498" i="1" s="1"/>
  <c r="M500" i="1" a="1"/>
  <c r="M500" i="1" s="1"/>
  <c r="M501" i="1" a="1"/>
  <c r="M501" i="1" s="1"/>
  <c r="M502" i="1" a="1"/>
  <c r="M502" i="1" s="1"/>
  <c r="M503" i="1" a="1"/>
  <c r="M503" i="1" s="1"/>
  <c r="M506" i="1" a="1"/>
  <c r="M506" i="1" s="1"/>
  <c r="M513" i="1" a="1"/>
  <c r="M513" i="1" s="1"/>
  <c r="M514" i="1" a="1"/>
  <c r="M514" i="1" s="1"/>
  <c r="AF859" i="1"/>
  <c r="M517" i="1" a="1"/>
  <c r="M517" i="1" s="1"/>
  <c r="M526" i="1" a="1"/>
  <c r="M526" i="1" s="1"/>
  <c r="M527" i="1" a="1"/>
  <c r="M527" i="1" s="1"/>
  <c r="M528" i="1" a="1"/>
  <c r="M528" i="1" s="1"/>
  <c r="M529" i="1" a="1"/>
  <c r="M529" i="1" s="1"/>
  <c r="M530" i="1" a="1"/>
  <c r="M530" i="1" s="1"/>
  <c r="M531" i="1" a="1"/>
  <c r="M531" i="1" s="1"/>
  <c r="M532" i="1" a="1"/>
  <c r="M532" i="1" s="1"/>
  <c r="M563" i="1" a="1"/>
  <c r="M563" i="1" s="1"/>
  <c r="AZ920" i="1"/>
  <c r="AZ879" i="1" s="1"/>
  <c r="BN583" i="1"/>
  <c r="M596" i="1" a="1"/>
  <c r="M596" i="1" s="1"/>
  <c r="M598" i="1" a="1"/>
  <c r="M598" i="1" s="1"/>
  <c r="M599" i="1" a="1"/>
  <c r="M599" i="1" s="1"/>
  <c r="M620" i="1" a="1"/>
  <c r="M620" i="1" s="1"/>
  <c r="M622" i="1" a="1"/>
  <c r="M622" i="1" s="1"/>
  <c r="M650" i="1" a="1"/>
  <c r="M650" i="1" s="1"/>
  <c r="M653" i="1" a="1"/>
  <c r="M653" i="1" s="1"/>
  <c r="M657" i="1" a="1"/>
  <c r="M657" i="1" s="1"/>
  <c r="M658" i="1" a="1"/>
  <c r="M658" i="1" s="1"/>
  <c r="M659" i="1" a="1"/>
  <c r="M659" i="1" s="1"/>
  <c r="M660" i="1" a="1"/>
  <c r="M660" i="1" s="1"/>
  <c r="M670" i="1" a="1"/>
  <c r="M670" i="1" s="1"/>
  <c r="M676" i="1" a="1"/>
  <c r="M676" i="1" s="1"/>
  <c r="M678" i="1" a="1"/>
  <c r="M678" i="1" s="1"/>
  <c r="M680" i="1" a="1"/>
  <c r="M680" i="1" s="1"/>
  <c r="M682" i="1" a="1"/>
  <c r="M682" i="1" s="1"/>
  <c r="M684" i="1" a="1"/>
  <c r="M684" i="1" s="1"/>
  <c r="M690" i="1" a="1"/>
  <c r="M690" i="1" s="1"/>
  <c r="M692" i="1" a="1"/>
  <c r="M692" i="1" s="1"/>
  <c r="M696" i="1" a="1"/>
  <c r="M696" i="1" s="1"/>
  <c r="M704" i="1" a="1"/>
  <c r="M704" i="1" s="1"/>
  <c r="M707" i="1" a="1"/>
  <c r="M707" i="1" s="1"/>
  <c r="M710" i="1" a="1"/>
  <c r="M710" i="1" s="1"/>
  <c r="M713" i="1" a="1"/>
  <c r="M713" i="1" s="1"/>
  <c r="M719" i="1" a="1"/>
  <c r="M719" i="1" s="1"/>
  <c r="M721" i="1" a="1"/>
  <c r="M721" i="1" s="1"/>
  <c r="M723" i="1" a="1"/>
  <c r="M723" i="1" s="1"/>
  <c r="BP1101" i="1"/>
  <c r="AG1100" i="1"/>
  <c r="BP1100" i="1" s="1"/>
  <c r="M738" i="1" a="1"/>
  <c r="M738" i="1" s="1"/>
  <c r="M762" i="1" a="1"/>
  <c r="M762" i="1" s="1"/>
  <c r="M764" i="1" a="1"/>
  <c r="M764" i="1" s="1"/>
  <c r="BP832" i="1"/>
  <c r="AX858" i="1"/>
  <c r="BE859" i="1"/>
  <c r="AR1168" i="1"/>
  <c r="AR864" i="1"/>
  <c r="AR858" i="1" s="1"/>
  <c r="AR866" i="1"/>
  <c r="AV1168" i="1"/>
  <c r="AV1166" i="1" s="1"/>
  <c r="AV864" i="1"/>
  <c r="AV858" i="1" s="1"/>
  <c r="AV866" i="1"/>
  <c r="AZ1168" i="1"/>
  <c r="AZ864" i="1"/>
  <c r="AZ858" i="1" s="1"/>
  <c r="AZ866" i="1"/>
  <c r="BD1168" i="1"/>
  <c r="BD1166" i="1" s="1"/>
  <c r="BD864" i="1"/>
  <c r="BD858" i="1" s="1"/>
  <c r="BD866" i="1"/>
  <c r="BH1168" i="1"/>
  <c r="BH864" i="1"/>
  <c r="BH858" i="1" s="1"/>
  <c r="BH866" i="1"/>
  <c r="BP870" i="1"/>
  <c r="BP921" i="1"/>
  <c r="BN934" i="1"/>
  <c r="BN940" i="1"/>
  <c r="BN947" i="1"/>
  <c r="BP957" i="1"/>
  <c r="BP959" i="1"/>
  <c r="AH973" i="1"/>
  <c r="AX973" i="1"/>
  <c r="AT1008" i="1"/>
  <c r="AT1001" i="1" s="1"/>
  <c r="AT982" i="1" s="1"/>
  <c r="BN1044" i="1"/>
  <c r="BP152" i="1"/>
  <c r="BP868" i="1"/>
  <c r="AG864" i="1"/>
  <c r="AW920" i="1"/>
  <c r="AW879" i="1" s="1"/>
  <c r="AW858" i="1" s="1"/>
  <c r="AE977" i="1"/>
  <c r="AE1156" i="1"/>
  <c r="BN253" i="1"/>
  <c r="BN254" i="1" s="1"/>
  <c r="AG254" i="1"/>
  <c r="BP255" i="1"/>
  <c r="AE980" i="1"/>
  <c r="BN980" i="1" s="1"/>
  <c r="AY995" i="1"/>
  <c r="AY991" i="1" s="1"/>
  <c r="BP271" i="1"/>
  <c r="BN1039" i="1"/>
  <c r="AH1048" i="1"/>
  <c r="AH1046" i="1"/>
  <c r="AM1048" i="1"/>
  <c r="AM1046" i="1"/>
  <c r="AQ1048" i="1"/>
  <c r="AQ1046" i="1"/>
  <c r="AU1048" i="1"/>
  <c r="AU1046" i="1"/>
  <c r="AZ1046" i="1"/>
  <c r="AZ1048" i="1"/>
  <c r="BE1046" i="1"/>
  <c r="BE1048" i="1"/>
  <c r="BI1046" i="1"/>
  <c r="BI1048" i="1"/>
  <c r="Y357" i="1"/>
  <c r="M464" i="1" a="1"/>
  <c r="M464" i="1" s="1"/>
  <c r="M466" i="1" a="1"/>
  <c r="M466" i="1" s="1"/>
  <c r="M468" i="1" a="1"/>
  <c r="M468" i="1" s="1"/>
  <c r="M472" i="1" a="1"/>
  <c r="M472" i="1" s="1"/>
  <c r="M473" i="1" a="1"/>
  <c r="M473" i="1" s="1"/>
  <c r="M474" i="1" a="1"/>
  <c r="M474" i="1" s="1"/>
  <c r="M475" i="1" a="1"/>
  <c r="M475" i="1" s="1"/>
  <c r="M476" i="1" a="1"/>
  <c r="M476" i="1" s="1"/>
  <c r="M496" i="1" a="1"/>
  <c r="M496" i="1" s="1"/>
  <c r="M507" i="1" a="1"/>
  <c r="M507" i="1" s="1"/>
  <c r="M508" i="1" a="1"/>
  <c r="M508" i="1" s="1"/>
  <c r="M512" i="1" a="1"/>
  <c r="M512" i="1" s="1"/>
  <c r="M516" i="1" a="1"/>
  <c r="M516" i="1" s="1"/>
  <c r="M520" i="1" a="1"/>
  <c r="M520" i="1" s="1"/>
  <c r="M521" i="1" a="1"/>
  <c r="M521" i="1" s="1"/>
  <c r="M525" i="1" a="1"/>
  <c r="M525" i="1" s="1"/>
  <c r="M534" i="1" a="1"/>
  <c r="M534" i="1" s="1"/>
  <c r="M536" i="1" a="1"/>
  <c r="M536" i="1" s="1"/>
  <c r="M538" i="1" a="1"/>
  <c r="M538" i="1" s="1"/>
  <c r="M540" i="1" a="1"/>
  <c r="M540" i="1" s="1"/>
  <c r="BB920" i="1"/>
  <c r="BB879" i="1" s="1"/>
  <c r="BB858" i="1" s="1"/>
  <c r="BN576" i="1"/>
  <c r="BP577" i="1"/>
  <c r="BP585" i="1"/>
  <c r="BP586" i="1"/>
  <c r="BN943" i="1"/>
  <c r="AH920" i="1"/>
  <c r="AH879" i="1" s="1"/>
  <c r="BP592" i="1"/>
  <c r="M595" i="1" a="1"/>
  <c r="M595" i="1" s="1"/>
  <c r="AH598" i="1"/>
  <c r="AH595" i="1" s="1"/>
  <c r="AH511" i="1" s="1"/>
  <c r="M602" i="1" a="1"/>
  <c r="M602" i="1" s="1"/>
  <c r="M604" i="1" a="1"/>
  <c r="M604" i="1" s="1"/>
  <c r="M605" i="1" a="1"/>
  <c r="M605" i="1" s="1"/>
  <c r="M606" i="1" a="1"/>
  <c r="M606" i="1" s="1"/>
  <c r="M608" i="1" a="1"/>
  <c r="M608" i="1" s="1"/>
  <c r="M610" i="1" a="1"/>
  <c r="M610" i="1" s="1"/>
  <c r="M612" i="1" a="1"/>
  <c r="M612" i="1" s="1"/>
  <c r="M615" i="1" a="1"/>
  <c r="M615" i="1" s="1"/>
  <c r="M617" i="1" a="1"/>
  <c r="M617" i="1" s="1"/>
  <c r="AF623" i="1"/>
  <c r="M624" i="1" a="1"/>
  <c r="M624" i="1" s="1"/>
  <c r="M626" i="1" a="1"/>
  <c r="M626" i="1" s="1"/>
  <c r="M628" i="1" a="1"/>
  <c r="M628" i="1" s="1"/>
  <c r="M630" i="1" a="1"/>
  <c r="M630" i="1" s="1"/>
  <c r="BA630" i="1"/>
  <c r="BA623" i="1" s="1"/>
  <c r="BA604" i="1" s="1"/>
  <c r="BP632" i="1"/>
  <c r="AS1009" i="1"/>
  <c r="BB1009" i="1"/>
  <c r="BB1008" i="1" s="1"/>
  <c r="BB1001" i="1" s="1"/>
  <c r="M642" i="1" a="1"/>
  <c r="M642" i="1" s="1"/>
  <c r="M644" i="1" a="1"/>
  <c r="M644" i="1" s="1"/>
  <c r="M646" i="1" a="1"/>
  <c r="M646" i="1" s="1"/>
  <c r="M647" i="1" a="1"/>
  <c r="M647" i="1" s="1"/>
  <c r="M649" i="1" a="1"/>
  <c r="M649" i="1" s="1"/>
  <c r="BN653" i="1"/>
  <c r="M654" i="1" a="1"/>
  <c r="M654" i="1" s="1"/>
  <c r="M656" i="1" a="1"/>
  <c r="M656" i="1" s="1"/>
  <c r="M663" i="1" a="1"/>
  <c r="M663" i="1" s="1"/>
  <c r="M664" i="1" a="1"/>
  <c r="M664" i="1" s="1"/>
  <c r="M667" i="1" a="1"/>
  <c r="M667" i="1" s="1"/>
  <c r="M671" i="1" a="1"/>
  <c r="M671" i="1" s="1"/>
  <c r="AI672" i="1"/>
  <c r="BO672" i="1" s="1"/>
  <c r="M675" i="1" a="1"/>
  <c r="M675" i="1" s="1"/>
  <c r="Y676" i="1"/>
  <c r="M686" i="1" a="1"/>
  <c r="M686" i="1" s="1"/>
  <c r="BB687" i="1"/>
  <c r="BB672" i="1" s="1"/>
  <c r="M689" i="1" a="1"/>
  <c r="M689" i="1" s="1"/>
  <c r="Y690" i="1"/>
  <c r="M694" i="1" a="1"/>
  <c r="M694" i="1" s="1"/>
  <c r="M695" i="1" a="1"/>
  <c r="M695" i="1" s="1"/>
  <c r="M716" i="1" a="1"/>
  <c r="M716" i="1" s="1"/>
  <c r="BN716" i="1"/>
  <c r="BO717" i="1"/>
  <c r="M740" i="1" a="1"/>
  <c r="M740" i="1" s="1"/>
  <c r="M758" i="1" a="1"/>
  <c r="M758" i="1" s="1"/>
  <c r="BO763" i="1"/>
  <c r="M1137" i="1" a="1"/>
  <c r="M1137" i="1" s="1"/>
  <c r="M1133" i="1" a="1"/>
  <c r="M1133" i="1" s="1"/>
  <c r="M1130" i="1" a="1"/>
  <c r="M1130" i="1" s="1"/>
  <c r="M1127" i="1" a="1"/>
  <c r="M1127" i="1" s="1"/>
  <c r="M1119" i="1" a="1"/>
  <c r="M1119" i="1" s="1"/>
  <c r="M1108" i="1" a="1"/>
  <c r="M1108" i="1" s="1"/>
  <c r="M1105" i="1" a="1"/>
  <c r="M1105" i="1" s="1"/>
  <c r="M1139" i="1" a="1"/>
  <c r="M1139" i="1" s="1"/>
  <c r="M1135" i="1" a="1"/>
  <c r="M1135" i="1" s="1"/>
  <c r="M1131" i="1" a="1"/>
  <c r="M1131" i="1" s="1"/>
  <c r="M1129" i="1" a="1"/>
  <c r="M1129" i="1" s="1"/>
  <c r="M1125" i="1" a="1"/>
  <c r="M1125" i="1" s="1"/>
  <c r="M1117" i="1" a="1"/>
  <c r="M1117" i="1" s="1"/>
  <c r="M1109" i="1" a="1"/>
  <c r="M1109" i="1" s="1"/>
  <c r="M1106" i="1" a="1"/>
  <c r="M1106" i="1" s="1"/>
  <c r="M1103" i="1" a="1"/>
  <c r="M1103" i="1" s="1"/>
  <c r="M1102" i="1" a="1"/>
  <c r="M1102" i="1" s="1"/>
  <c r="M1098" i="1" a="1"/>
  <c r="M1098" i="1" s="1"/>
  <c r="M1097" i="1" a="1"/>
  <c r="M1097" i="1" s="1"/>
  <c r="M1094" i="1" a="1"/>
  <c r="M1094" i="1" s="1"/>
  <c r="M1091" i="1" a="1"/>
  <c r="M1091" i="1" s="1"/>
  <c r="M1087" i="1" a="1"/>
  <c r="M1087" i="1" s="1"/>
  <c r="M1081" i="1" a="1"/>
  <c r="M1081" i="1" s="1"/>
  <c r="M1080" i="1" a="1"/>
  <c r="M1080" i="1" s="1"/>
  <c r="M1077" i="1" a="1"/>
  <c r="M1077" i="1" s="1"/>
  <c r="M1073" i="1" a="1"/>
  <c r="M1073" i="1" s="1"/>
  <c r="M1069" i="1" a="1"/>
  <c r="M1069" i="1" s="1"/>
  <c r="M1068" i="1" a="1"/>
  <c r="M1068" i="1" s="1"/>
  <c r="M1063" i="1" a="1"/>
  <c r="M1063" i="1" s="1"/>
  <c r="M1058" i="1" a="1"/>
  <c r="M1058" i="1" s="1"/>
  <c r="M1057" i="1" a="1"/>
  <c r="M1057" i="1" s="1"/>
  <c r="M1051" i="1" a="1"/>
  <c r="M1051" i="1" s="1"/>
  <c r="M1046" i="1" a="1"/>
  <c r="M1046" i="1" s="1"/>
  <c r="M1043" i="1" a="1"/>
  <c r="M1043" i="1" s="1"/>
  <c r="M1040" i="1" a="1"/>
  <c r="M1040" i="1" s="1"/>
  <c r="M1036" i="1" a="1"/>
  <c r="M1036" i="1" s="1"/>
  <c r="M1034" i="1" a="1"/>
  <c r="M1034" i="1" s="1"/>
  <c r="M1004" i="1" a="1"/>
  <c r="M1004" i="1" s="1"/>
  <c r="M994" i="1" a="1"/>
  <c r="M994" i="1" s="1"/>
  <c r="M990" i="1" a="1"/>
  <c r="M990" i="1" s="1"/>
  <c r="M986" i="1" a="1"/>
  <c r="M986" i="1" s="1"/>
  <c r="M983" i="1" a="1"/>
  <c r="M983" i="1" s="1"/>
  <c r="M979" i="1" a="1"/>
  <c r="M979" i="1" s="1"/>
  <c r="M1138" i="1" a="1"/>
  <c r="M1138" i="1" s="1"/>
  <c r="M1134" i="1" a="1"/>
  <c r="M1134" i="1" s="1"/>
  <c r="M1126" i="1" a="1"/>
  <c r="M1126" i="1" s="1"/>
  <c r="M1118" i="1" a="1"/>
  <c r="M1118" i="1" s="1"/>
  <c r="M1112" i="1" a="1"/>
  <c r="M1112" i="1" s="1"/>
  <c r="M1110" i="1" a="1"/>
  <c r="M1110" i="1" s="1"/>
  <c r="M1107" i="1" a="1"/>
  <c r="M1107" i="1" s="1"/>
  <c r="M1104" i="1" a="1"/>
  <c r="M1104" i="1" s="1"/>
  <c r="M1099" i="1" a="1"/>
  <c r="M1099" i="1" s="1"/>
  <c r="M1095" i="1" a="1"/>
  <c r="M1095" i="1" s="1"/>
  <c r="M1089" i="1" a="1"/>
  <c r="M1089" i="1" s="1"/>
  <c r="M1078" i="1" a="1"/>
  <c r="M1078" i="1" s="1"/>
  <c r="M1074" i="1" a="1"/>
  <c r="M1074" i="1" s="1"/>
  <c r="M1070" i="1" a="1"/>
  <c r="M1070" i="1" s="1"/>
  <c r="M1064" i="1" a="1"/>
  <c r="M1064" i="1" s="1"/>
  <c r="M1061" i="1" a="1"/>
  <c r="M1061" i="1" s="1"/>
  <c r="M1056" i="1" a="1"/>
  <c r="M1056" i="1" s="1"/>
  <c r="M1055" i="1" a="1"/>
  <c r="M1055" i="1" s="1"/>
  <c r="M1052" i="1" a="1"/>
  <c r="M1052" i="1" s="1"/>
  <c r="M1047" i="1" a="1"/>
  <c r="M1047" i="1" s="1"/>
  <c r="M1044" i="1" a="1"/>
  <c r="M1044" i="1" s="1"/>
  <c r="M1041" i="1" a="1"/>
  <c r="M1041" i="1" s="1"/>
  <c r="M1037" i="1" a="1"/>
  <c r="M1037" i="1" s="1"/>
  <c r="M1035" i="1" a="1"/>
  <c r="M1035" i="1" s="1"/>
  <c r="M1032" i="1" a="1"/>
  <c r="M1032" i="1" s="1"/>
  <c r="M1007" i="1" a="1"/>
  <c r="M1007" i="1" s="1"/>
  <c r="M1005" i="1" a="1"/>
  <c r="M1005" i="1" s="1"/>
  <c r="M1001" i="1" a="1"/>
  <c r="M1001" i="1" s="1"/>
  <c r="M998" i="1" a="1"/>
  <c r="M998" i="1" s="1"/>
  <c r="M995" i="1" a="1"/>
  <c r="M995" i="1" s="1"/>
  <c r="M991" i="1" a="1"/>
  <c r="M991" i="1" s="1"/>
  <c r="M987" i="1" a="1"/>
  <c r="M987" i="1" s="1"/>
  <c r="M984" i="1" a="1"/>
  <c r="M984" i="1" s="1"/>
  <c r="M980" i="1" a="1"/>
  <c r="M980" i="1" s="1"/>
  <c r="M976" i="1" a="1"/>
  <c r="M976" i="1" s="1"/>
  <c r="M1128" i="1" a="1"/>
  <c r="M1128" i="1" s="1"/>
  <c r="M1124" i="1" a="1"/>
  <c r="M1124" i="1" s="1"/>
  <c r="M1120" i="1" a="1"/>
  <c r="M1120" i="1" s="1"/>
  <c r="M1116" i="1" a="1"/>
  <c r="M1116" i="1" s="1"/>
  <c r="M1090" i="1" a="1"/>
  <c r="M1090" i="1" s="1"/>
  <c r="M1075" i="1" a="1"/>
  <c r="M1075" i="1" s="1"/>
  <c r="M1072" i="1" a="1"/>
  <c r="M1072" i="1" s="1"/>
  <c r="M1060" i="1" a="1"/>
  <c r="M1060" i="1" s="1"/>
  <c r="M1059" i="1" a="1"/>
  <c r="M1059" i="1" s="1"/>
  <c r="M1054" i="1" a="1"/>
  <c r="M1054" i="1" s="1"/>
  <c r="M1048" i="1" a="1"/>
  <c r="M1048" i="1" s="1"/>
  <c r="M1039" i="1" a="1"/>
  <c r="M1039" i="1" s="1"/>
  <c r="M1038" i="1" a="1"/>
  <c r="M1038" i="1" s="1"/>
  <c r="M1008" i="1" a="1"/>
  <c r="M1008" i="1" s="1"/>
  <c r="M996" i="1" a="1"/>
  <c r="M996" i="1" s="1"/>
  <c r="M989" i="1" a="1"/>
  <c r="M989" i="1" s="1"/>
  <c r="M988" i="1" a="1"/>
  <c r="M988" i="1" s="1"/>
  <c r="M985" i="1" a="1"/>
  <c r="M985" i="1" s="1"/>
  <c r="M981" i="1" a="1"/>
  <c r="M981" i="1" s="1"/>
  <c r="M920" i="1" a="1"/>
  <c r="M920" i="1" s="1"/>
  <c r="M883" i="1" a="1"/>
  <c r="M883" i="1" s="1"/>
  <c r="M881" i="1" a="1"/>
  <c r="M881" i="1" s="1"/>
  <c r="M869" i="1" a="1"/>
  <c r="M869" i="1" s="1"/>
  <c r="M865" i="1" a="1"/>
  <c r="M865" i="1" s="1"/>
  <c r="M857" i="1" a="1"/>
  <c r="M857" i="1" s="1"/>
  <c r="M854" i="1" a="1"/>
  <c r="M854" i="1" s="1"/>
  <c r="M850" i="1" a="1"/>
  <c r="M850" i="1" s="1"/>
  <c r="M846" i="1" a="1"/>
  <c r="M846" i="1" s="1"/>
  <c r="M842" i="1" a="1"/>
  <c r="M842" i="1" s="1"/>
  <c r="M836" i="1" a="1"/>
  <c r="M836" i="1" s="1"/>
  <c r="M835" i="1" a="1"/>
  <c r="M835" i="1" s="1"/>
  <c r="M834" i="1" a="1"/>
  <c r="M834" i="1" s="1"/>
  <c r="M833" i="1" a="1"/>
  <c r="M833" i="1" s="1"/>
  <c r="M832" i="1" a="1"/>
  <c r="M832" i="1" s="1"/>
  <c r="M831" i="1" a="1"/>
  <c r="M831" i="1" s="1"/>
  <c r="M830" i="1" a="1"/>
  <c r="M830" i="1" s="1"/>
  <c r="M827" i="1" a="1"/>
  <c r="M827" i="1" s="1"/>
  <c r="M824" i="1" a="1"/>
  <c r="M824" i="1" s="1"/>
  <c r="M821" i="1" a="1"/>
  <c r="M821" i="1" s="1"/>
  <c r="M820" i="1" a="1"/>
  <c r="M820" i="1" s="1"/>
  <c r="M818" i="1" a="1"/>
  <c r="M818" i="1" s="1"/>
  <c r="M814" i="1" a="1"/>
  <c r="M814" i="1" s="1"/>
  <c r="M813" i="1" a="1"/>
  <c r="M813" i="1" s="1"/>
  <c r="M1140" i="1" a="1"/>
  <c r="M1140" i="1" s="1"/>
  <c r="M1132" i="1" a="1"/>
  <c r="M1132" i="1" s="1"/>
  <c r="M1123" i="1" a="1"/>
  <c r="M1123" i="1" s="1"/>
  <c r="M1115" i="1" a="1"/>
  <c r="M1115" i="1" s="1"/>
  <c r="M1111" i="1" a="1"/>
  <c r="M1111" i="1" s="1"/>
  <c r="M1096" i="1" a="1"/>
  <c r="M1096" i="1" s="1"/>
  <c r="M1050" i="1" a="1"/>
  <c r="M1050" i="1" s="1"/>
  <c r="M1049" i="1" a="1"/>
  <c r="M1049" i="1" s="1"/>
  <c r="M1006" i="1" a="1"/>
  <c r="M1006" i="1" s="1"/>
  <c r="M1003" i="1" a="1"/>
  <c r="M1003" i="1" s="1"/>
  <c r="M1002" i="1" a="1"/>
  <c r="M1002" i="1" s="1"/>
  <c r="M992" i="1" a="1"/>
  <c r="M992" i="1" s="1"/>
  <c r="M978" i="1" a="1"/>
  <c r="M978" i="1" s="1"/>
  <c r="M973" i="1" a="1"/>
  <c r="M973" i="1" s="1"/>
  <c r="M886" i="1" a="1"/>
  <c r="M886" i="1" s="1"/>
  <c r="M879" i="1" a="1"/>
  <c r="M879" i="1" s="1"/>
  <c r="M870" i="1" a="1"/>
  <c r="M870" i="1" s="1"/>
  <c r="M1122" i="1" a="1"/>
  <c r="M1122" i="1" s="1"/>
  <c r="M1114" i="1" a="1"/>
  <c r="M1114" i="1" s="1"/>
  <c r="M1093" i="1" a="1"/>
  <c r="M1093" i="1" s="1"/>
  <c r="M1088" i="1" a="1"/>
  <c r="M1088" i="1" s="1"/>
  <c r="M1085" i="1" a="1"/>
  <c r="M1085" i="1" s="1"/>
  <c r="M1084" i="1" a="1"/>
  <c r="M1084" i="1" s="1"/>
  <c r="M1083" i="1" a="1"/>
  <c r="M1083" i="1" s="1"/>
  <c r="M1071" i="1" a="1"/>
  <c r="M1071" i="1" s="1"/>
  <c r="M1067" i="1" a="1"/>
  <c r="M1067" i="1" s="1"/>
  <c r="M1053" i="1" a="1"/>
  <c r="M1053" i="1" s="1"/>
  <c r="M1045" i="1" a="1"/>
  <c r="M1045" i="1" s="1"/>
  <c r="M1000" i="1" a="1"/>
  <c r="M1000" i="1" s="1"/>
  <c r="M999" i="1" a="1"/>
  <c r="M999" i="1" s="1"/>
  <c r="M993" i="1" a="1"/>
  <c r="M993" i="1" s="1"/>
  <c r="M974" i="1" a="1"/>
  <c r="M974" i="1" s="1"/>
  <c r="M884" i="1" a="1"/>
  <c r="M884" i="1" s="1"/>
  <c r="M882" i="1" a="1"/>
  <c r="M882" i="1" s="1"/>
  <c r="M880" i="1" a="1"/>
  <c r="M880" i="1" s="1"/>
  <c r="M871" i="1" a="1"/>
  <c r="M871" i="1" s="1"/>
  <c r="M867" i="1" a="1"/>
  <c r="M867" i="1" s="1"/>
  <c r="M862" i="1" a="1"/>
  <c r="M862" i="1" s="1"/>
  <c r="M859" i="1" a="1"/>
  <c r="M859" i="1" s="1"/>
  <c r="M852" i="1" a="1"/>
  <c r="M852" i="1" s="1"/>
  <c r="M848" i="1" a="1"/>
  <c r="M848" i="1" s="1"/>
  <c r="M844" i="1" a="1"/>
  <c r="M844" i="1" s="1"/>
  <c r="M838" i="1" a="1"/>
  <c r="M838" i="1" s="1"/>
  <c r="M829" i="1" a="1"/>
  <c r="M829" i="1" s="1"/>
  <c r="M828" i="1" a="1"/>
  <c r="M828" i="1" s="1"/>
  <c r="M816" i="1" a="1"/>
  <c r="M816" i="1" s="1"/>
  <c r="AC806" i="1" a="1"/>
  <c r="AC806" i="1" s="1"/>
  <c r="X806" i="1" a="1"/>
  <c r="X806" i="1" s="1"/>
  <c r="M806" i="1" a="1"/>
  <c r="M806" i="1" s="1"/>
  <c r="M1136" i="1" a="1"/>
  <c r="M1136" i="1" s="1"/>
  <c r="M1121" i="1" a="1"/>
  <c r="M1121" i="1" s="1"/>
  <c r="M1113" i="1" a="1"/>
  <c r="M1113" i="1" s="1"/>
  <c r="M1101" i="1" a="1"/>
  <c r="M1101" i="1" s="1"/>
  <c r="M1100" i="1" a="1"/>
  <c r="M1100" i="1" s="1"/>
  <c r="M1092" i="1" a="1"/>
  <c r="M1092" i="1" s="1"/>
  <c r="M1086" i="1" a="1"/>
  <c r="M1086" i="1" s="1"/>
  <c r="M1082" i="1" a="1"/>
  <c r="M1082" i="1" s="1"/>
  <c r="M1079" i="1" a="1"/>
  <c r="M1079" i="1" s="1"/>
  <c r="M1076" i="1" a="1"/>
  <c r="M1076" i="1" s="1"/>
  <c r="M1066" i="1" a="1"/>
  <c r="M1066" i="1" s="1"/>
  <c r="M1065" i="1" a="1"/>
  <c r="M1065" i="1" s="1"/>
  <c r="M1062" i="1" a="1"/>
  <c r="M1062" i="1" s="1"/>
  <c r="M1042" i="1" a="1"/>
  <c r="M1042" i="1" s="1"/>
  <c r="M1033" i="1" a="1"/>
  <c r="M1033" i="1" s="1"/>
  <c r="M997" i="1" a="1"/>
  <c r="M997" i="1" s="1"/>
  <c r="M982" i="1" a="1"/>
  <c r="M982" i="1" s="1"/>
  <c r="M977" i="1" a="1"/>
  <c r="M977" i="1" s="1"/>
  <c r="M975" i="1" a="1"/>
  <c r="M975" i="1" s="1"/>
  <c r="M885" i="1" a="1"/>
  <c r="M885" i="1" s="1"/>
  <c r="M878" i="1" a="1"/>
  <c r="M878" i="1" s="1"/>
  <c r="M877" i="1" a="1"/>
  <c r="M877" i="1" s="1"/>
  <c r="M876" i="1" a="1"/>
  <c r="M876" i="1" s="1"/>
  <c r="M875" i="1" a="1"/>
  <c r="M875" i="1" s="1"/>
  <c r="M874" i="1" a="1"/>
  <c r="M874" i="1" s="1"/>
  <c r="M873" i="1" a="1"/>
  <c r="M873" i="1" s="1"/>
  <c r="M872" i="1" a="1"/>
  <c r="M872" i="1" s="1"/>
  <c r="M868" i="1" a="1"/>
  <c r="M868" i="1" s="1"/>
  <c r="M864" i="1" a="1"/>
  <c r="M864" i="1" s="1"/>
  <c r="M863" i="1" a="1"/>
  <c r="M863" i="1" s="1"/>
  <c r="M860" i="1" a="1"/>
  <c r="M860" i="1" s="1"/>
  <c r="M856" i="1" a="1"/>
  <c r="M856" i="1" s="1"/>
  <c r="M855" i="1" a="1"/>
  <c r="M855" i="1" s="1"/>
  <c r="M853" i="1" a="1"/>
  <c r="M853" i="1" s="1"/>
  <c r="M849" i="1" a="1"/>
  <c r="M849" i="1" s="1"/>
  <c r="M845" i="1" a="1"/>
  <c r="M845" i="1" s="1"/>
  <c r="M841" i="1" a="1"/>
  <c r="M841" i="1" s="1"/>
  <c r="M839" i="1" a="1"/>
  <c r="M839" i="1" s="1"/>
  <c r="M825" i="1" a="1"/>
  <c r="M825" i="1" s="1"/>
  <c r="M823" i="1" a="1"/>
  <c r="M823" i="1" s="1"/>
  <c r="M822" i="1" a="1"/>
  <c r="M822" i="1" s="1"/>
  <c r="M819" i="1" a="1"/>
  <c r="M819" i="1" s="1"/>
  <c r="M810" i="1" a="1"/>
  <c r="M810" i="1" s="1"/>
  <c r="M808" i="1" a="1"/>
  <c r="M808" i="1" s="1"/>
  <c r="M815" i="1" a="1"/>
  <c r="M815" i="1" s="1"/>
  <c r="BP826" i="1"/>
  <c r="BN862" i="1"/>
  <c r="AF1168" i="1"/>
  <c r="BO865" i="1"/>
  <c r="AF864" i="1"/>
  <c r="AF866" i="1"/>
  <c r="AJ1168" i="1"/>
  <c r="AJ864" i="1"/>
  <c r="AJ866" i="1"/>
  <c r="AN1168" i="1"/>
  <c r="AN1166" i="1" s="1"/>
  <c r="AN864" i="1"/>
  <c r="AN866" i="1"/>
  <c r="M866" i="1" a="1"/>
  <c r="M866" i="1" s="1"/>
  <c r="BO867" i="1"/>
  <c r="BP925" i="1"/>
  <c r="BN939" i="1"/>
  <c r="BN944" i="1"/>
  <c r="BN946" i="1"/>
  <c r="BN957" i="1"/>
  <c r="BN959" i="1"/>
  <c r="BN968" i="1"/>
  <c r="BP968" i="1"/>
  <c r="AQ982" i="1"/>
  <c r="AY982" i="1"/>
  <c r="BN991" i="1"/>
  <c r="BP1010" i="1"/>
  <c r="AV1032" i="1"/>
  <c r="AQ1063" i="1"/>
  <c r="AY1063" i="1"/>
  <c r="BG1063" i="1"/>
  <c r="A735" i="1" a="1"/>
  <c r="A735" i="1" s="1"/>
  <c r="AB813" i="1"/>
  <c r="AB814" i="1"/>
  <c r="AB818" i="1"/>
  <c r="AB821" i="1"/>
  <c r="AZ822" i="1"/>
  <c r="BN822" i="1" s="1"/>
  <c r="AI866" i="1"/>
  <c r="AM866" i="1"/>
  <c r="AQ866" i="1"/>
  <c r="AU866" i="1"/>
  <c r="AY866" i="1"/>
  <c r="BC866" i="1"/>
  <c r="BG866" i="1"/>
  <c r="BK866" i="1"/>
  <c r="BN974" i="1"/>
  <c r="AN976" i="1"/>
  <c r="AN973" i="1" s="1"/>
  <c r="AZ976" i="1"/>
  <c r="AZ973" i="1" s="1"/>
  <c r="BE978" i="1"/>
  <c r="BO992" i="1"/>
  <c r="BN1002" i="1"/>
  <c r="AO1008" i="1"/>
  <c r="AO1001" i="1" s="1"/>
  <c r="BN1030" i="1"/>
  <c r="AE1008" i="1"/>
  <c r="AE1035" i="1"/>
  <c r="AM1035" i="1"/>
  <c r="AM1032" i="1" s="1"/>
  <c r="AU1035" i="1"/>
  <c r="AU1032" i="1" s="1"/>
  <c r="BC1035" i="1"/>
  <c r="BC1032" i="1" s="1"/>
  <c r="BK1035" i="1"/>
  <c r="BK1032" i="1" s="1"/>
  <c r="AH1037" i="1"/>
  <c r="AH1035" i="1"/>
  <c r="AH1032" i="1" s="1"/>
  <c r="AL1037" i="1"/>
  <c r="AL1035" i="1"/>
  <c r="AL1032" i="1" s="1"/>
  <c r="AP1037" i="1"/>
  <c r="AP1035" i="1"/>
  <c r="AP1032" i="1" s="1"/>
  <c r="AT1037" i="1"/>
  <c r="AT1035" i="1"/>
  <c r="AT1032" i="1" s="1"/>
  <c r="AX1037" i="1"/>
  <c r="AX1035" i="1"/>
  <c r="AX1032" i="1" s="1"/>
  <c r="BB1037" i="1"/>
  <c r="BB1035" i="1"/>
  <c r="BB1032" i="1" s="1"/>
  <c r="BF1037" i="1"/>
  <c r="BF1035" i="1"/>
  <c r="BF1032" i="1" s="1"/>
  <c r="BJ1037" i="1"/>
  <c r="BJ1035" i="1"/>
  <c r="BJ1032" i="1" s="1"/>
  <c r="AE1037" i="1"/>
  <c r="AM1037" i="1"/>
  <c r="BN1049" i="1"/>
  <c r="BP1080" i="1"/>
  <c r="BP1085" i="1"/>
  <c r="BN1088" i="1"/>
  <c r="BP1093" i="1"/>
  <c r="AL1166" i="1"/>
  <c r="BB1165" i="1"/>
  <c r="BB1166" i="1" s="1"/>
  <c r="AG1155" i="1"/>
  <c r="AW1155" i="1"/>
  <c r="BN1160" i="1"/>
  <c r="AO1164" i="1"/>
  <c r="AP1168" i="1"/>
  <c r="AP1166" i="1" s="1"/>
  <c r="BF1168" i="1"/>
  <c r="BF1166" i="1" s="1"/>
  <c r="AC836" i="2"/>
  <c r="AC113" i="2"/>
  <c r="BO974" i="1"/>
  <c r="BI976" i="1"/>
  <c r="BI973" i="1" s="1"/>
  <c r="BN983" i="1"/>
  <c r="BK982" i="1"/>
  <c r="BO987" i="1"/>
  <c r="AF983" i="1"/>
  <c r="AJ983" i="1"/>
  <c r="AJ982" i="1" s="1"/>
  <c r="AZ982" i="1"/>
  <c r="BN987" i="1"/>
  <c r="BN990" i="1"/>
  <c r="AG991" i="1"/>
  <c r="AO991" i="1"/>
  <c r="BA991" i="1"/>
  <c r="AK993" i="1"/>
  <c r="AS993" i="1"/>
  <c r="BA993" i="1"/>
  <c r="BO995" i="1"/>
  <c r="BP1002" i="1"/>
  <c r="AG1001" i="1"/>
  <c r="AW1001" i="1"/>
  <c r="AW982" i="1" s="1"/>
  <c r="BA1001" i="1"/>
  <c r="BI1001" i="1"/>
  <c r="BI982" i="1" s="1"/>
  <c r="BO1002" i="1"/>
  <c r="BN1009" i="1"/>
  <c r="BP1011" i="1"/>
  <c r="Y1062" i="1"/>
  <c r="BO1070" i="1"/>
  <c r="BN1072" i="1"/>
  <c r="BO1074" i="1"/>
  <c r="BO1075" i="1"/>
  <c r="BB1078" i="1"/>
  <c r="BB1063" i="1" s="1"/>
  <c r="Y1081" i="1"/>
  <c r="BO1089" i="1"/>
  <c r="BN1089" i="1"/>
  <c r="BN1106" i="1"/>
  <c r="BN1109" i="1"/>
  <c r="AI1166" i="1"/>
  <c r="AM1166" i="1"/>
  <c r="AQ1166" i="1"/>
  <c r="AU1166" i="1"/>
  <c r="AY1166" i="1"/>
  <c r="BC1166" i="1"/>
  <c r="BG1166" i="1"/>
  <c r="BK1166" i="1"/>
  <c r="BP1154" i="1"/>
  <c r="BP1159" i="1"/>
  <c r="AG1161" i="1"/>
  <c r="BE1165" i="1"/>
  <c r="BE1166" i="1" s="1"/>
  <c r="AT1168" i="1"/>
  <c r="AT1166" i="1" s="1"/>
  <c r="BJ1168" i="1"/>
  <c r="BJ1166" i="1" s="1"/>
  <c r="A1073" i="2"/>
  <c r="B1073" i="2" s="1" a="1"/>
  <c r="B1073" i="2" s="1"/>
  <c r="A718" i="2"/>
  <c r="B718" i="2" s="1" a="1"/>
  <c r="B718" i="2" s="1"/>
  <c r="A711" i="2"/>
  <c r="B711" i="2" s="1" a="1"/>
  <c r="B711" i="2" s="1"/>
  <c r="A668" i="2"/>
  <c r="B668" i="2" s="1" a="1"/>
  <c r="B668" i="2" s="1"/>
  <c r="A333" i="2"/>
  <c r="B333" i="2" s="1" a="1"/>
  <c r="B333" i="2" s="1"/>
  <c r="AE103" i="2"/>
  <c r="AE99" i="2" s="1"/>
  <c r="AN118" i="2"/>
  <c r="BD118" i="2"/>
  <c r="BD112" i="2"/>
  <c r="BU118" i="2"/>
  <c r="BU112" i="2"/>
  <c r="BP884" i="1"/>
  <c r="BN975" i="1"/>
  <c r="AV976" i="1"/>
  <c r="AV973" i="1" s="1"/>
  <c r="BD976" i="1"/>
  <c r="BD973" i="1" s="1"/>
  <c r="AW976" i="1"/>
  <c r="AW973" i="1" s="1"/>
  <c r="BA976" i="1"/>
  <c r="BA973" i="1" s="1"/>
  <c r="AK978" i="1"/>
  <c r="AS978" i="1"/>
  <c r="BA978" i="1"/>
  <c r="BI978" i="1"/>
  <c r="BO986" i="1"/>
  <c r="BP987" i="1"/>
  <c r="BP988" i="1"/>
  <c r="AF991" i="1"/>
  <c r="AV991" i="1"/>
  <c r="BD991" i="1"/>
  <c r="BD982" i="1" s="1"/>
  <c r="BC993" i="1"/>
  <c r="BG993" i="1"/>
  <c r="BK993" i="1"/>
  <c r="BN994" i="1"/>
  <c r="AL1008" i="1"/>
  <c r="BO1008" i="1" s="1"/>
  <c r="BN1012" i="1"/>
  <c r="BN1016" i="1"/>
  <c r="BN1020" i="1"/>
  <c r="BN1024" i="1"/>
  <c r="BN1028" i="1"/>
  <c r="BN1031" i="1"/>
  <c r="BO1034" i="1"/>
  <c r="AI1035" i="1"/>
  <c r="AI1032" i="1" s="1"/>
  <c r="AQ1035" i="1"/>
  <c r="AQ1032" i="1" s="1"/>
  <c r="AY1035" i="1"/>
  <c r="AY1032" i="1" s="1"/>
  <c r="BG1035" i="1"/>
  <c r="BG1032" i="1" s="1"/>
  <c r="BO1036" i="1"/>
  <c r="BO1037" i="1" s="1"/>
  <c r="BP1038" i="1"/>
  <c r="BP1037" i="1" s="1"/>
  <c r="BI1032" i="1"/>
  <c r="BN1042" i="1"/>
  <c r="BO1043" i="1"/>
  <c r="BP1044" i="1"/>
  <c r="AE1051" i="1"/>
  <c r="BN1051" i="1" s="1"/>
  <c r="AE1063" i="1"/>
  <c r="Y1067" i="1"/>
  <c r="BN1068" i="1"/>
  <c r="BP1070" i="1"/>
  <c r="BP1074" i="1"/>
  <c r="BP1075" i="1"/>
  <c r="BN1076" i="1"/>
  <c r="BN1077" i="1"/>
  <c r="BN1080" i="1"/>
  <c r="BO1082" i="1"/>
  <c r="AF1088" i="1"/>
  <c r="BO1088" i="1" s="1"/>
  <c r="BP1089" i="1"/>
  <c r="BN1094" i="1"/>
  <c r="BN1095" i="1"/>
  <c r="BO1099" i="1"/>
  <c r="BN1101" i="1"/>
  <c r="BO1106" i="1"/>
  <c r="BO1109" i="1"/>
  <c r="BP1109" i="1"/>
  <c r="AF1166" i="1"/>
  <c r="AJ1166" i="1"/>
  <c r="AR1166" i="1"/>
  <c r="AZ1166" i="1"/>
  <c r="BH1166" i="1"/>
  <c r="BP1160" i="1"/>
  <c r="BN1162" i="1"/>
  <c r="BN1164" i="1" s="1"/>
  <c r="AG1164" i="1"/>
  <c r="AS1165" i="1"/>
  <c r="AS1166" i="1" s="1"/>
  <c r="BI1165" i="1"/>
  <c r="BI1166" i="1" s="1"/>
  <c r="AH1168" i="1"/>
  <c r="AH1166" i="1" s="1"/>
  <c r="AX1168" i="1"/>
  <c r="AX1166" i="1" s="1"/>
  <c r="AF9" i="2" a="1"/>
  <c r="AF9" i="2" s="1"/>
  <c r="AF6" i="2" a="1"/>
  <c r="AF6" i="2" s="1"/>
  <c r="AF2" i="2" a="1"/>
  <c r="AF2" i="2" s="1"/>
  <c r="A802" i="2"/>
  <c r="B802" i="2" s="1" a="1"/>
  <c r="B802" i="2" s="1"/>
  <c r="B798" i="2"/>
  <c r="A441" i="2"/>
  <c r="B441" i="2" s="1" a="1"/>
  <c r="B441" i="2" s="1"/>
  <c r="B437" i="2"/>
  <c r="A79" i="2"/>
  <c r="B79" i="2" s="1" a="1"/>
  <c r="B79" i="2" s="1"/>
  <c r="B76" i="2"/>
  <c r="AJ110" i="2"/>
  <c r="AO109" i="2" a="1"/>
  <c r="AO109" i="2" s="1"/>
  <c r="CA119" i="2"/>
  <c r="AO115" i="2"/>
  <c r="AW115" i="2"/>
  <c r="AW109" i="2" a="1"/>
  <c r="AW109" i="2" s="1"/>
  <c r="BE109" i="2" a="1"/>
  <c r="BE109" i="2" s="1"/>
  <c r="BE115" i="2"/>
  <c r="BE118" i="2" s="1"/>
  <c r="BI115" i="2"/>
  <c r="BI109" i="2" a="1"/>
  <c r="BI109" i="2" s="1"/>
  <c r="BM115" i="2"/>
  <c r="BM109" i="2" a="1"/>
  <c r="BM109" i="2" s="1"/>
  <c r="BV115" i="2"/>
  <c r="BV109" i="2"/>
  <c r="Y702" i="1"/>
  <c r="AL866" i="1"/>
  <c r="BB866" i="1"/>
  <c r="AF976" i="1"/>
  <c r="AR976" i="1"/>
  <c r="AR973" i="1" s="1"/>
  <c r="BO980" i="1"/>
  <c r="AG983" i="1"/>
  <c r="BP985" i="1"/>
  <c r="AR991" i="1"/>
  <c r="AR982" i="1" s="1"/>
  <c r="AQ993" i="1"/>
  <c r="AU993" i="1"/>
  <c r="AY993" i="1"/>
  <c r="BN992" i="1"/>
  <c r="BN993" i="1" s="1"/>
  <c r="AG993" i="1"/>
  <c r="AO993" i="1"/>
  <c r="AW993" i="1"/>
  <c r="BE993" i="1"/>
  <c r="BO994" i="1"/>
  <c r="AH1001" i="1"/>
  <c r="AP1001" i="1"/>
  <c r="AP982" i="1" s="1"/>
  <c r="AX1001" i="1"/>
  <c r="AX982" i="1" s="1"/>
  <c r="BF1001" i="1"/>
  <c r="BF982" i="1" s="1"/>
  <c r="BJ1001" i="1"/>
  <c r="BJ982" i="1" s="1"/>
  <c r="BN1011" i="1"/>
  <c r="BN1015" i="1"/>
  <c r="BN1019" i="1"/>
  <c r="BN1023" i="1"/>
  <c r="BN1027" i="1"/>
  <c r="BO1031" i="1"/>
  <c r="BO1052" i="1"/>
  <c r="BP1065" i="1"/>
  <c r="AG1064" i="1"/>
  <c r="AK1064" i="1"/>
  <c r="AK1063" i="1" s="1"/>
  <c r="AO1064" i="1"/>
  <c r="AO1063" i="1" s="1"/>
  <c r="AS1064" i="1"/>
  <c r="AS1063" i="1" s="1"/>
  <c r="AW1064" i="1"/>
  <c r="AW1063" i="1" s="1"/>
  <c r="BA1064" i="1"/>
  <c r="BA1063" i="1" s="1"/>
  <c r="BE1064" i="1"/>
  <c r="BE1063" i="1" s="1"/>
  <c r="BI1064" i="1"/>
  <c r="BI1063" i="1" s="1"/>
  <c r="BO1068" i="1"/>
  <c r="BN1069" i="1"/>
  <c r="BN1073" i="1"/>
  <c r="BO1077" i="1"/>
  <c r="BO1080" i="1"/>
  <c r="BP1082" i="1"/>
  <c r="BO1083" i="1"/>
  <c r="BO1084" i="1"/>
  <c r="BO1085" i="1"/>
  <c r="BN1093" i="1"/>
  <c r="BO1094" i="1"/>
  <c r="BO1095" i="1"/>
  <c r="BO1101" i="1"/>
  <c r="BN1104" i="1"/>
  <c r="AE1103" i="1"/>
  <c r="BN1103" i="1" s="1"/>
  <c r="BN1107" i="1"/>
  <c r="BP1155" i="1"/>
  <c r="BN1154" i="1"/>
  <c r="BP1157" i="1"/>
  <c r="BN1159" i="1"/>
  <c r="BN1161" i="1" s="1"/>
  <c r="BO1159" i="1"/>
  <c r="AG1165" i="1"/>
  <c r="A100" i="2" a="1"/>
  <c r="A100" i="2" s="1"/>
  <c r="A101" i="2" a="1"/>
  <c r="A101" i="2" s="1"/>
  <c r="A102" i="2" s="1" a="1"/>
  <c r="A102" i="2" s="1"/>
  <c r="A103" i="2" s="1" a="1"/>
  <c r="A103" i="2" s="1"/>
  <c r="A104" i="2" s="1" a="1"/>
  <c r="A104" i="2" s="1"/>
  <c r="A105" i="2" s="1" a="1"/>
  <c r="A105" i="2" s="1"/>
  <c r="A106" i="2" s="1" a="1"/>
  <c r="A106" i="2" s="1"/>
  <c r="A107" i="2" s="1" a="1"/>
  <c r="A107" i="2" s="1"/>
  <c r="A108" i="2" s="1" a="1"/>
  <c r="A108" i="2" s="1"/>
  <c r="BH110" i="2"/>
  <c r="BH111" i="2" s="1"/>
  <c r="AP115" i="2"/>
  <c r="AP109" i="2" a="1"/>
  <c r="AP109" i="2" s="1"/>
  <c r="BJ109" i="2" a="1"/>
  <c r="BJ109" i="2" s="1"/>
  <c r="BJ115" i="2"/>
  <c r="BO109" i="2"/>
  <c r="BO115" i="2"/>
  <c r="BS115" i="2"/>
  <c r="BS109" i="2"/>
  <c r="AF1103" i="1"/>
  <c r="BO1103" i="1" s="1"/>
  <c r="BP1105" i="1"/>
  <c r="AI1155" i="1"/>
  <c r="AM1155" i="1"/>
  <c r="AQ1155" i="1"/>
  <c r="AU1155" i="1"/>
  <c r="AY1155" i="1"/>
  <c r="BC1155" i="1"/>
  <c r="BG1155" i="1"/>
  <c r="BK1155" i="1"/>
  <c r="AE1161" i="1"/>
  <c r="AE1164" i="1"/>
  <c r="AE1" i="2" a="1"/>
  <c r="AE1" i="2" s="1"/>
  <c r="AG1" i="2" a="1"/>
  <c r="AG1" i="2" s="1"/>
  <c r="AE5" i="2" a="1"/>
  <c r="AE5" i="2" s="1"/>
  <c r="AG5" i="2" a="1"/>
  <c r="AG5" i="2" s="1"/>
  <c r="B1062" i="2"/>
  <c r="B1071" i="2" s="1" a="1"/>
  <c r="B1071" i="2" s="1"/>
  <c r="B657" i="2"/>
  <c r="B666" i="2" s="1" a="1"/>
  <c r="B666" i="2" s="1"/>
  <c r="B322" i="2"/>
  <c r="B331" i="2" s="1" a="1"/>
  <c r="B331" i="2" s="1"/>
  <c r="AE323" i="2"/>
  <c r="BY323" i="2" s="1"/>
  <c r="A884" i="2"/>
  <c r="A885" i="2" s="1" a="1"/>
  <c r="A885" i="2" s="1"/>
  <c r="A886" i="2" s="1" a="1"/>
  <c r="A886" i="2" s="1"/>
  <c r="A887" i="2" s="1" a="1"/>
  <c r="A887" i="2" s="1"/>
  <c r="A888" i="2" s="1" a="1"/>
  <c r="A888" i="2" s="1"/>
  <c r="A889" i="2" s="1" a="1"/>
  <c r="A889" i="2" s="1"/>
  <c r="A890" i="2" s="1" a="1"/>
  <c r="A890" i="2" s="1"/>
  <c r="A158" i="2"/>
  <c r="A159" i="2" s="1" a="1"/>
  <c r="A159" i="2" s="1"/>
  <c r="A160" i="2" s="1" a="1"/>
  <c r="A160" i="2" s="1"/>
  <c r="A161" i="2" s="1" a="1"/>
  <c r="A161" i="2" s="1"/>
  <c r="A162" i="2" s="1" a="1"/>
  <c r="A162" i="2" s="1"/>
  <c r="A163" i="2" s="1" a="1"/>
  <c r="A163" i="2" s="1"/>
  <c r="A164" i="2" s="1" a="1"/>
  <c r="A164" i="2" s="1"/>
  <c r="B96" i="2" a="1"/>
  <c r="B96" i="2" s="1"/>
  <c r="M99" i="2" a="1"/>
  <c r="M99" i="2" s="1"/>
  <c r="AB102" i="2"/>
  <c r="AB103" i="2"/>
  <c r="M107" i="2" a="1"/>
  <c r="M107" i="2" s="1"/>
  <c r="M109" i="2" a="1"/>
  <c r="M109" i="2" s="1"/>
  <c r="AH109" i="2" a="1"/>
  <c r="AH109" i="2" s="1"/>
  <c r="M111" i="2" a="1"/>
  <c r="M111" i="2" s="1"/>
  <c r="Y114" i="2"/>
  <c r="AB114" i="2" s="1"/>
  <c r="AH115" i="2"/>
  <c r="M117" i="2" a="1"/>
  <c r="M117" i="2" s="1"/>
  <c r="M119" i="2" a="1"/>
  <c r="M119" i="2" s="1"/>
  <c r="AF119" i="2"/>
  <c r="BF119" i="2"/>
  <c r="M121" i="2" a="1"/>
  <c r="M121" i="2" s="1"/>
  <c r="M124" i="2" a="1"/>
  <c r="M124" i="2" s="1"/>
  <c r="M127" i="2" a="1"/>
  <c r="M127" i="2" s="1"/>
  <c r="M128" i="2" a="1"/>
  <c r="M128" i="2" s="1"/>
  <c r="M129" i="2" a="1"/>
  <c r="M129" i="2" s="1"/>
  <c r="M130" i="2" a="1"/>
  <c r="M130" i="2" s="1"/>
  <c r="M131" i="2" a="1"/>
  <c r="M131" i="2" s="1"/>
  <c r="M132" i="2" a="1"/>
  <c r="M132" i="2" s="1"/>
  <c r="M133" i="2" a="1"/>
  <c r="M133" i="2" s="1"/>
  <c r="M134" i="2" a="1"/>
  <c r="M134" i="2" s="1"/>
  <c r="M135" i="2" a="1"/>
  <c r="M135" i="2" s="1"/>
  <c r="M136" i="2" a="1"/>
  <c r="M136" i="2" s="1"/>
  <c r="M137" i="2" a="1"/>
  <c r="M137" i="2" s="1"/>
  <c r="M138" i="2" a="1"/>
  <c r="M138" i="2" s="1"/>
  <c r="M140" i="2" a="1"/>
  <c r="M140" i="2" s="1"/>
  <c r="BS144" i="2"/>
  <c r="M150" i="2" a="1"/>
  <c r="M150" i="2" s="1"/>
  <c r="BI1194" i="2"/>
  <c r="BI1195" i="2" s="1"/>
  <c r="BI1170" i="2"/>
  <c r="BI879" i="2"/>
  <c r="BI878" i="2" s="1"/>
  <c r="CA153" i="2"/>
  <c r="CA152" i="2" s="1"/>
  <c r="BI152" i="2"/>
  <c r="AE880" i="2"/>
  <c r="BY880" i="2" s="1"/>
  <c r="BY154" i="2"/>
  <c r="AP880" i="2"/>
  <c r="AP876" i="2" s="1"/>
  <c r="AP870" i="2" s="1"/>
  <c r="AP150" i="2"/>
  <c r="BB150" i="2"/>
  <c r="BB144" i="2" s="1"/>
  <c r="BF880" i="2"/>
  <c r="BF876" i="2" s="1"/>
  <c r="BF150" i="2"/>
  <c r="BF144" i="2" s="1"/>
  <c r="BF143" i="2" s="1"/>
  <c r="BJ150" i="2"/>
  <c r="M159" i="2" a="1"/>
  <c r="M159" i="2" s="1"/>
  <c r="BZ192" i="2"/>
  <c r="BB307" i="2"/>
  <c r="BB304" i="2" s="1"/>
  <c r="AF1155" i="1"/>
  <c r="AJ1155" i="1"/>
  <c r="AN1155" i="1"/>
  <c r="AR1155" i="1"/>
  <c r="AV1155" i="1"/>
  <c r="AZ1155" i="1"/>
  <c r="BD1155" i="1"/>
  <c r="BH1155" i="1"/>
  <c r="M95" i="2" a="1"/>
  <c r="M95" i="2" s="1"/>
  <c r="X95" i="2" a="1"/>
  <c r="X95" i="2" s="1"/>
  <c r="AC95" i="2" a="1"/>
  <c r="AC95" i="2" s="1"/>
  <c r="M108" i="2" a="1"/>
  <c r="M108" i="2" s="1"/>
  <c r="AN109" i="2" a="1"/>
  <c r="AN109" i="2" s="1"/>
  <c r="BU109" i="2" a="1"/>
  <c r="BU109" i="2" s="1"/>
  <c r="AB111" i="2"/>
  <c r="AX111" i="2"/>
  <c r="M112" i="2" a="1"/>
  <c r="M112" i="2" s="1"/>
  <c r="BH112" i="2"/>
  <c r="BL112" i="2"/>
  <c r="BQ112" i="2"/>
  <c r="M113" i="2" a="1"/>
  <c r="M113" i="2" s="1"/>
  <c r="AV115" i="2"/>
  <c r="M116" i="2" a="1"/>
  <c r="M116" i="2" s="1"/>
  <c r="M118" i="2" a="1"/>
  <c r="M118" i="2" s="1"/>
  <c r="M125" i="2" a="1"/>
  <c r="M125" i="2" s="1"/>
  <c r="M126" i="2" a="1"/>
  <c r="M126" i="2" s="1"/>
  <c r="M143" i="2" a="1"/>
  <c r="M143" i="2" s="1"/>
  <c r="BO144" i="2"/>
  <c r="M146" i="2" a="1"/>
  <c r="M146" i="2" s="1"/>
  <c r="AR1206" i="2"/>
  <c r="BZ1206" i="2" s="1"/>
  <c r="AR1193" i="2"/>
  <c r="AR1169" i="2"/>
  <c r="AR877" i="2"/>
  <c r="BZ877" i="2" s="1"/>
  <c r="AR152" i="2"/>
  <c r="BZ151" i="2"/>
  <c r="BZ152" i="2" s="1"/>
  <c r="AR150" i="2"/>
  <c r="AR144" i="2" s="1"/>
  <c r="AR143" i="2" s="1"/>
  <c r="BZ165" i="2"/>
  <c r="BE933" i="2"/>
  <c r="BE192" i="2"/>
  <c r="BE165" i="2" s="1"/>
  <c r="BR992" i="2"/>
  <c r="BR248" i="2"/>
  <c r="BR245" i="2" s="1"/>
  <c r="CA304" i="2"/>
  <c r="BV1059" i="2"/>
  <c r="BV318" i="2"/>
  <c r="B1063" i="2"/>
  <c r="B1064" i="2" s="1" a="1"/>
  <c r="B1064" i="2" s="1"/>
  <c r="B1065" i="2" s="1"/>
  <c r="B1066" i="2" s="1" a="1"/>
  <c r="B1066" i="2" s="1"/>
  <c r="B1067" i="2" s="1" a="1"/>
  <c r="B1067" i="2" s="1"/>
  <c r="B1068" i="2" s="1" a="1"/>
  <c r="B1068" i="2" s="1"/>
  <c r="B1069" i="2" s="1" a="1"/>
  <c r="B1069" i="2" s="1"/>
  <c r="B1070" i="2" s="1" a="1"/>
  <c r="B1070" i="2" s="1"/>
  <c r="B658" i="2"/>
  <c r="B659" i="2" s="1" a="1"/>
  <c r="B659" i="2" s="1"/>
  <c r="B660" i="2" s="1"/>
  <c r="B661" i="2" s="1" a="1"/>
  <c r="B661" i="2" s="1"/>
  <c r="B662" i="2" s="1" a="1"/>
  <c r="B662" i="2" s="1"/>
  <c r="B663" i="2" s="1" a="1"/>
  <c r="B663" i="2" s="1"/>
  <c r="B664" i="2" s="1" a="1"/>
  <c r="B664" i="2" s="1"/>
  <c r="B665" i="2" s="1" a="1"/>
  <c r="B665" i="2" s="1"/>
  <c r="B323" i="2"/>
  <c r="B324" i="2" s="1" a="1"/>
  <c r="B324" i="2" s="1"/>
  <c r="B325" i="2" s="1"/>
  <c r="B326" i="2" s="1" a="1"/>
  <c r="B326" i="2" s="1"/>
  <c r="B327" i="2" s="1" a="1"/>
  <c r="B327" i="2" s="1"/>
  <c r="B328" i="2" s="1" a="1"/>
  <c r="B328" i="2" s="1"/>
  <c r="B329" i="2" s="1" a="1"/>
  <c r="B329" i="2" s="1"/>
  <c r="B330" i="2" s="1" a="1"/>
  <c r="B330" i="2" s="1"/>
  <c r="AF322" i="2"/>
  <c r="BZ322" i="2" s="1"/>
  <c r="AH322" i="2"/>
  <c r="CB322" i="2" s="1"/>
  <c r="M424" i="2" a="1"/>
  <c r="M424" i="2" s="1"/>
  <c r="M420" i="2" a="1"/>
  <c r="M420" i="2" s="1"/>
  <c r="M416" i="2" a="1"/>
  <c r="M416" i="2" s="1"/>
  <c r="M412" i="2" a="1"/>
  <c r="M412" i="2" s="1"/>
  <c r="M408" i="2" a="1"/>
  <c r="M408" i="2" s="1"/>
  <c r="M407" i="2" a="1"/>
  <c r="M407" i="2" s="1"/>
  <c r="M402" i="2" a="1"/>
  <c r="M402" i="2" s="1"/>
  <c r="M401" i="2" a="1"/>
  <c r="M401" i="2" s="1"/>
  <c r="M400" i="2" a="1"/>
  <c r="M400" i="2" s="1"/>
  <c r="M423" i="2" a="1"/>
  <c r="M423" i="2" s="1"/>
  <c r="M419" i="2" a="1"/>
  <c r="M419" i="2" s="1"/>
  <c r="M415" i="2" a="1"/>
  <c r="M415" i="2" s="1"/>
  <c r="M413" i="2" a="1"/>
  <c r="M413" i="2" s="1"/>
  <c r="M409" i="2" a="1"/>
  <c r="M409" i="2" s="1"/>
  <c r="M406" i="2" a="1"/>
  <c r="M406" i="2" s="1"/>
  <c r="M399" i="2" a="1"/>
  <c r="M399" i="2" s="1"/>
  <c r="M390" i="2" a="1"/>
  <c r="M390" i="2" s="1"/>
  <c r="M421" i="2" a="1"/>
  <c r="M421" i="2" s="1"/>
  <c r="M417" i="2" a="1"/>
  <c r="M417" i="2" s="1"/>
  <c r="M414" i="2" a="1"/>
  <c r="M414" i="2" s="1"/>
  <c r="M411" i="2" a="1"/>
  <c r="M411" i="2" s="1"/>
  <c r="M404" i="2" a="1"/>
  <c r="M404" i="2" s="1"/>
  <c r="M403" i="2" a="1"/>
  <c r="M403" i="2" s="1"/>
  <c r="M397" i="2" a="1"/>
  <c r="M397" i="2" s="1"/>
  <c r="M395" i="2" a="1"/>
  <c r="M395" i="2" s="1"/>
  <c r="M394" i="2" a="1"/>
  <c r="M394" i="2" s="1"/>
  <c r="M410" i="2" a="1"/>
  <c r="M410" i="2" s="1"/>
  <c r="M393" i="2" a="1"/>
  <c r="M393" i="2" s="1"/>
  <c r="M391" i="2" a="1"/>
  <c r="M391" i="2" s="1"/>
  <c r="M384" i="2" a="1"/>
  <c r="M384" i="2" s="1"/>
  <c r="M362" i="2" a="1"/>
  <c r="M362" i="2" s="1"/>
  <c r="M361" i="2" a="1"/>
  <c r="M361" i="2" s="1"/>
  <c r="M360" i="2" a="1"/>
  <c r="M360" i="2" s="1"/>
  <c r="M359" i="2" a="1"/>
  <c r="M359" i="2" s="1"/>
  <c r="M358" i="2" a="1"/>
  <c r="M358" i="2" s="1"/>
  <c r="M357" i="2" a="1"/>
  <c r="M357" i="2" s="1"/>
  <c r="M356" i="2" a="1"/>
  <c r="M356" i="2" s="1"/>
  <c r="M355" i="2" a="1"/>
  <c r="M355" i="2" s="1"/>
  <c r="M353" i="2" a="1"/>
  <c r="M353" i="2" s="1"/>
  <c r="M348" i="2" a="1"/>
  <c r="M348" i="2" s="1"/>
  <c r="M344" i="2" a="1"/>
  <c r="M344" i="2" s="1"/>
  <c r="M337" i="2" a="1"/>
  <c r="M337" i="2" s="1"/>
  <c r="M331" i="2" a="1"/>
  <c r="M331" i="2" s="1"/>
  <c r="M329" i="2" a="1"/>
  <c r="M329" i="2" s="1"/>
  <c r="M323" i="2" a="1"/>
  <c r="M323" i="2" s="1"/>
  <c r="M321" i="2" a="1"/>
  <c r="M321" i="2" s="1"/>
  <c r="M316" i="2" a="1"/>
  <c r="M316" i="2" s="1"/>
  <c r="M314" i="2" a="1"/>
  <c r="M314" i="2" s="1"/>
  <c r="M311" i="2" a="1"/>
  <c r="M311" i="2" s="1"/>
  <c r="M309" i="2" a="1"/>
  <c r="M309" i="2" s="1"/>
  <c r="M305" i="2" a="1"/>
  <c r="M305" i="2" s="1"/>
  <c r="M280" i="2" a="1"/>
  <c r="M280" i="2" s="1"/>
  <c r="M276" i="2" a="1"/>
  <c r="M276" i="2" s="1"/>
  <c r="M273" i="2" a="1"/>
  <c r="M273" i="2" s="1"/>
  <c r="M268" i="2" a="1"/>
  <c r="M268" i="2" s="1"/>
  <c r="M265" i="2" a="1"/>
  <c r="M265" i="2" s="1"/>
  <c r="M263" i="2" a="1"/>
  <c r="M263" i="2" s="1"/>
  <c r="M257" i="2" a="1"/>
  <c r="M257" i="2" s="1"/>
  <c r="M252" i="2" a="1"/>
  <c r="M252" i="2" s="1"/>
  <c r="M251" i="2" a="1"/>
  <c r="M251" i="2" s="1"/>
  <c r="M248" i="2" a="1"/>
  <c r="M248" i="2" s="1"/>
  <c r="M247" i="2" a="1"/>
  <c r="M247" i="2" s="1"/>
  <c r="M169" i="2" a="1"/>
  <c r="M169" i="2" s="1"/>
  <c r="M161" i="2" a="1"/>
  <c r="M161" i="2" s="1"/>
  <c r="M154" i="2" a="1"/>
  <c r="M154" i="2" s="1"/>
  <c r="M153" i="2" a="1"/>
  <c r="M153" i="2" s="1"/>
  <c r="M148" i="2" a="1"/>
  <c r="M148" i="2" s="1"/>
  <c r="M145" i="2" a="1"/>
  <c r="M145" i="2" s="1"/>
  <c r="M418" i="2" a="1"/>
  <c r="M418" i="2" s="1"/>
  <c r="M392" i="2" a="1"/>
  <c r="M392" i="2" s="1"/>
  <c r="M387" i="2" a="1"/>
  <c r="M387" i="2" s="1"/>
  <c r="M385" i="2" a="1"/>
  <c r="M385" i="2" s="1"/>
  <c r="M375" i="2" a="1"/>
  <c r="M375" i="2" s="1"/>
  <c r="M373" i="2" a="1"/>
  <c r="M373" i="2" s="1"/>
  <c r="M367" i="2" a="1"/>
  <c r="M367" i="2" s="1"/>
  <c r="M366" i="2" a="1"/>
  <c r="M366" i="2" s="1"/>
  <c r="M363" i="2" a="1"/>
  <c r="M363" i="2" s="1"/>
  <c r="M354" i="2" a="1"/>
  <c r="M354" i="2" s="1"/>
  <c r="M351" i="2" a="1"/>
  <c r="M351" i="2" s="1"/>
  <c r="M350" i="2" a="1"/>
  <c r="M350" i="2" s="1"/>
  <c r="M349" i="2" a="1"/>
  <c r="M349" i="2" s="1"/>
  <c r="M345" i="2" a="1"/>
  <c r="M345" i="2" s="1"/>
  <c r="M339" i="2" a="1"/>
  <c r="M339" i="2" s="1"/>
  <c r="M338" i="2" a="1"/>
  <c r="M338" i="2" s="1"/>
  <c r="M332" i="2" a="1"/>
  <c r="M332" i="2" s="1"/>
  <c r="M327" i="2" a="1"/>
  <c r="M327" i="2" s="1"/>
  <c r="M317" i="2" a="1"/>
  <c r="M317" i="2" s="1"/>
  <c r="M306" i="2" a="1"/>
  <c r="M306" i="2" s="1"/>
  <c r="M277" i="2" a="1"/>
  <c r="M277" i="2" s="1"/>
  <c r="M269" i="2" a="1"/>
  <c r="M269" i="2" s="1"/>
  <c r="M267" i="2" a="1"/>
  <c r="M267" i="2" s="1"/>
  <c r="M264" i="2" a="1"/>
  <c r="M264" i="2" s="1"/>
  <c r="M258" i="2" a="1"/>
  <c r="M258" i="2" s="1"/>
  <c r="M253" i="2" a="1"/>
  <c r="M253" i="2" s="1"/>
  <c r="M245" i="2" a="1"/>
  <c r="M245" i="2" s="1"/>
  <c r="M170" i="2" a="1"/>
  <c r="M170" i="2" s="1"/>
  <c r="M166" i="2" a="1"/>
  <c r="M166" i="2" s="1"/>
  <c r="M164" i="2" a="1"/>
  <c r="M164" i="2" s="1"/>
  <c r="M160" i="2" a="1"/>
  <c r="M160" i="2" s="1"/>
  <c r="M152" i="2" a="1"/>
  <c r="M152" i="2" s="1"/>
  <c r="M151" i="2" a="1"/>
  <c r="M151" i="2" s="1"/>
  <c r="M149" i="2" a="1"/>
  <c r="M149" i="2" s="1"/>
  <c r="M142" i="2" a="1"/>
  <c r="M142" i="2" s="1"/>
  <c r="M141" i="2" a="1"/>
  <c r="M141" i="2" s="1"/>
  <c r="M405" i="2" a="1"/>
  <c r="M405" i="2" s="1"/>
  <c r="M388" i="2" a="1"/>
  <c r="M388" i="2" s="1"/>
  <c r="M386" i="2" a="1"/>
  <c r="M386" i="2" s="1"/>
  <c r="M376" i="2" a="1"/>
  <c r="M376" i="2" s="1"/>
  <c r="M374" i="2" a="1"/>
  <c r="M374" i="2" s="1"/>
  <c r="M371" i="2" a="1"/>
  <c r="M371" i="2" s="1"/>
  <c r="M370" i="2" a="1"/>
  <c r="M370" i="2" s="1"/>
  <c r="M368" i="2" a="1"/>
  <c r="M368" i="2" s="1"/>
  <c r="M365" i="2" a="1"/>
  <c r="M365" i="2" s="1"/>
  <c r="M364" i="2" a="1"/>
  <c r="M364" i="2" s="1"/>
  <c r="M352" i="2" a="1"/>
  <c r="M352" i="2" s="1"/>
  <c r="M346" i="2" a="1"/>
  <c r="M346" i="2" s="1"/>
  <c r="M342" i="2" a="1"/>
  <c r="M342" i="2" s="1"/>
  <c r="M341" i="2" a="1"/>
  <c r="M341" i="2" s="1"/>
  <c r="M340" i="2" a="1"/>
  <c r="M340" i="2" s="1"/>
  <c r="M333" i="2" a="1"/>
  <c r="M333" i="2" s="1"/>
  <c r="M325" i="2" a="1"/>
  <c r="M325" i="2" s="1"/>
  <c r="M320" i="2" a="1"/>
  <c r="M320" i="2" s="1"/>
  <c r="M319" i="2" a="1"/>
  <c r="M319" i="2" s="1"/>
  <c r="M318" i="2" a="1"/>
  <c r="M318" i="2" s="1"/>
  <c r="M312" i="2" a="1"/>
  <c r="M312" i="2" s="1"/>
  <c r="M308" i="2" a="1"/>
  <c r="M308" i="2" s="1"/>
  <c r="M307" i="2" a="1"/>
  <c r="M307" i="2" s="1"/>
  <c r="M304" i="2" a="1"/>
  <c r="M304" i="2" s="1"/>
  <c r="M278" i="2" a="1"/>
  <c r="M278" i="2" s="1"/>
  <c r="M274" i="2" a="1"/>
  <c r="M274" i="2" s="1"/>
  <c r="M270" i="2" a="1"/>
  <c r="M270" i="2" s="1"/>
  <c r="M266" i="2" a="1"/>
  <c r="M266" i="2" s="1"/>
  <c r="M259" i="2" a="1"/>
  <c r="M259" i="2" s="1"/>
  <c r="M254" i="2" a="1"/>
  <c r="M254" i="2" s="1"/>
  <c r="M250" i="2" a="1"/>
  <c r="M250" i="2" s="1"/>
  <c r="M246" i="2" a="1"/>
  <c r="M246" i="2" s="1"/>
  <c r="M422" i="2" a="1"/>
  <c r="M422" i="2" s="1"/>
  <c r="M398" i="2" a="1"/>
  <c r="M398" i="2" s="1"/>
  <c r="M389" i="2" a="1"/>
  <c r="M389" i="2" s="1"/>
  <c r="M372" i="2" a="1"/>
  <c r="M372" i="2" s="1"/>
  <c r="M369" i="2" a="1"/>
  <c r="M369" i="2" s="1"/>
  <c r="M347" i="2" a="1"/>
  <c r="M347" i="2" s="1"/>
  <c r="M343" i="2" a="1"/>
  <c r="M343" i="2" s="1"/>
  <c r="M336" i="2" a="1"/>
  <c r="M336" i="2" s="1"/>
  <c r="M335" i="2" a="1"/>
  <c r="M335" i="2" s="1"/>
  <c r="M334" i="2" a="1"/>
  <c r="M334" i="2" s="1"/>
  <c r="M330" i="2" a="1"/>
  <c r="M330" i="2" s="1"/>
  <c r="M328" i="2" a="1"/>
  <c r="M328" i="2" s="1"/>
  <c r="M326" i="2" a="1"/>
  <c r="M326" i="2" s="1"/>
  <c r="M324" i="2" a="1"/>
  <c r="M324" i="2" s="1"/>
  <c r="M322" i="2" a="1"/>
  <c r="M322" i="2" s="1"/>
  <c r="M315" i="2" a="1"/>
  <c r="M315" i="2" s="1"/>
  <c r="M313" i="2" a="1"/>
  <c r="M313" i="2" s="1"/>
  <c r="M310" i="2" a="1"/>
  <c r="M310" i="2" s="1"/>
  <c r="M279" i="2" a="1"/>
  <c r="M279" i="2" s="1"/>
  <c r="M275" i="2" a="1"/>
  <c r="M275" i="2" s="1"/>
  <c r="M272" i="2" a="1"/>
  <c r="M272" i="2" s="1"/>
  <c r="M271" i="2" a="1"/>
  <c r="M271" i="2" s="1"/>
  <c r="M262" i="2" a="1"/>
  <c r="M262" i="2" s="1"/>
  <c r="M261" i="2" a="1"/>
  <c r="M261" i="2" s="1"/>
  <c r="M260" i="2" a="1"/>
  <c r="M260" i="2" s="1"/>
  <c r="M256" i="2" a="1"/>
  <c r="M256" i="2" s="1"/>
  <c r="M255" i="2" a="1"/>
  <c r="M255" i="2" s="1"/>
  <c r="M249" i="2" a="1"/>
  <c r="M249" i="2" s="1"/>
  <c r="M192" i="2" a="1"/>
  <c r="M192" i="2" s="1"/>
  <c r="M172" i="2" a="1"/>
  <c r="M172" i="2" s="1"/>
  <c r="M168" i="2" a="1"/>
  <c r="M168" i="2" s="1"/>
  <c r="M162" i="2" a="1"/>
  <c r="M162" i="2" s="1"/>
  <c r="M158" i="2" a="1"/>
  <c r="M158" i="2" s="1"/>
  <c r="M157" i="2" a="1"/>
  <c r="M157" i="2" s="1"/>
  <c r="M156" i="2" a="1"/>
  <c r="M156" i="2" s="1"/>
  <c r="M147" i="2" a="1"/>
  <c r="M147" i="2" s="1"/>
  <c r="M96" i="2" a="1"/>
  <c r="M96" i="2" s="1"/>
  <c r="M97" i="2" a="1"/>
  <c r="M97" i="2" s="1"/>
  <c r="M98" i="2" a="1"/>
  <c r="M98" i="2" s="1"/>
  <c r="M100" i="2" a="1"/>
  <c r="M100" i="2" s="1"/>
  <c r="M101" i="2" a="1"/>
  <c r="M101" i="2" s="1"/>
  <c r="M104" i="2" a="1"/>
  <c r="M104" i="2" s="1"/>
  <c r="M105" i="2" a="1"/>
  <c r="M105" i="2" s="1"/>
  <c r="M110" i="2" a="1"/>
  <c r="M110" i="2" s="1"/>
  <c r="M115" i="2" a="1"/>
  <c r="M115" i="2" s="1"/>
  <c r="CB121" i="2"/>
  <c r="M122" i="2" a="1"/>
  <c r="M122" i="2" s="1"/>
  <c r="M139" i="2" a="1"/>
  <c r="M139" i="2" s="1"/>
  <c r="M144" i="2" a="1"/>
  <c r="M144" i="2" s="1"/>
  <c r="BR873" i="2"/>
  <c r="BR871" i="2" s="1"/>
  <c r="BR145" i="2"/>
  <c r="CB145" i="2" s="1"/>
  <c r="AF874" i="2"/>
  <c r="BZ874" i="2" s="1"/>
  <c r="BZ148" i="2"/>
  <c r="AF145" i="2"/>
  <c r="AG144" i="2"/>
  <c r="M171" i="2" a="1"/>
  <c r="M171" i="2" s="1"/>
  <c r="BM937" i="2"/>
  <c r="BM192" i="2"/>
  <c r="BM165" i="2" s="1"/>
  <c r="CA197" i="2"/>
  <c r="AG1051" i="2"/>
  <c r="CA311" i="2"/>
  <c r="AH1155" i="1"/>
  <c r="AL1155" i="1"/>
  <c r="AP1155" i="1"/>
  <c r="AT1155" i="1"/>
  <c r="AX1155" i="1"/>
  <c r="BB1155" i="1"/>
  <c r="BF1155" i="1"/>
  <c r="BJ1155" i="1"/>
  <c r="A1072" i="2"/>
  <c r="B1072" i="2" s="1" a="1"/>
  <c r="B1072" i="2" s="1"/>
  <c r="A667" i="2"/>
  <c r="B667" i="2" s="1" a="1"/>
  <c r="B667" i="2" s="1"/>
  <c r="A719" i="2"/>
  <c r="B719" i="2" s="1" a="1"/>
  <c r="B719" i="2" s="1"/>
  <c r="A712" i="2"/>
  <c r="B712" i="2" s="1" a="1"/>
  <c r="B712" i="2" s="1"/>
  <c r="A332" i="2"/>
  <c r="B332" i="2" s="1" a="1"/>
  <c r="B332" i="2" s="1"/>
  <c r="A1074" i="2"/>
  <c r="B1074" i="2" s="1" a="1"/>
  <c r="B1074" i="2" s="1"/>
  <c r="A717" i="2"/>
  <c r="B717" i="2" s="1" a="1"/>
  <c r="B717" i="2" s="1"/>
  <c r="A710" i="2"/>
  <c r="B710" i="2" s="1" a="1"/>
  <c r="B710" i="2" s="1"/>
  <c r="A669" i="2"/>
  <c r="B669" i="2" s="1" a="1"/>
  <c r="B669" i="2" s="1"/>
  <c r="A334" i="2"/>
  <c r="B334" i="2" s="1" a="1"/>
  <c r="B334" i="2" s="1"/>
  <c r="A1082" i="2"/>
  <c r="A677" i="2"/>
  <c r="A342" i="2"/>
  <c r="M102" i="2" a="1"/>
  <c r="M102" i="2" s="1"/>
  <c r="M103" i="2" a="1"/>
  <c r="M103" i="2" s="1"/>
  <c r="M106" i="2" a="1"/>
  <c r="M106" i="2" s="1"/>
  <c r="BD109" i="2" a="1"/>
  <c r="BD109" i="2" s="1"/>
  <c r="AB113" i="2"/>
  <c r="M114" i="2" a="1"/>
  <c r="M114" i="2" s="1"/>
  <c r="AE119" i="2"/>
  <c r="M120" i="2" a="1"/>
  <c r="M120" i="2" s="1"/>
  <c r="M123" i="2" a="1"/>
  <c r="M123" i="2" s="1"/>
  <c r="BT880" i="2"/>
  <c r="BT876" i="2" s="1"/>
  <c r="BT150" i="2"/>
  <c r="BT144" i="2" s="1"/>
  <c r="M155" i="2" a="1"/>
  <c r="M155" i="2" s="1"/>
  <c r="M165" i="2" a="1"/>
  <c r="M165" i="2" s="1"/>
  <c r="M167" i="2" a="1"/>
  <c r="M167" i="2" s="1"/>
  <c r="AI165" i="2"/>
  <c r="BY165" i="2" s="1"/>
  <c r="BY172" i="2"/>
  <c r="BY192" i="2"/>
  <c r="CB148" i="2"/>
  <c r="AE1206" i="2"/>
  <c r="BY1206" i="2" s="1"/>
  <c r="AE1193" i="2"/>
  <c r="AE1169" i="2"/>
  <c r="AE877" i="2"/>
  <c r="BR1206" i="2"/>
  <c r="BR1193" i="2"/>
  <c r="BR1169" i="2"/>
  <c r="BR877" i="2"/>
  <c r="CB151" i="2"/>
  <c r="AE152" i="2"/>
  <c r="AW192" i="2"/>
  <c r="AW165" i="2" s="1"/>
  <c r="AW144" i="2" s="1"/>
  <c r="AW143" i="2" s="1"/>
  <c r="AW142" i="2" s="1"/>
  <c r="BZ193" i="2"/>
  <c r="CB194" i="2"/>
  <c r="CB208" i="2"/>
  <c r="CA211" i="2"/>
  <c r="CA221" i="2"/>
  <c r="BY223" i="2"/>
  <c r="CA229" i="2"/>
  <c r="BY978" i="2"/>
  <c r="BY238" i="2"/>
  <c r="CA239" i="2"/>
  <c r="AE245" i="2"/>
  <c r="CA247" i="2"/>
  <c r="AL248" i="2"/>
  <c r="BE248" i="2"/>
  <c r="BE245" i="2" s="1"/>
  <c r="BI248" i="2"/>
  <c r="BI245" i="2" s="1"/>
  <c r="BP248" i="2"/>
  <c r="BP245" i="2" s="1"/>
  <c r="BT248" i="2"/>
  <c r="BT245" i="2" s="1"/>
  <c r="AR1196" i="2"/>
  <c r="AR1198" i="2" s="1"/>
  <c r="AR1172" i="2"/>
  <c r="AR1174" i="2" s="1"/>
  <c r="AR989" i="2"/>
  <c r="BZ989" i="2" s="1"/>
  <c r="BI250" i="2"/>
  <c r="AJ254" i="2"/>
  <c r="AK255" i="2"/>
  <c r="CA262" i="2"/>
  <c r="BH263" i="2"/>
  <c r="BU263" i="2"/>
  <c r="BU254" i="2" s="1"/>
  <c r="BU143" i="2" s="1"/>
  <c r="BU142" i="2" s="1"/>
  <c r="BB1199" i="2"/>
  <c r="BB1175" i="2"/>
  <c r="BB1004" i="2"/>
  <c r="BB265" i="2"/>
  <c r="BI1200" i="2"/>
  <c r="CA1200" i="2" s="1"/>
  <c r="BI1176" i="2"/>
  <c r="BI1177" i="2" s="1"/>
  <c r="BI1006" i="2"/>
  <c r="CA1006" i="2" s="1"/>
  <c r="CA267" i="2"/>
  <c r="AT307" i="2"/>
  <c r="AT304" i="2" s="1"/>
  <c r="BC307" i="2"/>
  <c r="BC304" i="2" s="1"/>
  <c r="BH307" i="2"/>
  <c r="BH304" i="2" s="1"/>
  <c r="BZ304" i="2" s="1"/>
  <c r="CA307" i="2"/>
  <c r="BJ1202" i="2"/>
  <c r="BJ1204" i="2" s="1"/>
  <c r="BJ1178" i="2"/>
  <c r="BJ1180" i="2" s="1"/>
  <c r="BJ1048" i="2"/>
  <c r="BY311" i="2"/>
  <c r="CB316" i="2"/>
  <c r="BE318" i="2"/>
  <c r="CA318" i="2" s="1"/>
  <c r="AF1060" i="2"/>
  <c r="AP1058" i="2"/>
  <c r="AP1060" i="2"/>
  <c r="BC1060" i="2"/>
  <c r="BC1058" i="2"/>
  <c r="BI1058" i="2"/>
  <c r="BI1060" i="2"/>
  <c r="BO1058" i="2"/>
  <c r="BO1060" i="2"/>
  <c r="BS1058" i="2"/>
  <c r="BS1060" i="2"/>
  <c r="BY319" i="2"/>
  <c r="BY320" i="2" s="1"/>
  <c r="CB329" i="2"/>
  <c r="CB349" i="2"/>
  <c r="CB350" i="2"/>
  <c r="AR1090" i="2"/>
  <c r="Y353" i="2"/>
  <c r="Y354" i="2" s="1"/>
  <c r="BF360" i="2"/>
  <c r="CB360" i="2" s="1"/>
  <c r="BZ375" i="2"/>
  <c r="A460" i="2" a="1"/>
  <c r="A460" i="2" s="1"/>
  <c r="A461" i="2" s="1" a="1"/>
  <c r="A461" i="2" s="1"/>
  <c r="A462" i="2" s="1" a="1"/>
  <c r="A462" i="2" s="1"/>
  <c r="B459" i="2" a="1"/>
  <c r="B459" i="2" s="1"/>
  <c r="M485" i="2" a="1"/>
  <c r="M485" i="2" s="1"/>
  <c r="AB506" i="2"/>
  <c r="AB503" i="2"/>
  <c r="AB494" i="2"/>
  <c r="AB491" i="2"/>
  <c r="AB490" i="2"/>
  <c r="AH491" i="2"/>
  <c r="CB491" i="2" s="1"/>
  <c r="AU665" i="2"/>
  <c r="BY665" i="2" s="1"/>
  <c r="BY662" i="2"/>
  <c r="BH490" i="2"/>
  <c r="BZ490" i="2" s="1"/>
  <c r="BJ655" i="2"/>
  <c r="BY511" i="2"/>
  <c r="BJ511" i="2"/>
  <c r="AG510" i="2"/>
  <c r="CB246" i="2"/>
  <c r="CB247" i="2"/>
  <c r="BB1196" i="2"/>
  <c r="BB1198" i="2" s="1"/>
  <c r="BB1172" i="2"/>
  <c r="BB989" i="2"/>
  <c r="BB250" i="2"/>
  <c r="BI1197" i="2"/>
  <c r="BI1173" i="2"/>
  <c r="CA1173" i="2" s="1"/>
  <c r="BI991" i="2"/>
  <c r="BI990" i="2" s="1"/>
  <c r="BY252" i="2"/>
  <c r="BJ1199" i="2"/>
  <c r="BJ1201" i="2" s="1"/>
  <c r="BJ1175" i="2"/>
  <c r="BJ1177" i="2" s="1"/>
  <c r="BJ1004" i="2"/>
  <c r="CB1004" i="2" s="1"/>
  <c r="CB264" i="2"/>
  <c r="BY281" i="2"/>
  <c r="AG1020" i="2"/>
  <c r="CA1039" i="2"/>
  <c r="BR1202" i="2"/>
  <c r="BR1204" i="2" s="1"/>
  <c r="BR1178" i="2"/>
  <c r="BR1180" i="2" s="1"/>
  <c r="BR1048" i="2"/>
  <c r="CB308" i="2"/>
  <c r="AE1047" i="2"/>
  <c r="BZ311" i="2"/>
  <c r="AG1058" i="2"/>
  <c r="AG1060" i="2"/>
  <c r="AM1060" i="2"/>
  <c r="AM1058" i="2"/>
  <c r="AQ1060" i="2"/>
  <c r="AQ1058" i="2"/>
  <c r="AY1060" i="2"/>
  <c r="AY1058" i="2"/>
  <c r="BE1058" i="2"/>
  <c r="BK1060" i="2"/>
  <c r="BK1058" i="2"/>
  <c r="BP1060" i="2"/>
  <c r="BP1058" i="2"/>
  <c r="BT1060" i="2"/>
  <c r="BT1058" i="2"/>
  <c r="BZ319" i="2"/>
  <c r="BY350" i="2"/>
  <c r="CB352" i="2"/>
  <c r="BZ380" i="2"/>
  <c r="AV665" i="2"/>
  <c r="BZ665" i="2" s="1"/>
  <c r="BZ662" i="2"/>
  <c r="AI490" i="2"/>
  <c r="BY490" i="2" s="1"/>
  <c r="AQ504" i="2"/>
  <c r="CB503" i="2"/>
  <c r="BZ511" i="2"/>
  <c r="BY147" i="2"/>
  <c r="AG871" i="2"/>
  <c r="CA874" i="2"/>
  <c r="BB1206" i="2"/>
  <c r="BB1193" i="2"/>
  <c r="BB1169" i="2"/>
  <c r="BB877" i="2"/>
  <c r="AG876" i="2"/>
  <c r="CA154" i="2"/>
  <c r="CB193" i="2"/>
  <c r="CB204" i="2"/>
  <c r="CB215" i="2"/>
  <c r="CA238" i="2"/>
  <c r="AE1196" i="2"/>
  <c r="AE1172" i="2"/>
  <c r="AE989" i="2"/>
  <c r="BJ1196" i="2"/>
  <c r="BJ1198" i="2" s="1"/>
  <c r="BJ1172" i="2"/>
  <c r="BJ1174" i="2" s="1"/>
  <c r="BJ989" i="2"/>
  <c r="BZ252" i="2"/>
  <c r="CB260" i="2"/>
  <c r="BZ1002" i="2"/>
  <c r="AF995" i="2"/>
  <c r="BJ265" i="2"/>
  <c r="AR1003" i="2"/>
  <c r="BZ1007" i="2"/>
  <c r="CA299" i="2"/>
  <c r="BR309" i="2"/>
  <c r="BR311" i="2"/>
  <c r="BR1051" i="2" s="1"/>
  <c r="AM318" i="2"/>
  <c r="AM142" i="2" s="1"/>
  <c r="AQ318" i="2"/>
  <c r="AU318" i="2"/>
  <c r="AY318" i="2"/>
  <c r="BK318" i="2"/>
  <c r="AH1058" i="2"/>
  <c r="AN1060" i="2"/>
  <c r="AN1058" i="2"/>
  <c r="AR1060" i="2"/>
  <c r="AR1058" i="2"/>
  <c r="AV1060" i="2"/>
  <c r="AV1058" i="2"/>
  <c r="AZ1060" i="2"/>
  <c r="AZ1058" i="2"/>
  <c r="BL1060" i="2"/>
  <c r="BL1058" i="2"/>
  <c r="BQ1060" i="2"/>
  <c r="BQ1058" i="2"/>
  <c r="BU1060" i="2"/>
  <c r="BU1058" i="2"/>
  <c r="CA319" i="2"/>
  <c r="CA320" i="2" s="1"/>
  <c r="AE335" i="2"/>
  <c r="Y365" i="2"/>
  <c r="Y366" i="2" s="1"/>
  <c r="CC380" i="2"/>
  <c r="BZ382" i="2"/>
  <c r="M771" i="2" a="1"/>
  <c r="M771" i="2" s="1"/>
  <c r="M765" i="2" a="1"/>
  <c r="M765" i="2" s="1"/>
  <c r="M740" i="2" a="1"/>
  <c r="M740" i="2" s="1"/>
  <c r="M739" i="2" a="1"/>
  <c r="M739" i="2" s="1"/>
  <c r="M738" i="2" a="1"/>
  <c r="M738" i="2" s="1"/>
  <c r="M737" i="2" a="1"/>
  <c r="M737" i="2" s="1"/>
  <c r="M736" i="2" a="1"/>
  <c r="M736" i="2" s="1"/>
  <c r="M735" i="2" a="1"/>
  <c r="M735" i="2" s="1"/>
  <c r="M734" i="2" a="1"/>
  <c r="M734" i="2" s="1"/>
  <c r="M733" i="2" a="1"/>
  <c r="M733" i="2" s="1"/>
  <c r="M731" i="2" a="1"/>
  <c r="M731" i="2" s="1"/>
  <c r="M726" i="2" a="1"/>
  <c r="M726" i="2" s="1"/>
  <c r="M722" i="2" a="1"/>
  <c r="M722" i="2" s="1"/>
  <c r="M721" i="2" a="1"/>
  <c r="M721" i="2" s="1"/>
  <c r="M717" i="2" a="1"/>
  <c r="M717" i="2" s="1"/>
  <c r="M709" i="2" a="1"/>
  <c r="M709" i="2" s="1"/>
  <c r="M705" i="2" a="1"/>
  <c r="M705" i="2" s="1"/>
  <c r="M703" i="2" a="1"/>
  <c r="M703" i="2" s="1"/>
  <c r="M698" i="2" a="1"/>
  <c r="M698" i="2" s="1"/>
  <c r="M774" i="2" a="1"/>
  <c r="M774" i="2" s="1"/>
  <c r="M770" i="2" a="1"/>
  <c r="M770" i="2" s="1"/>
  <c r="M766" i="2" a="1"/>
  <c r="M766" i="2" s="1"/>
  <c r="M760" i="2" a="1"/>
  <c r="M760" i="2" s="1"/>
  <c r="M758" i="2" a="1"/>
  <c r="M758" i="2" s="1"/>
  <c r="M756" i="2" a="1"/>
  <c r="M756" i="2" s="1"/>
  <c r="M730" i="2" a="1"/>
  <c r="M730" i="2" s="1"/>
  <c r="M729" i="2" a="1"/>
  <c r="M729" i="2" s="1"/>
  <c r="M727" i="2" a="1"/>
  <c r="M727" i="2" s="1"/>
  <c r="M723" i="2" a="1"/>
  <c r="M723" i="2" s="1"/>
  <c r="M718" i="2" a="1"/>
  <c r="M718" i="2" s="1"/>
  <c r="M710" i="2" a="1"/>
  <c r="M710" i="2" s="1"/>
  <c r="M707" i="2" a="1"/>
  <c r="M707" i="2" s="1"/>
  <c r="M706" i="2" a="1"/>
  <c r="M706" i="2" s="1"/>
  <c r="M704" i="2" a="1"/>
  <c r="M704" i="2" s="1"/>
  <c r="M700" i="2" a="1"/>
  <c r="M700" i="2" s="1"/>
  <c r="M699" i="2" a="1"/>
  <c r="M699" i="2" s="1"/>
  <c r="M689" i="2" a="1"/>
  <c r="M689" i="2" s="1"/>
  <c r="M687" i="2" a="1"/>
  <c r="M687" i="2" s="1"/>
  <c r="M682" i="2" a="1"/>
  <c r="M682" i="2" s="1"/>
  <c r="M678" i="2" a="1"/>
  <c r="M678" i="2" s="1"/>
  <c r="M674" i="2" a="1"/>
  <c r="M674" i="2" s="1"/>
  <c r="M673" i="2" a="1"/>
  <c r="M673" i="2" s="1"/>
  <c r="M669" i="2" a="1"/>
  <c r="M669" i="2" s="1"/>
  <c r="M667" i="2" a="1"/>
  <c r="M667" i="2" s="1"/>
  <c r="M664" i="2" a="1"/>
  <c r="M664" i="2" s="1"/>
  <c r="M660" i="2" a="1"/>
  <c r="M660" i="2" s="1"/>
  <c r="M659" i="2" a="1"/>
  <c r="M659" i="2" s="1"/>
  <c r="M653" i="2" a="1"/>
  <c r="M653" i="2" s="1"/>
  <c r="M645" i="2" a="1"/>
  <c r="M645" i="2" s="1"/>
  <c r="M769" i="2" a="1"/>
  <c r="M769" i="2" s="1"/>
  <c r="M767" i="2" a="1"/>
  <c r="M767" i="2" s="1"/>
  <c r="M762" i="2" a="1"/>
  <c r="M762" i="2" s="1"/>
  <c r="M732" i="2" a="1"/>
  <c r="M732" i="2" s="1"/>
  <c r="M724" i="2" a="1"/>
  <c r="M724" i="2" s="1"/>
  <c r="M719" i="2" a="1"/>
  <c r="M719" i="2" s="1"/>
  <c r="M711" i="2" a="1"/>
  <c r="M711" i="2" s="1"/>
  <c r="M708" i="2" a="1"/>
  <c r="M708" i="2" s="1"/>
  <c r="M701" i="2" a="1"/>
  <c r="M701" i="2" s="1"/>
  <c r="M695" i="2" a="1"/>
  <c r="M695" i="2" s="1"/>
  <c r="M694" i="2" a="1"/>
  <c r="M694" i="2" s="1"/>
  <c r="M693" i="2" a="1"/>
  <c r="M693" i="2" s="1"/>
  <c r="M690" i="2" a="1"/>
  <c r="M690" i="2" s="1"/>
  <c r="M684" i="2" a="1"/>
  <c r="M684" i="2" s="1"/>
  <c r="M683" i="2" a="1"/>
  <c r="M683" i="2" s="1"/>
  <c r="M679" i="2" a="1"/>
  <c r="M679" i="2" s="1"/>
  <c r="M675" i="2" a="1"/>
  <c r="M675" i="2" s="1"/>
  <c r="M670" i="2" a="1"/>
  <c r="M670" i="2" s="1"/>
  <c r="M647" i="2" a="1"/>
  <c r="M647" i="2" s="1"/>
  <c r="M646" i="2" a="1"/>
  <c r="M646" i="2" s="1"/>
  <c r="M644" i="2" a="1"/>
  <c r="M644" i="2" s="1"/>
  <c r="M641" i="2" a="1"/>
  <c r="M641" i="2" s="1"/>
  <c r="M776" i="2" a="1"/>
  <c r="M776" i="2" s="1"/>
  <c r="M775" i="2" a="1"/>
  <c r="M775" i="2" s="1"/>
  <c r="M773" i="2" a="1"/>
  <c r="M773" i="2" s="1"/>
  <c r="M772" i="2" a="1"/>
  <c r="M772" i="2" s="1"/>
  <c r="M768" i="2" a="1"/>
  <c r="M768" i="2" s="1"/>
  <c r="M764" i="2" a="1"/>
  <c r="M764" i="2" s="1"/>
  <c r="M763" i="2" a="1"/>
  <c r="M763" i="2" s="1"/>
  <c r="M761" i="2" a="1"/>
  <c r="M761" i="2" s="1"/>
  <c r="M759" i="2" a="1"/>
  <c r="M759" i="2" s="1"/>
  <c r="M757" i="2" a="1"/>
  <c r="M757" i="2" s="1"/>
  <c r="M728" i="2" a="1"/>
  <c r="M728" i="2" s="1"/>
  <c r="M725" i="2" a="1"/>
  <c r="M725" i="2" s="1"/>
  <c r="M720" i="2" a="1"/>
  <c r="M720" i="2" s="1"/>
  <c r="M715" i="2" a="1"/>
  <c r="M715" i="2" s="1"/>
  <c r="M714" i="2" a="1"/>
  <c r="M714" i="2" s="1"/>
  <c r="M713" i="2" a="1"/>
  <c r="M713" i="2" s="1"/>
  <c r="M712" i="2" a="1"/>
  <c r="M712" i="2" s="1"/>
  <c r="M702" i="2" a="1"/>
  <c r="M702" i="2" s="1"/>
  <c r="M697" i="2" a="1"/>
  <c r="M697" i="2" s="1"/>
  <c r="M696" i="2" a="1"/>
  <c r="M696" i="2" s="1"/>
  <c r="M692" i="2" a="1"/>
  <c r="M692" i="2" s="1"/>
  <c r="M691" i="2" a="1"/>
  <c r="M691" i="2" s="1"/>
  <c r="M685" i="2" a="1"/>
  <c r="M685" i="2" s="1"/>
  <c r="M680" i="2" a="1"/>
  <c r="M680" i="2" s="1"/>
  <c r="M676" i="2" a="1"/>
  <c r="M676" i="2" s="1"/>
  <c r="M671" i="2" a="1"/>
  <c r="M671" i="2" s="1"/>
  <c r="M668" i="2" a="1"/>
  <c r="M668" i="2" s="1"/>
  <c r="M666" i="2" a="1"/>
  <c r="M666" i="2" s="1"/>
  <c r="M662" i="2" a="1"/>
  <c r="M662" i="2" s="1"/>
  <c r="M658" i="2" a="1"/>
  <c r="M658" i="2" s="1"/>
  <c r="M654" i="2" a="1"/>
  <c r="M654" i="2" s="1"/>
  <c r="M650" i="2" a="1"/>
  <c r="M650" i="2" s="1"/>
  <c r="M648" i="2" a="1"/>
  <c r="M648" i="2" s="1"/>
  <c r="M643" i="2" a="1"/>
  <c r="M643" i="2" s="1"/>
  <c r="M642" i="2" a="1"/>
  <c r="M642" i="2" s="1"/>
  <c r="M681" i="2" a="1"/>
  <c r="M681" i="2" s="1"/>
  <c r="M626" i="2" a="1"/>
  <c r="M626" i="2" s="1"/>
  <c r="M622" i="2" a="1"/>
  <c r="M622" i="2" s="1"/>
  <c r="M618" i="2" a="1"/>
  <c r="M618" i="2" s="1"/>
  <c r="M612" i="2" a="1"/>
  <c r="M612" i="2" s="1"/>
  <c r="M608" i="2" a="1"/>
  <c r="M608" i="2" s="1"/>
  <c r="M604" i="2" a="1"/>
  <c r="M604" i="2" s="1"/>
  <c r="M603" i="2" a="1"/>
  <c r="M603" i="2" s="1"/>
  <c r="M598" i="2" a="1"/>
  <c r="M598" i="2" s="1"/>
  <c r="M538" i="2" a="1"/>
  <c r="M538" i="2" s="1"/>
  <c r="M534" i="2" a="1"/>
  <c r="M534" i="2" s="1"/>
  <c r="M527" i="2" a="1"/>
  <c r="M527" i="2" s="1"/>
  <c r="M521" i="2" a="1"/>
  <c r="M521" i="2" s="1"/>
  <c r="M518" i="2" a="1"/>
  <c r="M518" i="2" s="1"/>
  <c r="M515" i="2" a="1"/>
  <c r="M515" i="2" s="1"/>
  <c r="M514" i="2" a="1"/>
  <c r="M514" i="2" s="1"/>
  <c r="M512" i="2" a="1"/>
  <c r="M512" i="2" s="1"/>
  <c r="M500" i="2" a="1"/>
  <c r="M500" i="2" s="1"/>
  <c r="M497" i="2" a="1"/>
  <c r="M497" i="2" s="1"/>
  <c r="M495" i="2" a="1"/>
  <c r="M495" i="2" s="1"/>
  <c r="M492" i="2" a="1"/>
  <c r="M492" i="2" s="1"/>
  <c r="M490" i="2" a="1"/>
  <c r="M490" i="2" s="1"/>
  <c r="M467" i="2" a="1"/>
  <c r="M467" i="2" s="1"/>
  <c r="M688" i="2" a="1"/>
  <c r="M688" i="2" s="1"/>
  <c r="M672" i="2" a="1"/>
  <c r="M672" i="2" s="1"/>
  <c r="M656" i="2" a="1"/>
  <c r="M656" i="2" s="1"/>
  <c r="M652" i="2" a="1"/>
  <c r="M652" i="2" s="1"/>
  <c r="M651" i="2" a="1"/>
  <c r="M651" i="2" s="1"/>
  <c r="M649" i="2" a="1"/>
  <c r="M649" i="2" s="1"/>
  <c r="M639" i="2" a="1"/>
  <c r="M639" i="2" s="1"/>
  <c r="M627" i="2" a="1"/>
  <c r="M627" i="2" s="1"/>
  <c r="M623" i="2" a="1"/>
  <c r="M623" i="2" s="1"/>
  <c r="M620" i="2" a="1"/>
  <c r="M620" i="2" s="1"/>
  <c r="M619" i="2" a="1"/>
  <c r="M619" i="2" s="1"/>
  <c r="M609" i="2" a="1"/>
  <c r="M609" i="2" s="1"/>
  <c r="M605" i="2" a="1"/>
  <c r="M605" i="2" s="1"/>
  <c r="M596" i="2" a="1"/>
  <c r="M596" i="2" s="1"/>
  <c r="M593" i="2" a="1"/>
  <c r="M593" i="2" s="1"/>
  <c r="M535" i="2" a="1"/>
  <c r="M535" i="2" s="1"/>
  <c r="M530" i="2" a="1"/>
  <c r="M530" i="2" s="1"/>
  <c r="M526" i="2" a="1"/>
  <c r="M526" i="2" s="1"/>
  <c r="M519" i="2" a="1"/>
  <c r="M519" i="2" s="1"/>
  <c r="M516" i="2" a="1"/>
  <c r="M516" i="2" s="1"/>
  <c r="M513" i="2" a="1"/>
  <c r="M513" i="2" s="1"/>
  <c r="M511" i="2" a="1"/>
  <c r="M511" i="2" s="1"/>
  <c r="M509" i="2" a="1"/>
  <c r="M509" i="2" s="1"/>
  <c r="M506" i="2" a="1"/>
  <c r="M506" i="2" s="1"/>
  <c r="M504" i="2" a="1"/>
  <c r="M504" i="2" s="1"/>
  <c r="M503" i="2" a="1"/>
  <c r="M503" i="2" s="1"/>
  <c r="M499" i="2" a="1"/>
  <c r="M499" i="2" s="1"/>
  <c r="M494" i="2" a="1"/>
  <c r="M494" i="2" s="1"/>
  <c r="M493" i="2" a="1"/>
  <c r="M493" i="2" s="1"/>
  <c r="M474" i="2" a="1"/>
  <c r="M474" i="2" s="1"/>
  <c r="M473" i="2" a="1"/>
  <c r="M473" i="2" s="1"/>
  <c r="M472" i="2" a="1"/>
  <c r="M472" i="2" s="1"/>
  <c r="M471" i="2" a="1"/>
  <c r="M471" i="2" s="1"/>
  <c r="M470" i="2" a="1"/>
  <c r="M470" i="2" s="1"/>
  <c r="M466" i="2" a="1"/>
  <c r="M466" i="2" s="1"/>
  <c r="M464" i="2" a="1"/>
  <c r="M464" i="2" s="1"/>
  <c r="M462" i="2" a="1"/>
  <c r="M462" i="2" s="1"/>
  <c r="M663" i="2" a="1"/>
  <c r="M663" i="2" s="1"/>
  <c r="M640" i="2" a="1"/>
  <c r="M640" i="2" s="1"/>
  <c r="M628" i="2" a="1"/>
  <c r="M628" i="2" s="1"/>
  <c r="M624" i="2" a="1"/>
  <c r="M624" i="2" s="1"/>
  <c r="M621" i="2" a="1"/>
  <c r="M621" i="2" s="1"/>
  <c r="M616" i="2" a="1"/>
  <c r="M616" i="2" s="1"/>
  <c r="M614" i="2" a="1"/>
  <c r="M614" i="2" s="1"/>
  <c r="M610" i="2" a="1"/>
  <c r="M610" i="2" s="1"/>
  <c r="M606" i="2" a="1"/>
  <c r="M606" i="2" s="1"/>
  <c r="M601" i="2" a="1"/>
  <c r="M601" i="2" s="1"/>
  <c r="M599" i="2" a="1"/>
  <c r="M599" i="2" s="1"/>
  <c r="M597" i="2" a="1"/>
  <c r="M597" i="2" s="1"/>
  <c r="M595" i="2" a="1"/>
  <c r="M595" i="2" s="1"/>
  <c r="M561" i="2" a="1"/>
  <c r="M561" i="2" s="1"/>
  <c r="M536" i="2" a="1"/>
  <c r="M536" i="2" s="1"/>
  <c r="M532" i="2" a="1"/>
  <c r="M532" i="2" s="1"/>
  <c r="M686" i="2" a="1"/>
  <c r="M686" i="2" s="1"/>
  <c r="M677" i="2" a="1"/>
  <c r="M677" i="2" s="1"/>
  <c r="M665" i="2" a="1"/>
  <c r="M665" i="2" s="1"/>
  <c r="M661" i="2" a="1"/>
  <c r="M661" i="2" s="1"/>
  <c r="M657" i="2" a="1"/>
  <c r="M657" i="2" s="1"/>
  <c r="M655" i="2" a="1"/>
  <c r="M655" i="2" s="1"/>
  <c r="M625" i="2" a="1"/>
  <c r="M625" i="2" s="1"/>
  <c r="M617" i="2" a="1"/>
  <c r="M617" i="2" s="1"/>
  <c r="M615" i="2" a="1"/>
  <c r="M615" i="2" s="1"/>
  <c r="M613" i="2" a="1"/>
  <c r="M613" i="2" s="1"/>
  <c r="M611" i="2" a="1"/>
  <c r="M611" i="2" s="1"/>
  <c r="M607" i="2" a="1"/>
  <c r="M607" i="2" s="1"/>
  <c r="M602" i="2" a="1"/>
  <c r="M602" i="2" s="1"/>
  <c r="M600" i="2" a="1"/>
  <c r="M600" i="2" s="1"/>
  <c r="M594" i="2" a="1"/>
  <c r="M594" i="2" s="1"/>
  <c r="M537" i="2" a="1"/>
  <c r="M537" i="2" s="1"/>
  <c r="M533" i="2" a="1"/>
  <c r="M533" i="2" s="1"/>
  <c r="M528" i="2" a="1"/>
  <c r="M528" i="2" s="1"/>
  <c r="M524" i="2" a="1"/>
  <c r="M524" i="2" s="1"/>
  <c r="M523" i="2" a="1"/>
  <c r="M523" i="2" s="1"/>
  <c r="M510" i="2" a="1"/>
  <c r="M510" i="2" s="1"/>
  <c r="M508" i="2" a="1"/>
  <c r="M508" i="2" s="1"/>
  <c r="M501" i="2" a="1"/>
  <c r="M501" i="2" s="1"/>
  <c r="M496" i="2" a="1"/>
  <c r="M496" i="2" s="1"/>
  <c r="M489" i="2" a="1"/>
  <c r="M489" i="2" s="1"/>
  <c r="M482" i="2" a="1"/>
  <c r="M482" i="2" s="1"/>
  <c r="M481" i="2" a="1"/>
  <c r="M481" i="2" s="1"/>
  <c r="M480" i="2" a="1"/>
  <c r="M480" i="2" s="1"/>
  <c r="M477" i="2" a="1"/>
  <c r="M477" i="2" s="1"/>
  <c r="M476" i="2" a="1"/>
  <c r="M476" i="2" s="1"/>
  <c r="M468" i="2" a="1"/>
  <c r="M468" i="2" s="1"/>
  <c r="M465" i="2" a="1"/>
  <c r="M465" i="2" s="1"/>
  <c r="M463" i="2" a="1"/>
  <c r="M463" i="2" s="1"/>
  <c r="M461" i="2" a="1"/>
  <c r="M461" i="2" s="1"/>
  <c r="AC458" i="2" a="1"/>
  <c r="AC458" i="2" s="1"/>
  <c r="X458" i="2" a="1"/>
  <c r="X458" i="2" s="1"/>
  <c r="M458" i="2" a="1"/>
  <c r="M458" i="2" s="1"/>
  <c r="M460" i="2" a="1"/>
  <c r="M460" i="2" s="1"/>
  <c r="M475" i="2" a="1"/>
  <c r="M475" i="2" s="1"/>
  <c r="M479" i="2" a="1"/>
  <c r="M479" i="2" s="1"/>
  <c r="M483" i="2" a="1"/>
  <c r="M483" i="2" s="1"/>
  <c r="M487" i="2" a="1"/>
  <c r="M487" i="2" s="1"/>
  <c r="AW665" i="2"/>
  <c r="CA665" i="2" s="1"/>
  <c r="CA662" i="2"/>
  <c r="M491" i="2" a="1"/>
  <c r="M491" i="2" s="1"/>
  <c r="CB501" i="2"/>
  <c r="M507" i="2" a="1"/>
  <c r="M507" i="2" s="1"/>
  <c r="CA511" i="2"/>
  <c r="BJ1216" i="2"/>
  <c r="BJ1229" i="2"/>
  <c r="BJ520" i="2"/>
  <c r="BJ880" i="2" s="1"/>
  <c r="BJ518" i="2"/>
  <c r="CB517" i="2"/>
  <c r="BY520" i="2"/>
  <c r="AI516" i="2"/>
  <c r="AI521" i="2"/>
  <c r="M531" i="2" a="1"/>
  <c r="M531" i="2" s="1"/>
  <c r="AY871" i="2"/>
  <c r="BY873" i="2"/>
  <c r="CA148" i="2"/>
  <c r="AE150" i="2"/>
  <c r="BY150" i="2" s="1"/>
  <c r="BE150" i="2"/>
  <c r="BJ1206" i="2"/>
  <c r="BJ1193" i="2"/>
  <c r="BJ1169" i="2"/>
  <c r="BJ877" i="2"/>
  <c r="BR154" i="2"/>
  <c r="CB154" i="2" s="1"/>
  <c r="AK192" i="2"/>
  <c r="BA192" i="2"/>
  <c r="BA165" i="2" s="1"/>
  <c r="BA144" i="2" s="1"/>
  <c r="BA143" i="2" s="1"/>
  <c r="BA142" i="2" s="1"/>
  <c r="AN932" i="2"/>
  <c r="AN891" i="2" s="1"/>
  <c r="BZ934" i="2"/>
  <c r="CA224" i="2"/>
  <c r="CA240" i="2"/>
  <c r="AG248" i="2"/>
  <c r="AK248" i="2"/>
  <c r="AK245" i="2" s="1"/>
  <c r="BD248" i="2"/>
  <c r="BD245" i="2" s="1"/>
  <c r="BH248" i="2"/>
  <c r="BH245" i="2" s="1"/>
  <c r="BO248" i="2"/>
  <c r="BO245" i="2" s="1"/>
  <c r="BS248" i="2"/>
  <c r="BS245" i="2" s="1"/>
  <c r="AG1196" i="2"/>
  <c r="AG1206" i="2"/>
  <c r="CA1206" i="2" s="1"/>
  <c r="AG1172" i="2"/>
  <c r="AG1181" i="2" s="1"/>
  <c r="AG989" i="2"/>
  <c r="AG1184" i="2" s="1"/>
  <c r="BR1196" i="2"/>
  <c r="BR1198" i="2" s="1"/>
  <c r="BR1172" i="2"/>
  <c r="BR1174" i="2" s="1"/>
  <c r="BR989" i="2"/>
  <c r="CB249" i="2"/>
  <c r="AE250" i="2"/>
  <c r="AR250" i="2"/>
  <c r="BB252" i="2"/>
  <c r="BJ252" i="2"/>
  <c r="CA252" i="2"/>
  <c r="AE254" i="2"/>
  <c r="CA1002" i="2"/>
  <c r="BZ262" i="2"/>
  <c r="AP263" i="2"/>
  <c r="AP254" i="2" s="1"/>
  <c r="BB263" i="2"/>
  <c r="BB254" i="2" s="1"/>
  <c r="AR1200" i="2"/>
  <c r="AR1201" i="2" s="1"/>
  <c r="AR1176" i="2"/>
  <c r="AR1177" i="2" s="1"/>
  <c r="AR1006" i="2"/>
  <c r="AR1005" i="2" s="1"/>
  <c r="CA266" i="2"/>
  <c r="CA265" i="2" s="1"/>
  <c r="BJ267" i="2"/>
  <c r="BZ267" i="2"/>
  <c r="AG280" i="2"/>
  <c r="BC280" i="2"/>
  <c r="BC273" i="2" s="1"/>
  <c r="BY273" i="2" s="1"/>
  <c r="AE307" i="2"/>
  <c r="BB1202" i="2"/>
  <c r="BB1204" i="2" s="1"/>
  <c r="BB1178" i="2"/>
  <c r="BB1180" i="2" s="1"/>
  <c r="BB1048" i="2"/>
  <c r="CB1048" i="2" s="1"/>
  <c r="BB309" i="2"/>
  <c r="BY314" i="2"/>
  <c r="CA316" i="2"/>
  <c r="AN318" i="2"/>
  <c r="AR318" i="2"/>
  <c r="AV318" i="2"/>
  <c r="AZ318" i="2"/>
  <c r="AE1060" i="2"/>
  <c r="AE1058" i="2"/>
  <c r="AI1060" i="2"/>
  <c r="AI1058" i="2"/>
  <c r="AO1058" i="2"/>
  <c r="AO1060" i="2"/>
  <c r="AS1058" i="2"/>
  <c r="AS1060" i="2"/>
  <c r="AW1058" i="2"/>
  <c r="AW1060" i="2"/>
  <c r="BA1058" i="2"/>
  <c r="BA1060" i="2"/>
  <c r="BG1060" i="2"/>
  <c r="BG1058" i="2"/>
  <c r="BM1058" i="2"/>
  <c r="BM1060" i="2"/>
  <c r="BR1058" i="2"/>
  <c r="BR1060" i="2"/>
  <c r="CB319" i="2"/>
  <c r="BZ321" i="2"/>
  <c r="Y339" i="2"/>
  <c r="AR350" i="2"/>
  <c r="AR335" i="2" s="1"/>
  <c r="BZ352" i="2"/>
  <c r="BZ354" i="2"/>
  <c r="Y478" i="2"/>
  <c r="Y482" i="2" s="1"/>
  <c r="M484" i="2" a="1"/>
  <c r="M484" i="2" s="1"/>
  <c r="M488" i="2" a="1"/>
  <c r="M488" i="2" s="1"/>
  <c r="AK490" i="2"/>
  <c r="CA490" i="2" s="1"/>
  <c r="AJ491" i="2"/>
  <c r="BY497" i="2"/>
  <c r="AE496" i="2"/>
  <c r="BY496" i="2" s="1"/>
  <c r="M502" i="2" a="1"/>
  <c r="M502" i="2" s="1"/>
  <c r="BC503" i="2"/>
  <c r="BY503" i="2" s="1"/>
  <c r="BB504" i="2"/>
  <c r="CB504" i="2" s="1"/>
  <c r="CB513" i="2"/>
  <c r="CA516" i="2"/>
  <c r="M517" i="2" a="1"/>
  <c r="M517" i="2" s="1"/>
  <c r="M520" i="2" a="1"/>
  <c r="M520" i="2" s="1"/>
  <c r="M522" i="2" a="1"/>
  <c r="M522" i="2" s="1"/>
  <c r="M525" i="2" a="1"/>
  <c r="M525" i="2" s="1"/>
  <c r="AW664" i="2"/>
  <c r="CA664" i="2" s="1"/>
  <c r="AG496" i="2"/>
  <c r="CA496" i="2" s="1"/>
  <c r="BZ873" i="2"/>
  <c r="BB1216" i="2"/>
  <c r="BB1229" i="2"/>
  <c r="BB518" i="2"/>
  <c r="CA520" i="2"/>
  <c r="CA566" i="2"/>
  <c r="CA581" i="2"/>
  <c r="BF956" i="2"/>
  <c r="CA584" i="2"/>
  <c r="BJ987" i="2"/>
  <c r="BJ600" i="2"/>
  <c r="BJ596" i="2" s="1"/>
  <c r="BJ593" i="2" s="1"/>
  <c r="BJ1011" i="2"/>
  <c r="CB1011" i="2" s="1"/>
  <c r="CB619" i="2"/>
  <c r="BE1021" i="2"/>
  <c r="BE1020" i="2" s="1"/>
  <c r="BE1013" i="2" s="1"/>
  <c r="CA634" i="2"/>
  <c r="BI1097" i="2"/>
  <c r="CA692" i="2"/>
  <c r="BI685" i="2"/>
  <c r="BI670" i="2" s="1"/>
  <c r="A759" i="2" a="1"/>
  <c r="A759" i="2" s="1"/>
  <c r="B758" i="2" a="1"/>
  <c r="B758" i="2" s="1"/>
  <c r="BD833" i="2"/>
  <c r="BD834" i="2" s="1"/>
  <c r="BI833" i="2"/>
  <c r="CA833" i="2" s="1"/>
  <c r="AY932" i="2"/>
  <c r="AY891" i="2" s="1"/>
  <c r="BY538" i="2"/>
  <c r="AW932" i="2"/>
  <c r="BY583" i="2"/>
  <c r="CB597" i="2"/>
  <c r="AE598" i="2"/>
  <c r="BB600" i="2"/>
  <c r="BB596" i="2" s="1"/>
  <c r="BB593" i="2" s="1"/>
  <c r="AK601" i="2"/>
  <c r="BB613" i="2"/>
  <c r="BJ613" i="2"/>
  <c r="BB615" i="2"/>
  <c r="BB611" i="2" s="1"/>
  <c r="BB602" i="2" s="1"/>
  <c r="AW628" i="2"/>
  <c r="AW621" i="2" s="1"/>
  <c r="AW602" i="2" s="1"/>
  <c r="CA630" i="2"/>
  <c r="BG1020" i="2"/>
  <c r="BG1013" i="2" s="1"/>
  <c r="BZ632" i="2"/>
  <c r="CB634" i="2"/>
  <c r="BY637" i="2"/>
  <c r="BZ642" i="2"/>
  <c r="AF646" i="2"/>
  <c r="BZ646" i="2" s="1"/>
  <c r="CB656" i="2"/>
  <c r="CB655" i="2" s="1"/>
  <c r="BY671" i="2"/>
  <c r="BZ671" i="2"/>
  <c r="AT670" i="2"/>
  <c r="Y688" i="2"/>
  <c r="Y689" i="2" s="1"/>
  <c r="BP1115" i="2"/>
  <c r="M1156" i="2" a="1"/>
  <c r="M1156" i="2" s="1"/>
  <c r="M1152" i="2" a="1"/>
  <c r="M1152" i="2" s="1"/>
  <c r="M1150" i="2" a="1"/>
  <c r="M1150" i="2" s="1"/>
  <c r="M1148" i="2" a="1"/>
  <c r="M1148" i="2" s="1"/>
  <c r="M1145" i="2" a="1"/>
  <c r="M1145" i="2" s="1"/>
  <c r="M1144" i="2" a="1"/>
  <c r="M1144" i="2" s="1"/>
  <c r="M1143" i="2" a="1"/>
  <c r="M1143" i="2" s="1"/>
  <c r="M1142" i="2" a="1"/>
  <c r="M1142" i="2" s="1"/>
  <c r="M1141" i="2" a="1"/>
  <c r="M1141" i="2" s="1"/>
  <c r="M1140" i="2" a="1"/>
  <c r="M1140" i="2" s="1"/>
  <c r="M1136" i="2" a="1"/>
  <c r="M1136" i="2" s="1"/>
  <c r="M1135" i="2" a="1"/>
  <c r="M1135" i="2" s="1"/>
  <c r="M1134" i="2" a="1"/>
  <c r="M1134" i="2" s="1"/>
  <c r="M1133" i="2" a="1"/>
  <c r="M1133" i="2" s="1"/>
  <c r="M1132" i="2" a="1"/>
  <c r="M1132" i="2" s="1"/>
  <c r="M1127" i="2" a="1"/>
  <c r="M1127" i="2" s="1"/>
  <c r="M1125" i="2" a="1"/>
  <c r="M1125" i="2" s="1"/>
  <c r="M1123" i="2" a="1"/>
  <c r="M1123" i="2" s="1"/>
  <c r="M1117" i="2" a="1"/>
  <c r="M1117" i="2" s="1"/>
  <c r="M1155" i="2" a="1"/>
  <c r="M1155" i="2" s="1"/>
  <c r="M1154" i="2" a="1"/>
  <c r="M1154" i="2" s="1"/>
  <c r="M1146" i="2" a="1"/>
  <c r="M1146" i="2" s="1"/>
  <c r="M1139" i="2" a="1"/>
  <c r="M1139" i="2" s="1"/>
  <c r="M1131" i="2" a="1"/>
  <c r="M1131" i="2" s="1"/>
  <c r="M1128" i="2" a="1"/>
  <c r="M1128" i="2" s="1"/>
  <c r="M1116" i="2" a="1"/>
  <c r="M1116" i="2" s="1"/>
  <c r="M1153" i="2" a="1"/>
  <c r="M1153" i="2" s="1"/>
  <c r="M1151" i="2" a="1"/>
  <c r="M1151" i="2" s="1"/>
  <c r="M1149" i="2" a="1"/>
  <c r="M1149" i="2" s="1"/>
  <c r="M1147" i="2" a="1"/>
  <c r="M1147" i="2" s="1"/>
  <c r="M1129" i="2" a="1"/>
  <c r="M1129" i="2" s="1"/>
  <c r="M1124" i="2" a="1"/>
  <c r="M1124" i="2" s="1"/>
  <c r="M1122" i="2" a="1"/>
  <c r="M1122" i="2" s="1"/>
  <c r="M1111" i="2" a="1"/>
  <c r="M1111" i="2" s="1"/>
  <c r="M1110" i="2" a="1"/>
  <c r="M1110" i="2" s="1"/>
  <c r="M1108" i="2" a="1"/>
  <c r="M1108" i="2" s="1"/>
  <c r="M1096" i="2" a="1"/>
  <c r="M1096" i="2" s="1"/>
  <c r="M1095" i="2" a="1"/>
  <c r="M1095" i="2" s="1"/>
  <c r="M1088" i="2" a="1"/>
  <c r="M1088" i="2" s="1"/>
  <c r="M1084" i="2" a="1"/>
  <c r="M1084" i="2" s="1"/>
  <c r="M1071" i="2" a="1"/>
  <c r="M1071" i="2" s="1"/>
  <c r="M1068" i="2" a="1"/>
  <c r="M1068" i="2" s="1"/>
  <c r="M1058" i="2" a="1"/>
  <c r="M1058" i="2" s="1"/>
  <c r="M1056" i="2" a="1"/>
  <c r="M1056" i="2" s="1"/>
  <c r="M1052" i="2" a="1"/>
  <c r="M1052" i="2" s="1"/>
  <c r="M1050" i="2" a="1"/>
  <c r="M1050" i="2" s="1"/>
  <c r="M1048" i="2" a="1"/>
  <c r="M1048" i="2" s="1"/>
  <c r="M1047" i="2" a="1"/>
  <c r="M1047" i="2" s="1"/>
  <c r="M1044" i="2" a="1"/>
  <c r="M1044" i="2" s="1"/>
  <c r="M1130" i="2" a="1"/>
  <c r="M1130" i="2" s="1"/>
  <c r="M1109" i="2" a="1"/>
  <c r="M1109" i="2" s="1"/>
  <c r="M1102" i="2" a="1"/>
  <c r="M1102" i="2" s="1"/>
  <c r="M1101" i="2" a="1"/>
  <c r="M1101" i="2" s="1"/>
  <c r="M1093" i="2" a="1"/>
  <c r="M1093" i="2" s="1"/>
  <c r="M1087" i="2" a="1"/>
  <c r="M1087" i="2" s="1"/>
  <c r="M1083" i="2" a="1"/>
  <c r="M1083" i="2" s="1"/>
  <c r="M1080" i="2" a="1"/>
  <c r="M1080" i="2" s="1"/>
  <c r="M1078" i="2" a="1"/>
  <c r="M1078" i="2" s="1"/>
  <c r="M1072" i="2" a="1"/>
  <c r="M1072" i="2" s="1"/>
  <c r="M1067" i="2" a="1"/>
  <c r="M1067" i="2" s="1"/>
  <c r="M1065" i="2" a="1"/>
  <c r="M1065" i="2" s="1"/>
  <c r="M1064" i="2" a="1"/>
  <c r="M1064" i="2" s="1"/>
  <c r="M1061" i="2" a="1"/>
  <c r="M1061" i="2" s="1"/>
  <c r="M1055" i="2" a="1"/>
  <c r="M1055" i="2" s="1"/>
  <c r="M1053" i="2" a="1"/>
  <c r="M1053" i="2" s="1"/>
  <c r="M1137" i="2" a="1"/>
  <c r="M1137" i="2" s="1"/>
  <c r="M1126" i="2" a="1"/>
  <c r="M1126" i="2" s="1"/>
  <c r="M1115" i="2" a="1"/>
  <c r="M1115" i="2" s="1"/>
  <c r="M1105" i="2" a="1"/>
  <c r="M1105" i="2" s="1"/>
  <c r="M1104" i="2" a="1"/>
  <c r="M1104" i="2" s="1"/>
  <c r="M1103" i="2" a="1"/>
  <c r="M1103" i="2" s="1"/>
  <c r="M1094" i="2" a="1"/>
  <c r="M1094" i="2" s="1"/>
  <c r="M1138" i="2" a="1"/>
  <c r="M1138" i="2" s="1"/>
  <c r="M1114" i="2" a="1"/>
  <c r="M1114" i="2" s="1"/>
  <c r="M1113" i="2" a="1"/>
  <c r="M1113" i="2" s="1"/>
  <c r="M1112" i="2" a="1"/>
  <c r="M1112" i="2" s="1"/>
  <c r="M1107" i="2" a="1"/>
  <c r="M1107" i="2" s="1"/>
  <c r="M1106" i="2" a="1"/>
  <c r="M1106" i="2" s="1"/>
  <c r="M1100" i="2" a="1"/>
  <c r="M1100" i="2" s="1"/>
  <c r="M1099" i="2" a="1"/>
  <c r="M1099" i="2" s="1"/>
  <c r="M1098" i="2" a="1"/>
  <c r="M1098" i="2" s="1"/>
  <c r="M1090" i="2" a="1"/>
  <c r="M1090" i="2" s="1"/>
  <c r="M1089" i="2" a="1"/>
  <c r="M1089" i="2" s="1"/>
  <c r="M1082" i="2" a="1"/>
  <c r="M1082" i="2" s="1"/>
  <c r="M1073" i="2" a="1"/>
  <c r="M1073" i="2" s="1"/>
  <c r="M1060" i="2" a="1"/>
  <c r="M1060" i="2" s="1"/>
  <c r="M1059" i="2" a="1"/>
  <c r="M1059" i="2" s="1"/>
  <c r="M1046" i="2" a="1"/>
  <c r="M1046" i="2" s="1"/>
  <c r="M1020" i="2" a="1"/>
  <c r="M1020" i="2" s="1"/>
  <c r="M1014" i="2" a="1"/>
  <c r="M1014" i="2" s="1"/>
  <c r="M1010" i="2" a="1"/>
  <c r="M1010" i="2" s="1"/>
  <c r="M1006" i="2" a="1"/>
  <c r="M1006" i="2" s="1"/>
  <c r="M1097" i="2" a="1"/>
  <c r="M1097" i="2" s="1"/>
  <c r="M1079" i="2" a="1"/>
  <c r="M1079" i="2" s="1"/>
  <c r="M1074" i="2" a="1"/>
  <c r="M1074" i="2" s="1"/>
  <c r="M1066" i="2" a="1"/>
  <c r="M1066" i="2" s="1"/>
  <c r="M1063" i="2" a="1"/>
  <c r="M1063" i="2" s="1"/>
  <c r="M1045" i="2" a="1"/>
  <c r="M1045" i="2" s="1"/>
  <c r="M1017" i="2" a="1"/>
  <c r="M1017" i="2" s="1"/>
  <c r="M1012" i="2" a="1"/>
  <c r="M1012" i="2" s="1"/>
  <c r="M1005" i="2" a="1"/>
  <c r="M1005" i="2" s="1"/>
  <c r="M1092" i="2" a="1"/>
  <c r="M1092" i="2" s="1"/>
  <c r="M1086" i="2" a="1"/>
  <c r="M1086" i="2" s="1"/>
  <c r="M1076" i="2" a="1"/>
  <c r="M1076" i="2" s="1"/>
  <c r="M1069" i="2" a="1"/>
  <c r="M1069" i="2" s="1"/>
  <c r="M1062" i="2" a="1"/>
  <c r="M1062" i="2" s="1"/>
  <c r="M1051" i="2" a="1"/>
  <c r="M1051" i="2" s="1"/>
  <c r="M1049" i="2" a="1"/>
  <c r="M1049" i="2" s="1"/>
  <c r="M1018" i="2" a="1"/>
  <c r="M1018" i="2" s="1"/>
  <c r="M1016" i="2" a="1"/>
  <c r="M1016" i="2" s="1"/>
  <c r="M1013" i="2" a="1"/>
  <c r="M1013" i="2" s="1"/>
  <c r="M1008" i="2" a="1"/>
  <c r="M1008" i="2" s="1"/>
  <c r="M1004" i="2" a="1"/>
  <c r="M1004" i="2" s="1"/>
  <c r="M1091" i="2" a="1"/>
  <c r="M1091" i="2" s="1"/>
  <c r="M1085" i="2" a="1"/>
  <c r="M1085" i="2" s="1"/>
  <c r="M1081" i="2" a="1"/>
  <c r="M1081" i="2" s="1"/>
  <c r="M1077" i="2" a="1"/>
  <c r="M1077" i="2" s="1"/>
  <c r="M1075" i="2" a="1"/>
  <c r="M1075" i="2" s="1"/>
  <c r="M1070" i="2" a="1"/>
  <c r="M1070" i="2" s="1"/>
  <c r="M1057" i="2" a="1"/>
  <c r="M1057" i="2" s="1"/>
  <c r="M1054" i="2" a="1"/>
  <c r="M1054" i="2" s="1"/>
  <c r="M1019" i="2" a="1"/>
  <c r="M1019" i="2" s="1"/>
  <c r="M1015" i="2" a="1"/>
  <c r="M1015" i="2" s="1"/>
  <c r="M1011" i="2" a="1"/>
  <c r="M1011" i="2" s="1"/>
  <c r="M1009" i="2" a="1"/>
  <c r="M1009" i="2" s="1"/>
  <c r="M1007" i="2" a="1"/>
  <c r="M1007" i="2" s="1"/>
  <c r="M1003" i="2" a="1"/>
  <c r="M1003" i="2" s="1"/>
  <c r="M1002" i="2" a="1"/>
  <c r="M1002" i="2" s="1"/>
  <c r="M996" i="2" a="1"/>
  <c r="M996" i="2" s="1"/>
  <c r="M995" i="2" a="1"/>
  <c r="M995" i="2" s="1"/>
  <c r="M991" i="2" a="1"/>
  <c r="M991" i="2" s="1"/>
  <c r="M1000" i="2" a="1"/>
  <c r="M1000" i="2" s="1"/>
  <c r="M993" i="2" a="1"/>
  <c r="M993" i="2" s="1"/>
  <c r="M989" i="2" a="1"/>
  <c r="M989" i="2" s="1"/>
  <c r="M987" i="2" a="1"/>
  <c r="M987" i="2" s="1"/>
  <c r="M985" i="2" a="1"/>
  <c r="M985" i="2" s="1"/>
  <c r="M1001" i="2" a="1"/>
  <c r="M1001" i="2" s="1"/>
  <c r="M999" i="2" a="1"/>
  <c r="M999" i="2" s="1"/>
  <c r="M997" i="2" a="1"/>
  <c r="M997" i="2" s="1"/>
  <c r="M994" i="2" a="1"/>
  <c r="M994" i="2" s="1"/>
  <c r="M990" i="2" a="1"/>
  <c r="M990" i="2" s="1"/>
  <c r="M986" i="2" a="1"/>
  <c r="M986" i="2" s="1"/>
  <c r="M998" i="2" a="1"/>
  <c r="M998" i="2" s="1"/>
  <c r="M988" i="2" a="1"/>
  <c r="M988" i="2" s="1"/>
  <c r="M932" i="2" a="1"/>
  <c r="M932" i="2" s="1"/>
  <c r="M893" i="2" a="1"/>
  <c r="M893" i="2" s="1"/>
  <c r="M887" i="2" a="1"/>
  <c r="M887" i="2" s="1"/>
  <c r="M879" i="2" a="1"/>
  <c r="M879" i="2" s="1"/>
  <c r="M874" i="2" a="1"/>
  <c r="M874" i="2" s="1"/>
  <c r="M873" i="2" a="1"/>
  <c r="M873" i="2" s="1"/>
  <c r="M872" i="2" a="1"/>
  <c r="M872" i="2" s="1"/>
  <c r="M871" i="2" a="1"/>
  <c r="M871" i="2" s="1"/>
  <c r="M897" i="2" a="1"/>
  <c r="M897" i="2" s="1"/>
  <c r="M895" i="2" a="1"/>
  <c r="M895" i="2" s="1"/>
  <c r="M891" i="2" a="1"/>
  <c r="M891" i="2" s="1"/>
  <c r="M889" i="2" a="1"/>
  <c r="M889" i="2" s="1"/>
  <c r="M885" i="2" a="1"/>
  <c r="M885" i="2" s="1"/>
  <c r="M881" i="2" a="1"/>
  <c r="M881" i="2" s="1"/>
  <c r="M877" i="2" a="1"/>
  <c r="M877" i="2" s="1"/>
  <c r="M875" i="2" a="1"/>
  <c r="M875" i="2" s="1"/>
  <c r="M869" i="2" a="1"/>
  <c r="M869" i="2" s="1"/>
  <c r="M866" i="2" a="1"/>
  <c r="M866" i="2" s="1"/>
  <c r="M862" i="2" a="1"/>
  <c r="M862" i="2" s="1"/>
  <c r="M858" i="2" a="1"/>
  <c r="M858" i="2" s="1"/>
  <c r="M854" i="2" a="1"/>
  <c r="M854" i="2" s="1"/>
  <c r="M839" i="2" a="1"/>
  <c r="M839" i="2" s="1"/>
  <c r="M838" i="2" a="1"/>
  <c r="M838" i="2" s="1"/>
  <c r="M837" i="2" a="1"/>
  <c r="M837" i="2" s="1"/>
  <c r="M835" i="2" a="1"/>
  <c r="M835" i="2" s="1"/>
  <c r="M992" i="2" a="1"/>
  <c r="M992" i="2" s="1"/>
  <c r="M898" i="2" a="1"/>
  <c r="M898" i="2" s="1"/>
  <c r="M896" i="2" a="1"/>
  <c r="M896" i="2" s="1"/>
  <c r="M892" i="2" a="1"/>
  <c r="M892" i="2" s="1"/>
  <c r="M888" i="2" a="1"/>
  <c r="M888" i="2" s="1"/>
  <c r="M884" i="2" a="1"/>
  <c r="M884" i="2" s="1"/>
  <c r="M883" i="2" a="1"/>
  <c r="M883" i="2" s="1"/>
  <c r="M882" i="2" a="1"/>
  <c r="M882" i="2" s="1"/>
  <c r="M878" i="2" a="1"/>
  <c r="M878" i="2" s="1"/>
  <c r="M870" i="2" a="1"/>
  <c r="M870" i="2" s="1"/>
  <c r="M863" i="2" a="1"/>
  <c r="M863" i="2" s="1"/>
  <c r="M859" i="2" a="1"/>
  <c r="M859" i="2" s="1"/>
  <c r="M855" i="2" a="1"/>
  <c r="M855" i="2" s="1"/>
  <c r="M852" i="2" a="1"/>
  <c r="M852" i="2" s="1"/>
  <c r="M849" i="2" a="1"/>
  <c r="M849" i="2" s="1"/>
  <c r="M848" i="2" a="1"/>
  <c r="M848" i="2" s="1"/>
  <c r="M846" i="2" a="1"/>
  <c r="M846" i="2" s="1"/>
  <c r="M844" i="2" a="1"/>
  <c r="M844" i="2" s="1"/>
  <c r="M842" i="2" a="1"/>
  <c r="M842" i="2" s="1"/>
  <c r="M840" i="2" a="1"/>
  <c r="M840" i="2" s="1"/>
  <c r="M834" i="2" a="1"/>
  <c r="M834" i="2" s="1"/>
  <c r="M886" i="2" a="1"/>
  <c r="M886" i="2" s="1"/>
  <c r="M876" i="2" a="1"/>
  <c r="M876" i="2" s="1"/>
  <c r="M867" i="2" a="1"/>
  <c r="M867" i="2" s="1"/>
  <c r="M833" i="2" a="1"/>
  <c r="M833" i="2" s="1"/>
  <c r="M831" i="2" a="1"/>
  <c r="M831" i="2" s="1"/>
  <c r="M822" i="2" a="1"/>
  <c r="M822" i="2" s="1"/>
  <c r="M865" i="2" a="1"/>
  <c r="M865" i="2" s="1"/>
  <c r="M861" i="2" a="1"/>
  <c r="M861" i="2" s="1"/>
  <c r="M857" i="2" a="1"/>
  <c r="M857" i="2" s="1"/>
  <c r="M853" i="2" a="1"/>
  <c r="M853" i="2" s="1"/>
  <c r="M847" i="2" a="1"/>
  <c r="M847" i="2" s="1"/>
  <c r="M832" i="2" a="1"/>
  <c r="M832" i="2" s="1"/>
  <c r="M830" i="2" a="1"/>
  <c r="M830" i="2" s="1"/>
  <c r="M826" i="2" a="1"/>
  <c r="M826" i="2" s="1"/>
  <c r="M825" i="2" a="1"/>
  <c r="M825" i="2" s="1"/>
  <c r="M868" i="2" a="1"/>
  <c r="M868" i="2" s="1"/>
  <c r="M864" i="2" a="1"/>
  <c r="M864" i="2" s="1"/>
  <c r="M860" i="2" a="1"/>
  <c r="M860" i="2" s="1"/>
  <c r="M856" i="2" a="1"/>
  <c r="M856" i="2" s="1"/>
  <c r="M851" i="2" a="1"/>
  <c r="M851" i="2" s="1"/>
  <c r="M836" i="2" a="1"/>
  <c r="M836" i="2" s="1"/>
  <c r="M829" i="2" a="1"/>
  <c r="M829" i="2" s="1"/>
  <c r="M827" i="2" a="1"/>
  <c r="M827" i="2" s="1"/>
  <c r="M824" i="2" a="1"/>
  <c r="M824" i="2" s="1"/>
  <c r="M823" i="2" a="1"/>
  <c r="M823" i="2" s="1"/>
  <c r="M821" i="2" a="1"/>
  <c r="M821" i="2" s="1"/>
  <c r="M820" i="2" a="1"/>
  <c r="M820" i="2" s="1"/>
  <c r="M819" i="2" a="1"/>
  <c r="M819" i="2" s="1"/>
  <c r="M894" i="2" a="1"/>
  <c r="M894" i="2" s="1"/>
  <c r="M890" i="2" a="1"/>
  <c r="M890" i="2" s="1"/>
  <c r="M880" i="2" a="1"/>
  <c r="M880" i="2" s="1"/>
  <c r="M850" i="2" a="1"/>
  <c r="M850" i="2" s="1"/>
  <c r="M845" i="2" a="1"/>
  <c r="M845" i="2" s="1"/>
  <c r="M843" i="2" a="1"/>
  <c r="M843" i="2" s="1"/>
  <c r="M841" i="2" a="1"/>
  <c r="M841" i="2" s="1"/>
  <c r="M828" i="2" a="1"/>
  <c r="M828" i="2" s="1"/>
  <c r="AC818" i="2" a="1"/>
  <c r="AC818" i="2" s="1"/>
  <c r="X818" i="2" a="1"/>
  <c r="X818" i="2" s="1"/>
  <c r="M818" i="2" a="1"/>
  <c r="M818" i="2" s="1"/>
  <c r="AE826" i="2"/>
  <c r="AE822" i="2" s="1"/>
  <c r="BF489" i="2"/>
  <c r="BF658" i="2" s="1"/>
  <c r="BG491" i="2"/>
  <c r="AZ503" i="2"/>
  <c r="BB520" i="2"/>
  <c r="BB880" i="2" s="1"/>
  <c r="CA563" i="2"/>
  <c r="BY566" i="2"/>
  <c r="BY570" i="2"/>
  <c r="BY578" i="2"/>
  <c r="BY581" i="2"/>
  <c r="BY597" i="2"/>
  <c r="BY598" i="2" s="1"/>
  <c r="CB612" i="2"/>
  <c r="AE642" i="2"/>
  <c r="BY646" i="2"/>
  <c r="AU664" i="2"/>
  <c r="BY664" i="2" s="1"/>
  <c r="CB671" i="2"/>
  <c r="BJ670" i="2"/>
  <c r="BO670" i="2"/>
  <c r="BT670" i="2"/>
  <c r="BT508" i="2" s="1"/>
  <c r="BT507" i="2" s="1"/>
  <c r="BT767" i="2" s="1"/>
  <c r="BT773" i="2" s="1"/>
  <c r="A824" i="2" a="1"/>
  <c r="A824" i="2" s="1"/>
  <c r="A825" i="2" s="1" a="1"/>
  <c r="A825" i="2" s="1"/>
  <c r="A826" i="2" s="1" a="1"/>
  <c r="A826" i="2" s="1"/>
  <c r="A827" i="2" s="1" a="1"/>
  <c r="A827" i="2" s="1"/>
  <c r="A828" i="2" s="1" a="1"/>
  <c r="A828" i="2" s="1"/>
  <c r="A829" i="2" s="1" a="1"/>
  <c r="A829" i="2" s="1"/>
  <c r="A830" i="2" s="1" a="1"/>
  <c r="A830" i="2" s="1"/>
  <c r="A831" i="2" s="1" a="1"/>
  <c r="A831" i="2" s="1"/>
  <c r="A823" i="2" a="1"/>
  <c r="A823" i="2" s="1"/>
  <c r="AB464" i="2"/>
  <c r="AB466" i="2"/>
  <c r="BZ513" i="2"/>
  <c r="AE1229" i="2"/>
  <c r="BY1229" i="2" s="1"/>
  <c r="AE1216" i="2"/>
  <c r="AL521" i="2"/>
  <c r="BI561" i="2"/>
  <c r="BI531" i="2" s="1"/>
  <c r="BI510" i="2" s="1"/>
  <c r="BM561" i="2"/>
  <c r="BM531" i="2" s="1"/>
  <c r="BM510" i="2" s="1"/>
  <c r="BM509" i="2" s="1"/>
  <c r="CA567" i="2"/>
  <c r="BY571" i="2"/>
  <c r="BY575" i="2"/>
  <c r="CA582" i="2"/>
  <c r="CA583" i="2"/>
  <c r="CA590" i="2"/>
  <c r="BJ986" i="2"/>
  <c r="CB986" i="2" s="1"/>
  <c r="AE1221" i="2"/>
  <c r="BY1219" i="2"/>
  <c r="BY1221" i="2" s="1"/>
  <c r="BB598" i="2"/>
  <c r="BJ598" i="2"/>
  <c r="BJ615" i="2"/>
  <c r="BJ611" i="2" s="1"/>
  <c r="AW1021" i="2"/>
  <c r="AW1020" i="2" s="1"/>
  <c r="AW1013" i="2" s="1"/>
  <c r="BI1021" i="2"/>
  <c r="BI1020" i="2" s="1"/>
  <c r="BI1013" i="2" s="1"/>
  <c r="CB996" i="2"/>
  <c r="BJ1225" i="2"/>
  <c r="BJ1227" i="2" s="1"/>
  <c r="BJ644" i="2"/>
  <c r="BJ646" i="2"/>
  <c r="BJ642" i="2" s="1"/>
  <c r="BJ639" i="2" s="1"/>
  <c r="CB643" i="2"/>
  <c r="CA646" i="2"/>
  <c r="CA651" i="2"/>
  <c r="AI653" i="2"/>
  <c r="BY653" i="2" s="1"/>
  <c r="AV653" i="2"/>
  <c r="AV664" i="2"/>
  <c r="BZ664" i="2" s="1"/>
  <c r="CB665" i="2"/>
  <c r="CA671" i="2"/>
  <c r="Y675" i="2"/>
  <c r="Y676" i="2" s="1"/>
  <c r="A734" i="2" a="1"/>
  <c r="A734" i="2" s="1"/>
  <c r="B733" i="2" a="1"/>
  <c r="B733" i="2" s="1"/>
  <c r="BZ745" i="2"/>
  <c r="CC745" i="2"/>
  <c r="AJ833" i="2"/>
  <c r="AJ834" i="2" s="1"/>
  <c r="AR891" i="2"/>
  <c r="BJ1056" i="2"/>
  <c r="AT664" i="2"/>
  <c r="CB664" i="2" s="1"/>
  <c r="B706" i="2" a="1"/>
  <c r="B706" i="2" s="1"/>
  <c r="CB1111" i="2"/>
  <c r="BZ714" i="2"/>
  <c r="B727" i="2" a="1"/>
  <c r="B727" i="2" s="1"/>
  <c r="AR1115" i="2"/>
  <c r="BZ744" i="2"/>
  <c r="CC748" i="2"/>
  <c r="BG833" i="2"/>
  <c r="BY833" i="2" s="1"/>
  <c r="AO841" i="2"/>
  <c r="AO835" i="2"/>
  <c r="CA903" i="2"/>
  <c r="CA907" i="2"/>
  <c r="CA911" i="2"/>
  <c r="CA915" i="2"/>
  <c r="CA919" i="2"/>
  <c r="BY924" i="2"/>
  <c r="BY928" i="2"/>
  <c r="BI932" i="2"/>
  <c r="BB646" i="2"/>
  <c r="BB642" i="2" s="1"/>
  <c r="BB639" i="2" s="1"/>
  <c r="BF1059" i="2"/>
  <c r="CB687" i="2"/>
  <c r="A708" i="2" a="1"/>
  <c r="A708" i="2" s="1"/>
  <c r="B708" i="2" s="1" a="1"/>
  <c r="B708" i="2" s="1"/>
  <c r="CA714" i="2"/>
  <c r="Y720" i="2"/>
  <c r="CA1113" i="2"/>
  <c r="AG1112" i="2"/>
  <c r="CA1112" i="2" s="1"/>
  <c r="BL1115" i="2"/>
  <c r="CC744" i="2"/>
  <c r="AF751" i="2"/>
  <c r="BZ751" i="2" s="1"/>
  <c r="AX833" i="2"/>
  <c r="BH833" i="2"/>
  <c r="BH834" i="2" s="1"/>
  <c r="AM835" i="2"/>
  <c r="BI835" i="2"/>
  <c r="Y837" i="2"/>
  <c r="AB837" i="2" s="1"/>
  <c r="BJ841" i="2"/>
  <c r="BJ835" i="2"/>
  <c r="BO841" i="2"/>
  <c r="BO835" i="2"/>
  <c r="BS841" i="2"/>
  <c r="BS835" i="2"/>
  <c r="BY838" i="2"/>
  <c r="BY842" i="2"/>
  <c r="BZ844" i="2"/>
  <c r="AF842" i="2"/>
  <c r="AT1184" i="2"/>
  <c r="AT878" i="2"/>
  <c r="AX1184" i="2"/>
  <c r="AX878" i="2"/>
  <c r="BF1184" i="2"/>
  <c r="BF878" i="2"/>
  <c r="BN1184" i="2"/>
  <c r="BN878" i="2"/>
  <c r="BV1184" i="2"/>
  <c r="BV876" i="2"/>
  <c r="BV878" i="2"/>
  <c r="CA882" i="2"/>
  <c r="BY901" i="2"/>
  <c r="BZ926" i="2"/>
  <c r="BZ930" i="2"/>
  <c r="BU932" i="2"/>
  <c r="CA938" i="2"/>
  <c r="AS932" i="2"/>
  <c r="AS891" i="2" s="1"/>
  <c r="AS870" i="2" s="1"/>
  <c r="BB644" i="2"/>
  <c r="BY651" i="2"/>
  <c r="BB1058" i="2"/>
  <c r="BB1060" i="2"/>
  <c r="CB714" i="2"/>
  <c r="AJ1115" i="2"/>
  <c r="AV1115" i="2"/>
  <c r="BD1115" i="2"/>
  <c r="BI1115" i="2"/>
  <c r="BT1115" i="2"/>
  <c r="BZ732" i="2"/>
  <c r="AB824" i="2"/>
  <c r="AH1184" i="2"/>
  <c r="AH878" i="2"/>
  <c r="AL1184" i="2"/>
  <c r="AL878" i="2"/>
  <c r="AP1184" i="2"/>
  <c r="AP1182" i="2" s="1"/>
  <c r="AP878" i="2"/>
  <c r="BY896" i="2"/>
  <c r="BZ899" i="2"/>
  <c r="AF898" i="2"/>
  <c r="BY899" i="2"/>
  <c r="CA933" i="2"/>
  <c r="AK932" i="2"/>
  <c r="AK891" i="2" s="1"/>
  <c r="AQ932" i="2"/>
  <c r="BA932" i="2"/>
  <c r="BA891" i="2" s="1"/>
  <c r="BA870" i="2" s="1"/>
  <c r="BY940" i="2"/>
  <c r="BY948" i="2"/>
  <c r="AE932" i="2"/>
  <c r="AE891" i="2" s="1"/>
  <c r="AI932" i="2"/>
  <c r="AI891" i="2" s="1"/>
  <c r="CA980" i="2"/>
  <c r="Y700" i="2"/>
  <c r="Y701" i="2" s="1"/>
  <c r="CA1111" i="2"/>
  <c r="BY714" i="2"/>
  <c r="B732" i="2" a="1"/>
  <c r="B732" i="2" s="1"/>
  <c r="AF1115" i="2"/>
  <c r="BJ1115" i="2"/>
  <c r="B819" i="2" a="1"/>
  <c r="B819" i="2" s="1"/>
  <c r="AB825" i="2"/>
  <c r="AB826" i="2"/>
  <c r="AB834" i="2"/>
  <c r="AB836" i="2"/>
  <c r="AP834" i="2"/>
  <c r="AE835" i="2"/>
  <c r="BR835" i="2"/>
  <c r="AN841" i="2"/>
  <c r="AN835" i="2"/>
  <c r="CA842" i="2"/>
  <c r="CA873" i="2"/>
  <c r="CA875" i="2"/>
  <c r="BZ879" i="2"/>
  <c r="BZ896" i="2"/>
  <c r="AJ891" i="2"/>
  <c r="AJ870" i="2" s="1"/>
  <c r="CA899" i="2"/>
  <c r="BH898" i="2"/>
  <c r="BM898" i="2"/>
  <c r="BR898" i="2"/>
  <c r="BV898" i="2"/>
  <c r="BZ903" i="2"/>
  <c r="BZ907" i="2"/>
  <c r="BZ911" i="2"/>
  <c r="BZ915" i="2"/>
  <c r="BZ919" i="2"/>
  <c r="BZ923" i="2"/>
  <c r="BZ927" i="2"/>
  <c r="BZ931" i="2"/>
  <c r="AF932" i="2"/>
  <c r="BO932" i="2"/>
  <c r="BS932" i="2"/>
  <c r="BY933" i="2"/>
  <c r="AM932" i="2"/>
  <c r="CA934" i="2"/>
  <c r="CA942" i="2"/>
  <c r="CA951" i="2"/>
  <c r="BY955" i="2"/>
  <c r="AI876" i="2"/>
  <c r="AM876" i="2"/>
  <c r="AQ876" i="2"/>
  <c r="AU876" i="2"/>
  <c r="AY876" i="2"/>
  <c r="BC876" i="2"/>
  <c r="BG876" i="2"/>
  <c r="BK876" i="2"/>
  <c r="BO876" i="2"/>
  <c r="BS876" i="2"/>
  <c r="AK878" i="2"/>
  <c r="AO878" i="2"/>
  <c r="AS878" i="2"/>
  <c r="AW878" i="2"/>
  <c r="BA878" i="2"/>
  <c r="BE878" i="2"/>
  <c r="BM878" i="2"/>
  <c r="BQ878" i="2"/>
  <c r="BU878" i="2"/>
  <c r="AG898" i="2"/>
  <c r="BY934" i="2"/>
  <c r="CA935" i="2"/>
  <c r="BY937" i="2"/>
  <c r="CA939" i="2"/>
  <c r="BY941" i="2"/>
  <c r="CA943" i="2"/>
  <c r="BY945" i="2"/>
  <c r="BZ951" i="2"/>
  <c r="BZ954" i="2"/>
  <c r="BY957" i="2"/>
  <c r="BY961" i="2"/>
  <c r="BZ963" i="2"/>
  <c r="BZ964" i="2"/>
  <c r="BY965" i="2"/>
  <c r="CA966" i="2"/>
  <c r="BY969" i="2"/>
  <c r="BY973" i="2"/>
  <c r="CA974" i="2"/>
  <c r="BY975" i="2"/>
  <c r="BZ976" i="2"/>
  <c r="BZ978" i="2"/>
  <c r="BZ980" i="2"/>
  <c r="BZ983" i="2"/>
  <c r="BY986" i="2"/>
  <c r="AV985" i="2"/>
  <c r="BE985" i="2"/>
  <c r="BI985" i="2"/>
  <c r="AY985" i="2"/>
  <c r="CA997" i="2"/>
  <c r="BZ998" i="2"/>
  <c r="CA877" i="2"/>
  <c r="BZ933" i="2"/>
  <c r="BR932" i="2"/>
  <c r="BV932" i="2"/>
  <c r="BZ937" i="2"/>
  <c r="BZ941" i="2"/>
  <c r="BY944" i="2"/>
  <c r="CA946" i="2"/>
  <c r="BZ947" i="2"/>
  <c r="BY952" i="2"/>
  <c r="CA954" i="2"/>
  <c r="BZ956" i="2"/>
  <c r="BZ957" i="2"/>
  <c r="BZ959" i="2"/>
  <c r="CA963" i="2"/>
  <c r="BZ975" i="2"/>
  <c r="BY977" i="2"/>
  <c r="BY979" i="2"/>
  <c r="CA983" i="2"/>
  <c r="BY984" i="2"/>
  <c r="BZ986" i="2"/>
  <c r="AO985" i="2"/>
  <c r="BU985" i="2"/>
  <c r="BY987" i="2"/>
  <c r="BK985" i="2"/>
  <c r="AT990" i="2"/>
  <c r="AX988" i="2"/>
  <c r="AX985" i="2" s="1"/>
  <c r="AX990" i="2"/>
  <c r="BF990" i="2"/>
  <c r="BN990" i="2"/>
  <c r="BV988" i="2"/>
  <c r="BV985" i="2" s="1"/>
  <c r="BV990" i="2"/>
  <c r="BM995" i="2"/>
  <c r="BM994" i="2" s="1"/>
  <c r="BR995" i="2"/>
  <c r="BV995" i="2"/>
  <c r="CA956" i="2"/>
  <c r="BY956" i="2"/>
  <c r="BY958" i="2"/>
  <c r="CA959" i="2"/>
  <c r="BY959" i="2"/>
  <c r="CA961" i="2"/>
  <c r="CA969" i="2"/>
  <c r="BY971" i="2"/>
  <c r="CA975" i="2"/>
  <c r="BQ985" i="2"/>
  <c r="AH990" i="2"/>
  <c r="AL990" i="2"/>
  <c r="AP988" i="2"/>
  <c r="AP985" i="2" s="1"/>
  <c r="AP990" i="2"/>
  <c r="BC988" i="2"/>
  <c r="BC985" i="2" s="1"/>
  <c r="BG988" i="2"/>
  <c r="BG985" i="2" s="1"/>
  <c r="BO988" i="2"/>
  <c r="BO985" i="2" s="1"/>
  <c r="BS988" i="2"/>
  <c r="BS985" i="2" s="1"/>
  <c r="BZ997" i="2"/>
  <c r="AG995" i="2"/>
  <c r="CA998" i="2"/>
  <c r="AK995" i="2"/>
  <c r="AX994" i="2"/>
  <c r="CA936" i="2"/>
  <c r="BY938" i="2"/>
  <c r="CA940" i="2"/>
  <c r="BY942" i="2"/>
  <c r="CA949" i="2"/>
  <c r="BY951" i="2"/>
  <c r="CA962" i="2"/>
  <c r="BY963" i="2"/>
  <c r="CA971" i="2"/>
  <c r="BY976" i="2"/>
  <c r="CA979" i="2"/>
  <c r="CA982" i="2"/>
  <c r="BM985" i="2"/>
  <c r="CA986" i="2"/>
  <c r="AI988" i="2"/>
  <c r="AI985" i="2" s="1"/>
  <c r="BD988" i="2"/>
  <c r="BD985" i="2" s="1"/>
  <c r="BP988" i="2"/>
  <c r="BP985" i="2" s="1"/>
  <c r="BT988" i="2"/>
  <c r="BT985" i="2" s="1"/>
  <c r="BY997" i="2"/>
  <c r="AE995" i="2"/>
  <c r="AI995" i="2"/>
  <c r="AM995" i="2"/>
  <c r="BE1003" i="2"/>
  <c r="BI1003" i="2"/>
  <c r="BI994" i="2" s="1"/>
  <c r="CA1007" i="2"/>
  <c r="BY1002" i="2"/>
  <c r="CA1022" i="2"/>
  <c r="BY1039" i="2"/>
  <c r="CA1037" i="2"/>
  <c r="BS1013" i="2"/>
  <c r="BS994" i="2" s="1"/>
  <c r="AF1013" i="2"/>
  <c r="BZ1014" i="2"/>
  <c r="BE1044" i="2"/>
  <c r="BD1047" i="2"/>
  <c r="BD1044" i="2" s="1"/>
  <c r="BZ1078" i="2"/>
  <c r="BY1080" i="2"/>
  <c r="CA1081" i="2"/>
  <c r="CA1086" i="2"/>
  <c r="BY1087" i="2"/>
  <c r="BY1089" i="2"/>
  <c r="AF1090" i="2"/>
  <c r="BY1004" i="2"/>
  <c r="AF1005" i="2"/>
  <c r="AJ1005" i="2"/>
  <c r="AO1005" i="2"/>
  <c r="AS1005" i="2"/>
  <c r="AW1005" i="2"/>
  <c r="BA1005" i="2"/>
  <c r="BE1005" i="2"/>
  <c r="BI1005" i="2"/>
  <c r="BM1005" i="2"/>
  <c r="BR1005" i="2"/>
  <c r="BV1005" i="2"/>
  <c r="CA1014" i="2"/>
  <c r="AH1049" i="2"/>
  <c r="BZ1061" i="2"/>
  <c r="BY1064" i="2"/>
  <c r="CA1065" i="2"/>
  <c r="BI1066" i="2"/>
  <c r="CA1066" i="2" s="1"/>
  <c r="BY1077" i="2"/>
  <c r="BZ1079" i="2"/>
  <c r="BZ1082" i="2"/>
  <c r="CB1085" i="2"/>
  <c r="BZ1004" i="2"/>
  <c r="AG1005" i="2"/>
  <c r="CA1040" i="2"/>
  <c r="BZ1043" i="2"/>
  <c r="BZ1046" i="2"/>
  <c r="BH1047" i="2"/>
  <c r="BH1044" i="2" s="1"/>
  <c r="BY1048" i="2"/>
  <c r="BY1049" i="2" s="1"/>
  <c r="BZ1054" i="2"/>
  <c r="BZ1055" i="2"/>
  <c r="BY1056" i="2"/>
  <c r="BZ1064" i="2"/>
  <c r="BY1069" i="2"/>
  <c r="CB1077" i="2"/>
  <c r="BY1078" i="2"/>
  <c r="AE1076" i="2"/>
  <c r="AR1076" i="2"/>
  <c r="Y1093" i="2"/>
  <c r="Y1094" i="2" s="1"/>
  <c r="BU1090" i="2"/>
  <c r="BY1095" i="2"/>
  <c r="BG1182" i="2"/>
  <c r="AE1013" i="2"/>
  <c r="CA1042" i="2"/>
  <c r="AT1044" i="2"/>
  <c r="AM1047" i="2"/>
  <c r="AM1044" i="2" s="1"/>
  <c r="AU1047" i="2"/>
  <c r="AU1044" i="2" s="1"/>
  <c r="BS1047" i="2"/>
  <c r="BS1044" i="2" s="1"/>
  <c r="BK1049" i="2"/>
  <c r="BO1049" i="2"/>
  <c r="BZ1048" i="2"/>
  <c r="CA1054" i="2"/>
  <c r="BZ1069" i="2"/>
  <c r="AG1076" i="2"/>
  <c r="BZ1077" i="2"/>
  <c r="BZ1081" i="2"/>
  <c r="AF1100" i="2"/>
  <c r="CB1117" i="2"/>
  <c r="BY1123" i="2"/>
  <c r="AK1181" i="2"/>
  <c r="AK1182" i="2" s="1"/>
  <c r="AK1171" i="2"/>
  <c r="AO1181" i="2"/>
  <c r="AO1182" i="2" s="1"/>
  <c r="AO1171" i="2"/>
  <c r="AT1181" i="2"/>
  <c r="AT1182" i="2" s="1"/>
  <c r="AT1171" i="2"/>
  <c r="AX1181" i="2"/>
  <c r="AX1171" i="2"/>
  <c r="BF1181" i="2"/>
  <c r="BF1171" i="2"/>
  <c r="BN1181" i="2"/>
  <c r="BN1171" i="2"/>
  <c r="BV1181" i="2"/>
  <c r="BV1171" i="2"/>
  <c r="BY1101" i="2"/>
  <c r="BZ1116" i="2"/>
  <c r="BY1122" i="2"/>
  <c r="CB1125" i="2"/>
  <c r="BS1182" i="2"/>
  <c r="CB1173" i="2"/>
  <c r="BY1175" i="2"/>
  <c r="BY1177" i="2" s="1"/>
  <c r="AT1205" i="2"/>
  <c r="AT1208" i="2" s="1"/>
  <c r="AT1195" i="2"/>
  <c r="AX1205" i="2"/>
  <c r="AX1208" i="2" s="1"/>
  <c r="AX1195" i="2"/>
  <c r="BN1205" i="2"/>
  <c r="BN1208" i="2" s="1"/>
  <c r="BN1195" i="2"/>
  <c r="BV1205" i="2"/>
  <c r="BV1208" i="2" s="1"/>
  <c r="BV1195" i="2"/>
  <c r="BF1101" i="2"/>
  <c r="Y1105" i="2"/>
  <c r="AH1115" i="2"/>
  <c r="CA1117" i="2"/>
  <c r="BZ1122" i="2"/>
  <c r="BY1125" i="2"/>
  <c r="AG1171" i="2"/>
  <c r="AQ1181" i="2"/>
  <c r="AQ1182" i="2" s="1"/>
  <c r="BM1181" i="2"/>
  <c r="BF1195" i="2"/>
  <c r="Y1080" i="2"/>
  <c r="AO1100" i="2"/>
  <c r="AE1115" i="2"/>
  <c r="AH1123" i="2"/>
  <c r="CB1123" i="2" s="1"/>
  <c r="AS1182" i="2"/>
  <c r="BA1182" i="2"/>
  <c r="BE1181" i="2"/>
  <c r="BE1182" i="2" s="1"/>
  <c r="BI1181" i="2"/>
  <c r="BQ1181" i="2"/>
  <c r="BQ1182" i="2" s="1"/>
  <c r="CA1170" i="2"/>
  <c r="AT1174" i="2"/>
  <c r="AH1180" i="2"/>
  <c r="AW1181" i="2"/>
  <c r="AW1182" i="2" s="1"/>
  <c r="AH1171" i="2"/>
  <c r="AM1171" i="2"/>
  <c r="AS1171" i="2"/>
  <c r="BC1171" i="2"/>
  <c r="BI1171" i="2"/>
  <c r="BS1171" i="2"/>
  <c r="CA1175" i="2"/>
  <c r="BY1178" i="2"/>
  <c r="BY1180" i="2" s="1"/>
  <c r="AH1181" i="2"/>
  <c r="AH1208" i="2"/>
  <c r="AL1205" i="2"/>
  <c r="AL1208" i="2" s="1"/>
  <c r="AL1195" i="2"/>
  <c r="CB1193" i="2"/>
  <c r="CB1194" i="2"/>
  <c r="AH1195" i="2"/>
  <c r="AZ1182" i="2"/>
  <c r="BH1182" i="2"/>
  <c r="BL1182" i="2"/>
  <c r="BT1182" i="2"/>
  <c r="AI1171" i="2"/>
  <c r="AI1205" i="2"/>
  <c r="AI1208" i="2" s="1"/>
  <c r="AI1195" i="2"/>
  <c r="AM1205" i="2"/>
  <c r="AM1208" i="2" s="1"/>
  <c r="AM1195" i="2"/>
  <c r="AQ1205" i="2"/>
  <c r="AQ1208" i="2" s="1"/>
  <c r="AQ1195" i="2"/>
  <c r="AF1182" i="2"/>
  <c r="AP1171" i="2"/>
  <c r="AU1171" i="2"/>
  <c r="BA1171" i="2"/>
  <c r="BK1171" i="2"/>
  <c r="BQ1171" i="2"/>
  <c r="BF1201" i="2"/>
  <c r="BK1201" i="2"/>
  <c r="BO1201" i="2"/>
  <c r="BS1201" i="2"/>
  <c r="BY1199" i="2"/>
  <c r="CB1200" i="2"/>
  <c r="AY1205" i="2"/>
  <c r="AY1208" i="2" s="1"/>
  <c r="BC1205" i="2"/>
  <c r="BC1208" i="2" s="1"/>
  <c r="BG1205" i="2"/>
  <c r="BG1208" i="2" s="1"/>
  <c r="BK1205" i="2"/>
  <c r="BK1208" i="2" s="1"/>
  <c r="BO1205" i="2"/>
  <c r="BO1208" i="2" s="1"/>
  <c r="BS1205" i="2"/>
  <c r="BS1208" i="2" s="1"/>
  <c r="AY1195" i="2"/>
  <c r="BG1195" i="2"/>
  <c r="BO1195" i="2"/>
  <c r="CA1197" i="2"/>
  <c r="AH1198" i="2"/>
  <c r="AG1231" i="2"/>
  <c r="CB1217" i="2"/>
  <c r="AH1218" i="2"/>
  <c r="BZ1169" i="2"/>
  <c r="AF1171" i="2"/>
  <c r="AJ1171" i="2"/>
  <c r="AN1171" i="2"/>
  <c r="AV1171" i="2"/>
  <c r="AZ1171" i="2"/>
  <c r="BD1171" i="2"/>
  <c r="BH1171" i="2"/>
  <c r="BL1171" i="2"/>
  <c r="BP1171" i="2"/>
  <c r="BT1171" i="2"/>
  <c r="BZ1175" i="2"/>
  <c r="BZ1178" i="2"/>
  <c r="BZ1180" i="2" s="1"/>
  <c r="AF1205" i="2"/>
  <c r="AF1195" i="2"/>
  <c r="AN1205" i="2"/>
  <c r="AN1208" i="2" s="1"/>
  <c r="AN1195" i="2"/>
  <c r="AV1205" i="2"/>
  <c r="AV1208" i="2" s="1"/>
  <c r="AV1195" i="2"/>
  <c r="BD1205" i="2"/>
  <c r="BD1208" i="2" s="1"/>
  <c r="BD1195" i="2"/>
  <c r="BL1205" i="2"/>
  <c r="BL1208" i="2" s="1"/>
  <c r="BL1195" i="2"/>
  <c r="BT1205" i="2"/>
  <c r="BT1208" i="2" s="1"/>
  <c r="BT1195" i="2"/>
  <c r="BZ1193" i="2"/>
  <c r="BZ1195" i="2" s="1"/>
  <c r="AG1205" i="2"/>
  <c r="AW1205" i="2"/>
  <c r="AW1208" i="2" s="1"/>
  <c r="BM1205" i="2"/>
  <c r="BM1208" i="2" s="1"/>
  <c r="AL1218" i="2"/>
  <c r="AP1231" i="2"/>
  <c r="AT1218" i="2"/>
  <c r="AX1231" i="2"/>
  <c r="BL1218" i="2"/>
  <c r="BL1228" i="2"/>
  <c r="BL1231" i="2" s="1"/>
  <c r="BP1218" i="2"/>
  <c r="BP1228" i="2"/>
  <c r="BP1231" i="2" s="1"/>
  <c r="BT1218" i="2"/>
  <c r="BT1228" i="2"/>
  <c r="BT1231" i="2" s="1"/>
  <c r="AT1228" i="2"/>
  <c r="AT1231" i="2" s="1"/>
  <c r="AK1195" i="2"/>
  <c r="AK1205" i="2"/>
  <c r="AK1208" i="2" s="1"/>
  <c r="AS1195" i="2"/>
  <c r="AS1205" i="2"/>
  <c r="AS1208" i="2" s="1"/>
  <c r="BA1195" i="2"/>
  <c r="BA1205" i="2"/>
  <c r="BA1208" i="2" s="1"/>
  <c r="BI1205" i="2"/>
  <c r="BI1208" i="2" s="1"/>
  <c r="BQ1195" i="2"/>
  <c r="BQ1205" i="2"/>
  <c r="BQ1208" i="2" s="1"/>
  <c r="CA1193" i="2"/>
  <c r="AU1195" i="2"/>
  <c r="BC1195" i="2"/>
  <c r="BK1195" i="2"/>
  <c r="BS1195" i="2"/>
  <c r="BI1198" i="2"/>
  <c r="AJ1205" i="2"/>
  <c r="AJ1208" i="2" s="1"/>
  <c r="AZ1205" i="2"/>
  <c r="AZ1208" i="2" s="1"/>
  <c r="BP1205" i="2"/>
  <c r="BP1208" i="2" s="1"/>
  <c r="AH1221" i="2"/>
  <c r="CB1219" i="2"/>
  <c r="CB1221" i="2" s="1"/>
  <c r="BR1231" i="2"/>
  <c r="AF1227" i="2"/>
  <c r="AN1227" i="2"/>
  <c r="AV1227" i="2"/>
  <c r="BZ1199" i="2"/>
  <c r="BD1218" i="2"/>
  <c r="BD1228" i="2"/>
  <c r="BD1231" i="2" s="1"/>
  <c r="AH1227" i="2"/>
  <c r="AJ1228" i="2"/>
  <c r="AJ1231" i="2" s="1"/>
  <c r="AZ1228" i="2"/>
  <c r="AZ1231" i="2" s="1"/>
  <c r="CA1199" i="2"/>
  <c r="BZ1202" i="2"/>
  <c r="BZ1204" i="2" s="1"/>
  <c r="AF1218" i="2"/>
  <c r="BZ1216" i="2"/>
  <c r="BZ1218" i="2" s="1"/>
  <c r="AF1228" i="2"/>
  <c r="AN1218" i="2"/>
  <c r="AN1228" i="2"/>
  <c r="AN1231" i="2" s="1"/>
  <c r="AV1218" i="2"/>
  <c r="AV1228" i="2"/>
  <c r="AV1231" i="2" s="1"/>
  <c r="BN1228" i="2"/>
  <c r="BN1231" i="2" s="1"/>
  <c r="BR1218" i="2"/>
  <c r="BV1228" i="2"/>
  <c r="BV1231" i="2" s="1"/>
  <c r="AH1224" i="2"/>
  <c r="CB1222" i="2"/>
  <c r="CB1224" i="2" s="1"/>
  <c r="BY1202" i="2"/>
  <c r="BY1204" i="2" s="1"/>
  <c r="AI1218" i="2"/>
  <c r="AM1218" i="2"/>
  <c r="AQ1218" i="2"/>
  <c r="AU1218" i="2"/>
  <c r="AY1218" i="2"/>
  <c r="BC1218" i="2"/>
  <c r="BG1218" i="2"/>
  <c r="BK1218" i="2"/>
  <c r="BO1218" i="2"/>
  <c r="BS1218" i="2"/>
  <c r="BY1222" i="2"/>
  <c r="BY1224" i="2" s="1"/>
  <c r="BY1225" i="2"/>
  <c r="BY1227" i="2" s="1"/>
  <c r="CA1216" i="2"/>
  <c r="CA1218" i="2" s="1"/>
  <c r="AG1218" i="2"/>
  <c r="AK1218" i="2"/>
  <c r="AO1218" i="2"/>
  <c r="AS1218" i="2"/>
  <c r="AW1218" i="2"/>
  <c r="BA1218" i="2"/>
  <c r="BE1218" i="2"/>
  <c r="BI1218" i="2"/>
  <c r="BM1218" i="2"/>
  <c r="BQ1218" i="2"/>
  <c r="BU1218" i="2"/>
  <c r="CA1219" i="2"/>
  <c r="CA1221" i="2" s="1"/>
  <c r="CA1222" i="2"/>
  <c r="CA1224" i="2" s="1"/>
  <c r="CA1225" i="2"/>
  <c r="CA1227" i="2" s="1"/>
  <c r="AJ143" i="2" l="1"/>
  <c r="AJ142" i="2" s="1"/>
  <c r="BM144" i="2"/>
  <c r="BP143" i="2"/>
  <c r="BY145" i="2"/>
  <c r="AH891" i="2"/>
  <c r="CB891" i="2" s="1"/>
  <c r="CB932" i="2"/>
  <c r="BF509" i="2"/>
  <c r="AZ143" i="2"/>
  <c r="AZ142" i="2" s="1"/>
  <c r="BU509" i="2"/>
  <c r="AH838" i="2"/>
  <c r="BI1090" i="2"/>
  <c r="BI1075" i="2" s="1"/>
  <c r="AF871" i="2"/>
  <c r="BZ871" i="2" s="1"/>
  <c r="CB989" i="2"/>
  <c r="BP509" i="2"/>
  <c r="BP508" i="2" s="1"/>
  <c r="BP507" i="2" s="1"/>
  <c r="BP767" i="2" s="1"/>
  <c r="BP773" i="2" s="1"/>
  <c r="AU143" i="2"/>
  <c r="CB1056" i="2"/>
  <c r="BF994" i="2"/>
  <c r="CB877" i="2"/>
  <c r="BC1182" i="2"/>
  <c r="CA335" i="2"/>
  <c r="BG602" i="2"/>
  <c r="BG509" i="2" s="1"/>
  <c r="BG508" i="2" s="1"/>
  <c r="BG507" i="2" s="1"/>
  <c r="BG767" i="2" s="1"/>
  <c r="BG773" i="2" s="1"/>
  <c r="BG774" i="2" s="1"/>
  <c r="BG775" i="2" s="1"/>
  <c r="BG776" i="2" s="1"/>
  <c r="CB987" i="2"/>
  <c r="BY992" i="2"/>
  <c r="BG891" i="2"/>
  <c r="BG870" i="2" s="1"/>
  <c r="AH988" i="2"/>
  <c r="AQ891" i="2"/>
  <c r="AQ870" i="2" s="1"/>
  <c r="BI891" i="2"/>
  <c r="BI870" i="2" s="1"/>
  <c r="BI869" i="2" s="1"/>
  <c r="CB685" i="2"/>
  <c r="BZ1059" i="2"/>
  <c r="BZ1060" i="2" s="1"/>
  <c r="BY611" i="2"/>
  <c r="AH1060" i="2"/>
  <c r="CB871" i="2"/>
  <c r="BZ992" i="2"/>
  <c r="BH891" i="2"/>
  <c r="BH870" i="2" s="1"/>
  <c r="BU891" i="2"/>
  <c r="BU870" i="2" s="1"/>
  <c r="CB1229" i="2"/>
  <c r="AT1060" i="2"/>
  <c r="AK1060" i="2"/>
  <c r="AH1047" i="2"/>
  <c r="AO891" i="2"/>
  <c r="AT994" i="2"/>
  <c r="AT869" i="2" s="1"/>
  <c r="AT868" i="2" s="1"/>
  <c r="AT867" i="2" s="1"/>
  <c r="BD508" i="2"/>
  <c r="BD507" i="2" s="1"/>
  <c r="BD767" i="2" s="1"/>
  <c r="BD773" i="2" s="1"/>
  <c r="CB1059" i="2"/>
  <c r="BI1182" i="2"/>
  <c r="CA991" i="2"/>
  <c r="AN870" i="2"/>
  <c r="CA1059" i="2"/>
  <c r="CA1060" i="2" s="1"/>
  <c r="BY1051" i="2"/>
  <c r="CA639" i="2"/>
  <c r="AX508" i="2"/>
  <c r="AX507" i="2" s="1"/>
  <c r="BY980" i="2"/>
  <c r="BO1075" i="2"/>
  <c r="AE510" i="2"/>
  <c r="CB873" i="2"/>
  <c r="BQ143" i="2"/>
  <c r="BQ142" i="2" s="1"/>
  <c r="BI1174" i="2"/>
  <c r="CB1206" i="2"/>
  <c r="BO994" i="2"/>
  <c r="BI1201" i="2"/>
  <c r="AR1075" i="2"/>
  <c r="CA1194" i="2"/>
  <c r="CA1195" i="2" s="1"/>
  <c r="BY1201" i="2"/>
  <c r="BZ1176" i="2"/>
  <c r="BZ1177" i="2" s="1"/>
  <c r="BK932" i="2"/>
  <c r="CA978" i="2"/>
  <c r="BS1075" i="2"/>
  <c r="BD1182" i="2"/>
  <c r="BR1075" i="2"/>
  <c r="CA1115" i="2"/>
  <c r="AO1075" i="2"/>
  <c r="BV1182" i="2"/>
  <c r="BZ1049" i="2"/>
  <c r="AK994" i="2"/>
  <c r="BS891" i="2"/>
  <c r="BM508" i="2"/>
  <c r="BM507" i="2" s="1"/>
  <c r="BM767" i="2" s="1"/>
  <c r="BM773" i="2" s="1"/>
  <c r="CA876" i="2"/>
  <c r="BG1075" i="2"/>
  <c r="AP1075" i="2"/>
  <c r="BA994" i="2"/>
  <c r="BA869" i="2" s="1"/>
  <c r="BA868" i="2" s="1"/>
  <c r="BA867" i="2" s="1"/>
  <c r="BL994" i="2"/>
  <c r="BL891" i="2"/>
  <c r="BL870" i="2" s="1"/>
  <c r="BZ596" i="2"/>
  <c r="BK891" i="2"/>
  <c r="BK870" i="2" s="1"/>
  <c r="BZ1021" i="2"/>
  <c r="BI509" i="2"/>
  <c r="BI508" i="2" s="1"/>
  <c r="BI507" i="2" s="1"/>
  <c r="BI767" i="2" s="1"/>
  <c r="BI773" i="2" s="1"/>
  <c r="CA880" i="2"/>
  <c r="BE932" i="2"/>
  <c r="BE891" i="2" s="1"/>
  <c r="BE870" i="2" s="1"/>
  <c r="BC1075" i="2"/>
  <c r="BF670" i="2"/>
  <c r="BF508" i="2" s="1"/>
  <c r="AI994" i="2"/>
  <c r="AZ509" i="2"/>
  <c r="AZ508" i="2" s="1"/>
  <c r="AZ507" i="2" s="1"/>
  <c r="AZ767" i="2" s="1"/>
  <c r="AZ773" i="2" s="1"/>
  <c r="AM891" i="2"/>
  <c r="BY1059" i="2"/>
  <c r="BY1060" i="2" s="1"/>
  <c r="AX1058" i="2"/>
  <c r="AX1075" i="2"/>
  <c r="BK509" i="2"/>
  <c r="BK508" i="2" s="1"/>
  <c r="BK507" i="2" s="1"/>
  <c r="BK767" i="2" s="1"/>
  <c r="BK773" i="2" s="1"/>
  <c r="BK774" i="2" s="1"/>
  <c r="BK775" i="2" s="1"/>
  <c r="BK776" i="2" s="1"/>
  <c r="CB1169" i="2"/>
  <c r="CB1171" i="2" s="1"/>
  <c r="BY1100" i="2"/>
  <c r="BZ1003" i="2"/>
  <c r="BQ994" i="2"/>
  <c r="AJ1182" i="2"/>
  <c r="BQ509" i="2"/>
  <c r="BQ508" i="2" s="1"/>
  <c r="BQ507" i="2" s="1"/>
  <c r="BQ767" i="2" s="1"/>
  <c r="BQ773" i="2" s="1"/>
  <c r="BY596" i="2"/>
  <c r="BC1044" i="2"/>
  <c r="BD994" i="2"/>
  <c r="BY898" i="2"/>
  <c r="BH994" i="2"/>
  <c r="CA1005" i="2"/>
  <c r="BE509" i="2"/>
  <c r="BE508" i="2" s="1"/>
  <c r="BE507" i="2" s="1"/>
  <c r="BE767" i="2" s="1"/>
  <c r="BE773" i="2" s="1"/>
  <c r="AN1182" i="2"/>
  <c r="BR994" i="2"/>
  <c r="AU891" i="2"/>
  <c r="AU870" i="2" s="1"/>
  <c r="AI510" i="2"/>
  <c r="AU1058" i="2"/>
  <c r="BP1182" i="2"/>
  <c r="BE1075" i="2"/>
  <c r="AU1182" i="2"/>
  <c r="CB1076" i="2"/>
  <c r="BM1075" i="2"/>
  <c r="AP994" i="2"/>
  <c r="AP869" i="2" s="1"/>
  <c r="AP868" i="2" s="1"/>
  <c r="AP867" i="2" s="1"/>
  <c r="AO994" i="2"/>
  <c r="AK509" i="2"/>
  <c r="AK508" i="2" s="1"/>
  <c r="AK507" i="2" s="1"/>
  <c r="AK767" i="2" s="1"/>
  <c r="AK773" i="2" s="1"/>
  <c r="AJ994" i="2"/>
  <c r="BV509" i="2"/>
  <c r="BV508" i="2" s="1"/>
  <c r="BV507" i="2" s="1"/>
  <c r="BV767" i="2" s="1"/>
  <c r="BV773" i="2" s="1"/>
  <c r="BC891" i="2"/>
  <c r="BC870" i="2" s="1"/>
  <c r="BZ531" i="2"/>
  <c r="BU508" i="2"/>
  <c r="BU507" i="2" s="1"/>
  <c r="BU767" i="2" s="1"/>
  <c r="BU773" i="2" s="1"/>
  <c r="CB1225" i="2"/>
  <c r="CB1227" i="2" s="1"/>
  <c r="CA1171" i="2"/>
  <c r="BM1182" i="2"/>
  <c r="BU1075" i="2"/>
  <c r="BY1020" i="2"/>
  <c r="BY1007" i="2"/>
  <c r="AM994" i="2"/>
  <c r="AK870" i="2"/>
  <c r="AK869" i="2" s="1"/>
  <c r="AK868" i="2" s="1"/>
  <c r="AK1128" i="2" s="1"/>
  <c r="AL1182" i="2"/>
  <c r="AW891" i="2"/>
  <c r="AW870" i="2" s="1"/>
  <c r="AW869" i="2" s="1"/>
  <c r="AW868" i="2" s="1"/>
  <c r="BJ516" i="2"/>
  <c r="BY531" i="2"/>
  <c r="BM932" i="2"/>
  <c r="BD891" i="2"/>
  <c r="BD870" i="2" s="1"/>
  <c r="AE593" i="2"/>
  <c r="BY593" i="2" s="1"/>
  <c r="AQ508" i="2"/>
  <c r="AQ507" i="2" s="1"/>
  <c r="AQ767" i="2" s="1"/>
  <c r="AQ773" i="2" s="1"/>
  <c r="AQ774" i="2" s="1"/>
  <c r="AQ775" i="2" s="1"/>
  <c r="AQ776" i="2" s="1"/>
  <c r="BZ1171" i="2"/>
  <c r="BZ1172" i="2"/>
  <c r="BZ1174" i="2" s="1"/>
  <c r="BO891" i="2"/>
  <c r="AO870" i="2"/>
  <c r="AW994" i="2"/>
  <c r="BY670" i="2"/>
  <c r="BG994" i="2"/>
  <c r="CA670" i="2"/>
  <c r="CA992" i="2"/>
  <c r="BZ990" i="2"/>
  <c r="AL876" i="2"/>
  <c r="AL870" i="2" s="1"/>
  <c r="AL869" i="2" s="1"/>
  <c r="AL868" i="2" s="1"/>
  <c r="AL510" i="2"/>
  <c r="AL509" i="2" s="1"/>
  <c r="AL508" i="2" s="1"/>
  <c r="AL507" i="2" s="1"/>
  <c r="AL767" i="2" s="1"/>
  <c r="AL773" i="2" s="1"/>
  <c r="AS509" i="2"/>
  <c r="AV508" i="2"/>
  <c r="AV507" i="2" s="1"/>
  <c r="AV767" i="2" s="1"/>
  <c r="AV773" i="2" s="1"/>
  <c r="AW509" i="2"/>
  <c r="AW508" i="2" s="1"/>
  <c r="AW507" i="2" s="1"/>
  <c r="AW767" i="2" s="1"/>
  <c r="AW773" i="2" s="1"/>
  <c r="BI858" i="1"/>
  <c r="AU857" i="1"/>
  <c r="AU856" i="1" s="1"/>
  <c r="BN304" i="2"/>
  <c r="BN1047" i="2"/>
  <c r="BN1044" i="2" s="1"/>
  <c r="AF339" i="1"/>
  <c r="CA1176" i="2"/>
  <c r="CA1177" i="2" s="1"/>
  <c r="CA1003" i="2"/>
  <c r="BZ932" i="2"/>
  <c r="CA879" i="2"/>
  <c r="BE144" i="2"/>
  <c r="BE143" i="2" s="1"/>
  <c r="BE142" i="2" s="1"/>
  <c r="BE141" i="2" s="1"/>
  <c r="BP995" i="1"/>
  <c r="AH510" i="1"/>
  <c r="AH509" i="1" s="1"/>
  <c r="AH769" i="1" s="1"/>
  <c r="AH775" i="1" s="1"/>
  <c r="AH776" i="1" s="1"/>
  <c r="AH777" i="1" s="1"/>
  <c r="AH778" i="1" s="1"/>
  <c r="BB511" i="1"/>
  <c r="AK146" i="1"/>
  <c r="BN252" i="1"/>
  <c r="BN868" i="1"/>
  <c r="BB112" i="1"/>
  <c r="BP112" i="1" s="1"/>
  <c r="AV1075" i="2"/>
  <c r="BQ870" i="2"/>
  <c r="BG982" i="1"/>
  <c r="AM879" i="1"/>
  <c r="AM858" i="1" s="1"/>
  <c r="AM857" i="1" s="1"/>
  <c r="AM856" i="1" s="1"/>
  <c r="AJ858" i="1"/>
  <c r="BZ1200" i="2"/>
  <c r="BZ1201" i="2" s="1"/>
  <c r="CB1178" i="2"/>
  <c r="CB1180" i="2" s="1"/>
  <c r="CA937" i="2"/>
  <c r="BZ880" i="2"/>
  <c r="BO1161" i="1"/>
  <c r="BN820" i="1"/>
  <c r="BO267" i="1"/>
  <c r="AZ147" i="1"/>
  <c r="AZ146" i="1" s="1"/>
  <c r="BN277" i="1"/>
  <c r="BO339" i="1"/>
  <c r="AH508" i="2"/>
  <c r="AH876" i="2"/>
  <c r="AL1063" i="1"/>
  <c r="AI146" i="1"/>
  <c r="BN110" i="1"/>
  <c r="AH1003" i="2"/>
  <c r="BN1182" i="2"/>
  <c r="CB1202" i="2"/>
  <c r="CB1204" i="2" s="1"/>
  <c r="CA1228" i="2"/>
  <c r="CA1231" i="2" s="1"/>
  <c r="BZ1020" i="2"/>
  <c r="BZ1006" i="2"/>
  <c r="BZ1005" i="2" s="1"/>
  <c r="AV982" i="1"/>
  <c r="AI1048" i="1"/>
  <c r="BP322" i="1"/>
  <c r="AI1075" i="2"/>
  <c r="BY1003" i="2"/>
  <c r="Y1095" i="1"/>
  <c r="Y1096" i="1" s="1"/>
  <c r="AX1063" i="1"/>
  <c r="AH1063" i="1"/>
  <c r="BK879" i="1"/>
  <c r="BK858" i="1" s="1"/>
  <c r="BK857" i="1" s="1"/>
  <c r="BK856" i="1" s="1"/>
  <c r="BY335" i="2"/>
  <c r="AW1075" i="2"/>
  <c r="CB1115" i="2"/>
  <c r="AS508" i="2"/>
  <c r="AS507" i="2" s="1"/>
  <c r="AS767" i="2" s="1"/>
  <c r="AS773" i="2" s="1"/>
  <c r="AF891" i="2"/>
  <c r="AF870" i="2" s="1"/>
  <c r="BG254" i="2"/>
  <c r="BG143" i="2" s="1"/>
  <c r="BG142" i="2" s="1"/>
  <c r="BG391" i="2" s="1"/>
  <c r="AX143" i="2"/>
  <c r="AX142" i="2" s="1"/>
  <c r="AX391" i="2" s="1"/>
  <c r="AV891" i="2"/>
  <c r="BT891" i="2"/>
  <c r="BT870" i="2" s="1"/>
  <c r="BR254" i="2"/>
  <c r="AO142" i="2"/>
  <c r="BT118" i="2"/>
  <c r="AG109" i="2" a="1"/>
  <c r="AG109" i="2" s="1"/>
  <c r="CA109" i="2" s="1"/>
  <c r="AG115" i="2"/>
  <c r="AR994" i="2"/>
  <c r="BK841" i="2"/>
  <c r="BY841" i="2" s="1"/>
  <c r="BK835" i="2"/>
  <c r="BY835" i="2" s="1"/>
  <c r="CA642" i="2"/>
  <c r="BV994" i="2"/>
  <c r="BL1075" i="2"/>
  <c r="BT841" i="2"/>
  <c r="BT835" i="2"/>
  <c r="BZ628" i="2"/>
  <c r="AV994" i="2"/>
  <c r="CA1201" i="2"/>
  <c r="BZ1196" i="2"/>
  <c r="BZ1198" i="2" s="1"/>
  <c r="BY1115" i="2"/>
  <c r="AX1182" i="2"/>
  <c r="CA1021" i="2"/>
  <c r="BY1021" i="2"/>
  <c r="BZ335" i="2"/>
  <c r="BD143" i="2"/>
  <c r="BD142" i="2" s="1"/>
  <c r="BD391" i="2" s="1"/>
  <c r="BK142" i="2"/>
  <c r="BK391" i="2" s="1"/>
  <c r="BH491" i="2"/>
  <c r="BZ263" i="2"/>
  <c r="BT1075" i="2"/>
  <c r="AU994" i="2"/>
  <c r="BK1075" i="2"/>
  <c r="CB1196" i="2"/>
  <c r="CB1198" i="2" s="1"/>
  <c r="BY1005" i="2"/>
  <c r="CB311" i="2"/>
  <c r="BP142" i="2"/>
  <c r="BP391" i="2" s="1"/>
  <c r="BM143" i="2"/>
  <c r="BM142" i="2" s="1"/>
  <c r="BM141" i="2" s="1"/>
  <c r="AS994" i="2"/>
  <c r="AS869" i="2" s="1"/>
  <c r="AS868" i="2" s="1"/>
  <c r="AS1128" i="2" s="1"/>
  <c r="BN507" i="2"/>
  <c r="BN767" i="2" s="1"/>
  <c r="BN773" i="2" s="1"/>
  <c r="BF1182" i="2"/>
  <c r="BZ1013" i="2"/>
  <c r="BZ491" i="2"/>
  <c r="AJ1075" i="2"/>
  <c r="CA1049" i="2"/>
  <c r="BL143" i="2"/>
  <c r="BL142" i="2" s="1"/>
  <c r="AS142" i="2"/>
  <c r="AB826" i="1"/>
  <c r="AB828" i="1" s="1"/>
  <c r="AB829" i="1" s="1"/>
  <c r="Y830" i="1"/>
  <c r="AB830" i="1" s="1"/>
  <c r="BH509" i="2"/>
  <c r="BH508" i="2" s="1"/>
  <c r="BH507" i="2" s="1"/>
  <c r="BH767" i="2" s="1"/>
  <c r="BH773" i="2" s="1"/>
  <c r="BZ602" i="2"/>
  <c r="AV870" i="2"/>
  <c r="BK394" i="1"/>
  <c r="BK145" i="1"/>
  <c r="BT143" i="2"/>
  <c r="BT142" i="2" s="1"/>
  <c r="BT391" i="2" s="1"/>
  <c r="BF857" i="1"/>
  <c r="AO511" i="1"/>
  <c r="AO510" i="1" s="1"/>
  <c r="AO509" i="1" s="1"/>
  <c r="AO769" i="1" s="1"/>
  <c r="AO775" i="1" s="1"/>
  <c r="AW147" i="1"/>
  <c r="AW146" i="1" s="1"/>
  <c r="BK994" i="2"/>
  <c r="AG838" i="2"/>
  <c r="AG832" i="2" a="1"/>
  <c r="AG832" i="2" s="1"/>
  <c r="CA832" i="2" s="1"/>
  <c r="BY628" i="2"/>
  <c r="BN886" i="1"/>
  <c r="AE879" i="1"/>
  <c r="BG110" i="2"/>
  <c r="BY110" i="2" s="1"/>
  <c r="BH829" i="1"/>
  <c r="BH823" i="1"/>
  <c r="AM113" i="1"/>
  <c r="AM119" i="1"/>
  <c r="Y1095" i="2"/>
  <c r="Y1096" i="2" s="1"/>
  <c r="BY1013" i="2"/>
  <c r="BE994" i="2"/>
  <c r="AJ869" i="2"/>
  <c r="CA685" i="2"/>
  <c r="BI143" i="2"/>
  <c r="BI142" i="2" s="1"/>
  <c r="BI141" i="2" s="1"/>
  <c r="BV142" i="2"/>
  <c r="BV141" i="2" s="1"/>
  <c r="BZ150" i="2"/>
  <c r="AL1001" i="1"/>
  <c r="AL982" i="1" s="1"/>
  <c r="BG857" i="1"/>
  <c r="BG856" i="1" s="1"/>
  <c r="BA982" i="1"/>
  <c r="BA857" i="1" s="1"/>
  <c r="BA856" i="1" s="1"/>
  <c r="AJ857" i="1"/>
  <c r="AJ856" i="1" s="1"/>
  <c r="AS1008" i="1"/>
  <c r="AS1001" i="1" s="1"/>
  <c r="AS982" i="1" s="1"/>
  <c r="BH857" i="1"/>
  <c r="BH856" i="1" s="1"/>
  <c r="AK858" i="1"/>
  <c r="AK857" i="1" s="1"/>
  <c r="BP533" i="1"/>
  <c r="BP630" i="1"/>
  <c r="AZ511" i="1"/>
  <c r="AZ510" i="1" s="1"/>
  <c r="AZ509" i="1" s="1"/>
  <c r="AZ769" i="1" s="1"/>
  <c r="AZ775" i="1" s="1"/>
  <c r="AZ776" i="1" s="1"/>
  <c r="AZ777" i="1" s="1"/>
  <c r="AZ778" i="1" s="1"/>
  <c r="Y372" i="1"/>
  <c r="Y373" i="1" s="1"/>
  <c r="Y374" i="1" s="1"/>
  <c r="AN1075" i="2"/>
  <c r="AN994" i="2"/>
  <c r="AN869" i="2" s="1"/>
  <c r="BH1075" i="2"/>
  <c r="AQ994" i="2"/>
  <c r="BZ621" i="2"/>
  <c r="CA611" i="2"/>
  <c r="BP891" i="2"/>
  <c r="BP870" i="2" s="1"/>
  <c r="AI1063" i="1"/>
  <c r="BG112" i="2"/>
  <c r="BG118" i="2"/>
  <c r="BH511" i="1"/>
  <c r="BH510" i="1" s="1"/>
  <c r="BH509" i="1" s="1"/>
  <c r="BH769" i="1" s="1"/>
  <c r="BH775" i="1" s="1"/>
  <c r="AP146" i="1"/>
  <c r="AG823" i="1"/>
  <c r="AG829" i="1"/>
  <c r="AB825" i="1"/>
  <c r="BS870" i="2"/>
  <c r="BS869" i="2" s="1"/>
  <c r="BZ1115" i="2"/>
  <c r="Y690" i="2"/>
  <c r="Y691" i="2" s="1"/>
  <c r="CB593" i="2"/>
  <c r="Y367" i="2"/>
  <c r="Y368" i="2" s="1"/>
  <c r="AO982" i="1"/>
  <c r="BP1009" i="1"/>
  <c r="BE920" i="1"/>
  <c r="BE879" i="1" s="1"/>
  <c r="BN322" i="1"/>
  <c r="BN308" i="1"/>
  <c r="BN154" i="1"/>
  <c r="BD1075" i="2"/>
  <c r="BT994" i="2"/>
  <c r="AZ994" i="2"/>
  <c r="BY1090" i="2"/>
  <c r="AM1075" i="2"/>
  <c r="BB1075" i="2"/>
  <c r="AU508" i="2"/>
  <c r="AU507" i="2" s="1"/>
  <c r="AU767" i="2" s="1"/>
  <c r="AU773" i="2" s="1"/>
  <c r="AU774" i="2" s="1"/>
  <c r="AU775" i="2" s="1"/>
  <c r="AU776" i="2" s="1"/>
  <c r="BY561" i="2"/>
  <c r="AR767" i="2"/>
  <c r="AR773" i="2" s="1"/>
  <c r="BA504" i="2"/>
  <c r="CA503" i="2"/>
  <c r="AZ891" i="2"/>
  <c r="AZ870" i="2" s="1"/>
  <c r="BS509" i="2"/>
  <c r="BS508" i="2" s="1"/>
  <c r="BS507" i="2" s="1"/>
  <c r="BS767" i="2" s="1"/>
  <c r="BS773" i="2" s="1"/>
  <c r="BS774" i="2" s="1"/>
  <c r="BS775" i="2" s="1"/>
  <c r="BS776" i="2" s="1"/>
  <c r="AV143" i="2"/>
  <c r="AV142" i="2" s="1"/>
  <c r="AI982" i="1"/>
  <c r="AI857" i="1" s="1"/>
  <c r="AI856" i="1" s="1"/>
  <c r="BJ1063" i="1"/>
  <c r="AN982" i="1"/>
  <c r="BD829" i="1"/>
  <c r="BD823" i="1"/>
  <c r="AU510" i="1"/>
  <c r="AU509" i="1" s="1"/>
  <c r="AU769" i="1" s="1"/>
  <c r="AU775" i="1" s="1"/>
  <c r="BH146" i="1"/>
  <c r="AQ146" i="1"/>
  <c r="AG879" i="1"/>
  <c r="BG146" i="1"/>
  <c r="AX869" i="2"/>
  <c r="BI834" i="2"/>
  <c r="CA834" i="2" s="1"/>
  <c r="AZ857" i="1"/>
  <c r="AZ856" i="1" s="1"/>
  <c r="AY775" i="1"/>
  <c r="BP493" i="1"/>
  <c r="BB822" i="1"/>
  <c r="BP822" i="1" s="1"/>
  <c r="BF147" i="1"/>
  <c r="BF146" i="1" s="1"/>
  <c r="BJ147" i="1"/>
  <c r="BJ146" i="1" s="1"/>
  <c r="AZ1075" i="2"/>
  <c r="BP994" i="2"/>
  <c r="BQ1075" i="2"/>
  <c r="BP1075" i="2"/>
  <c r="BL508" i="2"/>
  <c r="BL507" i="2" s="1"/>
  <c r="BL767" i="2" s="1"/>
  <c r="BL773" i="2" s="1"/>
  <c r="BC509" i="2"/>
  <c r="BC508" i="2" s="1"/>
  <c r="BC507" i="2" s="1"/>
  <c r="BC767" i="2" s="1"/>
  <c r="BC773" i="2" s="1"/>
  <c r="BC774" i="2" s="1"/>
  <c r="BC775" i="2" s="1"/>
  <c r="BC776" i="2" s="1"/>
  <c r="BY621" i="2"/>
  <c r="BP1103" i="1"/>
  <c r="AI602" i="2"/>
  <c r="AN143" i="2"/>
  <c r="BF1063" i="1"/>
  <c r="AP1063" i="1"/>
  <c r="BP118" i="2"/>
  <c r="BP112" i="2"/>
  <c r="BJ829" i="1"/>
  <c r="BJ823" i="1"/>
  <c r="CB639" i="2"/>
  <c r="CB119" i="2"/>
  <c r="BF109" i="2"/>
  <c r="AW141" i="2"/>
  <c r="AW391" i="2"/>
  <c r="AW857" i="1"/>
  <c r="BD857" i="1"/>
  <c r="BD856" i="1" s="1"/>
  <c r="AL857" i="1"/>
  <c r="AL856" i="1" s="1"/>
  <c r="Y346" i="1"/>
  <c r="Y347" i="1" s="1"/>
  <c r="Y348" i="1" s="1"/>
  <c r="AZ394" i="1"/>
  <c r="AZ145" i="1"/>
  <c r="AM394" i="1"/>
  <c r="AM145" i="1"/>
  <c r="AM391" i="2"/>
  <c r="AM141" i="2"/>
  <c r="Y355" i="2"/>
  <c r="BV391" i="2"/>
  <c r="BG855" i="1"/>
  <c r="BG1112" i="1"/>
  <c r="AJ1112" i="1"/>
  <c r="AJ855" i="1"/>
  <c r="AH858" i="1"/>
  <c r="BH1112" i="1"/>
  <c r="BH855" i="1"/>
  <c r="AR857" i="1"/>
  <c r="AR856" i="1" s="1"/>
  <c r="AY394" i="1"/>
  <c r="AY145" i="1"/>
  <c r="AV394" i="1"/>
  <c r="AV145" i="1"/>
  <c r="AN394" i="1"/>
  <c r="AN145" i="1"/>
  <c r="BU141" i="2"/>
  <c r="BU391" i="2"/>
  <c r="AU855" i="1"/>
  <c r="AU1112" i="1"/>
  <c r="AV857" i="1"/>
  <c r="AV856" i="1" s="1"/>
  <c r="AT394" i="1"/>
  <c r="AT145" i="1"/>
  <c r="BO870" i="2"/>
  <c r="BO869" i="2" s="1"/>
  <c r="BO868" i="2" s="1"/>
  <c r="AZ1112" i="1"/>
  <c r="AZ855" i="1"/>
  <c r="BC394" i="1"/>
  <c r="BC145" i="1"/>
  <c r="BF394" i="1"/>
  <c r="BF145" i="1"/>
  <c r="BJ394" i="1"/>
  <c r="BJ145" i="1"/>
  <c r="AF1208" i="2"/>
  <c r="Y1106" i="2"/>
  <c r="Y1107" i="2" s="1"/>
  <c r="BZ1076" i="2"/>
  <c r="CA898" i="2"/>
  <c r="AG891" i="2"/>
  <c r="BZ1184" i="2"/>
  <c r="BZ878" i="2"/>
  <c r="BM891" i="2"/>
  <c r="BM870" i="2" s="1"/>
  <c r="BM869" i="2" s="1"/>
  <c r="Y702" i="2"/>
  <c r="BZ833" i="2"/>
  <c r="AE1228" i="2"/>
  <c r="AE1218" i="2"/>
  <c r="BY1216" i="2"/>
  <c r="BY1218" i="2" s="1"/>
  <c r="AZ504" i="2"/>
  <c r="BZ503" i="2"/>
  <c r="BJ1021" i="2"/>
  <c r="CB632" i="2"/>
  <c r="CA628" i="2"/>
  <c r="AK491" i="2"/>
  <c r="CA491" i="2" s="1"/>
  <c r="BZ318" i="2"/>
  <c r="AE304" i="2"/>
  <c r="BY304" i="2" s="1"/>
  <c r="BY307" i="2"/>
  <c r="BJ1007" i="2"/>
  <c r="BJ1003" i="2" s="1"/>
  <c r="BB992" i="2"/>
  <c r="BB988" i="2" s="1"/>
  <c r="BB985" i="2" s="1"/>
  <c r="BB248" i="2"/>
  <c r="BB245" i="2" s="1"/>
  <c r="BB143" i="2" s="1"/>
  <c r="BB142" i="2" s="1"/>
  <c r="CA989" i="2"/>
  <c r="AG990" i="2"/>
  <c r="AG988" i="2"/>
  <c r="CA192" i="2"/>
  <c r="AK165" i="2"/>
  <c r="BJ1181" i="2"/>
  <c r="BJ1171" i="2"/>
  <c r="AY870" i="2"/>
  <c r="AY869" i="2" s="1"/>
  <c r="AY868" i="2" s="1"/>
  <c r="BY871" i="2"/>
  <c r="CB596" i="2"/>
  <c r="BJ1218" i="2"/>
  <c r="BJ1228" i="2"/>
  <c r="BJ1231" i="2" s="1"/>
  <c r="BJ1051" i="2"/>
  <c r="BJ263" i="2"/>
  <c r="BJ254" i="2" s="1"/>
  <c r="BY1196" i="2"/>
  <c r="BY1198" i="2" s="1"/>
  <c r="AE1198" i="2"/>
  <c r="BB1205" i="2"/>
  <c r="BB1195" i="2"/>
  <c r="CA561" i="2"/>
  <c r="BZ510" i="2"/>
  <c r="AF509" i="2"/>
  <c r="AF460" i="2" s="1"/>
  <c r="AI491" i="2"/>
  <c r="BY491" i="2" s="1"/>
  <c r="CB267" i="2"/>
  <c r="BB1174" i="2"/>
  <c r="CB1172" i="2"/>
  <c r="CB1174" i="2" s="1"/>
  <c r="CA531" i="2"/>
  <c r="BJ510" i="2"/>
  <c r="CB511" i="2"/>
  <c r="BZ1058" i="2"/>
  <c r="AJ391" i="2"/>
  <c r="AJ141" i="2"/>
  <c r="BY245" i="2"/>
  <c r="BR1181" i="2"/>
  <c r="BR1171" i="2"/>
  <c r="AE1181" i="2"/>
  <c r="AE1171" i="2"/>
  <c r="BY1169" i="2"/>
  <c r="BY1171" i="2" s="1"/>
  <c r="A678" i="2" a="1"/>
  <c r="A678" i="2" s="1"/>
  <c r="B677" i="2" a="1"/>
  <c r="B677" i="2" s="1"/>
  <c r="BH254" i="2"/>
  <c r="BH143" i="2" s="1"/>
  <c r="BH142" i="2" s="1"/>
  <c r="AF144" i="2"/>
  <c r="BZ145" i="2"/>
  <c r="AI144" i="2"/>
  <c r="AI143" i="2" s="1"/>
  <c r="AI142" i="2" s="1"/>
  <c r="BO143" i="2"/>
  <c r="BO142" i="2" s="1"/>
  <c r="AT143" i="2"/>
  <c r="AT142" i="2" s="1"/>
  <c r="W95" i="2" a="1"/>
  <c r="W95" i="2" s="1"/>
  <c r="U95" i="2" a="1"/>
  <c r="U95" i="2" s="1"/>
  <c r="S95" i="2" a="1"/>
  <c r="S95" i="2" s="1"/>
  <c r="V95" i="2" a="1"/>
  <c r="V95" i="2" s="1"/>
  <c r="T95" i="2" a="1"/>
  <c r="T95" i="2" s="1"/>
  <c r="AC114" i="2" s="1"/>
  <c r="BB1051" i="2"/>
  <c r="CB1051" i="2" s="1"/>
  <c r="BS143" i="2"/>
  <c r="BS142" i="2" s="1"/>
  <c r="AF115" i="2"/>
  <c r="BZ119" i="2"/>
  <c r="AF109" i="2" a="1"/>
  <c r="AF109" i="2" s="1"/>
  <c r="BZ109" i="2" s="1"/>
  <c r="BO112" i="2"/>
  <c r="BO118" i="2"/>
  <c r="Y115" i="2"/>
  <c r="BP1165" i="1"/>
  <c r="BP1167" i="1"/>
  <c r="AG1166" i="1"/>
  <c r="AF973" i="1"/>
  <c r="Y703" i="1"/>
  <c r="BI110" i="2"/>
  <c r="CA110" i="2" s="1"/>
  <c r="BN1063" i="1"/>
  <c r="Y1068" i="1"/>
  <c r="Y1069" i="1" s="1"/>
  <c r="AB832" i="1"/>
  <c r="AB831" i="1"/>
  <c r="AB817" i="1"/>
  <c r="AB815" i="1"/>
  <c r="AB816" i="1"/>
  <c r="Y1097" i="1"/>
  <c r="Y1098" i="1" s="1"/>
  <c r="W806" i="1" a="1"/>
  <c r="W806" i="1" s="1"/>
  <c r="U806" i="1" a="1"/>
  <c r="U806" i="1" s="1"/>
  <c r="S806" i="1" a="1"/>
  <c r="S806" i="1" s="1"/>
  <c r="V806" i="1" a="1"/>
  <c r="V806" i="1" s="1"/>
  <c r="T806" i="1" a="1"/>
  <c r="T806" i="1" s="1"/>
  <c r="AC825" i="1" s="1"/>
  <c r="AE978" i="1"/>
  <c r="AE976" i="1"/>
  <c r="BN977" i="1"/>
  <c r="BN978" i="1" s="1"/>
  <c r="AX857" i="1"/>
  <c r="AX856" i="1" s="1"/>
  <c r="BO859" i="1"/>
  <c r="BP1008" i="1"/>
  <c r="BP866" i="1"/>
  <c r="AE829" i="1"/>
  <c r="AE823" i="1"/>
  <c r="BN826" i="1"/>
  <c r="AB498" i="1"/>
  <c r="AB497" i="1"/>
  <c r="AB471" i="1"/>
  <c r="AB470" i="1"/>
  <c r="AB469" i="1"/>
  <c r="BN1048" i="1"/>
  <c r="AG512" i="1"/>
  <c r="AY1048" i="1"/>
  <c r="AY1046" i="1"/>
  <c r="AO258" i="1"/>
  <c r="AW394" i="1"/>
  <c r="AW145" i="1"/>
  <c r="AG148" i="1"/>
  <c r="BP169" i="1"/>
  <c r="AX394" i="1"/>
  <c r="AX145" i="1"/>
  <c r="BP687" i="1"/>
  <c r="BP258" i="1"/>
  <c r="BN859" i="1"/>
  <c r="BP672" i="1"/>
  <c r="BE512" i="1"/>
  <c r="BE511" i="1" s="1"/>
  <c r="BE510" i="1" s="1"/>
  <c r="BE509" i="1" s="1"/>
  <c r="BE769" i="1" s="1"/>
  <c r="BE775" i="1" s="1"/>
  <c r="BP506" i="1"/>
  <c r="AV508" i="1"/>
  <c r="BP508" i="1" s="1"/>
  <c r="A775" i="1"/>
  <c r="B775" i="1" s="1" a="1"/>
  <c r="B775" i="1" s="1"/>
  <c r="A771" i="1"/>
  <c r="B771" i="1" s="1" a="1"/>
  <c r="B771" i="1" s="1"/>
  <c r="A778" i="1"/>
  <c r="B778" i="1" s="1" a="1"/>
  <c r="B778" i="1" s="1"/>
  <c r="A770" i="1"/>
  <c r="B770" i="1" s="1" a="1"/>
  <c r="B770" i="1" s="1"/>
  <c r="A772" i="1"/>
  <c r="B772" i="1" s="1" a="1"/>
  <c r="B772" i="1" s="1"/>
  <c r="AS1046" i="1"/>
  <c r="AS1048" i="1"/>
  <c r="AK1046" i="1"/>
  <c r="AK1048" i="1"/>
  <c r="BP254" i="1"/>
  <c r="AL394" i="1"/>
  <c r="AL145" i="1"/>
  <c r="BE148" i="1"/>
  <c r="BE147" i="1" s="1"/>
  <c r="BE146" i="1" s="1"/>
  <c r="BC113" i="1"/>
  <c r="BN113" i="1" s="1"/>
  <c r="BC119" i="1"/>
  <c r="BN119" i="1" s="1"/>
  <c r="BN505" i="1"/>
  <c r="AF1039" i="1"/>
  <c r="A685" i="1"/>
  <c r="B685" i="1" s="1" a="1"/>
  <c r="B685" i="1" s="1"/>
  <c r="AS604" i="1"/>
  <c r="AS511" i="1" s="1"/>
  <c r="AS510" i="1" s="1"/>
  <c r="AS509" i="1" s="1"/>
  <c r="AS769" i="1" s="1"/>
  <c r="AS775" i="1" s="1"/>
  <c r="BB1161" i="1"/>
  <c r="BB978" i="1"/>
  <c r="BP967" i="1"/>
  <c r="BN196" i="1"/>
  <c r="AO1155" i="1"/>
  <c r="BO1153" i="1"/>
  <c r="BO1155" i="1" s="1"/>
  <c r="AO1165" i="1"/>
  <c r="BP149" i="1"/>
  <c r="AO976" i="1"/>
  <c r="AO973" i="1" s="1"/>
  <c r="AO978" i="1"/>
  <c r="BI823" i="1"/>
  <c r="BI829" i="1"/>
  <c r="BA823" i="1"/>
  <c r="BA829" i="1"/>
  <c r="BP563" i="1"/>
  <c r="BN1153" i="1"/>
  <c r="BN1155" i="1" s="1"/>
  <c r="AE1165" i="1"/>
  <c r="AE1155" i="1"/>
  <c r="BP277" i="1"/>
  <c r="BD1144" i="1"/>
  <c r="BD395" i="1"/>
  <c r="AR1144" i="1"/>
  <c r="AR395" i="1"/>
  <c r="AF1231" i="2"/>
  <c r="BZ1228" i="2"/>
  <c r="BZ1231" i="2" s="1"/>
  <c r="BY1076" i="2"/>
  <c r="AE1075" i="2"/>
  <c r="Y1081" i="2"/>
  <c r="CA995" i="2"/>
  <c r="CA1184" i="2"/>
  <c r="CA878" i="2"/>
  <c r="BU869" i="2"/>
  <c r="BZ898" i="2"/>
  <c r="BG834" i="2"/>
  <c r="BY834" i="2" s="1"/>
  <c r="Y703" i="2"/>
  <c r="A735" i="2" a="1"/>
  <c r="A735" i="2" s="1"/>
  <c r="B734" i="2" a="1"/>
  <c r="B734" i="2" s="1"/>
  <c r="BZ670" i="2"/>
  <c r="CB670" i="2"/>
  <c r="AT508" i="2"/>
  <c r="AT507" i="2" s="1"/>
  <c r="BZ653" i="2"/>
  <c r="BF932" i="2"/>
  <c r="BF870" i="2" s="1"/>
  <c r="CB600" i="2"/>
  <c r="BB1049" i="2"/>
  <c r="BR988" i="2"/>
  <c r="BR985" i="2" s="1"/>
  <c r="BR990" i="2"/>
  <c r="CA1172" i="2"/>
  <c r="CA1174" i="2" s="1"/>
  <c r="AG1174" i="2"/>
  <c r="AG245" i="2"/>
  <c r="CA245" i="2" s="1"/>
  <c r="CA248" i="2"/>
  <c r="BR880" i="2"/>
  <c r="CB880" i="2" s="1"/>
  <c r="BR150" i="2"/>
  <c r="BJ1205" i="2"/>
  <c r="BJ1208" i="2" s="1"/>
  <c r="BJ1195" i="2"/>
  <c r="AF1051" i="2"/>
  <c r="BZ995" i="2"/>
  <c r="AF994" i="2"/>
  <c r="BY516" i="2"/>
  <c r="CA1058" i="2"/>
  <c r="BB1007" i="2"/>
  <c r="CB615" i="2"/>
  <c r="CB489" i="2"/>
  <c r="AB495" i="2"/>
  <c r="AB496" i="2"/>
  <c r="BB1005" i="2"/>
  <c r="BR1205" i="2"/>
  <c r="BR1208" i="2" s="1"/>
  <c r="BR1195" i="2"/>
  <c r="AE1205" i="2"/>
  <c r="AE1195" i="2"/>
  <c r="BY1193" i="2"/>
  <c r="BY1195" i="2" s="1"/>
  <c r="BD110" i="2"/>
  <c r="BZ110" i="2" s="1"/>
  <c r="BO508" i="2"/>
  <c r="BO507" i="2" s="1"/>
  <c r="BO767" i="2" s="1"/>
  <c r="BO773" i="2" s="1"/>
  <c r="BO774" i="2" s="1"/>
  <c r="BO775" i="2" s="1"/>
  <c r="BO776" i="2" s="1"/>
  <c r="BV1058" i="2"/>
  <c r="BV1060" i="2"/>
  <c r="BZ248" i="2"/>
  <c r="AR1184" i="2"/>
  <c r="AR878" i="2"/>
  <c r="AR876" i="2"/>
  <c r="AQ142" i="2"/>
  <c r="BY248" i="2"/>
  <c r="AY142" i="2"/>
  <c r="AP112" i="2"/>
  <c r="AP118" i="2"/>
  <c r="BP1064" i="1"/>
  <c r="AG1063" i="1"/>
  <c r="BP1063" i="1" s="1"/>
  <c r="BP983" i="1"/>
  <c r="AG982" i="1"/>
  <c r="BV112" i="2"/>
  <c r="BV118" i="2"/>
  <c r="BI112" i="2"/>
  <c r="BI118" i="2"/>
  <c r="AW112" i="2"/>
  <c r="AW118" i="2"/>
  <c r="BO983" i="1"/>
  <c r="AF982" i="1"/>
  <c r="BO982" i="1" s="1"/>
  <c r="AN142" i="2"/>
  <c r="BN1035" i="1"/>
  <c r="AE1032" i="1"/>
  <c r="BN1032" i="1" s="1"/>
  <c r="AF604" i="1"/>
  <c r="BO604" i="1" s="1"/>
  <c r="BO623" i="1"/>
  <c r="Y358" i="1"/>
  <c r="Y359" i="1" s="1"/>
  <c r="Y360" i="1" s="1"/>
  <c r="Y361" i="1" s="1"/>
  <c r="AP857" i="1"/>
  <c r="AP856" i="1" s="1"/>
  <c r="BN1064" i="1"/>
  <c r="AG858" i="1"/>
  <c r="BP859" i="1"/>
  <c r="AS857" i="1"/>
  <c r="AS856" i="1" s="1"/>
  <c r="BP977" i="1"/>
  <c r="BP978" i="1" s="1"/>
  <c r="AG978" i="1"/>
  <c r="BP1047" i="1"/>
  <c r="BP1048" i="1" s="1"/>
  <c r="AG1046" i="1"/>
  <c r="BP1046" i="1" s="1"/>
  <c r="AG1048" i="1"/>
  <c r="BN311" i="1"/>
  <c r="BP284" i="1"/>
  <c r="BB980" i="1"/>
  <c r="BB976" i="1" s="1"/>
  <c r="BB973" i="1" s="1"/>
  <c r="BB252" i="1"/>
  <c r="BB249" i="1" s="1"/>
  <c r="AS147" i="1"/>
  <c r="AS146" i="1" s="1"/>
  <c r="AF119" i="1"/>
  <c r="BO116" i="1"/>
  <c r="AF113" i="1"/>
  <c r="AK829" i="1"/>
  <c r="AK823" i="1"/>
  <c r="BN563" i="1"/>
  <c r="AT533" i="1"/>
  <c r="AT512" i="1" s="1"/>
  <c r="AT511" i="1" s="1"/>
  <c r="AT510" i="1" s="1"/>
  <c r="AT509" i="1" s="1"/>
  <c r="AT769" i="1" s="1"/>
  <c r="AT775" i="1" s="1"/>
  <c r="AT776" i="1" s="1"/>
  <c r="AT777" i="1" s="1"/>
  <c r="AT778" i="1" s="1"/>
  <c r="BA511" i="1"/>
  <c r="BA510" i="1" s="1"/>
  <c r="BA509" i="1" s="1"/>
  <c r="BA769" i="1" s="1"/>
  <c r="BA775" i="1" s="1"/>
  <c r="AJ512" i="1"/>
  <c r="AJ511" i="1" s="1"/>
  <c r="AJ510" i="1" s="1"/>
  <c r="AJ509" i="1" s="1"/>
  <c r="AJ769" i="1" s="1"/>
  <c r="AJ775" i="1" s="1"/>
  <c r="BO322" i="1"/>
  <c r="AF169" i="1"/>
  <c r="BO169" i="1" s="1"/>
  <c r="BO196" i="1"/>
  <c r="BN169" i="1"/>
  <c r="AN508" i="1"/>
  <c r="BN508" i="1" s="1"/>
  <c r="BN506" i="1"/>
  <c r="BO492" i="1"/>
  <c r="BB1158" i="1"/>
  <c r="AO148" i="1"/>
  <c r="AO147" i="1" s="1"/>
  <c r="AO146" i="1" s="1"/>
  <c r="BO149" i="1"/>
  <c r="BJ113" i="1"/>
  <c r="BJ119" i="1"/>
  <c r="AO1158" i="1"/>
  <c r="BO1156" i="1"/>
  <c r="BO1158" i="1" s="1"/>
  <c r="AE512" i="1"/>
  <c r="BK1144" i="1"/>
  <c r="BK395" i="1"/>
  <c r="BO252" i="1"/>
  <c r="BN284" i="1"/>
  <c r="BN116" i="1"/>
  <c r="BN249" i="1"/>
  <c r="W96" i="1" a="1"/>
  <c r="W96" i="1" s="1"/>
  <c r="U96" i="1" a="1"/>
  <c r="U96" i="1" s="1"/>
  <c r="S96" i="1" a="1"/>
  <c r="S96" i="1" s="1"/>
  <c r="V96" i="1" a="1"/>
  <c r="V96" i="1" s="1"/>
  <c r="T96" i="1" a="1"/>
  <c r="T96" i="1" s="1"/>
  <c r="AC115" i="1" s="1"/>
  <c r="CA1205" i="2"/>
  <c r="CA1207" i="2" s="1"/>
  <c r="AG1208" i="2"/>
  <c r="CB1195" i="2"/>
  <c r="BF1100" i="2"/>
  <c r="CA1076" i="2"/>
  <c r="AG1075" i="2"/>
  <c r="AF1075" i="2"/>
  <c r="AI870" i="2"/>
  <c r="BV870" i="2"/>
  <c r="AB829" i="2"/>
  <c r="AB827" i="2"/>
  <c r="AB828" i="2"/>
  <c r="AF838" i="2"/>
  <c r="BZ842" i="2"/>
  <c r="AF832" i="2" a="1"/>
  <c r="AF832" i="2" s="1"/>
  <c r="BZ832" i="2" s="1"/>
  <c r="BF1058" i="2"/>
  <c r="BF1060" i="2"/>
  <c r="Y677" i="2"/>
  <c r="BJ995" i="2"/>
  <c r="CB995" i="2" s="1"/>
  <c r="Y838" i="2"/>
  <c r="BY642" i="2"/>
  <c r="AE639" i="2"/>
  <c r="BY639" i="2" s="1"/>
  <c r="CB658" i="2"/>
  <c r="BF788" i="2"/>
  <c r="W818" i="2" a="1"/>
  <c r="W818" i="2" s="1"/>
  <c r="U818" i="2" a="1"/>
  <c r="U818" i="2" s="1"/>
  <c r="S818" i="2" a="1"/>
  <c r="S818" i="2" s="1"/>
  <c r="V818" i="2" a="1"/>
  <c r="V818" i="2" s="1"/>
  <c r="T818" i="2" a="1"/>
  <c r="T818" i="2" s="1"/>
  <c r="AC837" i="2" s="1"/>
  <c r="CB646" i="2"/>
  <c r="BB1218" i="2"/>
  <c r="BB1228" i="2"/>
  <c r="CB1216" i="2"/>
  <c r="CB1218" i="2" s="1"/>
  <c r="AG273" i="2"/>
  <c r="CA280" i="2"/>
  <c r="CB192" i="2"/>
  <c r="BJ165" i="2"/>
  <c r="CB165" i="2" s="1"/>
  <c r="CA621" i="2"/>
  <c r="BZ350" i="2"/>
  <c r="BY989" i="2"/>
  <c r="BY990" i="2" s="1"/>
  <c r="AE988" i="2"/>
  <c r="AE990" i="2"/>
  <c r="BB1184" i="2"/>
  <c r="BB876" i="2"/>
  <c r="BB870" i="2" s="1"/>
  <c r="BB878" i="2"/>
  <c r="AE509" i="2"/>
  <c r="BZ320" i="2"/>
  <c r="BR1047" i="2"/>
  <c r="BR1044" i="2" s="1"/>
  <c r="BR1049" i="2"/>
  <c r="CA1020" i="2"/>
  <c r="AG1013" i="2"/>
  <c r="CA1013" i="2" s="1"/>
  <c r="CB611" i="2"/>
  <c r="AB504" i="2"/>
  <c r="AB505" i="2"/>
  <c r="A464" i="2" a="1"/>
  <c r="A464" i="2" s="1"/>
  <c r="A465" i="2" s="1" a="1"/>
  <c r="A465" i="2" s="1"/>
  <c r="A466" i="2" s="1" a="1"/>
  <c r="A466" i="2" s="1"/>
  <c r="A467" i="2" s="1" a="1"/>
  <c r="A467" i="2" s="1"/>
  <c r="A468" i="2" s="1" a="1"/>
  <c r="A468" i="2" s="1"/>
  <c r="A469" i="2" s="1" a="1"/>
  <c r="A469" i="2" s="1"/>
  <c r="A470" i="2" s="1" a="1"/>
  <c r="A470" i="2" s="1"/>
  <c r="A471" i="2" s="1" a="1"/>
  <c r="A471" i="2" s="1"/>
  <c r="A463" i="2" a="1"/>
  <c r="A463" i="2" s="1"/>
  <c r="BJ1047" i="2"/>
  <c r="BJ1044" i="2" s="1"/>
  <c r="BJ1049" i="2"/>
  <c r="BB1177" i="2"/>
  <c r="CB1175" i="2"/>
  <c r="CB1177" i="2" s="1"/>
  <c r="AL245" i="2"/>
  <c r="BY280" i="2"/>
  <c r="AE144" i="2"/>
  <c r="AE109" i="2"/>
  <c r="BY109" i="2" s="1"/>
  <c r="AE115" i="2"/>
  <c r="BY119" i="2"/>
  <c r="B342" i="2" a="1"/>
  <c r="B342" i="2" s="1"/>
  <c r="A343" i="2" a="1"/>
  <c r="A343" i="2" s="1"/>
  <c r="AG1047" i="2"/>
  <c r="CA1051" i="2"/>
  <c r="CB318" i="2"/>
  <c r="BC254" i="2"/>
  <c r="BC143" i="2" s="1"/>
  <c r="BC142" i="2" s="1"/>
  <c r="AR1181" i="2"/>
  <c r="AR1171" i="2"/>
  <c r="BZ245" i="2"/>
  <c r="AU142" i="2"/>
  <c r="AH143" i="2"/>
  <c r="AB105" i="2"/>
  <c r="AB104" i="2"/>
  <c r="AB106" i="2"/>
  <c r="BJ112" i="2"/>
  <c r="BJ118" i="2"/>
  <c r="AO112" i="2"/>
  <c r="AO118" i="2"/>
  <c r="AJ111" i="2"/>
  <c r="BP1078" i="1"/>
  <c r="BN1008" i="1"/>
  <c r="AE1001" i="1"/>
  <c r="BO1001" i="1"/>
  <c r="A736" i="1" a="1"/>
  <c r="A736" i="1" s="1"/>
  <c r="B735" i="1" a="1"/>
  <c r="B735" i="1" s="1"/>
  <c r="BO1168" i="1"/>
  <c r="BO866" i="1"/>
  <c r="AN857" i="1"/>
  <c r="AN856" i="1" s="1"/>
  <c r="Y677" i="1"/>
  <c r="BP864" i="1"/>
  <c r="AF1063" i="1"/>
  <c r="BO1063" i="1" s="1"/>
  <c r="BE858" i="1"/>
  <c r="BE857" i="1" s="1"/>
  <c r="BE856" i="1" s="1"/>
  <c r="AQ857" i="1"/>
  <c r="AQ856" i="1" s="1"/>
  <c r="AG980" i="1"/>
  <c r="BP980" i="1" s="1"/>
  <c r="AG252" i="1"/>
  <c r="BP256" i="1"/>
  <c r="BP1156" i="1"/>
  <c r="BP1158" i="1" s="1"/>
  <c r="AG1158" i="1"/>
  <c r="BN493" i="1"/>
  <c r="AH258" i="1"/>
  <c r="AH147" i="1" s="1"/>
  <c r="AH146" i="1" s="1"/>
  <c r="BN259" i="1"/>
  <c r="A347" i="1" a="1"/>
  <c r="A347" i="1" s="1"/>
  <c r="B346" i="1" a="1"/>
  <c r="B346" i="1" s="1"/>
  <c r="BO630" i="1"/>
  <c r="BN595" i="1"/>
  <c r="AF512" i="1"/>
  <c r="AW1046" i="1"/>
  <c r="BN1046" i="1" s="1"/>
  <c r="AW1048" i="1"/>
  <c r="AO1046" i="1"/>
  <c r="AO1048" i="1"/>
  <c r="BO324" i="1"/>
  <c r="AE258" i="1"/>
  <c r="BO959" i="1"/>
  <c r="AF920" i="1"/>
  <c r="BP154" i="1"/>
  <c r="BO311" i="1"/>
  <c r="BA308" i="1"/>
  <c r="BO308" i="1" s="1"/>
  <c r="BN623" i="1"/>
  <c r="AE604" i="1"/>
  <c r="BN604" i="1" s="1"/>
  <c r="AU506" i="1"/>
  <c r="BO505" i="1"/>
  <c r="AI493" i="1"/>
  <c r="BO493" i="1" s="1"/>
  <c r="BI394" i="1"/>
  <c r="BI145" i="1"/>
  <c r="AE148" i="1"/>
  <c r="BB119" i="1"/>
  <c r="BB113" i="1"/>
  <c r="BE823" i="1"/>
  <c r="BP823" i="1" s="1"/>
  <c r="BE829" i="1"/>
  <c r="BP829" i="1" s="1"/>
  <c r="BP1035" i="1"/>
  <c r="AG1032" i="1"/>
  <c r="BP1032" i="1" s="1"/>
  <c r="BO111" i="1"/>
  <c r="B776" i="1"/>
  <c r="B777" i="1"/>
  <c r="BP196" i="1"/>
  <c r="AJ148" i="1"/>
  <c r="AJ147" i="1" s="1"/>
  <c r="AJ146" i="1" s="1"/>
  <c r="AH1182" i="2"/>
  <c r="CA1181" i="2"/>
  <c r="CA1182" i="2" s="1"/>
  <c r="CA1183" i="2"/>
  <c r="AG1182" i="2"/>
  <c r="BY995" i="2"/>
  <c r="AE994" i="2"/>
  <c r="AH985" i="2"/>
  <c r="BY932" i="2"/>
  <c r="BZ834" i="2"/>
  <c r="AB469" i="2"/>
  <c r="AB467" i="2"/>
  <c r="AB468" i="2"/>
  <c r="CB642" i="2"/>
  <c r="BB516" i="2"/>
  <c r="CB520" i="2"/>
  <c r="A760" i="2" a="1"/>
  <c r="A760" i="2" s="1"/>
  <c r="B760" i="2" s="1" a="1"/>
  <c r="B760" i="2" s="1"/>
  <c r="B759" i="2" a="1"/>
  <c r="B759" i="2" s="1"/>
  <c r="Y340" i="2"/>
  <c r="BY1058" i="2"/>
  <c r="BJ992" i="2"/>
  <c r="BJ988" i="2" s="1"/>
  <c r="BJ985" i="2" s="1"/>
  <c r="BJ248" i="2"/>
  <c r="BJ245" i="2" s="1"/>
  <c r="AG1198" i="2"/>
  <c r="CA1196" i="2"/>
  <c r="CA1198" i="2" s="1"/>
  <c r="BD141" i="2"/>
  <c r="BA391" i="2"/>
  <c r="BA141" i="2"/>
  <c r="BJ1184" i="2"/>
  <c r="BJ876" i="2"/>
  <c r="BJ878" i="2"/>
  <c r="W458" i="2" a="1"/>
  <c r="W458" i="2" s="1"/>
  <c r="U458" i="2" a="1"/>
  <c r="U458" i="2" s="1"/>
  <c r="S458" i="2" a="1"/>
  <c r="S458" i="2" s="1"/>
  <c r="B730" i="2" s="1"/>
  <c r="B731" i="2" s="1" a="1"/>
  <c r="B731" i="2" s="1"/>
  <c r="V458" i="2" a="1"/>
  <c r="V458" i="2" s="1"/>
  <c r="T458" i="2" a="1"/>
  <c r="T458" i="2" s="1"/>
  <c r="BR307" i="2"/>
  <c r="BR304" i="2" s="1"/>
  <c r="CB304" i="2" s="1"/>
  <c r="BJ990" i="2"/>
  <c r="BY1172" i="2"/>
  <c r="BY1174" i="2" s="1"/>
  <c r="AE1174" i="2"/>
  <c r="BB1171" i="2"/>
  <c r="BB1181" i="2"/>
  <c r="CA871" i="2"/>
  <c r="AG870" i="2"/>
  <c r="CA602" i="2"/>
  <c r="BY504" i="2"/>
  <c r="AQ506" i="2"/>
  <c r="BY506" i="2" s="1"/>
  <c r="AE1044" i="2"/>
  <c r="BY1047" i="2"/>
  <c r="BJ1005" i="2"/>
  <c r="BB990" i="2"/>
  <c r="CA510" i="2"/>
  <c r="AG509" i="2"/>
  <c r="AG460" i="2" s="1"/>
  <c r="BB1201" i="2"/>
  <c r="CB1199" i="2"/>
  <c r="CB1201" i="2" s="1"/>
  <c r="CA255" i="2"/>
  <c r="AK254" i="2"/>
  <c r="AR990" i="2"/>
  <c r="AR988" i="2"/>
  <c r="BR1184" i="2"/>
  <c r="BR878" i="2"/>
  <c r="AE1184" i="2"/>
  <c r="BY877" i="2"/>
  <c r="AE876" i="2"/>
  <c r="AE878" i="2"/>
  <c r="AO141" i="2"/>
  <c r="AO391" i="2"/>
  <c r="B1082" i="2" a="1"/>
  <c r="B1082" i="2" s="1"/>
  <c r="A1083" i="2" a="1"/>
  <c r="A1083" i="2" s="1"/>
  <c r="BY318" i="2"/>
  <c r="CA150" i="2"/>
  <c r="BR144" i="2"/>
  <c r="AR142" i="2"/>
  <c r="BF335" i="2"/>
  <c r="CB335" i="2" s="1"/>
  <c r="BZ307" i="2"/>
  <c r="AR1195" i="2"/>
  <c r="AR1205" i="2"/>
  <c r="AR1208" i="2" s="1"/>
  <c r="AV118" i="2"/>
  <c r="AV112" i="2"/>
  <c r="CA263" i="2"/>
  <c r="CB150" i="2"/>
  <c r="AP144" i="2"/>
  <c r="BF842" i="2"/>
  <c r="CB842" i="2" s="1"/>
  <c r="BF832" i="2"/>
  <c r="CB832" i="2" s="1"/>
  <c r="AH118" i="2"/>
  <c r="CB115" i="2"/>
  <c r="AH112" i="2"/>
  <c r="CB109" i="2"/>
  <c r="BS112" i="2"/>
  <c r="BS118" i="2"/>
  <c r="Y704" i="1"/>
  <c r="BM112" i="2"/>
  <c r="BM118" i="2"/>
  <c r="BO991" i="1"/>
  <c r="BP1161" i="1"/>
  <c r="BP1001" i="1"/>
  <c r="Y1082" i="1"/>
  <c r="BO993" i="1"/>
  <c r="Y691" i="1"/>
  <c r="Y692" i="1" s="1"/>
  <c r="BN1156" i="1"/>
  <c r="BN1158" i="1" s="1"/>
  <c r="AE1158" i="1"/>
  <c r="BO1064" i="1"/>
  <c r="AH982" i="1"/>
  <c r="BC857" i="1"/>
  <c r="BC856" i="1" s="1"/>
  <c r="AK856" i="1"/>
  <c r="BJ857" i="1"/>
  <c r="BJ856" i="1" s="1"/>
  <c r="A812" i="1" a="1"/>
  <c r="A812" i="1" s="1"/>
  <c r="A813" i="1" s="1" a="1"/>
  <c r="A813" i="1" s="1"/>
  <c r="A814" i="1" s="1" a="1"/>
  <c r="A814" i="1" s="1"/>
  <c r="A815" i="1" s="1" a="1"/>
  <c r="A815" i="1" s="1"/>
  <c r="A816" i="1" s="1" a="1"/>
  <c r="A816" i="1" s="1"/>
  <c r="A817" i="1" s="1" a="1"/>
  <c r="A817" i="1" s="1"/>
  <c r="A818" i="1" s="1" a="1"/>
  <c r="A818" i="1" s="1"/>
  <c r="A819" i="1" s="1" a="1"/>
  <c r="A819" i="1" s="1"/>
  <c r="A811" i="1" a="1"/>
  <c r="A811" i="1" s="1"/>
  <c r="BB510" i="1"/>
  <c r="BB509" i="1" s="1"/>
  <c r="BB769" i="1" s="1"/>
  <c r="BB775" i="1" s="1"/>
  <c r="BN492" i="1"/>
  <c r="AK145" i="1"/>
  <c r="AK394" i="1"/>
  <c r="BB147" i="1"/>
  <c r="BB146" i="1" s="1"/>
  <c r="AT920" i="1"/>
  <c r="AT879" i="1" s="1"/>
  <c r="AT858" i="1" s="1"/>
  <c r="AT857" i="1" s="1"/>
  <c r="AT856" i="1" s="1"/>
  <c r="A766" i="1"/>
  <c r="AB509" i="1" a="1"/>
  <c r="AB509" i="1" s="1"/>
  <c r="A491" i="1"/>
  <c r="A482" i="1"/>
  <c r="A483" i="1" s="1" a="1"/>
  <c r="A483" i="1" s="1"/>
  <c r="A484" i="1" s="1" a="1"/>
  <c r="A484" i="1" s="1"/>
  <c r="A485" i="1" s="1" a="1"/>
  <c r="A485" i="1" s="1"/>
  <c r="A486" i="1" s="1" a="1"/>
  <c r="A486" i="1" s="1"/>
  <c r="A487" i="1" s="1" a="1"/>
  <c r="A487" i="1" s="1"/>
  <c r="A488" i="1" s="1" a="1"/>
  <c r="A488" i="1" s="1"/>
  <c r="A489" i="1" s="1" a="1"/>
  <c r="A489" i="1" s="1"/>
  <c r="A490" i="1" s="1" a="1"/>
  <c r="A490" i="1" s="1"/>
  <c r="A479" i="1"/>
  <c r="A480" i="1" s="1" a="1"/>
  <c r="A480" i="1" s="1"/>
  <c r="A478" i="1"/>
  <c r="A691" i="1"/>
  <c r="A481" i="1"/>
  <c r="A477" i="1"/>
  <c r="A474" i="1"/>
  <c r="BO1047" i="1"/>
  <c r="BO1048" i="1" s="1"/>
  <c r="AF1046" i="1"/>
  <c r="BO1046" i="1" s="1"/>
  <c r="AF1048" i="1"/>
  <c r="BO277" i="1"/>
  <c r="AF258" i="1"/>
  <c r="BO258" i="1" s="1"/>
  <c r="BO154" i="1"/>
  <c r="AB122" i="1"/>
  <c r="AB121" i="1"/>
  <c r="AI510" i="1"/>
  <c r="AI509" i="1" s="1"/>
  <c r="AI769" i="1" s="1"/>
  <c r="AI775" i="1" s="1"/>
  <c r="A680" i="1" a="1"/>
  <c r="A680" i="1" s="1"/>
  <c r="B679" i="1" a="1"/>
  <c r="B679" i="1" s="1"/>
  <c r="A1071" i="1" a="1"/>
  <c r="A1071" i="1" s="1"/>
  <c r="B1070" i="1" a="1"/>
  <c r="B1070" i="1" s="1"/>
  <c r="BN630" i="1"/>
  <c r="BB991" i="1"/>
  <c r="BB982" i="1" s="1"/>
  <c r="BB993" i="1"/>
  <c r="AY920" i="1"/>
  <c r="BI857" i="1"/>
  <c r="BI856" i="1" s="1"/>
  <c r="AO1168" i="1"/>
  <c r="AO864" i="1"/>
  <c r="AO858" i="1" s="1"/>
  <c r="AO857" i="1" s="1"/>
  <c r="AO856" i="1" s="1"/>
  <c r="AO866" i="1"/>
  <c r="AG116" i="1"/>
  <c r="AG110" i="1" a="1"/>
  <c r="AG110" i="1" s="1"/>
  <c r="BP110" i="1" s="1"/>
  <c r="BP120" i="1"/>
  <c r="AX113" i="1"/>
  <c r="AX119" i="1"/>
  <c r="AF820" i="1" a="1"/>
  <c r="AF820" i="1" s="1"/>
  <c r="BO820" i="1" s="1"/>
  <c r="BO830" i="1"/>
  <c r="AF826" i="1"/>
  <c r="BA821" i="1"/>
  <c r="BO821" i="1" s="1"/>
  <c r="BN598" i="1"/>
  <c r="AE1168" i="1"/>
  <c r="AE866" i="1"/>
  <c r="BN865" i="1"/>
  <c r="AE864" i="1"/>
  <c r="BP267" i="1"/>
  <c r="AU1144" i="1"/>
  <c r="AU395" i="1"/>
  <c r="BO112" i="1"/>
  <c r="AZ391" i="2" l="1"/>
  <c r="AZ374" i="2" s="1"/>
  <c r="AZ141" i="2"/>
  <c r="BS868" i="2"/>
  <c r="BS1128" i="2" s="1"/>
  <c r="BF869" i="2"/>
  <c r="BH869" i="2"/>
  <c r="BH868" i="2" s="1"/>
  <c r="BH1128" i="2" s="1"/>
  <c r="AH841" i="2"/>
  <c r="CB841" i="2" s="1"/>
  <c r="CB838" i="2"/>
  <c r="AH835" i="2"/>
  <c r="CB835" i="2" s="1"/>
  <c r="CB254" i="2"/>
  <c r="BK141" i="2"/>
  <c r="BP141" i="2"/>
  <c r="BY1044" i="2"/>
  <c r="AT767" i="2"/>
  <c r="AT773" i="2" s="1"/>
  <c r="Y1097" i="2"/>
  <c r="Y1098" i="2" s="1"/>
  <c r="BT141" i="2"/>
  <c r="BQ869" i="2"/>
  <c r="BQ868" i="2" s="1"/>
  <c r="BD869" i="2"/>
  <c r="BD868" i="2" s="1"/>
  <c r="CB1058" i="2"/>
  <c r="AQ869" i="2"/>
  <c r="AQ868" i="2" s="1"/>
  <c r="BY602" i="2"/>
  <c r="BL869" i="2"/>
  <c r="BL868" i="2" s="1"/>
  <c r="BL867" i="2" s="1"/>
  <c r="AX767" i="2"/>
  <c r="AX773" i="2" s="1"/>
  <c r="BK869" i="2"/>
  <c r="AX141" i="2"/>
  <c r="BE391" i="2"/>
  <c r="BM868" i="2"/>
  <c r="BM1128" i="2" s="1"/>
  <c r="BK868" i="2"/>
  <c r="BK867" i="2" s="1"/>
  <c r="BI868" i="2"/>
  <c r="BI1128" i="2" s="1"/>
  <c r="BF507" i="2"/>
  <c r="BF767" i="2"/>
  <c r="BF773" i="2" s="1"/>
  <c r="AX868" i="2"/>
  <c r="AX1128" i="2" s="1"/>
  <c r="AI869" i="2"/>
  <c r="AI868" i="2" s="1"/>
  <c r="AI1128" i="2" s="1"/>
  <c r="BY1228" i="2"/>
  <c r="BY1231" i="2" s="1"/>
  <c r="AE1231" i="2"/>
  <c r="CA932" i="2"/>
  <c r="BU868" i="2"/>
  <c r="BU1128" i="2" s="1"/>
  <c r="CA990" i="2"/>
  <c r="AV869" i="2"/>
  <c r="AV868" i="2" s="1"/>
  <c r="AV867" i="2" s="1"/>
  <c r="AH994" i="2"/>
  <c r="AH870" i="2"/>
  <c r="AH869" i="2" s="1"/>
  <c r="BY510" i="2"/>
  <c r="AH1044" i="2"/>
  <c r="CB1044" i="2" s="1"/>
  <c r="BV869" i="2"/>
  <c r="BV868" i="2" s="1"/>
  <c r="BY891" i="2"/>
  <c r="AU869" i="2"/>
  <c r="AU868" i="2" s="1"/>
  <c r="AU1128" i="2" s="1"/>
  <c r="BC869" i="2"/>
  <c r="BC868" i="2" s="1"/>
  <c r="BC867" i="2" s="1"/>
  <c r="BE869" i="2"/>
  <c r="BE868" i="2" s="1"/>
  <c r="BE1128" i="2" s="1"/>
  <c r="AO869" i="2"/>
  <c r="AO868" i="2" s="1"/>
  <c r="AO1128" i="2" s="1"/>
  <c r="AK867" i="2"/>
  <c r="CB1184" i="2"/>
  <c r="BZ891" i="2"/>
  <c r="AM870" i="2"/>
  <c r="AM869" i="2" s="1"/>
  <c r="BG869" i="2"/>
  <c r="BG868" i="2" s="1"/>
  <c r="BG1128" i="2" s="1"/>
  <c r="BY994" i="2"/>
  <c r="BR876" i="2"/>
  <c r="BR870" i="2" s="1"/>
  <c r="BR869" i="2" s="1"/>
  <c r="BR868" i="2" s="1"/>
  <c r="BR1128" i="2" s="1"/>
  <c r="CB1181" i="2"/>
  <c r="AM855" i="1"/>
  <c r="AM1112" i="1"/>
  <c r="BK855" i="1"/>
  <c r="BK1112" i="1"/>
  <c r="BA1112" i="1"/>
  <c r="BA855" i="1"/>
  <c r="Y1108" i="2"/>
  <c r="Y1109" i="2" s="1"/>
  <c r="Y1110" i="2" s="1"/>
  <c r="BA822" i="1"/>
  <c r="BO822" i="1" s="1"/>
  <c r="AI394" i="1"/>
  <c r="AI395" i="1" s="1"/>
  <c r="AI145" i="1"/>
  <c r="AJ868" i="2"/>
  <c r="AJ1128" i="2" s="1"/>
  <c r="BM391" i="2"/>
  <c r="BM1160" i="2" s="1"/>
  <c r="BA1128" i="2"/>
  <c r="Y692" i="2"/>
  <c r="Y693" i="2" s="1"/>
  <c r="Y694" i="2" s="1"/>
  <c r="CA891" i="2"/>
  <c r="BT869" i="2"/>
  <c r="BT868" i="2" s="1"/>
  <c r="Y369" i="2"/>
  <c r="Y370" i="2" s="1"/>
  <c r="BF142" i="2"/>
  <c r="AT1128" i="2"/>
  <c r="BD111" i="2"/>
  <c r="CB118" i="2"/>
  <c r="BZ111" i="2"/>
  <c r="AG118" i="2"/>
  <c r="CA118" i="2" s="1"/>
  <c r="CA115" i="2"/>
  <c r="AG112" i="2"/>
  <c r="CA112" i="2" s="1"/>
  <c r="BP869" i="2"/>
  <c r="BP868" i="2" s="1"/>
  <c r="BL391" i="2"/>
  <c r="BL141" i="2"/>
  <c r="AS141" i="2"/>
  <c r="AS391" i="2"/>
  <c r="BR143" i="2"/>
  <c r="BR142" i="2" s="1"/>
  <c r="BB1047" i="2"/>
  <c r="BB1044" i="2" s="1"/>
  <c r="BI391" i="2"/>
  <c r="BI1160" i="2" s="1"/>
  <c r="BQ141" i="2"/>
  <c r="BQ391" i="2"/>
  <c r="CB263" i="2"/>
  <c r="BZ994" i="2"/>
  <c r="AZ869" i="2"/>
  <c r="AZ868" i="2" s="1"/>
  <c r="AZ867" i="2" s="1"/>
  <c r="AP1128" i="2"/>
  <c r="BZ1075" i="2"/>
  <c r="AS867" i="2"/>
  <c r="CA1075" i="2"/>
  <c r="AM868" i="2"/>
  <c r="AM867" i="2" s="1"/>
  <c r="BG141" i="2"/>
  <c r="AN868" i="2"/>
  <c r="AN1128" i="2" s="1"/>
  <c r="AN1114" i="2" s="1"/>
  <c r="AI1112" i="1"/>
  <c r="AI855" i="1"/>
  <c r="AV391" i="2"/>
  <c r="AV1160" i="2" s="1"/>
  <c r="AV141" i="2"/>
  <c r="BB857" i="1"/>
  <c r="BB856" i="1" s="1"/>
  <c r="BB855" i="1" s="1"/>
  <c r="BO976" i="1"/>
  <c r="Y1099" i="2"/>
  <c r="AI509" i="2"/>
  <c r="AI508" i="2" s="1"/>
  <c r="AI507" i="2" s="1"/>
  <c r="AI767" i="2" s="1"/>
  <c r="AI773" i="2" s="1"/>
  <c r="AI774" i="2" s="1"/>
  <c r="AI775" i="2" s="1"/>
  <c r="AI776" i="2" s="1"/>
  <c r="BF856" i="1"/>
  <c r="BI111" i="2"/>
  <c r="CA111" i="2" s="1"/>
  <c r="AQ145" i="1"/>
  <c r="AQ394" i="1"/>
  <c r="BA506" i="2"/>
  <c r="CA506" i="2" s="1"/>
  <c r="CA504" i="2"/>
  <c r="AP394" i="1"/>
  <c r="AP145" i="1"/>
  <c r="AX392" i="2"/>
  <c r="AX1160" i="2"/>
  <c r="BG1160" i="2"/>
  <c r="BG392" i="2"/>
  <c r="BG393" i="2" s="1"/>
  <c r="BG394" i="2" s="1"/>
  <c r="BG395" i="2" s="1"/>
  <c r="AF148" i="1"/>
  <c r="BH145" i="1"/>
  <c r="BH394" i="1"/>
  <c r="BG111" i="2"/>
  <c r="BY111" i="2" s="1"/>
  <c r="BG145" i="1"/>
  <c r="BG394" i="1"/>
  <c r="AG841" i="2"/>
  <c r="CA841" i="2" s="1"/>
  <c r="AG835" i="2"/>
  <c r="CA835" i="2" s="1"/>
  <c r="CA838" i="2"/>
  <c r="BJ144" i="2"/>
  <c r="CB144" i="2" s="1"/>
  <c r="AH394" i="1"/>
  <c r="AH145" i="1"/>
  <c r="BB1112" i="1"/>
  <c r="BH391" i="2"/>
  <c r="BH141" i="2"/>
  <c r="BO826" i="1"/>
  <c r="AF823" i="1"/>
  <c r="BO823" i="1" s="1"/>
  <c r="AF829" i="1"/>
  <c r="BO829" i="1" s="1"/>
  <c r="AY879" i="1"/>
  <c r="BP920" i="1"/>
  <c r="A692" i="1" a="1"/>
  <c r="A692" i="1" s="1"/>
  <c r="B692" i="1" s="1" a="1"/>
  <c r="B692" i="1" s="1"/>
  <c r="B691" i="1" a="1"/>
  <c r="B691" i="1" s="1"/>
  <c r="A495" i="1"/>
  <c r="A492" i="1"/>
  <c r="A494" i="1"/>
  <c r="A496" i="1" a="1"/>
  <c r="A496" i="1" s="1"/>
  <c r="A497" i="1" s="1" a="1"/>
  <c r="A497" i="1" s="1"/>
  <c r="A498" i="1" s="1" a="1"/>
  <c r="A498" i="1" s="1"/>
  <c r="A499" i="1" s="1" a="1"/>
  <c r="A499" i="1" s="1"/>
  <c r="A500" i="1" s="1" a="1"/>
  <c r="A500" i="1" s="1"/>
  <c r="A501" i="1" s="1" a="1"/>
  <c r="A501" i="1" s="1"/>
  <c r="A502" i="1" s="1" a="1"/>
  <c r="A502" i="1" s="1"/>
  <c r="A503" i="1" s="1" a="1"/>
  <c r="A503" i="1" s="1"/>
  <c r="A504" i="1" s="1" a="1"/>
  <c r="A504" i="1" s="1"/>
  <c r="A505" i="1" s="1" a="1"/>
  <c r="A505" i="1" s="1"/>
  <c r="A506" i="1" s="1" a="1"/>
  <c r="A506" i="1" s="1"/>
  <c r="A507" i="1" s="1" a="1"/>
  <c r="A507" i="1" s="1"/>
  <c r="A508" i="1" s="1" a="1"/>
  <c r="A508" i="1" s="1"/>
  <c r="A493" i="1"/>
  <c r="B492" i="1"/>
  <c r="B493" i="1"/>
  <c r="AP143" i="2"/>
  <c r="AP142" i="2" s="1"/>
  <c r="AO1160" i="2"/>
  <c r="AO392" i="2"/>
  <c r="BY1184" i="2"/>
  <c r="BY878" i="2"/>
  <c r="BB1182" i="2"/>
  <c r="A764" i="2"/>
  <c r="A689" i="2"/>
  <c r="AB507" i="2" a="1"/>
  <c r="AB507" i="2" s="1"/>
  <c r="A479" i="2"/>
  <c r="A475" i="2"/>
  <c r="A489" i="2"/>
  <c r="A480" i="2"/>
  <c r="A481" i="2" s="1" a="1"/>
  <c r="A481" i="2" s="1"/>
  <c r="A482" i="2" s="1" a="1"/>
  <c r="A482" i="2" s="1"/>
  <c r="A483" i="2" s="1" a="1"/>
  <c r="A483" i="2" s="1"/>
  <c r="A484" i="2" s="1" a="1"/>
  <c r="A484" i="2" s="1"/>
  <c r="A485" i="2" s="1" a="1"/>
  <c r="A485" i="2" s="1"/>
  <c r="A486" i="2" s="1" a="1"/>
  <c r="A486" i="2" s="1"/>
  <c r="A487" i="2" s="1" a="1"/>
  <c r="A487" i="2" s="1"/>
  <c r="A488" i="2" s="1" a="1"/>
  <c r="A488" i="2" s="1"/>
  <c r="A477" i="2"/>
  <c r="A478" i="2" s="1" a="1"/>
  <c r="A478" i="2" s="1"/>
  <c r="A476" i="2"/>
  <c r="A472" i="2"/>
  <c r="A683" i="2"/>
  <c r="B683" i="2" s="1" a="1"/>
  <c r="B683" i="2" s="1"/>
  <c r="A675" i="2"/>
  <c r="B675" i="2" s="1" a="1"/>
  <c r="B675" i="2" s="1"/>
  <c r="BA1160" i="2"/>
  <c r="BA392" i="2"/>
  <c r="Y341" i="2"/>
  <c r="AJ394" i="1"/>
  <c r="AJ145" i="1"/>
  <c r="BN148" i="1"/>
  <c r="AE147" i="1"/>
  <c r="AE98" i="1" s="1"/>
  <c r="AE430" i="1" s="1"/>
  <c r="A348" i="1" a="1"/>
  <c r="A348" i="1" s="1"/>
  <c r="B347" i="1" a="1"/>
  <c r="B347" i="1" s="1"/>
  <c r="BE1112" i="1"/>
  <c r="BE855" i="1"/>
  <c r="AU391" i="2"/>
  <c r="AU141" i="2"/>
  <c r="AE143" i="2"/>
  <c r="AE97" i="2" s="1"/>
  <c r="AE428" i="2" s="1"/>
  <c r="BY144" i="2"/>
  <c r="BY988" i="2"/>
  <c r="AE985" i="2"/>
  <c r="BY985" i="2" s="1"/>
  <c r="A1140" i="2"/>
  <c r="B1140" i="2" s="1" a="1"/>
  <c r="B1140" i="2" s="1"/>
  <c r="A1132" i="2"/>
  <c r="B1132" i="2" s="1" a="1"/>
  <c r="B1132" i="2" s="1"/>
  <c r="A1144" i="2"/>
  <c r="B1144" i="2" s="1"/>
  <c r="A1137" i="2"/>
  <c r="B1137" i="2" s="1" a="1"/>
  <c r="B1137" i="2" s="1"/>
  <c r="A1133" i="2"/>
  <c r="B1133" i="2" s="1"/>
  <c r="A1136" i="2"/>
  <c r="B1136" i="2" s="1"/>
  <c r="A1129" i="2"/>
  <c r="B1129" i="2" s="1" a="1"/>
  <c r="B1129" i="2" s="1"/>
  <c r="A1141" i="2"/>
  <c r="B1141" i="2" s="1"/>
  <c r="A1139" i="2"/>
  <c r="B1139" i="2" s="1" a="1"/>
  <c r="B1139" i="2" s="1"/>
  <c r="A1138" i="2"/>
  <c r="B1138" i="2" s="1" a="1"/>
  <c r="B1138" i="2" s="1"/>
  <c r="A1131" i="2"/>
  <c r="B1131" i="2" s="1" a="1"/>
  <c r="B1131" i="2" s="1"/>
  <c r="A1142" i="2"/>
  <c r="B1142" i="2" s="1"/>
  <c r="A1135" i="2"/>
  <c r="B1135" i="2" s="1"/>
  <c r="A1134" i="2"/>
  <c r="B1134" i="2" s="1"/>
  <c r="A1143" i="2"/>
  <c r="B1143" i="2" s="1"/>
  <c r="A1130" i="2"/>
  <c r="B1130" i="2" s="1" a="1"/>
  <c r="B1130" i="2" s="1"/>
  <c r="AP397" i="1"/>
  <c r="AP398" i="1" s="1"/>
  <c r="AM397" i="1"/>
  <c r="AM398" i="1" s="1"/>
  <c r="A358" i="1"/>
  <c r="AB145" i="1" a="1"/>
  <c r="AB145" i="1" s="1"/>
  <c r="A115" i="1"/>
  <c r="A116" i="1" s="1" a="1"/>
  <c r="A116" i="1" s="1"/>
  <c r="A113" i="1"/>
  <c r="A117" i="1"/>
  <c r="A114" i="1"/>
  <c r="A110" i="1"/>
  <c r="A118" i="1"/>
  <c r="A119" i="1" s="1" a="1"/>
  <c r="A119" i="1" s="1"/>
  <c r="A120" i="1" s="1" a="1"/>
  <c r="A120" i="1" s="1"/>
  <c r="A121" i="1" s="1" a="1"/>
  <c r="A121" i="1" s="1"/>
  <c r="A122" i="1" s="1" a="1"/>
  <c r="A122" i="1" s="1"/>
  <c r="A123" i="1" s="1" a="1"/>
  <c r="A123" i="1" s="1"/>
  <c r="A124" i="1" s="1" a="1"/>
  <c r="A124" i="1" s="1"/>
  <c r="A125" i="1" s="1" a="1"/>
  <c r="A125" i="1" s="1"/>
  <c r="A126" i="1" s="1" a="1"/>
  <c r="A126" i="1" s="1"/>
  <c r="A127" i="1"/>
  <c r="A352" i="1"/>
  <c r="B352" i="1" s="1" a="1"/>
  <c r="B352" i="1" s="1"/>
  <c r="A344" i="1"/>
  <c r="B344" i="1" s="1" a="1"/>
  <c r="B344" i="1" s="1"/>
  <c r="BN512" i="1"/>
  <c r="AE511" i="1"/>
  <c r="AO145" i="1"/>
  <c r="AO394" i="1"/>
  <c r="BO113" i="1"/>
  <c r="AG976" i="1"/>
  <c r="AP1112" i="1"/>
  <c r="AP855" i="1"/>
  <c r="Y362" i="1"/>
  <c r="Y363" i="1" s="1"/>
  <c r="AY391" i="2"/>
  <c r="AY141" i="2"/>
  <c r="AQ391" i="2"/>
  <c r="AQ141" i="2"/>
  <c r="AB502" i="2"/>
  <c r="AB497" i="2"/>
  <c r="AB501" i="2"/>
  <c r="BZ1051" i="2"/>
  <c r="AF1047" i="2"/>
  <c r="BP148" i="1"/>
  <c r="AB503" i="1"/>
  <c r="AB504" i="1"/>
  <c r="AB499" i="1"/>
  <c r="BP1168" i="1"/>
  <c r="A828" i="1"/>
  <c r="A829" i="1" s="1" a="1"/>
  <c r="A829" i="1" s="1"/>
  <c r="A830" i="1" s="1" a="1"/>
  <c r="A830" i="1" s="1"/>
  <c r="A831" i="1" s="1" a="1"/>
  <c r="A831" i="1" s="1"/>
  <c r="A832" i="1" s="1" a="1"/>
  <c r="A832" i="1" s="1"/>
  <c r="A833" i="1" s="1" a="1"/>
  <c r="A833" i="1" s="1"/>
  <c r="A834" i="1" s="1" a="1"/>
  <c r="A834" i="1" s="1"/>
  <c r="A835" i="1" s="1" a="1"/>
  <c r="A835" i="1" s="1"/>
  <c r="A836" i="1" s="1" a="1"/>
  <c r="A836" i="1" s="1"/>
  <c r="A1082" i="1"/>
  <c r="A827" i="1"/>
  <c r="A824" i="1"/>
  <c r="A820" i="1"/>
  <c r="A837" i="1"/>
  <c r="A825" i="1"/>
  <c r="A826" i="1" s="1" a="1"/>
  <c r="A826" i="1" s="1"/>
  <c r="AB855" i="1" a="1"/>
  <c r="AB855" i="1" s="1"/>
  <c r="A823" i="1"/>
  <c r="A1076" i="1"/>
  <c r="B1076" i="1" s="1" a="1"/>
  <c r="B1076" i="1" s="1"/>
  <c r="A1068" i="1"/>
  <c r="B1068" i="1" s="1" a="1"/>
  <c r="B1068" i="1" s="1"/>
  <c r="AB836" i="1"/>
  <c r="AB835" i="1"/>
  <c r="AB834" i="1"/>
  <c r="AB833" i="1"/>
  <c r="Y705" i="1"/>
  <c r="BS391" i="2"/>
  <c r="BS141" i="2"/>
  <c r="A413" i="2"/>
  <c r="B413" i="2" s="1"/>
  <c r="CB307" i="2"/>
  <c r="AF508" i="2"/>
  <c r="BZ509" i="2"/>
  <c r="AY1128" i="2"/>
  <c r="AY867" i="2"/>
  <c r="BJ621" i="2"/>
  <c r="CB628" i="2"/>
  <c r="AZ506" i="2"/>
  <c r="BZ506" i="2" s="1"/>
  <c r="BZ504" i="2"/>
  <c r="BZ1205" i="2"/>
  <c r="BZ1207" i="2" s="1"/>
  <c r="Y678" i="2"/>
  <c r="Y679" i="2" s="1"/>
  <c r="Y704" i="2"/>
  <c r="Y705" i="2" s="1"/>
  <c r="Y678" i="1"/>
  <c r="Y356" i="2"/>
  <c r="BK1160" i="2"/>
  <c r="BK392" i="2"/>
  <c r="BK393" i="2" s="1"/>
  <c r="BK394" i="2" s="1"/>
  <c r="BK395" i="2" s="1"/>
  <c r="BK1143" i="1"/>
  <c r="AW1160" i="2"/>
  <c r="AW392" i="2"/>
  <c r="BN864" i="1"/>
  <c r="AE858" i="1"/>
  <c r="AO1112" i="1"/>
  <c r="AO855" i="1"/>
  <c r="B1071" i="1" a="1"/>
  <c r="B1071" i="1" s="1"/>
  <c r="A1072" i="1" a="1"/>
  <c r="A1072" i="1" s="1"/>
  <c r="A476" i="1"/>
  <c r="A475" i="1"/>
  <c r="B476" i="1"/>
  <c r="B475" i="1"/>
  <c r="AB723" i="1"/>
  <c r="AB716" i="1"/>
  <c r="AB732" i="1"/>
  <c r="AB733" i="1" s="1"/>
  <c r="AB734" i="1"/>
  <c r="AB510" i="1"/>
  <c r="BB394" i="1"/>
  <c r="BB145" i="1"/>
  <c r="BJ1112" i="1"/>
  <c r="BJ855" i="1"/>
  <c r="Y693" i="1"/>
  <c r="AR985" i="2"/>
  <c r="BZ985" i="2" s="1"/>
  <c r="BZ988" i="2"/>
  <c r="A768" i="2"/>
  <c r="B768" i="2" s="1" a="1"/>
  <c r="B768" i="2" s="1"/>
  <c r="A770" i="2"/>
  <c r="B770" i="2" s="1" a="1"/>
  <c r="B770" i="2" s="1"/>
  <c r="A776" i="2"/>
  <c r="B776" i="2" s="1" a="1"/>
  <c r="B776" i="2" s="1"/>
  <c r="A773" i="2"/>
  <c r="B773" i="2" s="1" a="1"/>
  <c r="B773" i="2" s="1"/>
  <c r="A769" i="2"/>
  <c r="B769" i="2" s="1" a="1"/>
  <c r="B769" i="2" s="1"/>
  <c r="B775" i="2"/>
  <c r="B774" i="2"/>
  <c r="Y342" i="2"/>
  <c r="BB510" i="2"/>
  <c r="CB516" i="2"/>
  <c r="CB1183" i="2"/>
  <c r="AU508" i="1"/>
  <c r="BO508" i="1" s="1"/>
  <c r="BO506" i="1"/>
  <c r="BN258" i="1"/>
  <c r="BP252" i="1"/>
  <c r="AG249" i="1"/>
  <c r="BP249" i="1" s="1"/>
  <c r="AN1112" i="1"/>
  <c r="AN855" i="1"/>
  <c r="A737" i="1" a="1"/>
  <c r="A737" i="1" s="1"/>
  <c r="B736" i="1" a="1"/>
  <c r="B736" i="1" s="1"/>
  <c r="AR1182" i="2"/>
  <c r="BZ1183" i="2"/>
  <c r="BZ1181" i="2"/>
  <c r="BZ1182" i="2" s="1"/>
  <c r="BB1231" i="2"/>
  <c r="CB1228" i="2"/>
  <c r="CB1231" i="2" s="1"/>
  <c r="A1145" i="2"/>
  <c r="B1145" i="2" s="1"/>
  <c r="AB838" i="2"/>
  <c r="AB840" i="2" s="1"/>
  <c r="AB841" i="2" s="1"/>
  <c r="Y842" i="2"/>
  <c r="AB842" i="2" s="1"/>
  <c r="AF841" i="2"/>
  <c r="BZ841" i="2" s="1"/>
  <c r="BZ838" i="2"/>
  <c r="AF835" i="2"/>
  <c r="BZ835" i="2" s="1"/>
  <c r="BF1075" i="2"/>
  <c r="CB1075" i="2" s="1"/>
  <c r="A395" i="1"/>
  <c r="B395" i="1" s="1" a="1"/>
  <c r="B395" i="1" s="1"/>
  <c r="A414" i="1"/>
  <c r="B414" i="1" s="1"/>
  <c r="A406" i="1"/>
  <c r="B406" i="1" s="1"/>
  <c r="A398" i="1"/>
  <c r="B398" i="1" s="1" a="1"/>
  <c r="B398" i="1" s="1"/>
  <c r="A402" i="1"/>
  <c r="B402" i="1" s="1" a="1"/>
  <c r="B402" i="1" s="1"/>
  <c r="A410" i="1"/>
  <c r="B410" i="1" s="1" a="1"/>
  <c r="B410" i="1" s="1"/>
  <c r="A411" i="1"/>
  <c r="B411" i="1" s="1"/>
  <c r="A407" i="1"/>
  <c r="B407" i="1" s="1" a="1"/>
  <c r="B407" i="1" s="1"/>
  <c r="A403" i="1"/>
  <c r="B403" i="1" s="1"/>
  <c r="A399" i="1"/>
  <c r="B399" i="1" s="1" a="1"/>
  <c r="B399" i="1" s="1"/>
  <c r="B396" i="1"/>
  <c r="A408" i="1"/>
  <c r="B408" i="1" s="1" a="1"/>
  <c r="B408" i="1" s="1"/>
  <c r="A413" i="1"/>
  <c r="B413" i="1" s="1"/>
  <c r="A412" i="1"/>
  <c r="B412" i="1" s="1"/>
  <c r="A409" i="1"/>
  <c r="B409" i="1" s="1" a="1"/>
  <c r="B409" i="1" s="1"/>
  <c r="A400" i="1"/>
  <c r="B400" i="1" s="1" a="1"/>
  <c r="B400" i="1" s="1"/>
  <c r="A405" i="1"/>
  <c r="B405" i="1" s="1"/>
  <c r="A404" i="1"/>
  <c r="B404" i="1" s="1"/>
  <c r="A401" i="1"/>
  <c r="B401" i="1" s="1" a="1"/>
  <c r="B401" i="1" s="1"/>
  <c r="B397" i="1"/>
  <c r="BN533" i="1"/>
  <c r="BP604" i="1"/>
  <c r="BB391" i="2"/>
  <c r="BB374" i="2" s="1"/>
  <c r="BB141" i="2"/>
  <c r="AR870" i="2"/>
  <c r="BZ870" i="2" s="1"/>
  <c r="BZ876" i="2"/>
  <c r="AE1208" i="2"/>
  <c r="BY1205" i="2"/>
  <c r="BY1207" i="2" s="1"/>
  <c r="BB1003" i="2"/>
  <c r="CB1003" i="2" s="1"/>
  <c r="BJ870" i="2"/>
  <c r="BY254" i="2"/>
  <c r="BN1165" i="1"/>
  <c r="BN1167" i="1"/>
  <c r="AE1166" i="1"/>
  <c r="BO1039" i="1"/>
  <c r="AF1035" i="1"/>
  <c r="BE145" i="1"/>
  <c r="BE394" i="1"/>
  <c r="AX1112" i="1"/>
  <c r="AX855" i="1"/>
  <c r="A1128" i="1"/>
  <c r="B1128" i="1" s="1"/>
  <c r="A1120" i="1"/>
  <c r="B1120" i="1" s="1"/>
  <c r="A1125" i="1"/>
  <c r="B1125" i="1" s="1"/>
  <c r="A1121" i="1"/>
  <c r="B1121" i="1" s="1" a="1"/>
  <c r="B1121" i="1" s="1"/>
  <c r="A1117" i="1"/>
  <c r="B1117" i="1" s="1"/>
  <c r="A1113" i="1"/>
  <c r="B1113" i="1" s="1" a="1"/>
  <c r="B1113" i="1" s="1"/>
  <c r="A1124" i="1"/>
  <c r="B1124" i="1" s="1" a="1"/>
  <c r="B1124" i="1" s="1"/>
  <c r="A1116" i="1"/>
  <c r="B1116" i="1" s="1" a="1"/>
  <c r="B1116" i="1" s="1"/>
  <c r="A1127" i="1"/>
  <c r="B1127" i="1" s="1"/>
  <c r="A1119" i="1"/>
  <c r="B1119" i="1" s="1"/>
  <c r="A1126" i="1"/>
  <c r="B1126" i="1" s="1"/>
  <c r="A1123" i="1"/>
  <c r="B1123" i="1" s="1" a="1"/>
  <c r="B1123" i="1" s="1"/>
  <c r="A1122" i="1"/>
  <c r="B1122" i="1" s="1" a="1"/>
  <c r="B1122" i="1" s="1"/>
  <c r="A1118" i="1"/>
  <c r="B1118" i="1" s="1"/>
  <c r="A1115" i="1"/>
  <c r="B1115" i="1" s="1" a="1"/>
  <c r="B1115" i="1" s="1"/>
  <c r="A1114" i="1"/>
  <c r="B1114" i="1" s="1" a="1"/>
  <c r="B1114" i="1" s="1"/>
  <c r="BO973" i="1"/>
  <c r="BP1166" i="1"/>
  <c r="BZ254" i="2"/>
  <c r="AT391" i="2"/>
  <c r="AT141" i="2"/>
  <c r="BR1182" i="2"/>
  <c r="BB1208" i="2"/>
  <c r="CB1205" i="2"/>
  <c r="CB1207" i="2" s="1"/>
  <c r="AG985" i="2"/>
  <c r="CA985" i="2" s="1"/>
  <c r="CA988" i="2"/>
  <c r="BM867" i="2"/>
  <c r="BC1144" i="1"/>
  <c r="BC395" i="1"/>
  <c r="BC396" i="1" s="1"/>
  <c r="BC397" i="1" s="1"/>
  <c r="BC398" i="1" s="1"/>
  <c r="BO1128" i="2"/>
  <c r="BO867" i="2"/>
  <c r="AT1144" i="1"/>
  <c r="AT395" i="1"/>
  <c r="AT396" i="1" s="1"/>
  <c r="AT397" i="1" s="1"/>
  <c r="AT398" i="1" s="1"/>
  <c r="BU1160" i="2"/>
  <c r="BU392" i="2"/>
  <c r="AN1144" i="1"/>
  <c r="AN395" i="1"/>
  <c r="AN396" i="1" s="1"/>
  <c r="AN397" i="1" s="1"/>
  <c r="AN398" i="1" s="1"/>
  <c r="AY1144" i="1"/>
  <c r="AY395" i="1"/>
  <c r="Y694" i="1"/>
  <c r="AZ1144" i="1"/>
  <c r="AZ395" i="1"/>
  <c r="AZ396" i="1" s="1"/>
  <c r="AZ397" i="1" s="1"/>
  <c r="AZ398" i="1" s="1"/>
  <c r="Y349" i="1"/>
  <c r="Y350" i="1" s="1"/>
  <c r="AL1112" i="1"/>
  <c r="AL855" i="1"/>
  <c r="BN1168" i="1"/>
  <c r="BN866" i="1"/>
  <c r="AB126" i="1"/>
  <c r="AB125" i="1"/>
  <c r="AB124" i="1"/>
  <c r="AB123" i="1"/>
  <c r="AK1144" i="1"/>
  <c r="AK395" i="1"/>
  <c r="AK396" i="1" s="1"/>
  <c r="AK397" i="1" s="1"/>
  <c r="AK398" i="1" s="1"/>
  <c r="AK1112" i="1"/>
  <c r="AK855" i="1"/>
  <c r="BP991" i="1"/>
  <c r="BF391" i="2"/>
  <c r="BF392" i="2" s="1"/>
  <c r="BF141" i="2"/>
  <c r="AR391" i="2"/>
  <c r="AR141" i="2"/>
  <c r="A1084" i="2" a="1"/>
  <c r="A1084" i="2" s="1"/>
  <c r="B1083" i="2" a="1"/>
  <c r="B1083" i="2" s="1"/>
  <c r="CA870" i="2"/>
  <c r="BE1160" i="2"/>
  <c r="BE392" i="2"/>
  <c r="AW1128" i="2"/>
  <c r="AW867" i="2"/>
  <c r="BI1144" i="1"/>
  <c r="BI395" i="1"/>
  <c r="BI396" i="1" s="1"/>
  <c r="BI397" i="1" s="1"/>
  <c r="BI398" i="1" s="1"/>
  <c r="BC391" i="2"/>
  <c r="BC141" i="2"/>
  <c r="CA1047" i="2"/>
  <c r="AG1044" i="2"/>
  <c r="CA1044" i="2" s="1"/>
  <c r="AE118" i="2"/>
  <c r="BY118" i="2" s="1"/>
  <c r="BY115" i="2"/>
  <c r="AE112" i="2"/>
  <c r="BY112" i="2" s="1"/>
  <c r="A415" i="1"/>
  <c r="B415" i="1" s="1"/>
  <c r="BO148" i="1"/>
  <c r="AF147" i="1"/>
  <c r="BO119" i="1"/>
  <c r="BP982" i="1"/>
  <c r="BJ143" i="2"/>
  <c r="BJ142" i="2" s="1"/>
  <c r="AX1144" i="1"/>
  <c r="AX395" i="1"/>
  <c r="AW1144" i="1"/>
  <c r="AW395" i="1"/>
  <c r="AW396" i="1" s="1"/>
  <c r="AW397" i="1" s="1"/>
  <c r="AW398" i="1" s="1"/>
  <c r="BP512" i="1"/>
  <c r="AG511" i="1"/>
  <c r="AG462" i="1"/>
  <c r="BN823" i="1"/>
  <c r="A1129" i="1"/>
  <c r="B1129" i="1" s="1"/>
  <c r="Y1083" i="1"/>
  <c r="Y706" i="1"/>
  <c r="Y707" i="1" s="1"/>
  <c r="Y119" i="2"/>
  <c r="AB119" i="2" s="1"/>
  <c r="AB115" i="2"/>
  <c r="AB117" i="2" s="1"/>
  <c r="AB118" i="2" s="1"/>
  <c r="AS394" i="2"/>
  <c r="AS395" i="2" s="1"/>
  <c r="A354" i="2"/>
  <c r="AW394" i="2"/>
  <c r="AW395" i="2" s="1"/>
  <c r="AO394" i="2"/>
  <c r="AO395" i="2" s="1"/>
  <c r="A116" i="2"/>
  <c r="A113" i="2"/>
  <c r="A112" i="2"/>
  <c r="AB141" i="2" a="1"/>
  <c r="AB141" i="2" s="1"/>
  <c r="A117" i="2"/>
  <c r="A118" i="2" s="1" a="1"/>
  <c r="A118" i="2" s="1"/>
  <c r="A119" i="2" s="1" a="1"/>
  <c r="A119" i="2" s="1"/>
  <c r="A120" i="2" s="1" a="1"/>
  <c r="A120" i="2" s="1"/>
  <c r="A121" i="2" s="1" a="1"/>
  <c r="A121" i="2" s="1"/>
  <c r="A122" i="2" s="1" a="1"/>
  <c r="A122" i="2" s="1"/>
  <c r="A123" i="2" s="1" a="1"/>
  <c r="A123" i="2" s="1"/>
  <c r="A124" i="2" s="1" a="1"/>
  <c r="A124" i="2" s="1"/>
  <c r="A125" i="2" s="1" a="1"/>
  <c r="A125" i="2" s="1"/>
  <c r="A109" i="2"/>
  <c r="A114" i="2"/>
  <c r="A115" i="2" s="1" a="1"/>
  <c r="A115" i="2" s="1"/>
  <c r="A348" i="2"/>
  <c r="B348" i="2" s="1" a="1"/>
  <c r="B348" i="2" s="1"/>
  <c r="A340" i="2"/>
  <c r="B340" i="2" s="1" a="1"/>
  <c r="B340" i="2" s="1"/>
  <c r="BO391" i="2"/>
  <c r="BO141" i="2"/>
  <c r="BZ144" i="2"/>
  <c r="AF143" i="2"/>
  <c r="AF97" i="2" s="1"/>
  <c r="AF428" i="2" s="1"/>
  <c r="A679" i="2" a="1"/>
  <c r="A679" i="2" s="1"/>
  <c r="B678" i="2" a="1"/>
  <c r="B678" i="2" s="1"/>
  <c r="BJ1182" i="2"/>
  <c r="BJ1020" i="2"/>
  <c r="AQ1128" i="2"/>
  <c r="AQ867" i="2"/>
  <c r="Y1082" i="2"/>
  <c r="BF1144" i="1"/>
  <c r="BF395" i="1"/>
  <c r="BF396" i="1" s="1"/>
  <c r="BF397" i="1" s="1"/>
  <c r="BF398" i="1" s="1"/>
  <c r="AV1112" i="1"/>
  <c r="AV855" i="1"/>
  <c r="BS867" i="2"/>
  <c r="BA147" i="1"/>
  <c r="BA146" i="1" s="1"/>
  <c r="BN879" i="1"/>
  <c r="AM1160" i="2"/>
  <c r="AM392" i="2"/>
  <c r="AM393" i="2" s="1"/>
  <c r="AM394" i="2" s="1"/>
  <c r="AM395" i="2" s="1"/>
  <c r="BD1112" i="1"/>
  <c r="BD1143" i="1" s="1"/>
  <c r="BD855" i="1"/>
  <c r="Y1070" i="1"/>
  <c r="Y1071" i="1" s="1"/>
  <c r="AG119" i="1"/>
  <c r="BP119" i="1" s="1"/>
  <c r="BP116" i="1"/>
  <c r="AG113" i="1"/>
  <c r="BP113" i="1" s="1"/>
  <c r="BI1112" i="1"/>
  <c r="BI1143" i="1" s="1"/>
  <c r="BI855" i="1"/>
  <c r="A681" i="1" a="1"/>
  <c r="A681" i="1" s="1"/>
  <c r="B680" i="1" a="1"/>
  <c r="B680" i="1" s="1"/>
  <c r="AT1112" i="1"/>
  <c r="AT1143" i="1" s="1"/>
  <c r="AT855" i="1"/>
  <c r="BC855" i="1"/>
  <c r="BC1112" i="1"/>
  <c r="BC1143" i="1" s="1"/>
  <c r="AH327" i="2"/>
  <c r="CB327" i="2" s="1"/>
  <c r="CB112" i="2"/>
  <c r="BR391" i="2"/>
  <c r="BR141" i="2"/>
  <c r="BY876" i="2"/>
  <c r="AE870" i="2"/>
  <c r="AG508" i="2"/>
  <c r="CA509" i="2"/>
  <c r="BD1160" i="2"/>
  <c r="BD392" i="2"/>
  <c r="AL1128" i="2"/>
  <c r="AL867" i="2"/>
  <c r="BO920" i="1"/>
  <c r="AF879" i="1"/>
  <c r="BO512" i="1"/>
  <c r="AF511" i="1"/>
  <c r="AF462" i="1"/>
  <c r="AQ855" i="1"/>
  <c r="AQ1112" i="1"/>
  <c r="BN920" i="1"/>
  <c r="BN1001" i="1"/>
  <c r="AE982" i="1"/>
  <c r="BN982" i="1" s="1"/>
  <c r="BJ320" i="2"/>
  <c r="BJ1061" i="2"/>
  <c r="CB1061" i="2" s="1"/>
  <c r="CB1060" i="2" s="1"/>
  <c r="CB321" i="2"/>
  <c r="CB320" i="2" s="1"/>
  <c r="AH142" i="2"/>
  <c r="BM392" i="2"/>
  <c r="A344" i="2" a="1"/>
  <c r="A344" i="2" s="1"/>
  <c r="B343" i="2" a="1"/>
  <c r="B343" i="2" s="1"/>
  <c r="AL143" i="2"/>
  <c r="AL142" i="2" s="1"/>
  <c r="AL391" i="2" s="1"/>
  <c r="AE508" i="2"/>
  <c r="CA273" i="2"/>
  <c r="AG254" i="2"/>
  <c r="A1094" i="2"/>
  <c r="AB867" i="2" a="1"/>
  <c r="AB867" i="2" s="1"/>
  <c r="A836" i="2"/>
  <c r="A839" i="2"/>
  <c r="A849" i="2"/>
  <c r="A835" i="2"/>
  <c r="A840" i="2"/>
  <c r="A841" i="2" s="1" a="1"/>
  <c r="A841" i="2" s="1"/>
  <c r="A842" i="2" s="1" a="1"/>
  <c r="A842" i="2" s="1"/>
  <c r="A843" i="2" s="1" a="1"/>
  <c r="A843" i="2" s="1"/>
  <c r="A844" i="2" s="1" a="1"/>
  <c r="A844" i="2" s="1"/>
  <c r="A845" i="2" s="1" a="1"/>
  <c r="A845" i="2" s="1"/>
  <c r="A846" i="2" s="1" a="1"/>
  <c r="A846" i="2" s="1"/>
  <c r="A847" i="2" s="1" a="1"/>
  <c r="A847" i="2" s="1"/>
  <c r="A848" i="2" s="1" a="1"/>
  <c r="A848" i="2" s="1"/>
  <c r="A837" i="2"/>
  <c r="A838" i="2" s="1" a="1"/>
  <c r="A838" i="2" s="1"/>
  <c r="A832" i="2"/>
  <c r="A1088" i="2"/>
  <c r="B1088" i="2" s="1" a="1"/>
  <c r="B1088" i="2" s="1"/>
  <c r="A1080" i="2"/>
  <c r="B1080" i="2" s="1" a="1"/>
  <c r="B1080" i="2" s="1"/>
  <c r="AS394" i="1"/>
  <c r="AS145" i="1"/>
  <c r="AS1112" i="1"/>
  <c r="AS855" i="1"/>
  <c r="BO864" i="1"/>
  <c r="AN391" i="2"/>
  <c r="AN374" i="2" s="1"/>
  <c r="AN141" i="2"/>
  <c r="AP110" i="2"/>
  <c r="CB110" i="2" s="1"/>
  <c r="AH507" i="2"/>
  <c r="A736" i="2" a="1"/>
  <c r="A736" i="2" s="1"/>
  <c r="B735" i="2" a="1"/>
  <c r="B735" i="2" s="1"/>
  <c r="AG994" i="2"/>
  <c r="CA994" i="2" s="1"/>
  <c r="AI1144" i="1"/>
  <c r="AI1143" i="1" s="1"/>
  <c r="AO1166" i="1"/>
  <c r="BO1165" i="1"/>
  <c r="BO1166" i="1" s="1"/>
  <c r="BO1167" i="1"/>
  <c r="AL1144" i="1"/>
  <c r="AL395" i="1"/>
  <c r="BN829" i="1"/>
  <c r="BN976" i="1"/>
  <c r="AE973" i="1"/>
  <c r="BN973" i="1" s="1"/>
  <c r="AF118" i="2"/>
  <c r="BZ118" i="2" s="1"/>
  <c r="BZ115" i="2"/>
  <c r="AF112" i="2"/>
  <c r="BZ112" i="2" s="1"/>
  <c r="A409" i="2"/>
  <c r="B409" i="2" s="1"/>
  <c r="A408" i="2"/>
  <c r="B408" i="2" s="1" a="1"/>
  <c r="B408" i="2" s="1"/>
  <c r="A400" i="2"/>
  <c r="B400" i="2" s="1" a="1"/>
  <c r="B400" i="2" s="1"/>
  <c r="A412" i="2"/>
  <c r="B412" i="2" s="1"/>
  <c r="A401" i="2"/>
  <c r="B401" i="2" s="1"/>
  <c r="A397" i="2"/>
  <c r="B397" i="2" s="1" a="1"/>
  <c r="B397" i="2" s="1"/>
  <c r="A395" i="2"/>
  <c r="B395" i="2" s="1" a="1"/>
  <c r="B395" i="2" s="1"/>
  <c r="A404" i="2"/>
  <c r="B404" i="2" s="1"/>
  <c r="A405" i="2"/>
  <c r="B405" i="2" s="1" a="1"/>
  <c r="B405" i="2" s="1"/>
  <c r="A392" i="2"/>
  <c r="B392" i="2" s="1" a="1"/>
  <c r="B392" i="2" s="1"/>
  <c r="A406" i="2"/>
  <c r="B406" i="2" s="1" a="1"/>
  <c r="B406" i="2" s="1"/>
  <c r="A411" i="2"/>
  <c r="B411" i="2" s="1"/>
  <c r="A407" i="2"/>
  <c r="B407" i="2" s="1" a="1"/>
  <c r="B407" i="2" s="1"/>
  <c r="A399" i="2"/>
  <c r="B399" i="2" s="1" a="1"/>
  <c r="B399" i="2" s="1"/>
  <c r="A398" i="2"/>
  <c r="B398" i="2" s="1" a="1"/>
  <c r="B398" i="2" s="1"/>
  <c r="B393" i="2"/>
  <c r="B394" i="2"/>
  <c r="A403" i="2"/>
  <c r="B403" i="2" s="1"/>
  <c r="A410" i="2"/>
  <c r="B410" i="2" s="1"/>
  <c r="A402" i="2"/>
  <c r="B402" i="2" s="1"/>
  <c r="AI391" i="2"/>
  <c r="AI141" i="2"/>
  <c r="BY1183" i="2"/>
  <c r="AE1182" i="2"/>
  <c r="BY1181" i="2"/>
  <c r="BY1182" i="2" s="1"/>
  <c r="AJ1160" i="2"/>
  <c r="AJ392" i="2"/>
  <c r="AK144" i="2"/>
  <c r="CA165" i="2"/>
  <c r="BJ1144" i="1"/>
  <c r="BJ395" i="1"/>
  <c r="AZ1143" i="1"/>
  <c r="AU1143" i="1"/>
  <c r="AV1144" i="1"/>
  <c r="AV395" i="1"/>
  <c r="AR1112" i="1"/>
  <c r="AR1143" i="1" s="1"/>
  <c r="AR855" i="1"/>
  <c r="AH857" i="1"/>
  <c r="AH856" i="1" s="1"/>
  <c r="BV1160" i="2"/>
  <c r="BV392" i="2"/>
  <c r="AM1144" i="1"/>
  <c r="AM1143" i="1" s="1"/>
  <c r="AM395" i="1"/>
  <c r="AW856" i="1"/>
  <c r="BT1160" i="2"/>
  <c r="BT392" i="2"/>
  <c r="BP1160" i="2"/>
  <c r="BP392" i="2"/>
  <c r="AZ1160" i="2"/>
  <c r="AZ392" i="2"/>
  <c r="BI867" i="2" l="1"/>
  <c r="BC1128" i="2"/>
  <c r="CB1182" i="2"/>
  <c r="BU867" i="2"/>
  <c r="AV1128" i="2"/>
  <c r="AV1159" i="2" s="1"/>
  <c r="BQ1128" i="2"/>
  <c r="BQ867" i="2"/>
  <c r="CB1047" i="2"/>
  <c r="CB876" i="2"/>
  <c r="CB870" i="2"/>
  <c r="BI392" i="2"/>
  <c r="AO1159" i="2"/>
  <c r="AO867" i="2"/>
  <c r="BK1128" i="2"/>
  <c r="BK1159" i="2" s="1"/>
  <c r="BE867" i="2"/>
  <c r="AI867" i="2"/>
  <c r="AX1159" i="2"/>
  <c r="BL1128" i="2"/>
  <c r="AX867" i="2"/>
  <c r="BV867" i="2"/>
  <c r="BG1159" i="2"/>
  <c r="BA1159" i="2"/>
  <c r="BV1128" i="2"/>
  <c r="AW1159" i="2"/>
  <c r="BT1128" i="2"/>
  <c r="BT1159" i="2" s="1"/>
  <c r="BT867" i="2"/>
  <c r="BP867" i="2"/>
  <c r="BP1128" i="2"/>
  <c r="BP1159" i="2" s="1"/>
  <c r="BG867" i="2"/>
  <c r="AM1128" i="2"/>
  <c r="AM1159" i="2" s="1"/>
  <c r="AU867" i="2"/>
  <c r="AJ1159" i="2"/>
  <c r="AJ867" i="2"/>
  <c r="AN867" i="2"/>
  <c r="BF868" i="2"/>
  <c r="BF1128" i="2" s="1"/>
  <c r="BY509" i="2"/>
  <c r="BH867" i="2"/>
  <c r="AR869" i="2"/>
  <c r="AR868" i="2" s="1"/>
  <c r="AR1128" i="2" s="1"/>
  <c r="BE1159" i="2"/>
  <c r="BQ1160" i="2"/>
  <c r="BQ392" i="2"/>
  <c r="BR867" i="2"/>
  <c r="BL1160" i="2"/>
  <c r="BL392" i="2"/>
  <c r="AS1160" i="2"/>
  <c r="AS1159" i="2" s="1"/>
  <c r="AS392" i="2"/>
  <c r="AZ1128" i="2"/>
  <c r="AZ1159" i="2" s="1"/>
  <c r="AV392" i="2"/>
  <c r="Y695" i="1"/>
  <c r="AP1144" i="1"/>
  <c r="AP1143" i="1" s="1"/>
  <c r="AP395" i="1"/>
  <c r="AQ1144" i="1"/>
  <c r="AQ1143" i="1" s="1"/>
  <c r="AQ395" i="1"/>
  <c r="AQ396" i="1" s="1"/>
  <c r="AQ397" i="1" s="1"/>
  <c r="AQ398" i="1" s="1"/>
  <c r="BD1128" i="2"/>
  <c r="BD1159" i="2" s="1"/>
  <c r="BD867" i="2"/>
  <c r="BF1112" i="1"/>
  <c r="BF855" i="1"/>
  <c r="BF1143" i="1"/>
  <c r="BG1144" i="1"/>
  <c r="BG1143" i="1" s="1"/>
  <c r="BG395" i="1"/>
  <c r="BH1144" i="1"/>
  <c r="BH1143" i="1" s="1"/>
  <c r="BH395" i="1"/>
  <c r="Y680" i="2"/>
  <c r="AS1144" i="1"/>
  <c r="AS1143" i="1" s="1"/>
  <c r="AS395" i="1"/>
  <c r="A834" i="2"/>
  <c r="A833" i="2"/>
  <c r="B833" i="2"/>
  <c r="B834" i="2"/>
  <c r="A853" i="2"/>
  <c r="A850" i="2"/>
  <c r="A854" i="2" a="1"/>
  <c r="A854" i="2" s="1"/>
  <c r="A855" i="2" s="1" a="1"/>
  <c r="A855" i="2" s="1"/>
  <c r="A856" i="2" s="1" a="1"/>
  <c r="A856" i="2" s="1"/>
  <c r="A857" i="2" s="1" a="1"/>
  <c r="A857" i="2" s="1"/>
  <c r="A858" i="2" s="1" a="1"/>
  <c r="A858" i="2" s="1"/>
  <c r="A859" i="2" s="1" a="1"/>
  <c r="A859" i="2" s="1"/>
  <c r="A860" i="2" s="1" a="1"/>
  <c r="A860" i="2" s="1"/>
  <c r="A861" i="2" s="1" a="1"/>
  <c r="A861" i="2" s="1"/>
  <c r="A862" i="2" s="1" a="1"/>
  <c r="A862" i="2" s="1"/>
  <c r="A863" i="2" s="1" a="1"/>
  <c r="A863" i="2" s="1"/>
  <c r="A864" i="2" s="1" a="1"/>
  <c r="A864" i="2" s="1"/>
  <c r="A865" i="2" s="1" a="1"/>
  <c r="A865" i="2" s="1"/>
  <c r="A866" i="2" s="1" a="1"/>
  <c r="A866" i="2" s="1"/>
  <c r="A852" i="2"/>
  <c r="A851" i="2"/>
  <c r="B850" i="2"/>
  <c r="B851" i="2"/>
  <c r="A1095" i="2" a="1"/>
  <c r="A1095" i="2" s="1"/>
  <c r="B1095" i="2" s="1" a="1"/>
  <c r="B1095" i="2" s="1"/>
  <c r="B1094" i="2" a="1"/>
  <c r="B1094" i="2" s="1"/>
  <c r="A345" i="2" a="1"/>
  <c r="A345" i="2" s="1"/>
  <c r="B344" i="2" a="1"/>
  <c r="B344" i="2" s="1"/>
  <c r="AH391" i="2"/>
  <c r="AH141" i="2"/>
  <c r="BO879" i="1"/>
  <c r="AF858" i="1"/>
  <c r="BY870" i="2"/>
  <c r="AE869" i="2"/>
  <c r="AE820" i="2" s="1"/>
  <c r="AB375" i="2"/>
  <c r="AB142" i="2"/>
  <c r="AB371" i="2"/>
  <c r="AB372" i="2"/>
  <c r="AB373" i="2" s="1"/>
  <c r="BJ391" i="2"/>
  <c r="BJ141" i="2"/>
  <c r="BO147" i="1"/>
  <c r="AG104" i="1"/>
  <c r="AG100" i="1" s="1"/>
  <c r="AF146" i="1"/>
  <c r="AL1143" i="1"/>
  <c r="AX1143" i="1"/>
  <c r="AB844" i="2"/>
  <c r="AB843" i="2"/>
  <c r="AB672" i="1"/>
  <c r="AB655" i="1"/>
  <c r="AB656" i="1" s="1"/>
  <c r="AB657" i="1" s="1"/>
  <c r="AB658" i="1" s="1"/>
  <c r="AB511" i="1"/>
  <c r="AB727" i="1"/>
  <c r="AB731" i="1"/>
  <c r="AB728" i="1"/>
  <c r="AB724" i="1"/>
  <c r="A426" i="2" a="1"/>
  <c r="A426" i="2" s="1"/>
  <c r="A424" i="2" a="1"/>
  <c r="A424" i="2" s="1"/>
  <c r="B422" i="2" a="1"/>
  <c r="B422" i="2" s="1"/>
  <c r="A420" i="2" a="1"/>
  <c r="A420" i="2" s="1"/>
  <c r="B418" i="2" a="1"/>
  <c r="B418" i="2" s="1"/>
  <c r="A416" i="2" a="1"/>
  <c r="A416" i="2" s="1"/>
  <c r="B425" i="2" a="1"/>
  <c r="B425" i="2" s="1"/>
  <c r="A423" i="2" a="1"/>
  <c r="A423" i="2" s="1"/>
  <c r="B421" i="2" a="1"/>
  <c r="B421" i="2" s="1"/>
  <c r="A419" i="2" a="1"/>
  <c r="A419" i="2" s="1"/>
  <c r="B417" i="2" a="1"/>
  <c r="B417" i="2" s="1"/>
  <c r="A415" i="2" a="1"/>
  <c r="A415" i="2" s="1"/>
  <c r="A425" i="2" a="1"/>
  <c r="A425" i="2" s="1"/>
  <c r="B423" i="2" a="1"/>
  <c r="B423" i="2" s="1"/>
  <c r="A421" i="2" a="1"/>
  <c r="A421" i="2" s="1"/>
  <c r="B419" i="2" a="1"/>
  <c r="B419" i="2" s="1"/>
  <c r="A417" i="2" a="1"/>
  <c r="A417" i="2" s="1"/>
  <c r="B415" i="2" a="1"/>
  <c r="B415" i="2" s="1"/>
  <c r="A422" i="2" a="1"/>
  <c r="A422" i="2" s="1"/>
  <c r="B420" i="2" a="1"/>
  <c r="B420" i="2" s="1"/>
  <c r="B426" i="2" a="1"/>
  <c r="B426" i="2" s="1"/>
  <c r="B424" i="2" a="1"/>
  <c r="B424" i="2" s="1"/>
  <c r="A418" i="2" a="1"/>
  <c r="A418" i="2" s="1"/>
  <c r="B416" i="2" a="1"/>
  <c r="B416" i="2" s="1"/>
  <c r="A822" i="1"/>
  <c r="A821" i="1"/>
  <c r="B821" i="1"/>
  <c r="B822" i="1"/>
  <c r="AQ1160" i="2"/>
  <c r="AQ1159" i="2" s="1"/>
  <c r="AQ392" i="2"/>
  <c r="AQ393" i="2" s="1"/>
  <c r="AQ394" i="2" s="1"/>
  <c r="AQ395" i="2" s="1"/>
  <c r="BN147" i="1"/>
  <c r="AE146" i="1"/>
  <c r="BH1160" i="2"/>
  <c r="BH1159" i="2" s="1"/>
  <c r="BH392" i="2"/>
  <c r="Y1072" i="1"/>
  <c r="AH1144" i="1"/>
  <c r="AH395" i="1"/>
  <c r="AH396" i="1" s="1"/>
  <c r="AH397" i="1" s="1"/>
  <c r="AH398" i="1" s="1"/>
  <c r="Y1083" i="2"/>
  <c r="AK143" i="2"/>
  <c r="AK142" i="2" s="1"/>
  <c r="CA144" i="2"/>
  <c r="AP111" i="2"/>
  <c r="CB111" i="2" s="1"/>
  <c r="CA254" i="2"/>
  <c r="AG143" i="2"/>
  <c r="AG97" i="2" s="1"/>
  <c r="AL141" i="2"/>
  <c r="A680" i="2" a="1"/>
  <c r="A680" i="2" s="1"/>
  <c r="B679" i="2" a="1"/>
  <c r="B679" i="2" s="1"/>
  <c r="AB121" i="2"/>
  <c r="AB120" i="2"/>
  <c r="AG869" i="2"/>
  <c r="AG820" i="2" s="1"/>
  <c r="AR1160" i="2"/>
  <c r="AR392" i="2"/>
  <c r="BE1144" i="1"/>
  <c r="BE1143" i="1" s="1"/>
  <c r="BE395" i="1"/>
  <c r="BB994" i="2"/>
  <c r="A738" i="1" a="1"/>
  <c r="A738" i="1" s="1"/>
  <c r="B737" i="1" a="1"/>
  <c r="B737" i="1" s="1"/>
  <c r="BB509" i="2"/>
  <c r="CB510" i="2"/>
  <c r="BJ1143" i="1"/>
  <c r="AB758" i="1"/>
  <c r="AB763" i="1" s="1"/>
  <c r="AB742" i="1"/>
  <c r="AB738" i="1"/>
  <c r="AB736" i="1"/>
  <c r="AB741" i="1"/>
  <c r="AB737" i="1"/>
  <c r="AB735" i="1"/>
  <c r="A1073" i="1" a="1"/>
  <c r="A1073" i="1" s="1"/>
  <c r="B1072" i="1" a="1"/>
  <c r="B1072" i="1" s="1"/>
  <c r="BN858" i="1"/>
  <c r="AE857" i="1"/>
  <c r="AE808" i="1" s="1"/>
  <c r="Y679" i="1"/>
  <c r="Y680" i="1" s="1"/>
  <c r="CB621" i="2"/>
  <c r="BJ602" i="2"/>
  <c r="BZ508" i="2"/>
  <c r="AF507" i="2"/>
  <c r="AB1099" i="1"/>
  <c r="AB1100" i="1"/>
  <c r="AB1101" i="1" s="1"/>
  <c r="AB1103" i="1"/>
  <c r="AB856" i="1"/>
  <c r="AG147" i="1"/>
  <c r="AG101" i="1" s="1"/>
  <c r="BU1159" i="2"/>
  <c r="AB499" i="2"/>
  <c r="AB498" i="2"/>
  <c r="AB500" i="2"/>
  <c r="AO1144" i="1"/>
  <c r="AO1143" i="1" s="1"/>
  <c r="AO395" i="1"/>
  <c r="A112" i="1"/>
  <c r="A111" i="1"/>
  <c r="B112" i="1"/>
  <c r="B111" i="1"/>
  <c r="AS397" i="1"/>
  <c r="AS398" i="1" s="1"/>
  <c r="BY143" i="2"/>
  <c r="AE142" i="2"/>
  <c r="Y708" i="1"/>
  <c r="Y711" i="1" s="1"/>
  <c r="Y351" i="1"/>
  <c r="AW1112" i="1"/>
  <c r="AW1143" i="1" s="1"/>
  <c r="AW855" i="1"/>
  <c r="AH1112" i="1"/>
  <c r="AH1143" i="1" s="1"/>
  <c r="AH855" i="1"/>
  <c r="AI1160" i="2"/>
  <c r="AI1159" i="2" s="1"/>
  <c r="AI392" i="2"/>
  <c r="AI393" i="2" s="1"/>
  <c r="AI394" i="2" s="1"/>
  <c r="AI395" i="2" s="1"/>
  <c r="AH767" i="2"/>
  <c r="BJ1060" i="2"/>
  <c r="BO511" i="1"/>
  <c r="AF510" i="1"/>
  <c r="BA394" i="1"/>
  <c r="BA145" i="1"/>
  <c r="BO1160" i="2"/>
  <c r="BO1159" i="2" s="1"/>
  <c r="BO392" i="2"/>
  <c r="BO393" i="2" s="1"/>
  <c r="BO394" i="2" s="1"/>
  <c r="BO395" i="2" s="1"/>
  <c r="A110" i="2"/>
  <c r="A111" i="2"/>
  <c r="B111" i="2"/>
  <c r="B110" i="2"/>
  <c r="A355" i="2" a="1"/>
  <c r="A355" i="2" s="1"/>
  <c r="B355" i="2" s="1" a="1"/>
  <c r="B355" i="2" s="1"/>
  <c r="B354" i="2" a="1"/>
  <c r="B354" i="2" s="1"/>
  <c r="AG510" i="1"/>
  <c r="BP511" i="1"/>
  <c r="Y1084" i="1"/>
  <c r="AH868" i="2"/>
  <c r="AH1128" i="2" s="1"/>
  <c r="AT1160" i="2"/>
  <c r="AT1159" i="2" s="1"/>
  <c r="AT392" i="2"/>
  <c r="Y1073" i="1"/>
  <c r="Y357" i="2"/>
  <c r="Y358" i="2" s="1"/>
  <c r="Y359" i="2" s="1"/>
  <c r="AB502" i="1"/>
  <c r="AB501" i="1"/>
  <c r="AB500" i="1"/>
  <c r="AG98" i="1"/>
  <c r="AG430" i="1" s="1"/>
  <c r="AF1044" i="2"/>
  <c r="BZ1047" i="2"/>
  <c r="AY1160" i="2"/>
  <c r="AY1159" i="2" s="1"/>
  <c r="AY392" i="2"/>
  <c r="AY393" i="2" s="1"/>
  <c r="AY394" i="2" s="1"/>
  <c r="AY395" i="2" s="1"/>
  <c r="AB379" i="1"/>
  <c r="AB376" i="1"/>
  <c r="AB377" i="1" s="1"/>
  <c r="AB375" i="1"/>
  <c r="AB146" i="1"/>
  <c r="A349" i="1" a="1"/>
  <c r="A349" i="1" s="1"/>
  <c r="B348" i="1" a="1"/>
  <c r="B348" i="1" s="1"/>
  <c r="AB730" i="2"/>
  <c r="AB731" i="2" s="1"/>
  <c r="AB732" i="2"/>
  <c r="AB714" i="2"/>
  <c r="AB721" i="2"/>
  <c r="AB508" i="2"/>
  <c r="AY858" i="1"/>
  <c r="BP879" i="1"/>
  <c r="Y706" i="2"/>
  <c r="Y709" i="2" s="1"/>
  <c r="Y710" i="2" s="1"/>
  <c r="Y352" i="1"/>
  <c r="A737" i="2" a="1"/>
  <c r="A737" i="2" s="1"/>
  <c r="B736" i="2" a="1"/>
  <c r="B736" i="2" s="1"/>
  <c r="AN1160" i="2"/>
  <c r="AN1159" i="2" s="1"/>
  <c r="AN392" i="2"/>
  <c r="AB1115" i="2"/>
  <c r="AB1112" i="2"/>
  <c r="AB1113" i="2" s="1"/>
  <c r="AB1111" i="2"/>
  <c r="AB868" i="2"/>
  <c r="AE507" i="2"/>
  <c r="BY508" i="2"/>
  <c r="CA508" i="2"/>
  <c r="AG507" i="2"/>
  <c r="BR1160" i="2"/>
  <c r="BR1159" i="2" s="1"/>
  <c r="BR392" i="2"/>
  <c r="A682" i="1" a="1"/>
  <c r="A682" i="1" s="1"/>
  <c r="B681" i="1" a="1"/>
  <c r="B681" i="1" s="1"/>
  <c r="AV1143" i="1"/>
  <c r="BJ1013" i="2"/>
  <c r="CB1013" i="2" s="1"/>
  <c r="AG103" i="2"/>
  <c r="AG99" i="2" s="1"/>
  <c r="AF142" i="2"/>
  <c r="BZ143" i="2"/>
  <c r="A1141" i="1" a="1"/>
  <c r="A1141" i="1" s="1"/>
  <c r="B1139" i="1" a="1"/>
  <c r="B1139" i="1" s="1"/>
  <c r="A1137" i="1" a="1"/>
  <c r="A1137" i="1" s="1"/>
  <c r="B1135" i="1" a="1"/>
  <c r="B1135" i="1" s="1"/>
  <c r="A1133" i="1" a="1"/>
  <c r="A1133" i="1" s="1"/>
  <c r="B1131" i="1" a="1"/>
  <c r="B1131" i="1" s="1"/>
  <c r="B1141" i="1" a="1"/>
  <c r="B1141" i="1" s="1"/>
  <c r="A1139" i="1" a="1"/>
  <c r="A1139" i="1" s="1"/>
  <c r="B1137" i="1" a="1"/>
  <c r="B1137" i="1" s="1"/>
  <c r="A1135" i="1" a="1"/>
  <c r="A1135" i="1" s="1"/>
  <c r="B1133" i="1" a="1"/>
  <c r="B1133" i="1" s="1"/>
  <c r="A1131" i="1" a="1"/>
  <c r="A1131" i="1" s="1"/>
  <c r="B1142" i="1" a="1"/>
  <c r="B1142" i="1" s="1"/>
  <c r="B1140" i="1" a="1"/>
  <c r="B1140" i="1" s="1"/>
  <c r="A1138" i="1" a="1"/>
  <c r="A1138" i="1" s="1"/>
  <c r="B1136" i="1" a="1"/>
  <c r="B1136" i="1" s="1"/>
  <c r="A1134" i="1" a="1"/>
  <c r="A1134" i="1" s="1"/>
  <c r="B1132" i="1" a="1"/>
  <c r="B1132" i="1" s="1"/>
  <c r="A1136" i="1" a="1"/>
  <c r="A1136" i="1" s="1"/>
  <c r="B1134" i="1" a="1"/>
  <c r="B1134" i="1" s="1"/>
  <c r="A1142" i="1" a="1"/>
  <c r="A1142" i="1" s="1"/>
  <c r="A1140" i="1" a="1"/>
  <c r="A1140" i="1" s="1"/>
  <c r="B1138" i="1" a="1"/>
  <c r="B1138" i="1" s="1"/>
  <c r="A1132" i="1" a="1"/>
  <c r="A1132" i="1" s="1"/>
  <c r="AF98" i="1"/>
  <c r="AF430" i="1" s="1"/>
  <c r="B428" i="1" a="1"/>
  <c r="B428" i="1" s="1"/>
  <c r="B426" i="1" a="1"/>
  <c r="B426" i="1" s="1"/>
  <c r="A424" i="1" a="1"/>
  <c r="A424" i="1" s="1"/>
  <c r="B422" i="1" a="1"/>
  <c r="B422" i="1" s="1"/>
  <c r="A420" i="1" a="1"/>
  <c r="A420" i="1" s="1"/>
  <c r="B418" i="1" a="1"/>
  <c r="B418" i="1" s="1"/>
  <c r="A427" i="1" a="1"/>
  <c r="A427" i="1" s="1"/>
  <c r="B425" i="1" a="1"/>
  <c r="B425" i="1" s="1"/>
  <c r="A423" i="1" a="1"/>
  <c r="A423" i="1" s="1"/>
  <c r="B421" i="1" a="1"/>
  <c r="B421" i="1" s="1"/>
  <c r="A419" i="1" a="1"/>
  <c r="A419" i="1" s="1"/>
  <c r="B417" i="1" a="1"/>
  <c r="B417" i="1" s="1"/>
  <c r="B427" i="1" a="1"/>
  <c r="B427" i="1" s="1"/>
  <c r="A425" i="1" a="1"/>
  <c r="A425" i="1" s="1"/>
  <c r="B423" i="1" a="1"/>
  <c r="B423" i="1" s="1"/>
  <c r="A421" i="1" a="1"/>
  <c r="A421" i="1" s="1"/>
  <c r="B419" i="1" a="1"/>
  <c r="B419" i="1" s="1"/>
  <c r="A417" i="1" a="1"/>
  <c r="A417" i="1" s="1"/>
  <c r="A426" i="1" a="1"/>
  <c r="A426" i="1" s="1"/>
  <c r="B424" i="1" a="1"/>
  <c r="B424" i="1" s="1"/>
  <c r="A418" i="1" a="1"/>
  <c r="A418" i="1" s="1"/>
  <c r="A422" i="1" a="1"/>
  <c r="A422" i="1" s="1"/>
  <c r="B420" i="1" a="1"/>
  <c r="B420" i="1" s="1"/>
  <c r="A428" i="1" a="1"/>
  <c r="A428" i="1" s="1"/>
  <c r="BC1160" i="2"/>
  <c r="BC1159" i="2" s="1"/>
  <c r="BC392" i="2"/>
  <c r="BC393" i="2" s="1"/>
  <c r="BC394" i="2" s="1"/>
  <c r="BC395" i="2" s="1"/>
  <c r="A1085" i="2" a="1"/>
  <c r="A1085" i="2" s="1"/>
  <c r="B1084" i="2" a="1"/>
  <c r="B1084" i="2" s="1"/>
  <c r="BF1160" i="2"/>
  <c r="AK1143" i="1"/>
  <c r="BM1159" i="2"/>
  <c r="BO1035" i="1"/>
  <c r="AF1032" i="1"/>
  <c r="BO1032" i="1" s="1"/>
  <c r="BN1166" i="1"/>
  <c r="BB392" i="2"/>
  <c r="A1158" i="2" a="1"/>
  <c r="A1158" i="2" s="1"/>
  <c r="A1155" i="2" a="1"/>
  <c r="A1155" i="2" s="1"/>
  <c r="A1154" i="2" a="1"/>
  <c r="A1154" i="2" s="1"/>
  <c r="B1153" i="2" a="1"/>
  <c r="B1153" i="2" s="1"/>
  <c r="A1152" i="2" a="1"/>
  <c r="A1152" i="2" s="1"/>
  <c r="B1151" i="2" a="1"/>
  <c r="B1151" i="2" s="1"/>
  <c r="A1150" i="2" a="1"/>
  <c r="A1150" i="2" s="1"/>
  <c r="B1149" i="2" a="1"/>
  <c r="B1149" i="2" s="1"/>
  <c r="A1148" i="2" a="1"/>
  <c r="A1148" i="2" s="1"/>
  <c r="B1147" i="2" a="1"/>
  <c r="B1147" i="2" s="1"/>
  <c r="B1157" i="2" a="1"/>
  <c r="B1157" i="2" s="1"/>
  <c r="B1158" i="2" a="1"/>
  <c r="B1158" i="2" s="1"/>
  <c r="B1156" i="2" a="1"/>
  <c r="B1156" i="2" s="1"/>
  <c r="B1155" i="2" a="1"/>
  <c r="B1155" i="2" s="1"/>
  <c r="A1153" i="2" a="1"/>
  <c r="A1153" i="2" s="1"/>
  <c r="B1152" i="2" a="1"/>
  <c r="B1152" i="2" s="1"/>
  <c r="A1151" i="2" a="1"/>
  <c r="A1151" i="2" s="1"/>
  <c r="B1150" i="2" a="1"/>
  <c r="B1150" i="2" s="1"/>
  <c r="A1149" i="2" a="1"/>
  <c r="A1149" i="2" s="1"/>
  <c r="B1148" i="2" a="1"/>
  <c r="B1148" i="2" s="1"/>
  <c r="A1147" i="2" a="1"/>
  <c r="A1147" i="2" s="1"/>
  <c r="B1154" i="2" a="1"/>
  <c r="B1154" i="2" s="1"/>
  <c r="A1157" i="2" a="1"/>
  <c r="A1157" i="2" s="1"/>
  <c r="A1156" i="2" a="1"/>
  <c r="A1156" i="2" s="1"/>
  <c r="AN1143" i="1"/>
  <c r="Y343" i="2"/>
  <c r="Y344" i="2" s="1"/>
  <c r="Y345" i="2" s="1"/>
  <c r="Y696" i="1"/>
  <c r="BB1144" i="1"/>
  <c r="BB1143" i="1" s="1"/>
  <c r="BB395" i="1"/>
  <c r="BI1159" i="2"/>
  <c r="BS1160" i="2"/>
  <c r="BS1159" i="2" s="1"/>
  <c r="BS392" i="2"/>
  <c r="BS393" i="2" s="1"/>
  <c r="BS394" i="2" s="1"/>
  <c r="BS395" i="2" s="1"/>
  <c r="A842" i="1" a="1"/>
  <c r="A842" i="1" s="1"/>
  <c r="A843" i="1" s="1" a="1"/>
  <c r="A843" i="1" s="1"/>
  <c r="A844" i="1" s="1" a="1"/>
  <c r="A844" i="1" s="1"/>
  <c r="A845" i="1" s="1" a="1"/>
  <c r="A845" i="1" s="1"/>
  <c r="A846" i="1" s="1" a="1"/>
  <c r="A846" i="1" s="1"/>
  <c r="A847" i="1" s="1" a="1"/>
  <c r="A847" i="1" s="1"/>
  <c r="A848" i="1" s="1" a="1"/>
  <c r="A848" i="1" s="1"/>
  <c r="A849" i="1" s="1" a="1"/>
  <c r="A849" i="1" s="1"/>
  <c r="A850" i="1" s="1" a="1"/>
  <c r="A850" i="1" s="1"/>
  <c r="A851" i="1" s="1" a="1"/>
  <c r="A851" i="1" s="1"/>
  <c r="A852" i="1" s="1" a="1"/>
  <c r="A852" i="1" s="1"/>
  <c r="A853" i="1" s="1" a="1"/>
  <c r="A853" i="1" s="1"/>
  <c r="A854" i="1" s="1" a="1"/>
  <c r="A854" i="1" s="1"/>
  <c r="A839" i="1"/>
  <c r="A840" i="1"/>
  <c r="A841" i="1"/>
  <c r="A838" i="1"/>
  <c r="B838" i="1"/>
  <c r="B839" i="1"/>
  <c r="B1082" i="1" a="1"/>
  <c r="B1082" i="1" s="1"/>
  <c r="A1083" i="1" a="1"/>
  <c r="A1083" i="1" s="1"/>
  <c r="B1083" i="1" s="1" a="1"/>
  <c r="B1083" i="1" s="1"/>
  <c r="BP976" i="1"/>
  <c r="AG973" i="1"/>
  <c r="BN511" i="1"/>
  <c r="AE510" i="1"/>
  <c r="A131" i="1"/>
  <c r="A128" i="1"/>
  <c r="A132" i="1" a="1"/>
  <c r="A132" i="1" s="1"/>
  <c r="A133" i="1" s="1" a="1"/>
  <c r="A133" i="1" s="1"/>
  <c r="A134" i="1" s="1" a="1"/>
  <c r="A134" i="1" s="1"/>
  <c r="A135" i="1" s="1" a="1"/>
  <c r="A135" i="1" s="1"/>
  <c r="A136" i="1" s="1" a="1"/>
  <c r="A136" i="1" s="1"/>
  <c r="A137" i="1" s="1" a="1"/>
  <c r="A137" i="1" s="1"/>
  <c r="A138" i="1" s="1" a="1"/>
  <c r="A138" i="1" s="1"/>
  <c r="A139" i="1" s="1" a="1"/>
  <c r="A139" i="1" s="1"/>
  <c r="A140" i="1" s="1" a="1"/>
  <c r="A140" i="1" s="1"/>
  <c r="A141" i="1" s="1" a="1"/>
  <c r="A141" i="1" s="1"/>
  <c r="A142" i="1" s="1" a="1"/>
  <c r="A142" i="1" s="1"/>
  <c r="A143" i="1" s="1" a="1"/>
  <c r="A143" i="1" s="1"/>
  <c r="A144" i="1" s="1" a="1"/>
  <c r="A144" i="1" s="1"/>
  <c r="A129" i="1"/>
  <c r="A130" i="1"/>
  <c r="B129" i="1"/>
  <c r="B128" i="1"/>
  <c r="B358" i="1" a="1"/>
  <c r="B358" i="1" s="1"/>
  <c r="A359" i="1" a="1"/>
  <c r="A359" i="1" s="1"/>
  <c r="B359" i="1" s="1" a="1"/>
  <c r="B359" i="1" s="1"/>
  <c r="AU1160" i="2"/>
  <c r="AU1159" i="2" s="1"/>
  <c r="AU392" i="2"/>
  <c r="AU393" i="2" s="1"/>
  <c r="AU394" i="2" s="1"/>
  <c r="AU395" i="2" s="1"/>
  <c r="AJ1144" i="1"/>
  <c r="AJ1143" i="1" s="1"/>
  <c r="AJ395" i="1"/>
  <c r="A474" i="2"/>
  <c r="A473" i="2"/>
  <c r="B473" i="2"/>
  <c r="B474" i="2"/>
  <c r="A491" i="2"/>
  <c r="A494" i="2" a="1"/>
  <c r="A494" i="2" s="1"/>
  <c r="A495" i="2" s="1" a="1"/>
  <c r="A495" i="2" s="1"/>
  <c r="A496" i="2" s="1" a="1"/>
  <c r="A496" i="2" s="1"/>
  <c r="A497" i="2" s="1" a="1"/>
  <c r="A497" i="2" s="1"/>
  <c r="A498" i="2" s="1" a="1"/>
  <c r="A498" i="2" s="1"/>
  <c r="A499" i="2" s="1" a="1"/>
  <c r="A499" i="2" s="1"/>
  <c r="A500" i="2" s="1" a="1"/>
  <c r="A500" i="2" s="1"/>
  <c r="A501" i="2" s="1" a="1"/>
  <c r="A501" i="2" s="1"/>
  <c r="A502" i="2" s="1" a="1"/>
  <c r="A502" i="2" s="1"/>
  <c r="A503" i="2" s="1" a="1"/>
  <c r="A503" i="2" s="1"/>
  <c r="A504" i="2" s="1" a="1"/>
  <c r="A504" i="2" s="1"/>
  <c r="A505" i="2" s="1" a="1"/>
  <c r="A505" i="2" s="1"/>
  <c r="A506" i="2" s="1" a="1"/>
  <c r="A506" i="2" s="1"/>
  <c r="A493" i="2"/>
  <c r="A490" i="2"/>
  <c r="A492" i="2"/>
  <c r="B491" i="2"/>
  <c r="B490" i="2"/>
  <c r="A690" i="2" a="1"/>
  <c r="A690" i="2" s="1"/>
  <c r="B690" i="2" s="1" a="1"/>
  <c r="B690" i="2" s="1"/>
  <c r="B689" i="2" a="1"/>
  <c r="B689" i="2" s="1"/>
  <c r="AP391" i="2"/>
  <c r="AP141" i="2"/>
  <c r="BV1159" i="2"/>
  <c r="BQ1159" i="2" l="1"/>
  <c r="AL1160" i="2"/>
  <c r="AL1159" i="2" s="1"/>
  <c r="AL392" i="2"/>
  <c r="BL1159" i="2"/>
  <c r="BF867" i="2"/>
  <c r="AR867" i="2"/>
  <c r="AG100" i="2"/>
  <c r="AR1159" i="2"/>
  <c r="Y712" i="1"/>
  <c r="Y681" i="1"/>
  <c r="Y682" i="1" s="1"/>
  <c r="Y681" i="2"/>
  <c r="Y682" i="2" s="1"/>
  <c r="Y683" i="2" s="1"/>
  <c r="Y711" i="2"/>
  <c r="AB764" i="1"/>
  <c r="AB765" i="1"/>
  <c r="AB766" i="1"/>
  <c r="AB767" i="1" s="1"/>
  <c r="Y713" i="1"/>
  <c r="Y714" i="1" s="1"/>
  <c r="A683" i="1" a="1"/>
  <c r="A683" i="1" s="1"/>
  <c r="B683" i="1" s="1" a="1"/>
  <c r="B683" i="1" s="1"/>
  <c r="B682" i="1" a="1"/>
  <c r="B682" i="1" s="1"/>
  <c r="AB1058" i="2"/>
  <c r="AB1059" i="2" s="1"/>
  <c r="AB1060" i="2" s="1"/>
  <c r="AB1061" i="2" s="1"/>
  <c r="AB1075" i="2"/>
  <c r="AB869" i="2"/>
  <c r="BZ1044" i="2"/>
  <c r="AF869" i="2"/>
  <c r="AF820" i="2" s="1"/>
  <c r="Y712" i="2"/>
  <c r="Y713" i="2" s="1"/>
  <c r="BA1144" i="1"/>
  <c r="BA1143" i="1" s="1"/>
  <c r="BA395" i="1"/>
  <c r="AE391" i="2"/>
  <c r="AE141" i="2"/>
  <c r="BY141" i="2" s="1"/>
  <c r="BY142" i="2"/>
  <c r="BN510" i="1"/>
  <c r="AE509" i="1"/>
  <c r="AF391" i="2"/>
  <c r="AF141" i="2"/>
  <c r="BZ141" i="2" s="1"/>
  <c r="BZ142" i="2"/>
  <c r="BJ994" i="2"/>
  <c r="Y346" i="2"/>
  <c r="Y347" i="2" s="1"/>
  <c r="Y348" i="2" s="1"/>
  <c r="AB339" i="1"/>
  <c r="AB322" i="1"/>
  <c r="AB147" i="1"/>
  <c r="BO510" i="1"/>
  <c r="AF509" i="1"/>
  <c r="BP147" i="1"/>
  <c r="AG146" i="1"/>
  <c r="CB602" i="2"/>
  <c r="BJ509" i="2"/>
  <c r="BJ508" i="2" s="1"/>
  <c r="A739" i="1" a="1"/>
  <c r="A739" i="1" s="1"/>
  <c r="B738" i="1" a="1"/>
  <c r="B738" i="1" s="1"/>
  <c r="BB869" i="2"/>
  <c r="B680" i="2" a="1"/>
  <c r="B680" i="2" s="1"/>
  <c r="A681" i="2" a="1"/>
  <c r="A681" i="2" s="1"/>
  <c r="B681" i="2" s="1" a="1"/>
  <c r="B681" i="2" s="1"/>
  <c r="AG142" i="2"/>
  <c r="CA143" i="2"/>
  <c r="AE394" i="1"/>
  <c r="BN146" i="1"/>
  <c r="AE145" i="1"/>
  <c r="BN145" i="1" s="1"/>
  <c r="AB659" i="1" a="1"/>
  <c r="AB659" i="1" s="1"/>
  <c r="AB668" i="1"/>
  <c r="Y1084" i="2"/>
  <c r="Y1085" i="2" s="1"/>
  <c r="Y1086" i="2" s="1"/>
  <c r="Y1087" i="2" s="1"/>
  <c r="Y1088" i="2" s="1"/>
  <c r="A346" i="2" a="1"/>
  <c r="A346" i="2" s="1"/>
  <c r="B346" i="2" s="1" a="1"/>
  <c r="B346" i="2" s="1"/>
  <c r="B345" i="2" a="1"/>
  <c r="B345" i="2" s="1"/>
  <c r="Y1085" i="1"/>
  <c r="AP1160" i="2"/>
  <c r="AP1159" i="2" s="1"/>
  <c r="AP392" i="2"/>
  <c r="Y1074" i="1"/>
  <c r="AY857" i="1"/>
  <c r="AY856" i="1" s="1"/>
  <c r="BP858" i="1"/>
  <c r="AB756" i="2"/>
  <c r="AB740" i="2"/>
  <c r="AB739" i="2"/>
  <c r="AB736" i="2"/>
  <c r="AB735" i="2"/>
  <c r="AB734" i="2"/>
  <c r="AB733" i="2"/>
  <c r="AB1063" i="1"/>
  <c r="AB1046" i="1"/>
  <c r="AB1047" i="1" s="1"/>
  <c r="AB1048" i="1" s="1"/>
  <c r="AB1049" i="1" s="1"/>
  <c r="AB857" i="1"/>
  <c r="AB740" i="1"/>
  <c r="AB739" i="1"/>
  <c r="AK391" i="2"/>
  <c r="AK141" i="2"/>
  <c r="AB713" i="1"/>
  <c r="AB711" i="1"/>
  <c r="AB707" i="1"/>
  <c r="AB706" i="1"/>
  <c r="AB704" i="1"/>
  <c r="AB708" i="1"/>
  <c r="AB705" i="1"/>
  <c r="AB697" i="1"/>
  <c r="AB687" i="1"/>
  <c r="AB673" i="1"/>
  <c r="AB712" i="1"/>
  <c r="AB686" i="1"/>
  <c r="BF1159" i="2"/>
  <c r="AG767" i="2"/>
  <c r="CA507" i="2"/>
  <c r="AE767" i="2"/>
  <c r="BY507" i="2"/>
  <c r="AB1116" i="2"/>
  <c r="AB1122" i="2"/>
  <c r="AB1117" i="2"/>
  <c r="A738" i="2" a="1"/>
  <c r="A738" i="2" s="1"/>
  <c r="B737" i="2" a="1"/>
  <c r="B737" i="2" s="1"/>
  <c r="AB670" i="2"/>
  <c r="AB653" i="2"/>
  <c r="AB654" i="2" s="1"/>
  <c r="AB655" i="2" s="1"/>
  <c r="AB656" i="2" s="1"/>
  <c r="AB509" i="2"/>
  <c r="A350" i="1" a="1"/>
  <c r="A350" i="1" s="1"/>
  <c r="B350" i="1" s="1" a="1"/>
  <c r="B350" i="1" s="1"/>
  <c r="B349" i="1" a="1"/>
  <c r="B349" i="1" s="1"/>
  <c r="AH867" i="2"/>
  <c r="BP510" i="1"/>
  <c r="AG509" i="1"/>
  <c r="AH773" i="2"/>
  <c r="AB1104" i="1"/>
  <c r="AB1105" i="1"/>
  <c r="AB1106" i="1"/>
  <c r="BZ507" i="2"/>
  <c r="A1074" i="1" a="1"/>
  <c r="A1074" i="1" s="1"/>
  <c r="B1074" i="1" s="1" a="1"/>
  <c r="B1074" i="1" s="1"/>
  <c r="B1073" i="1" a="1"/>
  <c r="B1073" i="1" s="1"/>
  <c r="BB508" i="2"/>
  <c r="CA869" i="2"/>
  <c r="AG868" i="2"/>
  <c r="AB122" i="2"/>
  <c r="AB125" i="2"/>
  <c r="AB124" i="2"/>
  <c r="AB123" i="2"/>
  <c r="AF394" i="1"/>
  <c r="BO146" i="1"/>
  <c r="AF145" i="1"/>
  <c r="BO145" i="1" s="1"/>
  <c r="AB318" i="2"/>
  <c r="AB143" i="2"/>
  <c r="AB335" i="2"/>
  <c r="AE868" i="2"/>
  <c r="BY869" i="2"/>
  <c r="AF808" i="1"/>
  <c r="BO858" i="1"/>
  <c r="AF857" i="1"/>
  <c r="AH1160" i="2"/>
  <c r="AH392" i="2"/>
  <c r="BP973" i="1"/>
  <c r="AG808" i="1"/>
  <c r="AG857" i="1"/>
  <c r="B1085" i="2" a="1"/>
  <c r="B1085" i="2" s="1"/>
  <c r="A1086" i="2" a="1"/>
  <c r="A1086" i="2" s="1"/>
  <c r="B1086" i="2" s="1" a="1"/>
  <c r="B1086" i="2" s="1"/>
  <c r="AB729" i="2"/>
  <c r="AB725" i="2"/>
  <c r="AB726" i="2"/>
  <c r="AB722" i="2"/>
  <c r="AB387" i="1"/>
  <c r="AB380" i="1"/>
  <c r="AB388" i="1"/>
  <c r="AB389" i="1" s="1"/>
  <c r="AE856" i="1"/>
  <c r="BN857" i="1"/>
  <c r="AG428" i="2"/>
  <c r="AB725" i="1"/>
  <c r="AB726" i="1"/>
  <c r="AB604" i="1"/>
  <c r="AB595" i="1"/>
  <c r="AB512" i="1"/>
  <c r="AB641" i="1"/>
  <c r="AB848" i="2"/>
  <c r="AB846" i="2"/>
  <c r="AB847" i="2"/>
  <c r="AB845" i="2"/>
  <c r="BJ392" i="2"/>
  <c r="AB385" i="2"/>
  <c r="AB386" i="2" s="1"/>
  <c r="AB389" i="2" s="1"/>
  <c r="AB376" i="2"/>
  <c r="AB384" i="2"/>
  <c r="BJ869" i="2" l="1"/>
  <c r="BJ868" i="2" s="1"/>
  <c r="BJ1128" i="2" s="1"/>
  <c r="CB994" i="2"/>
  <c r="AB761" i="2"/>
  <c r="AB764" i="2" s="1"/>
  <c r="CB509" i="2"/>
  <c r="Y683" i="1"/>
  <c r="Y684" i="1" s="1"/>
  <c r="Y685" i="1" s="1"/>
  <c r="AB390" i="1"/>
  <c r="AB391" i="1"/>
  <c r="AB768" i="1"/>
  <c r="AB769" i="1" s="1"/>
  <c r="AB775" i="1" s="1"/>
  <c r="Y715" i="1"/>
  <c r="AB715" i="1" s="1"/>
  <c r="AB714" i="1"/>
  <c r="AB390" i="2"/>
  <c r="AB391" i="2" s="1"/>
  <c r="AB392" i="2" s="1"/>
  <c r="AB723" i="2"/>
  <c r="AB724" i="2"/>
  <c r="AB598" i="1"/>
  <c r="AB596" i="1"/>
  <c r="AB597" i="1"/>
  <c r="AB392" i="1"/>
  <c r="AB393" i="1" s="1"/>
  <c r="BO857" i="1"/>
  <c r="AF856" i="1"/>
  <c r="AG814" i="1"/>
  <c r="AG810" i="1" s="1"/>
  <c r="AG811" i="1"/>
  <c r="AE1128" i="2"/>
  <c r="BY1128" i="2" s="1"/>
  <c r="AE867" i="2"/>
  <c r="BY867" i="2" s="1"/>
  <c r="BY868" i="2"/>
  <c r="AB639" i="2"/>
  <c r="AB593" i="2"/>
  <c r="AB602" i="2"/>
  <c r="AB510" i="2"/>
  <c r="A739" i="2" a="1"/>
  <c r="A739" i="2" s="1"/>
  <c r="B738" i="2" a="1"/>
  <c r="B738" i="2" s="1"/>
  <c r="AB1123" i="2"/>
  <c r="AB709" i="1"/>
  <c r="AB710" i="1"/>
  <c r="AK1160" i="2"/>
  <c r="AK1159" i="2" s="1"/>
  <c r="AK392" i="2"/>
  <c r="AB1096" i="1"/>
  <c r="AB1078" i="1"/>
  <c r="AB1064" i="1"/>
  <c r="AB1088" i="1"/>
  <c r="AB1097" i="1"/>
  <c r="AB1095" i="1"/>
  <c r="AB1077" i="1"/>
  <c r="AB1098" i="1"/>
  <c r="AB738" i="2"/>
  <c r="AB737" i="2"/>
  <c r="BN431" i="1"/>
  <c r="BN394" i="1"/>
  <c r="AE395" i="1"/>
  <c r="AE396" i="1" s="1"/>
  <c r="AE397" i="1" s="1"/>
  <c r="AE398" i="1" s="1"/>
  <c r="A740" i="1" a="1"/>
  <c r="A740" i="1" s="1"/>
  <c r="B739" i="1" a="1"/>
  <c r="B739" i="1" s="1"/>
  <c r="BJ767" i="2"/>
  <c r="BJ507" i="2"/>
  <c r="AF769" i="1"/>
  <c r="BO509" i="1"/>
  <c r="AB308" i="1"/>
  <c r="AB258" i="1"/>
  <c r="AB249" i="1"/>
  <c r="AB148" i="1"/>
  <c r="AF392" i="2"/>
  <c r="BZ391" i="2"/>
  <c r="BZ374" i="2" s="1"/>
  <c r="BZ395" i="2"/>
  <c r="AB653" i="1"/>
  <c r="AB650" i="1"/>
  <c r="AB643" i="1"/>
  <c r="AB654" i="1"/>
  <c r="AB644" i="1"/>
  <c r="AB642" i="1"/>
  <c r="AB652" i="1"/>
  <c r="AB651" i="1"/>
  <c r="AB622" i="1"/>
  <c r="AB620" i="1"/>
  <c r="AB613" i="1"/>
  <c r="AB605" i="1"/>
  <c r="AB623" i="1"/>
  <c r="AB621" i="1"/>
  <c r="AB619" i="1"/>
  <c r="BP857" i="1"/>
  <c r="AG856" i="1"/>
  <c r="AB370" i="2"/>
  <c r="AB368" i="2"/>
  <c r="AB350" i="2"/>
  <c r="AB349" i="2"/>
  <c r="AB369" i="2"/>
  <c r="AB336" i="2"/>
  <c r="AB367" i="2"/>
  <c r="AB360" i="2"/>
  <c r="AG769" i="1"/>
  <c r="BP509" i="1"/>
  <c r="AH1159" i="2"/>
  <c r="AB666" i="2"/>
  <c r="AB657" i="2" a="1"/>
  <c r="AB657" i="2" s="1"/>
  <c r="BY767" i="2"/>
  <c r="AE773" i="2"/>
  <c r="AE774" i="2" s="1"/>
  <c r="AE775" i="2" s="1"/>
  <c r="AE776" i="2" s="1"/>
  <c r="BY792" i="2"/>
  <c r="AB660" i="1"/>
  <c r="AB665" i="1"/>
  <c r="AB661" i="1"/>
  <c r="AB662" i="1"/>
  <c r="BB868" i="2"/>
  <c r="AB1062" i="1"/>
  <c r="AB1060" i="1"/>
  <c r="AB1061" i="1"/>
  <c r="AB337" i="1"/>
  <c r="AB323" i="1"/>
  <c r="AB324" i="1" s="1"/>
  <c r="AB325" i="1" s="1"/>
  <c r="AB693" i="1"/>
  <c r="AB688" i="1"/>
  <c r="AB696" i="1"/>
  <c r="AB690" i="1"/>
  <c r="AB694" i="1"/>
  <c r="AB338" i="1"/>
  <c r="AB336" i="1"/>
  <c r="AB695" i="1"/>
  <c r="AB689" i="1"/>
  <c r="AE769" i="1"/>
  <c r="BN509" i="1"/>
  <c r="AE1160" i="2"/>
  <c r="BY395" i="2"/>
  <c r="AE392" i="2"/>
  <c r="AE393" i="2" s="1"/>
  <c r="AE394" i="2" s="1"/>
  <c r="AE395" i="2" s="1"/>
  <c r="BY391" i="2"/>
  <c r="AB1044" i="2"/>
  <c r="AB994" i="2"/>
  <c r="AB985" i="2"/>
  <c r="AB870" i="2"/>
  <c r="BN856" i="1"/>
  <c r="AE855" i="1"/>
  <c r="BN855" i="1" s="1"/>
  <c r="AE1112" i="1"/>
  <c r="AB245" i="2"/>
  <c r="AB304" i="2"/>
  <c r="AB254" i="2"/>
  <c r="AB144" i="2"/>
  <c r="AF1144" i="1"/>
  <c r="BO431" i="1"/>
  <c r="AF395" i="1"/>
  <c r="BO394" i="1"/>
  <c r="BB507" i="2"/>
  <c r="BB767" i="2" s="1"/>
  <c r="CB508" i="2"/>
  <c r="AB1107" i="1"/>
  <c r="AB711" i="2"/>
  <c r="AB713" i="2"/>
  <c r="AB712" i="2"/>
  <c r="AB702" i="2"/>
  <c r="AB695" i="2"/>
  <c r="AB684" i="2"/>
  <c r="AB709" i="2"/>
  <c r="AB705" i="2"/>
  <c r="AB703" i="2"/>
  <c r="AB685" i="2"/>
  <c r="AB671" i="2"/>
  <c r="AB710" i="2"/>
  <c r="AB706" i="2"/>
  <c r="AB704" i="2"/>
  <c r="AB1032" i="1"/>
  <c r="AB973" i="1"/>
  <c r="AB858" i="1"/>
  <c r="AB982" i="1"/>
  <c r="AG141" i="2"/>
  <c r="CA141" i="2" s="1"/>
  <c r="CA142" i="2"/>
  <c r="AG391" i="2"/>
  <c r="AG394" i="1"/>
  <c r="BP146" i="1"/>
  <c r="AG145" i="1"/>
  <c r="BP145" i="1" s="1"/>
  <c r="AB374" i="1"/>
  <c r="AB373" i="1"/>
  <c r="AB371" i="1"/>
  <c r="AB354" i="1"/>
  <c r="AB340" i="1"/>
  <c r="AB372" i="1"/>
  <c r="AB364" i="1"/>
  <c r="AB353" i="1"/>
  <c r="AF868" i="2"/>
  <c r="BZ869" i="2"/>
  <c r="AG826" i="2"/>
  <c r="AG822" i="2" s="1"/>
  <c r="AG823" i="2"/>
  <c r="AB1107" i="2"/>
  <c r="AB1076" i="2"/>
  <c r="AB1110" i="2"/>
  <c r="AB1108" i="2"/>
  <c r="AB1100" i="2"/>
  <c r="AB1109" i="2"/>
  <c r="AB1090" i="2"/>
  <c r="AB1089" i="2"/>
  <c r="Y1075" i="1"/>
  <c r="Y1076" i="1" s="1"/>
  <c r="AB387" i="2"/>
  <c r="AB388" i="2"/>
  <c r="AB517" i="1"/>
  <c r="AB513" i="1"/>
  <c r="AB524" i="1"/>
  <c r="AB525" i="1"/>
  <c r="AB533" i="1"/>
  <c r="AB518" i="1"/>
  <c r="AB1073" i="2"/>
  <c r="AB1074" i="2"/>
  <c r="AB1072" i="2"/>
  <c r="AB694" i="2"/>
  <c r="AB693" i="2"/>
  <c r="AB692" i="2"/>
  <c r="AB691" i="2"/>
  <c r="AB688" i="2"/>
  <c r="AB687" i="2"/>
  <c r="AB686" i="2"/>
  <c r="AB333" i="2"/>
  <c r="AB334" i="2"/>
  <c r="AB319" i="2"/>
  <c r="AB320" i="2" s="1"/>
  <c r="AB321" i="2" s="1"/>
  <c r="AB332" i="2"/>
  <c r="AG1128" i="2"/>
  <c r="AG867" i="2"/>
  <c r="CA867" i="2" s="1"/>
  <c r="CA868" i="2"/>
  <c r="CA792" i="2"/>
  <c r="CA767" i="2"/>
  <c r="AG773" i="2"/>
  <c r="AB1050" i="1" a="1"/>
  <c r="AB1050" i="1" s="1"/>
  <c r="AB1059" i="1"/>
  <c r="AY1112" i="1"/>
  <c r="AY1143" i="1" s="1"/>
  <c r="AY855" i="1"/>
  <c r="Y1086" i="1"/>
  <c r="Y1087" i="1" s="1"/>
  <c r="AB1062" i="2" a="1"/>
  <c r="AB1062" i="2" s="1"/>
  <c r="AB1071" i="2"/>
  <c r="AB762" i="2" l="1"/>
  <c r="BJ867" i="2"/>
  <c r="BY775" i="2"/>
  <c r="AB763" i="2"/>
  <c r="CA775" i="2"/>
  <c r="AB765" i="2"/>
  <c r="AB778" i="1"/>
  <c r="AB776" i="1"/>
  <c r="AB777" i="1"/>
  <c r="CA1128" i="2"/>
  <c r="AB1086" i="1"/>
  <c r="AB1085" i="1"/>
  <c r="AB1084" i="1"/>
  <c r="AB1083" i="1"/>
  <c r="AB1082" i="1"/>
  <c r="AB1079" i="1"/>
  <c r="AB1087" i="1"/>
  <c r="AB1081" i="1"/>
  <c r="AB1080" i="1"/>
  <c r="AB362" i="1"/>
  <c r="AB363" i="1"/>
  <c r="AB359" i="1"/>
  <c r="AB358" i="1"/>
  <c r="AB361" i="1"/>
  <c r="AB357" i="1"/>
  <c r="AB356" i="1"/>
  <c r="AB360" i="1"/>
  <c r="AB355" i="1"/>
  <c r="AB1108" i="1"/>
  <c r="AB1109" i="1"/>
  <c r="AB676" i="2"/>
  <c r="AB682" i="2"/>
  <c r="AB674" i="2"/>
  <c r="AB673" i="2"/>
  <c r="AB672" i="2"/>
  <c r="AB683" i="2"/>
  <c r="AB317" i="2"/>
  <c r="AB306" i="2"/>
  <c r="AB307" i="2"/>
  <c r="AB315" i="2"/>
  <c r="AB313" i="2"/>
  <c r="AB316" i="2"/>
  <c r="AB314" i="2"/>
  <c r="AB305" i="2"/>
  <c r="AB1055" i="2"/>
  <c r="AB1053" i="2"/>
  <c r="AB1054" i="2"/>
  <c r="AB1045" i="2"/>
  <c r="AB1047" i="2"/>
  <c r="AB1057" i="2"/>
  <c r="AB1056" i="2"/>
  <c r="AB1046" i="2"/>
  <c r="AB1092" i="1"/>
  <c r="AB1089" i="1"/>
  <c r="AB370" i="1"/>
  <c r="AB369" i="1"/>
  <c r="AB368" i="1"/>
  <c r="AB365" i="1"/>
  <c r="BY1160" i="2"/>
  <c r="BY1162" i="2" s="1"/>
  <c r="BY394" i="2"/>
  <c r="AB666" i="1"/>
  <c r="AB667" i="1"/>
  <c r="BZ394" i="2"/>
  <c r="AB321" i="1"/>
  <c r="AB685" i="1"/>
  <c r="AB674" i="1"/>
  <c r="AB684" i="1"/>
  <c r="AB678" i="1"/>
  <c r="AB676" i="1"/>
  <c r="AB320" i="1"/>
  <c r="AB317" i="1"/>
  <c r="AB310" i="1"/>
  <c r="AB675" i="1"/>
  <c r="AB318" i="1"/>
  <c r="AB319" i="1"/>
  <c r="AB311" i="1"/>
  <c r="AB309" i="1"/>
  <c r="AB1056" i="1"/>
  <c r="AB1052" i="1"/>
  <c r="AB1053" i="1"/>
  <c r="AB1051" i="1"/>
  <c r="AB322" i="2" a="1"/>
  <c r="AB322" i="2" s="1"/>
  <c r="AB331" i="2"/>
  <c r="AG1144" i="1"/>
  <c r="AG395" i="1"/>
  <c r="BP394" i="1"/>
  <c r="BP431" i="1"/>
  <c r="AB1001" i="1"/>
  <c r="AB998" i="1"/>
  <c r="AB991" i="1"/>
  <c r="AB999" i="1"/>
  <c r="AB1000" i="1"/>
  <c r="AB997" i="1"/>
  <c r="AB983" i="1"/>
  <c r="BO397" i="1"/>
  <c r="AB149" i="2"/>
  <c r="AB165" i="2"/>
  <c r="AB150" i="2"/>
  <c r="AB145" i="2"/>
  <c r="AB157" i="2"/>
  <c r="AB156" i="2"/>
  <c r="BN1112" i="1"/>
  <c r="AB988" i="2"/>
  <c r="AB986" i="2"/>
  <c r="AB987" i="2"/>
  <c r="AE775" i="1"/>
  <c r="AE776" i="1" s="1"/>
  <c r="AE777" i="1" s="1"/>
  <c r="AE778" i="1" s="1"/>
  <c r="BN769" i="1"/>
  <c r="BN777" i="1" s="1"/>
  <c r="BN780" i="1"/>
  <c r="BB1128" i="2"/>
  <c r="BB867" i="2"/>
  <c r="AB1104" i="2"/>
  <c r="AB1101" i="2"/>
  <c r="AB365" i="2"/>
  <c r="AB364" i="2"/>
  <c r="AB366" i="2"/>
  <c r="AB361" i="2"/>
  <c r="AB394" i="1"/>
  <c r="AB395" i="1" s="1"/>
  <c r="AB611" i="1"/>
  <c r="AB609" i="1"/>
  <c r="AB607" i="1"/>
  <c r="AB612" i="1"/>
  <c r="AB610" i="1"/>
  <c r="AB608" i="1"/>
  <c r="AB606" i="1"/>
  <c r="AB161" i="1"/>
  <c r="AB153" i="1"/>
  <c r="AB149" i="1"/>
  <c r="AB154" i="1"/>
  <c r="AB160" i="1"/>
  <c r="AB169" i="1"/>
  <c r="AB596" i="2"/>
  <c r="AB595" i="2"/>
  <c r="AB594" i="2"/>
  <c r="AB1110" i="1"/>
  <c r="AB1111" i="1" s="1"/>
  <c r="AB1112" i="1" s="1"/>
  <c r="AB563" i="1"/>
  <c r="AB539" i="1"/>
  <c r="AB537" i="1"/>
  <c r="AB535" i="1"/>
  <c r="AB540" i="1"/>
  <c r="AB538" i="1"/>
  <c r="AB536" i="1"/>
  <c r="AB534" i="1"/>
  <c r="AB335" i="1"/>
  <c r="AB326" i="1" a="1"/>
  <c r="AB326" i="1" s="1"/>
  <c r="AB1044" i="1"/>
  <c r="AB1041" i="1"/>
  <c r="AB1035" i="1"/>
  <c r="AB1045" i="1"/>
  <c r="AB1033" i="1"/>
  <c r="AB1042" i="1"/>
  <c r="AB1043" i="1"/>
  <c r="AB1034" i="1"/>
  <c r="CB507" i="2"/>
  <c r="AB876" i="2"/>
  <c r="AB883" i="2"/>
  <c r="AB882" i="2"/>
  <c r="AB871" i="2"/>
  <c r="AB875" i="2"/>
  <c r="AB891" i="2"/>
  <c r="AB629" i="1"/>
  <c r="AB627" i="1"/>
  <c r="AB625" i="1"/>
  <c r="AB630" i="1"/>
  <c r="AB628" i="1"/>
  <c r="AB626" i="1"/>
  <c r="AB624" i="1"/>
  <c r="BJ773" i="2"/>
  <c r="BJ1160" i="2"/>
  <c r="BJ1159" i="2" s="1"/>
  <c r="AB522" i="1"/>
  <c r="AB523" i="1" s="1"/>
  <c r="AB519" i="1"/>
  <c r="AB514" i="1"/>
  <c r="AB516" i="1"/>
  <c r="AB515" i="1"/>
  <c r="AF1128" i="2"/>
  <c r="BZ868" i="2"/>
  <c r="AF867" i="2"/>
  <c r="BZ867" i="2" s="1"/>
  <c r="AB1075" i="1"/>
  <c r="AB1067" i="1"/>
  <c r="AB1066" i="1"/>
  <c r="AB1065" i="1"/>
  <c r="AB1069" i="1"/>
  <c r="AB1068" i="1"/>
  <c r="AB343" i="1"/>
  <c r="AB345" i="1"/>
  <c r="AB342" i="1"/>
  <c r="AB351" i="1"/>
  <c r="AB344" i="1"/>
  <c r="AB341" i="1"/>
  <c r="AG1160" i="2"/>
  <c r="AG1159" i="2" s="1"/>
  <c r="CA395" i="2"/>
  <c r="CA391" i="2"/>
  <c r="AG392" i="2"/>
  <c r="AB879" i="1"/>
  <c r="AB870" i="1"/>
  <c r="AB871" i="1"/>
  <c r="AB864" i="1"/>
  <c r="AB863" i="1"/>
  <c r="AB859" i="1"/>
  <c r="AB707" i="2"/>
  <c r="AB708" i="2"/>
  <c r="AB269" i="2"/>
  <c r="AB270" i="2"/>
  <c r="AB272" i="2"/>
  <c r="AB271" i="2"/>
  <c r="AB255" i="2"/>
  <c r="AB273" i="2"/>
  <c r="AB263" i="2"/>
  <c r="AB1012" i="2"/>
  <c r="AB1013" i="2"/>
  <c r="AB1011" i="2"/>
  <c r="AB1009" i="2"/>
  <c r="AB1003" i="2"/>
  <c r="AB1010" i="2"/>
  <c r="AB995" i="2"/>
  <c r="AB664" i="1"/>
  <c r="AB663" i="1"/>
  <c r="AB658" i="2"/>
  <c r="AB663" i="2"/>
  <c r="AB660" i="2"/>
  <c r="AB659" i="2"/>
  <c r="AB1094" i="2"/>
  <c r="AB1099" i="2"/>
  <c r="AB1098" i="2"/>
  <c r="AB1097" i="2"/>
  <c r="AB1092" i="2"/>
  <c r="AB1091" i="2"/>
  <c r="AB1096" i="2"/>
  <c r="AB1095" i="2"/>
  <c r="AB1093" i="2"/>
  <c r="AB352" i="2"/>
  <c r="AB351" i="2"/>
  <c r="AB359" i="2"/>
  <c r="AB358" i="2"/>
  <c r="AB357" i="2"/>
  <c r="AB356" i="2"/>
  <c r="AB355" i="2"/>
  <c r="AB353" i="2"/>
  <c r="AB354" i="2"/>
  <c r="AB614" i="1"/>
  <c r="AB617" i="1"/>
  <c r="AB618" i="1" s="1"/>
  <c r="AB393" i="2"/>
  <c r="AB394" i="2"/>
  <c r="AB395" i="2"/>
  <c r="AB648" i="1"/>
  <c r="AB649" i="1" s="1"/>
  <c r="AB645" i="1"/>
  <c r="AB250" i="1"/>
  <c r="AB252" i="1"/>
  <c r="AB251" i="1"/>
  <c r="BO780" i="1"/>
  <c r="AF775" i="1"/>
  <c r="BO769" i="1"/>
  <c r="BO777" i="1" s="1"/>
  <c r="A741" i="1" a="1"/>
  <c r="A741" i="1" s="1"/>
  <c r="B740" i="1" a="1"/>
  <c r="B740" i="1" s="1"/>
  <c r="AE1144" i="1"/>
  <c r="AE1143" i="1" s="1"/>
  <c r="A740" i="2" a="1"/>
  <c r="A740" i="2" s="1"/>
  <c r="B740" i="2" s="1" a="1"/>
  <c r="B740" i="2" s="1"/>
  <c r="B739" i="2" a="1"/>
  <c r="B739" i="2" s="1"/>
  <c r="AB650" i="2"/>
  <c r="AB648" i="2"/>
  <c r="AB642" i="2"/>
  <c r="AB652" i="2"/>
  <c r="AB651" i="2"/>
  <c r="AB649" i="2"/>
  <c r="AB641" i="2"/>
  <c r="AB640" i="2"/>
  <c r="AF1112" i="1"/>
  <c r="BO856" i="1"/>
  <c r="AF855" i="1"/>
  <c r="BO855" i="1" s="1"/>
  <c r="AB976" i="1"/>
  <c r="AB974" i="1"/>
  <c r="AB975" i="1"/>
  <c r="BP769" i="1"/>
  <c r="BP777" i="1" s="1"/>
  <c r="AG775" i="1"/>
  <c r="BP780" i="1"/>
  <c r="AB1081" i="2"/>
  <c r="AB1079" i="2"/>
  <c r="AB1087" i="2"/>
  <c r="AB1080" i="2"/>
  <c r="AB1078" i="2"/>
  <c r="AB1077" i="2"/>
  <c r="AB341" i="2"/>
  <c r="AB340" i="2"/>
  <c r="AB347" i="2"/>
  <c r="AB339" i="2"/>
  <c r="AB338" i="2"/>
  <c r="AB337" i="2"/>
  <c r="AG1112" i="1"/>
  <c r="BP856" i="1"/>
  <c r="AG855" i="1"/>
  <c r="BP855" i="1" s="1"/>
  <c r="AB276" i="1"/>
  <c r="AB274" i="1"/>
  <c r="AB259" i="1"/>
  <c r="AB273" i="1"/>
  <c r="AB267" i="1"/>
  <c r="AB277" i="1"/>
  <c r="AB275" i="1"/>
  <c r="AB516" i="2"/>
  <c r="AB511" i="2"/>
  <c r="AB531" i="2"/>
  <c r="AB522" i="2"/>
  <c r="AB515" i="2"/>
  <c r="AB523" i="2"/>
  <c r="AE1159" i="2"/>
  <c r="AB599" i="1"/>
  <c r="AB602" i="1"/>
  <c r="AB603" i="1" s="1"/>
  <c r="AB1065" i="2"/>
  <c r="AB1064" i="2"/>
  <c r="AB1063" i="2"/>
  <c r="AB1068" i="2"/>
  <c r="AB532" i="1"/>
  <c r="AB526" i="1"/>
  <c r="AB246" i="2"/>
  <c r="AB248" i="2"/>
  <c r="AB247" i="2"/>
  <c r="BN1144" i="1"/>
  <c r="BN397" i="1"/>
  <c r="AB1125" i="2"/>
  <c r="AB1124" i="2"/>
  <c r="AB1126" i="2"/>
  <c r="AB1127" i="2" s="1"/>
  <c r="AB620" i="2"/>
  <c r="AB619" i="2"/>
  <c r="AB621" i="2"/>
  <c r="AB617" i="2"/>
  <c r="AB611" i="2"/>
  <c r="AB618" i="2"/>
  <c r="AB603" i="2"/>
  <c r="AB1128" i="2" l="1"/>
  <c r="AB766" i="2"/>
  <c r="AB767" i="2" s="1"/>
  <c r="AB773" i="2" s="1"/>
  <c r="AB530" i="1"/>
  <c r="AB531" i="1" s="1"/>
  <c r="AB527" i="1"/>
  <c r="AB615" i="2"/>
  <c r="AB616" i="2" s="1"/>
  <c r="AB612" i="2"/>
  <c r="AB1067" i="2"/>
  <c r="AB1066" i="2"/>
  <c r="AB530" i="2"/>
  <c r="AB524" i="2"/>
  <c r="AB513" i="2"/>
  <c r="AB514" i="2"/>
  <c r="AB512" i="2"/>
  <c r="AB271" i="1"/>
  <c r="AB272" i="1" s="1"/>
  <c r="AB268" i="1"/>
  <c r="AF1143" i="1"/>
  <c r="BO1112" i="1"/>
  <c r="AB647" i="1"/>
  <c r="AB646" i="1"/>
  <c r="AB1017" i="2"/>
  <c r="AB1018" i="2"/>
  <c r="AB1016" i="2"/>
  <c r="AB1019" i="2"/>
  <c r="AB1015" i="2"/>
  <c r="AB1020" i="2"/>
  <c r="AB1014" i="2"/>
  <c r="AB258" i="2"/>
  <c r="AB259" i="2"/>
  <c r="AB262" i="2"/>
  <c r="AB261" i="2"/>
  <c r="AB260" i="2"/>
  <c r="AB256" i="2"/>
  <c r="AB257" i="2"/>
  <c r="AB886" i="1"/>
  <c r="AB884" i="1"/>
  <c r="AB882" i="1"/>
  <c r="AB880" i="1"/>
  <c r="AB885" i="1"/>
  <c r="AB920" i="1"/>
  <c r="AB883" i="1"/>
  <c r="AB881" i="1"/>
  <c r="AB880" i="2"/>
  <c r="AB881" i="2" s="1"/>
  <c r="AB877" i="2"/>
  <c r="AB1039" i="1"/>
  <c r="AB1040" i="1" s="1"/>
  <c r="AB1036" i="1"/>
  <c r="AB597" i="2"/>
  <c r="AB600" i="2"/>
  <c r="AB601" i="2" s="1"/>
  <c r="AB150" i="1"/>
  <c r="AB152" i="1"/>
  <c r="AB151" i="1"/>
  <c r="AB151" i="2"/>
  <c r="AB154" i="2"/>
  <c r="AB155" i="2" s="1"/>
  <c r="BO1144" i="1"/>
  <c r="AB1051" i="2"/>
  <c r="AB1052" i="2" s="1"/>
  <c r="AB1048" i="2"/>
  <c r="AB609" i="2"/>
  <c r="AB605" i="2"/>
  <c r="AB610" i="2"/>
  <c r="AB606" i="2"/>
  <c r="AB607" i="2"/>
  <c r="AB608" i="2"/>
  <c r="AB604" i="2"/>
  <c r="AB249" i="2"/>
  <c r="AB252" i="2"/>
  <c r="AB253" i="2" s="1"/>
  <c r="AB1070" i="2"/>
  <c r="AB1069" i="2"/>
  <c r="AB601" i="1"/>
  <c r="AB600" i="1"/>
  <c r="AB520" i="2"/>
  <c r="AB521" i="2" s="1"/>
  <c r="AB517" i="2"/>
  <c r="AB980" i="1"/>
  <c r="AB981" i="1" s="1"/>
  <c r="AB977" i="1"/>
  <c r="A742" i="1" a="1"/>
  <c r="A742" i="1" s="1"/>
  <c r="B742" i="1" s="1" a="1"/>
  <c r="B742" i="1" s="1"/>
  <c r="B741" i="1" a="1"/>
  <c r="B741" i="1" s="1"/>
  <c r="AB1004" i="2"/>
  <c r="AB1007" i="2"/>
  <c r="AB1008" i="2" s="1"/>
  <c r="AB868" i="1"/>
  <c r="AB869" i="1" s="1"/>
  <c r="AB865" i="1"/>
  <c r="AB874" i="2"/>
  <c r="AB873" i="2"/>
  <c r="AB872" i="2"/>
  <c r="AB176" i="1"/>
  <c r="AB174" i="1"/>
  <c r="AB172" i="1"/>
  <c r="AB170" i="1"/>
  <c r="AB175" i="1"/>
  <c r="AB171" i="1"/>
  <c r="AB173" i="1"/>
  <c r="AB196" i="1"/>
  <c r="AB170" i="2"/>
  <c r="AB166" i="2"/>
  <c r="AB171" i="2"/>
  <c r="AB167" i="2"/>
  <c r="AB169" i="2"/>
  <c r="AB172" i="2"/>
  <c r="AB192" i="2"/>
  <c r="AB168" i="2"/>
  <c r="AB987" i="1"/>
  <c r="AB984" i="1"/>
  <c r="AB988" i="1"/>
  <c r="AB990" i="1"/>
  <c r="AB989" i="1"/>
  <c r="AB986" i="1"/>
  <c r="AB985" i="1"/>
  <c r="AB995" i="1"/>
  <c r="AB996" i="1" s="1"/>
  <c r="AB992" i="1"/>
  <c r="BP1144" i="1"/>
  <c r="BP397" i="1"/>
  <c r="AB325" i="2"/>
  <c r="AB328" i="2"/>
  <c r="AB324" i="2"/>
  <c r="AB323" i="2"/>
  <c r="AB1058" i="1"/>
  <c r="AB1057" i="1"/>
  <c r="AB266" i="1"/>
  <c r="AB265" i="1"/>
  <c r="AB263" i="1"/>
  <c r="AB261" i="1"/>
  <c r="AB264" i="1"/>
  <c r="AB262" i="1"/>
  <c r="AB260" i="1"/>
  <c r="AB646" i="2"/>
  <c r="AB647" i="2" s="1"/>
  <c r="AB643" i="2"/>
  <c r="AB256" i="1"/>
  <c r="AB257" i="1" s="1"/>
  <c r="AB253" i="1"/>
  <c r="AB616" i="1"/>
  <c r="AB615" i="1"/>
  <c r="AB662" i="2"/>
  <c r="AB661" i="2"/>
  <c r="AB267" i="2"/>
  <c r="AB268" i="2" s="1"/>
  <c r="AB264" i="2"/>
  <c r="AB878" i="1"/>
  <c r="AB872" i="1"/>
  <c r="CA1160" i="2"/>
  <c r="CA1162" i="2" s="1"/>
  <c r="CA394" i="2"/>
  <c r="BB773" i="2"/>
  <c r="BB1160" i="2"/>
  <c r="BB1159" i="2" s="1"/>
  <c r="CB792" i="2"/>
  <c r="CB767" i="2"/>
  <c r="AB168" i="1"/>
  <c r="AB162" i="1"/>
  <c r="AB398" i="1"/>
  <c r="AB397" i="1"/>
  <c r="AB396" i="1"/>
  <c r="AB992" i="2"/>
  <c r="AB993" i="2" s="1"/>
  <c r="AB989" i="2"/>
  <c r="AB164" i="2"/>
  <c r="AB158" i="2"/>
  <c r="AB308" i="2"/>
  <c r="AB311" i="2"/>
  <c r="AB312" i="2" s="1"/>
  <c r="AB627" i="2"/>
  <c r="AB623" i="2"/>
  <c r="AB628" i="2"/>
  <c r="AB624" i="2"/>
  <c r="AB625" i="2"/>
  <c r="AB626" i="2"/>
  <c r="AB622" i="2"/>
  <c r="AB535" i="2"/>
  <c r="AB561" i="2"/>
  <c r="AB536" i="2"/>
  <c r="AB532" i="2"/>
  <c r="AB537" i="2"/>
  <c r="AB533" i="2"/>
  <c r="AB538" i="2"/>
  <c r="AB534" i="2"/>
  <c r="AB284" i="1"/>
  <c r="AB282" i="1"/>
  <c r="AB280" i="1"/>
  <c r="AB278" i="1"/>
  <c r="AB281" i="1"/>
  <c r="AB279" i="1"/>
  <c r="AB283" i="1"/>
  <c r="BP1112" i="1"/>
  <c r="AG1143" i="1"/>
  <c r="AB719" i="2"/>
  <c r="AB717" i="2"/>
  <c r="AB715" i="2"/>
  <c r="AB718" i="2"/>
  <c r="AB665" i="2"/>
  <c r="AB664" i="2"/>
  <c r="AB1000" i="2"/>
  <c r="AB998" i="2"/>
  <c r="AB1001" i="2"/>
  <c r="AB999" i="2"/>
  <c r="AB997" i="2"/>
  <c r="AB1002" i="2"/>
  <c r="AB996" i="2"/>
  <c r="AB277" i="2"/>
  <c r="AB278" i="2"/>
  <c r="AB274" i="2"/>
  <c r="AB279" i="2"/>
  <c r="AB275" i="2"/>
  <c r="AB280" i="2"/>
  <c r="AB276" i="2"/>
  <c r="AB861" i="1"/>
  <c r="AB860" i="1"/>
  <c r="AB862" i="1"/>
  <c r="AB721" i="1"/>
  <c r="AB719" i="1"/>
  <c r="AB717" i="1"/>
  <c r="AB720" i="1"/>
  <c r="BZ1128" i="2"/>
  <c r="BZ1114" i="2" s="1"/>
  <c r="AB521" i="1"/>
  <c r="AB520" i="1"/>
  <c r="AB894" i="2"/>
  <c r="AB898" i="2"/>
  <c r="AB896" i="2"/>
  <c r="AB892" i="2"/>
  <c r="AB932" i="2"/>
  <c r="AB893" i="2"/>
  <c r="AB897" i="2"/>
  <c r="AB895" i="2"/>
  <c r="AB890" i="2"/>
  <c r="AB884" i="2"/>
  <c r="AB329" i="1"/>
  <c r="AB328" i="1"/>
  <c r="AB332" i="1"/>
  <c r="AB327" i="1"/>
  <c r="AB155" i="1"/>
  <c r="AB158" i="1"/>
  <c r="AB159" i="1" s="1"/>
  <c r="AB363" i="2"/>
  <c r="AB362" i="2"/>
  <c r="AB1102" i="2"/>
  <c r="AB1103" i="2"/>
  <c r="AB146" i="2"/>
  <c r="AB148" i="2"/>
  <c r="AB147" i="2"/>
  <c r="AB1007" i="1"/>
  <c r="AB1005" i="1"/>
  <c r="AB1002" i="1"/>
  <c r="AB1006" i="1"/>
  <c r="AB1004" i="1"/>
  <c r="AB1003" i="1"/>
  <c r="AB1008" i="1"/>
  <c r="AB1055" i="1"/>
  <c r="AB1054" i="1"/>
  <c r="AB312" i="1"/>
  <c r="AB315" i="1"/>
  <c r="AB316" i="1" s="1"/>
  <c r="AB366" i="1"/>
  <c r="AB367" i="1"/>
  <c r="AB1090" i="1"/>
  <c r="AB1091" i="1"/>
  <c r="AB775" i="2" l="1"/>
  <c r="AB774" i="2"/>
  <c r="AB776" i="2"/>
  <c r="AB314" i="1"/>
  <c r="AB313" i="1"/>
  <c r="AB156" i="1"/>
  <c r="AB157" i="1"/>
  <c r="AB330" i="1"/>
  <c r="AB331" i="1"/>
  <c r="AB159" i="2"/>
  <c r="AB162" i="2"/>
  <c r="AB163" i="2" s="1"/>
  <c r="AB978" i="1"/>
  <c r="AB979" i="1"/>
  <c r="AB599" i="2"/>
  <c r="AB598" i="2"/>
  <c r="AB525" i="2"/>
  <c r="AB528" i="2"/>
  <c r="AB529" i="2" s="1"/>
  <c r="AB614" i="2"/>
  <c r="AB613" i="2"/>
  <c r="AB888" i="2"/>
  <c r="AB889" i="2" s="1"/>
  <c r="AB885" i="2"/>
  <c r="CB775" i="2"/>
  <c r="AB266" i="2"/>
  <c r="AB265" i="2"/>
  <c r="AB644" i="2"/>
  <c r="AB645" i="2"/>
  <c r="AB1005" i="2"/>
  <c r="AB1006" i="2"/>
  <c r="AB250" i="2"/>
  <c r="AB251" i="2"/>
  <c r="AB1049" i="2"/>
  <c r="AB1050" i="2"/>
  <c r="AB152" i="2"/>
  <c r="AB153" i="2"/>
  <c r="AB1037" i="1"/>
  <c r="AB1038" i="1"/>
  <c r="AB333" i="1"/>
  <c r="AB701" i="1"/>
  <c r="AB334" i="1"/>
  <c r="AB698" i="1"/>
  <c r="AB990" i="2"/>
  <c r="AB991" i="2"/>
  <c r="AB696" i="2"/>
  <c r="AB699" i="2"/>
  <c r="AB330" i="2"/>
  <c r="AB329" i="2"/>
  <c r="AB993" i="1"/>
  <c r="AB994" i="1"/>
  <c r="AB866" i="1"/>
  <c r="AB867" i="1"/>
  <c r="AB519" i="2"/>
  <c r="AB518" i="2"/>
  <c r="AB529" i="1"/>
  <c r="AB528" i="1"/>
  <c r="AB310" i="2"/>
  <c r="AB309" i="2"/>
  <c r="AB166" i="1"/>
  <c r="AB167" i="1" s="1"/>
  <c r="AB163" i="1"/>
  <c r="AB876" i="1"/>
  <c r="AB877" i="1" s="1"/>
  <c r="AB873" i="1"/>
  <c r="AB255" i="1"/>
  <c r="AB254" i="1"/>
  <c r="AB327" i="2"/>
  <c r="AB326" i="2"/>
  <c r="AB878" i="2"/>
  <c r="AB879" i="2"/>
  <c r="AB269" i="1"/>
  <c r="AB270" i="1"/>
  <c r="AB165" i="1" l="1"/>
  <c r="AB164" i="1"/>
  <c r="AB160" i="2"/>
  <c r="AB161" i="2"/>
  <c r="AB875" i="1"/>
  <c r="AB874" i="1"/>
  <c r="AB699" i="1"/>
  <c r="AB700" i="1"/>
  <c r="AB886" i="2"/>
  <c r="AB887" i="2"/>
  <c r="AB697" i="2"/>
  <c r="AB698" i="2"/>
  <c r="AB526" i="2"/>
  <c r="AB527" i="2"/>
  <c r="CB252" i="2"/>
  <c r="BN992" i="2"/>
  <c r="CB992" i="2" s="1"/>
  <c r="BN248" i="2"/>
  <c r="BN245" i="2" s="1"/>
  <c r="BN143" i="2" s="1"/>
  <c r="BN988" i="2" l="1"/>
  <c r="CB988" i="2" s="1"/>
  <c r="CB245" i="2"/>
  <c r="CB248" i="2"/>
  <c r="BN985" i="2" l="1"/>
  <c r="CB143" i="2"/>
  <c r="BN142" i="2"/>
  <c r="BN869" i="2" l="1"/>
  <c r="CB985" i="2"/>
  <c r="BN391" i="2"/>
  <c r="BN141" i="2"/>
  <c r="CB141" i="2" s="1"/>
  <c r="CB142" i="2"/>
  <c r="BN868" i="2" l="1"/>
  <c r="CB869" i="2"/>
  <c r="CB391" i="2"/>
  <c r="CB374" i="2" s="1"/>
  <c r="CB395" i="2"/>
  <c r="BN1160" i="2"/>
  <c r="BN1128" i="2" l="1"/>
  <c r="CB1128" i="2" s="1"/>
  <c r="CB868" i="2"/>
  <c r="BN867" i="2"/>
  <c r="CB867" i="2" s="1"/>
  <c r="CB394" i="2"/>
  <c r="CB1160" i="2"/>
  <c r="CB1162" i="2" l="1"/>
  <c r="BN1159" i="2"/>
  <c r="AL932" i="2"/>
  <c r="AL971" i="2"/>
  <c r="AL561" i="2"/>
  <c r="CB561" i="2" l="1"/>
  <c r="BZ764" i="2"/>
  <c r="AF767" i="2"/>
  <c r="AF1160" i="2" s="1"/>
  <c r="AF1159" i="2" s="1"/>
  <c r="BZ767" i="2" l="1"/>
  <c r="AF773" i="2"/>
  <c r="BZ792" i="2"/>
  <c r="BZ1160" i="2" l="1"/>
  <c r="BZ1162" i="2" s="1"/>
  <c r="BZ775" i="2"/>
  <c r="CB326" i="2"/>
  <c r="BV325" i="2"/>
  <c r="CB325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&lt;анонимный&gt;</author>
  </authors>
  <commentList>
    <comment ref="AO345" authorId="0" shapeId="0" xr:uid="{00000000-0006-0000-0000-000001000000}">
      <text>
        <r>
          <rPr>
            <sz val="10"/>
            <rFont val="Arial"/>
            <family val="2"/>
            <charset val="204"/>
          </rPr>
          <t xml:space="preserve">Шумская Жанна Витальевна:
</t>
        </r>
        <r>
          <rPr>
            <sz val="9"/>
            <color rgb="FF000000"/>
            <rFont val="Tahoma"/>
            <family val="2"/>
            <charset val="204"/>
          </rPr>
          <t xml:space="preserve">перемеещение с рыбного
</t>
        </r>
      </text>
    </comment>
    <comment ref="AI381" authorId="0" shapeId="0" xr:uid="{00000000-0006-0000-0000-000002000000}">
      <text>
        <r>
          <rPr>
            <sz val="10"/>
            <rFont val="Arial"/>
            <family val="2"/>
            <charset val="204"/>
          </rPr>
          <t xml:space="preserve">Шумская Жанна Витальевна:
</t>
        </r>
        <r>
          <rPr>
            <sz val="9"/>
            <color rgb="FF000000"/>
            <rFont val="Tahoma"/>
            <family val="2"/>
            <charset val="204"/>
          </rPr>
          <t xml:space="preserve">првышение потерь
</t>
        </r>
      </text>
    </comment>
    <comment ref="AO381" authorId="0" shapeId="0" xr:uid="{00000000-0006-0000-0000-000003000000}">
      <text>
        <r>
          <rPr>
            <sz val="10"/>
            <rFont val="Arial"/>
            <family val="2"/>
            <charset val="204"/>
          </rPr>
          <t xml:space="preserve">Шумская Жанна Витальевна:
</t>
        </r>
        <r>
          <rPr>
            <sz val="9"/>
            <color rgb="FF000000"/>
            <rFont val="Tahoma"/>
            <family val="2"/>
            <charset val="204"/>
          </rPr>
          <t xml:space="preserve">Протокол 111-01 окк/24 от 18.12.24 стр.8
</t>
        </r>
      </text>
    </comment>
    <comment ref="AI383" authorId="0" shapeId="0" xr:uid="{00000000-0006-0000-0000-000004000000}">
      <text>
        <r>
          <rPr>
            <sz val="10"/>
            <rFont val="Arial"/>
            <family val="2"/>
            <charset val="204"/>
          </rPr>
          <t xml:space="preserve">Шумская Жанна Витальевна:
</t>
        </r>
        <r>
          <rPr>
            <sz val="9"/>
            <color rgb="FF000000"/>
            <rFont val="Tahoma"/>
            <family val="2"/>
            <charset val="204"/>
          </rPr>
          <t xml:space="preserve">Товарная выручка  2329,91 минус скорр. НВВ 4857,39 =2527,48
</t>
        </r>
      </text>
    </comment>
    <comment ref="AL383" authorId="0" shapeId="0" xr:uid="{00000000-0006-0000-0000-000005000000}">
      <text>
        <r>
          <rPr>
            <sz val="10"/>
            <rFont val="Arial"/>
            <family val="2"/>
            <charset val="204"/>
          </rPr>
          <t xml:space="preserve">Шумская Жанна Витальевна:
</t>
        </r>
        <r>
          <rPr>
            <sz val="9"/>
            <color rgb="FF000000"/>
            <rFont val="Tahoma"/>
            <family val="2"/>
            <charset val="204"/>
          </rPr>
          <t>НВВ кор 3137,05 - 21640,16 тов. Выручка -2106,20 бюдж.
Протоколо 111-01 от 18.12.24</t>
        </r>
      </text>
    </comment>
    <comment ref="AO383" authorId="0" shapeId="0" xr:uid="{00000000-0006-0000-0000-000006000000}">
      <text>
        <r>
          <rPr>
            <sz val="10"/>
            <rFont val="Arial"/>
            <family val="2"/>
            <charset val="204"/>
          </rPr>
          <t xml:space="preserve">Шумская Жанна Витальевна:
</t>
        </r>
        <r>
          <rPr>
            <sz val="9"/>
            <color rgb="FF000000"/>
            <rFont val="Tahoma"/>
            <family val="2"/>
            <charset val="204"/>
          </rPr>
          <t xml:space="preserve">Протокол  111-01 от 18.12.2024 стр  6 Товарная выручка минус скорр НВВ 40901,55-39499,26
минус бюджетные средства 1150,98
</t>
        </r>
      </text>
    </comment>
    <comment ref="AO746" authorId="0" shapeId="0" xr:uid="{00000000-0006-0000-0000-000007000000}">
      <text>
        <r>
          <rPr>
            <sz val="10"/>
            <rFont val="Arial"/>
            <family val="2"/>
            <charset val="204"/>
          </rPr>
          <t xml:space="preserve">Шумская Жанна Витальевна:
</t>
        </r>
        <r>
          <rPr>
            <sz val="9"/>
            <color rgb="FF000000"/>
            <rFont val="Tahoma"/>
            <family val="2"/>
            <charset val="204"/>
          </rPr>
          <t xml:space="preserve">Товарная выручка минус НВВ скорр.
</t>
        </r>
      </text>
    </comment>
    <comment ref="AI753" authorId="0" shapeId="0" xr:uid="{00000000-0006-0000-0000-000008000000}">
      <text>
        <r>
          <rPr>
            <sz val="10"/>
            <rFont val="Arial"/>
            <family val="2"/>
            <charset val="204"/>
          </rPr>
          <t xml:space="preserve">Шумская Жанна Витальевна:
</t>
        </r>
        <r>
          <rPr>
            <sz val="9"/>
            <color rgb="FF000000"/>
            <rFont val="Tahoma"/>
            <family val="2"/>
            <charset val="204"/>
          </rPr>
          <t xml:space="preserve">Протокол стр 56 снятие за 2023 год 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&lt;анонимный&gt;</author>
  </authors>
  <commentList>
    <comment ref="AR341" authorId="0" shapeId="0" xr:uid="{00000000-0006-0000-0100-000001000000}">
      <text>
        <r>
          <rPr>
            <sz val="10"/>
            <rFont val="Arial"/>
            <family val="2"/>
            <charset val="204"/>
          </rPr>
          <t xml:space="preserve">Шумская Жанна Витальевна:
</t>
        </r>
        <r>
          <rPr>
            <sz val="9"/>
            <color rgb="FF000000"/>
            <rFont val="Tahoma"/>
            <family val="2"/>
            <charset val="204"/>
          </rPr>
          <t xml:space="preserve">перемеещение с рыбного
</t>
        </r>
      </text>
    </comment>
    <comment ref="AJ377" authorId="0" shapeId="0" xr:uid="{00000000-0006-0000-0100-000002000000}">
      <text>
        <r>
          <rPr>
            <sz val="10"/>
            <rFont val="Arial"/>
            <family val="2"/>
            <charset val="204"/>
          </rPr>
          <t xml:space="preserve">Шумская Жанна Витальевна:
</t>
        </r>
        <r>
          <rPr>
            <sz val="9"/>
            <color rgb="FF000000"/>
            <rFont val="Tahoma"/>
            <family val="2"/>
            <charset val="204"/>
          </rPr>
          <t xml:space="preserve">првышение потерь
</t>
        </r>
      </text>
    </comment>
    <comment ref="AN377" authorId="0" shapeId="0" xr:uid="{00000000-0006-0000-0100-000003000000}">
      <text>
        <r>
          <rPr>
            <sz val="10"/>
            <rFont val="Arial"/>
            <family val="2"/>
            <charset val="204"/>
          </rPr>
          <t xml:space="preserve">Шумская Жанна Витальевна:
</t>
        </r>
        <r>
          <rPr>
            <sz val="9"/>
            <color rgb="FF000000"/>
            <rFont val="Tahoma"/>
            <family val="2"/>
            <charset val="204"/>
          </rPr>
          <t>потери, аварии</t>
        </r>
      </text>
    </comment>
    <comment ref="AR378" authorId="0" shapeId="0" xr:uid="{00000000-0006-0000-0100-000004000000}">
      <text>
        <r>
          <rPr>
            <sz val="10"/>
            <rFont val="Arial"/>
            <family val="2"/>
            <charset val="204"/>
          </rPr>
          <t xml:space="preserve">Шумская Жанна Витальевна:
</t>
        </r>
        <r>
          <rPr>
            <sz val="9"/>
            <color rgb="FF000000"/>
            <rFont val="Tahoma"/>
            <family val="2"/>
            <charset val="204"/>
          </rPr>
          <t xml:space="preserve">Протокол 111-01 окк/24 от 18.12.24 стр.8
</t>
        </r>
      </text>
    </comment>
    <comment ref="AJ380" authorId="0" shapeId="0" xr:uid="{00000000-0006-0000-0100-000005000000}">
      <text>
        <r>
          <rPr>
            <sz val="10"/>
            <rFont val="Arial"/>
            <family val="2"/>
            <charset val="204"/>
          </rPr>
          <t xml:space="preserve">Шумская Жанна Витальевна:
</t>
        </r>
        <r>
          <rPr>
            <sz val="9"/>
            <color rgb="FF000000"/>
            <rFont val="Tahoma"/>
            <family val="2"/>
            <charset val="204"/>
          </rPr>
          <t xml:space="preserve">Товарная выручка  2329,91 минус скорр. НВВ 4857,39 =2527,48
</t>
        </r>
      </text>
    </comment>
    <comment ref="AN380" authorId="0" shapeId="0" xr:uid="{00000000-0006-0000-0100-000006000000}">
      <text>
        <r>
          <rPr>
            <sz val="10"/>
            <rFont val="Arial"/>
            <family val="2"/>
            <charset val="204"/>
          </rPr>
          <t xml:space="preserve">Шумская Жанна Витальевна:
</t>
        </r>
        <r>
          <rPr>
            <sz val="9"/>
            <color rgb="FF000000"/>
            <rFont val="Tahoma"/>
            <family val="2"/>
            <charset val="204"/>
          </rPr>
          <t>НВВ кор 3137,05 - 21640,16 тов. Выручка -2106,20 бюдж.
Протоколо 111-01 от 18.12.24</t>
        </r>
      </text>
    </comment>
    <comment ref="AR380" authorId="0" shapeId="0" xr:uid="{00000000-0006-0000-0100-000007000000}">
      <text>
        <r>
          <rPr>
            <sz val="10"/>
            <rFont val="Arial"/>
            <family val="2"/>
            <charset val="204"/>
          </rPr>
          <t xml:space="preserve">Шумская Жанна Витальевна:
</t>
        </r>
        <r>
          <rPr>
            <sz val="9"/>
            <color rgb="FF000000"/>
            <rFont val="Tahoma"/>
            <family val="2"/>
            <charset val="204"/>
          </rPr>
          <t xml:space="preserve">Протокол  111-01 от 18.12.2024 стр  6 Товарная выручка минус скорр НВВ 40901,55-39499,26
минус бюджетные средства 1150,98
</t>
        </r>
      </text>
    </comment>
    <comment ref="AV380" authorId="0" shapeId="0" xr:uid="{00000000-0006-0000-0100-000008000000}">
      <text>
        <r>
          <rPr>
            <sz val="10"/>
            <rFont val="Arial"/>
            <family val="2"/>
            <charset val="204"/>
          </rPr>
          <t xml:space="preserve">Шумская Жанна Витальевна:
</t>
        </r>
        <r>
          <rPr>
            <sz val="9"/>
            <color rgb="FF000000"/>
            <rFont val="Tahoma"/>
            <family val="2"/>
            <charset val="204"/>
          </rPr>
          <t xml:space="preserve">Тов. Выручка  3114,25-НВВ ск.4772,75. -бюджет 505,94 =1152,46
</t>
        </r>
      </text>
    </comment>
    <comment ref="BD380" authorId="0" shapeId="0" xr:uid="{00000000-0006-0000-0100-000009000000}">
      <text>
        <r>
          <rPr>
            <sz val="10"/>
            <rFont val="Arial"/>
            <family val="2"/>
            <charset val="204"/>
          </rPr>
          <t xml:space="preserve">Шумская Жанна Витальевна:
</t>
        </r>
        <r>
          <rPr>
            <sz val="9"/>
            <color rgb="FF000000"/>
            <rFont val="Tahoma"/>
            <family val="2"/>
            <charset val="204"/>
          </rPr>
          <t xml:space="preserve">Тов. Выр  минус НВВ скор.) минус бюджет 466,36
</t>
        </r>
      </text>
    </comment>
    <comment ref="BL380" authorId="0" shapeId="0" xr:uid="{00000000-0006-0000-0100-00000A000000}">
      <text>
        <r>
          <rPr>
            <sz val="10"/>
            <rFont val="Arial"/>
            <family val="2"/>
            <charset val="204"/>
          </rPr>
          <t xml:space="preserve">Шумская Жанна Витальевна:
</t>
        </r>
        <r>
          <rPr>
            <sz val="9"/>
            <color rgb="FF000000"/>
            <rFont val="Tahoma"/>
            <family val="2"/>
            <charset val="204"/>
          </rPr>
          <t xml:space="preserve"> формула 33.1 и 33. 1746 Э (
</t>
        </r>
      </text>
    </comment>
    <comment ref="BP380" authorId="0" shapeId="0" xr:uid="{00000000-0006-0000-0100-00000B000000}">
      <text>
        <r>
          <rPr>
            <sz val="10"/>
            <rFont val="Arial"/>
            <family val="2"/>
            <charset val="204"/>
          </rPr>
          <t xml:space="preserve">Шумская Жанна Витальевна:
</t>
        </r>
        <r>
          <rPr>
            <sz val="9"/>
            <color rgb="FF000000"/>
            <rFont val="Tahoma"/>
            <family val="2"/>
            <charset val="204"/>
          </rPr>
          <t>по формуле 33.1 и 33.2 за 2023</t>
        </r>
      </text>
    </comment>
    <comment ref="BT380" authorId="0" shapeId="0" xr:uid="{00000000-0006-0000-0100-00000C000000}">
      <text>
        <r>
          <rPr>
            <sz val="10"/>
            <rFont val="Arial"/>
            <family val="2"/>
            <charset val="204"/>
          </rPr>
          <t xml:space="preserve">Шумская Жанна Витальевна:
</t>
        </r>
        <r>
          <rPr>
            <sz val="9"/>
            <color rgb="FF000000"/>
            <rFont val="Tahoma"/>
            <family val="2"/>
            <charset val="204"/>
          </rPr>
          <t>по формуле 33.1 и33.2</t>
        </r>
      </text>
    </comment>
    <comment ref="BN642" authorId="0" shapeId="0" xr:uid="{00000000-0006-0000-0100-00000D000000}">
      <text>
        <r>
          <rPr>
            <sz val="10"/>
            <rFont val="Arial"/>
            <family val="2"/>
            <charset val="204"/>
          </rPr>
          <t xml:space="preserve">Канаева Е.Е.:
</t>
        </r>
        <r>
          <rPr>
            <sz val="9"/>
            <color rgb="FF000000"/>
            <rFont val="Tahoma"/>
            <family val="2"/>
            <charset val="204"/>
          </rPr>
          <t>в заключении сумма стоит 5 704,94</t>
        </r>
      </text>
    </comment>
    <comment ref="AR744" authorId="0" shapeId="0" xr:uid="{00000000-0006-0000-0100-00000E000000}">
      <text>
        <r>
          <rPr>
            <sz val="10"/>
            <rFont val="Arial"/>
            <family val="2"/>
            <charset val="204"/>
          </rPr>
          <t xml:space="preserve">Шумская Жанна Витальевна:
</t>
        </r>
        <r>
          <rPr>
            <sz val="9"/>
            <color rgb="FF000000"/>
            <rFont val="Tahoma"/>
            <family val="2"/>
            <charset val="204"/>
          </rPr>
          <t xml:space="preserve">Товарная выручка минус НВВ скорр.
</t>
        </r>
      </text>
    </comment>
    <comment ref="AV744" authorId="0" shapeId="0" xr:uid="{00000000-0006-0000-0100-00000F000000}">
      <text>
        <r>
          <rPr>
            <sz val="10"/>
            <rFont val="Arial"/>
            <family val="2"/>
            <charset val="204"/>
          </rPr>
          <t xml:space="preserve">Шумская Жанна Витальевна:
</t>
        </r>
        <r>
          <rPr>
            <sz val="9"/>
            <color rgb="FF000000"/>
            <rFont val="Tahoma"/>
            <family val="2"/>
            <charset val="204"/>
          </rPr>
          <t>Тов. Выручкк минус НВВ скор.</t>
        </r>
      </text>
    </comment>
    <comment ref="BD744" authorId="0" shapeId="0" xr:uid="{00000000-0006-0000-0100-000010000000}">
      <text>
        <r>
          <rPr>
            <sz val="10"/>
            <rFont val="Arial"/>
            <family val="2"/>
            <charset val="204"/>
          </rPr>
          <t xml:space="preserve">Шумская Жанна Витальевна:
</t>
        </r>
        <r>
          <rPr>
            <sz val="9"/>
            <color rgb="FF000000"/>
            <rFont val="Tahoma"/>
            <family val="2"/>
            <charset val="204"/>
          </rPr>
          <t>Тов. Выручка минус НВВ скор. - бюджет</t>
        </r>
      </text>
    </comment>
    <comment ref="BL744" authorId="0" shapeId="0" xr:uid="{00000000-0006-0000-0100-000011000000}">
      <text>
        <r>
          <rPr>
            <sz val="10"/>
            <rFont val="Arial"/>
            <family val="2"/>
            <charset val="204"/>
          </rPr>
          <t xml:space="preserve">Шумская Жанна Витальевна:
</t>
        </r>
        <r>
          <rPr>
            <sz val="9"/>
            <color rgb="FF000000"/>
            <rFont val="Tahoma"/>
            <family val="2"/>
            <charset val="204"/>
          </rPr>
          <t xml:space="preserve">по формуле 33.1 и 33ю 1746 э </t>
        </r>
      </text>
    </comment>
    <comment ref="BP744" authorId="0" shapeId="0" xr:uid="{00000000-0006-0000-0100-000012000000}">
      <text>
        <r>
          <rPr>
            <sz val="10"/>
            <rFont val="Arial"/>
            <family val="2"/>
            <charset val="204"/>
          </rPr>
          <t xml:space="preserve">Шумская Жанна Витальевна:
</t>
        </r>
        <r>
          <rPr>
            <sz val="9"/>
            <color rgb="FF000000"/>
            <rFont val="Tahoma"/>
            <family val="2"/>
            <charset val="204"/>
          </rPr>
          <t xml:space="preserve">по формуле 33.1 и33.2 МУ 1746 э
</t>
        </r>
      </text>
    </comment>
    <comment ref="BT744" authorId="0" shapeId="0" xr:uid="{00000000-0006-0000-0100-000013000000}">
      <text>
        <r>
          <rPr>
            <sz val="10"/>
            <rFont val="Arial"/>
            <family val="2"/>
            <charset val="204"/>
          </rPr>
          <t xml:space="preserve">Шумская Жанна Витальевна:
</t>
        </r>
        <r>
          <rPr>
            <sz val="9"/>
            <color rgb="FF000000"/>
            <rFont val="Tahoma"/>
            <family val="2"/>
            <charset val="204"/>
          </rPr>
          <t xml:space="preserve">по формуле 33.1 и33.2
</t>
        </r>
      </text>
    </comment>
    <comment ref="AJ751" authorId="0" shapeId="0" xr:uid="{00000000-0006-0000-0100-000014000000}">
      <text>
        <r>
          <rPr>
            <sz val="10"/>
            <rFont val="Arial"/>
            <family val="2"/>
            <charset val="204"/>
          </rPr>
          <t xml:space="preserve">Шумская Жанна Витальевна:
</t>
        </r>
        <r>
          <rPr>
            <sz val="9"/>
            <color rgb="FF000000"/>
            <rFont val="Tahoma"/>
            <family val="2"/>
            <charset val="204"/>
          </rPr>
          <t xml:space="preserve">Протокол стр 56 снятие за 2023 год 
</t>
        </r>
      </text>
    </comment>
  </commentList>
</comments>
</file>

<file path=xl/sharedStrings.xml><?xml version="1.0" encoding="utf-8"?>
<sst xmlns="http://schemas.openxmlformats.org/spreadsheetml/2006/main" count="17929" uniqueCount="771">
  <si>
    <t>D0243 Вид индекса</t>
  </si>
  <si>
    <t>D0396 Лист шаблона</t>
  </si>
  <si>
    <t>D0248 Вид расходов</t>
  </si>
  <si>
    <t>D0060 Вид персонала</t>
  </si>
  <si>
    <t>D0308 Расшифровка показателей надежности и качества объектов ЦС ХВС/ВО</t>
  </si>
  <si>
    <t>D0075 Энергия на хозяйственные нужды/на технологические цели</t>
  </si>
  <si>
    <t>D0162 Вид регулируемой деятельности</t>
  </si>
  <si>
    <t>D0686 Блок тарифа</t>
  </si>
  <si>
    <t>D0041 Год</t>
  </si>
  <si>
    <t>D0004 План / факт</t>
  </si>
  <si>
    <t>D0173 Тип значения</t>
  </si>
  <si>
    <t>Значение</t>
  </si>
  <si>
    <t>D0528 Версия данных</t>
  </si>
  <si>
    <t>D0462 Период</t>
  </si>
  <si>
    <t>Отображение листа "СиМ (детально)"</t>
  </si>
  <si>
    <t>Отображение блока 2 и 3 на листе "СиМ (детально)"</t>
  </si>
  <si>
    <t>Удалить приписку про 5% в п.2 и 3 листа "СиМ (детально)"</t>
  </si>
  <si>
    <t>Отображение листа "ФОТ (по ВД)"</t>
  </si>
  <si>
    <t>Отображение листа "Cчет 23"</t>
  </si>
  <si>
    <t>Отображение листа "Счет 25"</t>
  </si>
  <si>
    <t>Отображение листа "Адм.расходы"</t>
  </si>
  <si>
    <t>Отображение листа "Амортизация (оборудование)"</t>
  </si>
  <si>
    <t>Отображение листа "Аренда (оборудование)"</t>
  </si>
  <si>
    <t>Отображение листа "Земельные участки"</t>
  </si>
  <si>
    <t>Отображение листа "Прочие прямые"</t>
  </si>
  <si>
    <t>Отображение листа "Текремонты"</t>
  </si>
  <si>
    <t>Отображение листа "Капремонты"</t>
  </si>
  <si>
    <t>Отображение листа "Топливо"</t>
  </si>
  <si>
    <t>На листе "ЭЭ" деление объема на технологические и общепроизводственные нужды</t>
  </si>
  <si>
    <t>Расчет ЭЭ через два удельника</t>
  </si>
  <si>
    <t>На какой объем считается удельный расход - подъем или подано воды в сеть (лист ЭЭ)</t>
  </si>
  <si>
    <t>На какой объем считается удельный расход - подъем или подано воды в сеть (Показатели - водоподготовка)</t>
  </si>
  <si>
    <t>На какой объем считается удельный расход - подъем или подано воды в сеть (Показатели - транспортировка)</t>
  </si>
  <si>
    <t xml:space="preserve">Отображать детальный расчет налогов </t>
  </si>
  <si>
    <t>Детализация внесения оборудования: производственные расходы</t>
  </si>
  <si>
    <t>Детализация внесения оборудования: административные расходы</t>
  </si>
  <si>
    <t>Детализация внесения оборудования: общепроизводственные расходы</t>
  </si>
  <si>
    <t>Пообъектный учет амортизации и аренды?</t>
  </si>
  <si>
    <t>Учитывать аренду транспорта в прочих производственных расходов?</t>
  </si>
  <si>
    <t>Лист "Амортизация (оборудование)" добавить строку прочее</t>
  </si>
  <si>
    <t>Разделять "Счет 23" на ОР, НР и амортизацию?</t>
  </si>
  <si>
    <t>Разделять "Счет 25" на ОР, НР и амортизацию?</t>
  </si>
  <si>
    <t>Разделять "Адм.расходы" на ОР, НР и амортизацию?</t>
  </si>
  <si>
    <t>Формирование баланса, как в шаблоне ФАС или как в Приказе Минстроя №640</t>
  </si>
  <si>
    <t>Отражать услуги по горячему водоснабжению на листах "Смета" и "НР"</t>
  </si>
  <si>
    <t>Отображение строки с ГСМ и материалами</t>
  </si>
  <si>
    <t>Учитывать неучтенный приток</t>
  </si>
  <si>
    <t>ФОТ как в ЭЗ ФАС</t>
  </si>
  <si>
    <t>Разбивка листа ИТОГ по полугодиям</t>
  </si>
  <si>
    <t>ГП КО "Водоканал"</t>
  </si>
  <si>
    <t>ВОДОСНАБЖЕНИЕ</t>
  </si>
  <si>
    <t>Калининград</t>
  </si>
  <si>
    <t>Храброво</t>
  </si>
  <si>
    <t>Пионерский</t>
  </si>
  <si>
    <t>Светлогорск (в т.ч. Донское)</t>
  </si>
  <si>
    <t>Янтарный</t>
  </si>
  <si>
    <t>Зеленоградск+ МО</t>
  </si>
  <si>
    <t>Полесск</t>
  </si>
  <si>
    <t>Гурьевск</t>
  </si>
  <si>
    <t>Черняховск</t>
  </si>
  <si>
    <t>Ладушкин</t>
  </si>
  <si>
    <t>Мамоново</t>
  </si>
  <si>
    <t>ИТОГО (ВС)</t>
  </si>
  <si>
    <t>№ п/п</t>
  </si>
  <si>
    <t>Наименование</t>
  </si>
  <si>
    <t>Единица измерений</t>
  </si>
  <si>
    <t>факт</t>
  </si>
  <si>
    <t>Утвержденный Службой</t>
  </si>
  <si>
    <t>год</t>
  </si>
  <si>
    <t>Условие для индексации ОР</t>
  </si>
  <si>
    <t>Количество месяцев</t>
  </si>
  <si>
    <t>M3877</t>
  </si>
  <si>
    <t>Индекс разделения по полугодиям</t>
  </si>
  <si>
    <t>Не определено</t>
  </si>
  <si>
    <t>ИТОГ</t>
  </si>
  <si>
    <t>M3876</t>
  </si>
  <si>
    <t>Баланс водоснабжения (год)</t>
  </si>
  <si>
    <t>Всего</t>
  </si>
  <si>
    <t>M3416</t>
  </si>
  <si>
    <t>Баланс водоснабжения 1 полугодие</t>
  </si>
  <si>
    <t>Не опрееделено</t>
  </si>
  <si>
    <t>M3417</t>
  </si>
  <si>
    <t>Баланс водоснабжения 2 полугодие</t>
  </si>
  <si>
    <t>M0513</t>
  </si>
  <si>
    <t>Расходы</t>
  </si>
  <si>
    <t>Итого НВВ</t>
  </si>
  <si>
    <t>M3874</t>
  </si>
  <si>
    <t>Разделение тарифа (НВВ I полугодие)</t>
  </si>
  <si>
    <t>M3875</t>
  </si>
  <si>
    <t xml:space="preserve">Разделение тарифа (НВВ II полугодия) </t>
  </si>
  <si>
    <t>M3033</t>
  </si>
  <si>
    <t>Среднегодовой тариф</t>
  </si>
  <si>
    <t>M3034</t>
  </si>
  <si>
    <t>Тариф на первый период</t>
  </si>
  <si>
    <t>M3035</t>
  </si>
  <si>
    <t>Тариф на второй период</t>
  </si>
  <si>
    <t>M2358</t>
  </si>
  <si>
    <t>Темп роста тарифа</t>
  </si>
  <si>
    <t>M2875</t>
  </si>
  <si>
    <t>Среднегодовой тариф с НДС</t>
  </si>
  <si>
    <t>M2876</t>
  </si>
  <si>
    <t>Тариф на первый период с НДС</t>
  </si>
  <si>
    <t>M2877</t>
  </si>
  <si>
    <t>Тариф на второй период с НДС</t>
  </si>
  <si>
    <t>M2878</t>
  </si>
  <si>
    <t>Темп роста тарифа с НДС</t>
  </si>
  <si>
    <t>Проверки</t>
  </si>
  <si>
    <t>﻿M2656</t>
  </si>
  <si>
    <t>Проверка</t>
  </si>
  <si>
    <t>﻿Операционные расходы</t>
  </si>
  <si>
    <t>Проверка операционных расходов</t>
  </si>
  <si>
    <t>тыс. руб.</t>
  </si>
  <si>
    <t>Индексы и коэффициенты</t>
  </si>
  <si>
    <t>M2315</t>
  </si>
  <si>
    <t>Индекс</t>
  </si>
  <si>
    <t>ИИКА</t>
  </si>
  <si>
    <t>Коэффициент операционных расходов</t>
  </si>
  <si>
    <t>Коэффициент роста ОР к значению прошлого года</t>
  </si>
  <si>
    <t>Индекс эффективности операционных расходов (ИЭР)</t>
  </si>
  <si>
    <t>%</t>
  </si>
  <si>
    <t>Индекс потребительских цен, определенный в базовом варианте прогноза СЭР РФ</t>
  </si>
  <si>
    <t>Индекс потребительских цен (ИПЦ)</t>
  </si>
  <si>
    <t>Индекс изменения количества активов</t>
  </si>
  <si>
    <t>Индекс изменения количество активов (ИКА)</t>
  </si>
  <si>
    <t>Индекс изменения количества условных метров сети</t>
  </si>
  <si>
    <t>Изменение количества условных метров сети</t>
  </si>
  <si>
    <t>M2292</t>
  </si>
  <si>
    <t>Изменение ОР на водоподготовку, связанное с вводом в эксплуатацию нового объекта водоподготовки</t>
  </si>
  <si>
    <t>Изменение операционных расходов на водоподготовку, очистку сточных вод, связанное с вводом в эксплуатацию нового объекта водоподготовки</t>
  </si>
  <si>
    <t>M3182</t>
  </si>
  <si>
    <t>Доля операционных расходов по транспортировке в общих операционных расходах</t>
  </si>
  <si>
    <t>Доля операционных расходов по транспортировке в общих ОР</t>
  </si>
  <si>
    <t>Коэффициент неполного года</t>
  </si>
  <si>
    <t>Расчет тарифа МИ</t>
  </si>
  <si>
    <t>Индекс цен на электрическую энергию</t>
  </si>
  <si>
    <t>Индексы</t>
  </si>
  <si>
    <t>Баланс водоснабжения</t>
  </si>
  <si>
    <t>тыс.куб.м</t>
  </si>
  <si>
    <t>1 полугодие</t>
  </si>
  <si>
    <t>2 полугодие</t>
  </si>
  <si>
    <t>M3028</t>
  </si>
  <si>
    <t>Объем воды и стоков</t>
  </si>
  <si>
    <t>Объем воды из источников водоснабжения</t>
  </si>
  <si>
    <t>Поднято воды - всего</t>
  </si>
  <si>
    <t>Потребление на собственные нужды</t>
  </si>
  <si>
    <t>Получено воды со стороны от других операторов</t>
  </si>
  <si>
    <t>Подано воды в сеть</t>
  </si>
  <si>
    <t>Расходы воды при транспортировке</t>
  </si>
  <si>
    <t>Потери воды</t>
  </si>
  <si>
    <t>M2516</t>
  </si>
  <si>
    <t>потери воды в процентах</t>
  </si>
  <si>
    <t>потери воды в % к V поданной воды в сеть</t>
  </si>
  <si>
    <t>Отпущено воды, всего</t>
  </si>
  <si>
    <t>Отпущено воды - всего</t>
  </si>
  <si>
    <t>отпущено воды на нужды предприятия (другие виды производственной деятельности, в т.ч. для приготовления горячей воды)</t>
  </si>
  <si>
    <t>на нужды предприятия</t>
  </si>
  <si>
    <t>отпущено воды абонентам</t>
  </si>
  <si>
    <t>Объем реализации по категориям потребителей:</t>
  </si>
  <si>
    <t>население, исполнители коммунальных услуг (УК, ТСЖ и пр.)</t>
  </si>
  <si>
    <t>населению</t>
  </si>
  <si>
    <t>бюджетные потребители</t>
  </si>
  <si>
    <t>бюджетным учреждениям</t>
  </si>
  <si>
    <t>прочие потребители</t>
  </si>
  <si>
    <t>прочим потребителям</t>
  </si>
  <si>
    <t>передано воды другим водопроводам</t>
  </si>
  <si>
    <t>Отпущено воды другим водопроводам</t>
  </si>
  <si>
    <t>M3976</t>
  </si>
  <si>
    <t>Баланс водоотведения</t>
  </si>
  <si>
    <t>M3418</t>
  </si>
  <si>
    <t>Баланс водоотведения 1 полугодие</t>
  </si>
  <si>
    <t>M3419</t>
  </si>
  <si>
    <t>Баланс водоотведения 2 полугодие</t>
  </si>
  <si>
    <t>Прием сточных вод (с учетом технологических нужд)</t>
  </si>
  <si>
    <t>Прием сточных вод, технологические нужды предприятия</t>
  </si>
  <si>
    <t>Прием сточных вод, всего</t>
  </si>
  <si>
    <t>прием сточных вод от собственного производства (других видов производственной деятельности)</t>
  </si>
  <si>
    <t>Объем сточных вод, принятых у абонентов</t>
  </si>
  <si>
    <t>от собственных абонентов</t>
  </si>
  <si>
    <t>от бюджетных потребителей</t>
  </si>
  <si>
    <t>от населения, исполнителей коммунальных услуг (УК, ТСЖ и пр.)</t>
  </si>
  <si>
    <t>от прочих</t>
  </si>
  <si>
    <t>от других организаций, осуществляющих водоотведение</t>
  </si>
  <si>
    <t>неучтенный приток сточных вод</t>
  </si>
  <si>
    <t>Объем транспортируемых сточных вод</t>
  </si>
  <si>
    <t>транспортируемые сточные воды на собственные очистные сооружения</t>
  </si>
  <si>
    <t>транспортируемые другим организациям сточные воды</t>
  </si>
  <si>
    <t>Объем сточных вод, поступивших на очистные сооружения</t>
  </si>
  <si>
    <t>Необходимая валовая выручка</t>
  </si>
  <si>
    <t>Текущие расходы</t>
  </si>
  <si>
    <t>Итого по операционным расходам</t>
  </si>
  <si>
    <t>Операционные расходы:</t>
  </si>
  <si>
    <t>Производственные расходы</t>
  </si>
  <si>
    <t>ОР (базовый)</t>
  </si>
  <si>
    <t>Производственные расходы:</t>
  </si>
  <si>
    <t>Расходы на сырье и материалы</t>
  </si>
  <si>
    <t>расходы на приобретение сырья и материалов и их хранение</t>
  </si>
  <si>
    <t>Реагенты</t>
  </si>
  <si>
    <t>Горюче-смазочные материалы</t>
  </si>
  <si>
    <t>Материалы и малоценные основные средства</t>
  </si>
  <si>
    <t>Расходы на оплату работ и услуг, связанные с эксплуатацией ЦС ВС/ВО: прочие услуги</t>
  </si>
  <si>
    <t>расходы на оплату регулируемыми организациями выполняемых сторонними организациями работ и (или) услуг</t>
  </si>
  <si>
    <t>Расходы на оплату труда и отчисления на социальные нужды</t>
  </si>
  <si>
    <t>Основные производственные рабочие</t>
  </si>
  <si>
    <t>расходы на оплату труда и отчисления на социальные нужды ОПП</t>
  </si>
  <si>
    <t>Расходы на оплату труда</t>
  </si>
  <si>
    <t>расходы на оплату труда производственного персонала</t>
  </si>
  <si>
    <t>M3045</t>
  </si>
  <si>
    <t>Оплата труда</t>
  </si>
  <si>
    <t>Сред. зарплата 1 работ-щего в мес</t>
  </si>
  <si>
    <t>руб.</t>
  </si>
  <si>
    <t>M2019</t>
  </si>
  <si>
    <t>Численность, принятая для расчета</t>
  </si>
  <si>
    <t>Числ-ть осн. рабочих</t>
  </si>
  <si>
    <t>чел.</t>
  </si>
  <si>
    <t>Отчисления на социальные нужды</t>
  </si>
  <si>
    <t>отчисления на социальные нужды производственного персонала</t>
  </si>
  <si>
    <t>M2084</t>
  </si>
  <si>
    <t>% расходов на уплату страховых взносов</t>
  </si>
  <si>
    <t>процент страховых взносов</t>
  </si>
  <si>
    <t>Расходы на уплату процентов по займам и кредитам</t>
  </si>
  <si>
    <t>расходы на уплату процентов по займам и кредитам</t>
  </si>
  <si>
    <t>Общепроизводственные (цеховые) расходы</t>
  </si>
  <si>
    <t>общехозяйственные расходы</t>
  </si>
  <si>
    <t>Цеховый персонал</t>
  </si>
  <si>
    <t>Счет 25</t>
  </si>
  <si>
    <t>расходы на оплату труда и отчисления на социальные нужды ОХП</t>
  </si>
  <si>
    <t>расходы на оплату труда цехового персонала</t>
  </si>
  <si>
    <t>отчисления на социальные нужды цехового персонала</t>
  </si>
  <si>
    <t>﻿Другие расходы (с расшифровкой) в составе общехозяйственных расходов</t>
  </si>
  <si>
    <t>другие общехозяйственные расходы</t>
  </si>
  <si>
    <t>Итого по прочим производственным расходам</t>
  </si>
  <si>
    <t>Прочие производственные расходы:</t>
  </si>
  <si>
    <t>Прочие производственные расходы: расходы на амортизацию автотранспорта</t>
  </si>
  <si>
    <t>расходы на амортизацию автотранспорта</t>
  </si>
  <si>
    <t>Прочие производственные расходы: услуги по обращению с осадком сточных вод</t>
  </si>
  <si>
    <t>расходы на обезвоживание, обезвреживание и захоронение осадка сточных вод</t>
  </si>
  <si>
    <t>Прочие производственные расходы: расходы на приобретение (использование) вспомогательных материалов, запасных частей</t>
  </si>
  <si>
    <t>расходы на приобретение (использование) вспомогательных материалов, запасных частей</t>
  </si>
  <si>
    <t>Прочие производственные расходы: расходы на эксплуатацию, техническое обслуживание и ремонт автотранспорта</t>
  </si>
  <si>
    <t>расходы на эксплуатацию, техническое обслуживание и ремонт автотранспорта</t>
  </si>
  <si>
    <t>Прочие производственные расходы: контроль качества воды/контроль сточных вод</t>
  </si>
  <si>
    <t>расходы на осуществление производственного контроля качества воды и производственного контроля состава и свойств сточных вод расходы на осуществление производственного контроля качества воды и производственного контроля состава и свойств сточных вод</t>
  </si>
  <si>
    <t>Прочие производственные расходы: расходы на аварийно-техническое обслуживание</t>
  </si>
  <si>
    <t>расходы на аварийно- диспетчерское обслуживание</t>
  </si>
  <si>
    <t>Прочие производственные расходы: вспомогаельные расходы</t>
  </si>
  <si>
    <t>вспомогательные расходы в т.ч.:</t>
  </si>
  <si>
    <t>поверка средств измерений</t>
  </si>
  <si>
    <t>тыс.руб.</t>
  </si>
  <si>
    <t>поверка приборов</t>
  </si>
  <si>
    <t>вывоз мусора</t>
  </si>
  <si>
    <t>расходы на молоко </t>
  </si>
  <si>
    <t>установка общедомовых приборов</t>
  </si>
  <si>
    <t>экспедирование грузов</t>
  </si>
  <si>
    <t>оплата услуг сторонних организаций по экологии</t>
  </si>
  <si>
    <t>посыпка дорожного покрытия</t>
  </si>
  <si>
    <t>услуги стороннего автотранспорта</t>
  </si>
  <si>
    <t>ремонт и обслуживание транспорта (автомойка,запчасти, услуги стор. организаций по обслуж автотранс.GPS контроль,маршп. карты) </t>
  </si>
  <si>
    <t>аренда оборудования (баллонов)</t>
  </si>
  <si>
    <t>совместное содержание имущества</t>
  </si>
  <si>
    <t>расходы ГИС</t>
  </si>
  <si>
    <t>расходы на тех. присоединение</t>
  </si>
  <si>
    <t>транспортные расходы  ( в т.ч. РЖД)</t>
  </si>
  <si>
    <t>прочие расходы (операционные)</t>
  </si>
  <si>
    <t>услуги автомойки</t>
  </si>
  <si>
    <t>запчасти, шины, лакокрасочные</t>
  </si>
  <si>
    <t>маршрутные карты</t>
  </si>
  <si>
    <t>другие производственные расходы в т.ч.:</t>
  </si>
  <si>
    <t>расходы по охране труда, профосмотры</t>
  </si>
  <si>
    <t>спецодежда</t>
  </si>
  <si>
    <t>аренда контейнера</t>
  </si>
  <si>
    <t>услуги банка</t>
  </si>
  <si>
    <t>обслуживание транспорта</t>
  </si>
  <si>
    <t>обслуживание кондиционеров</t>
  </si>
  <si>
    <t>обслуживание лифтов</t>
  </si>
  <si>
    <t>больничные листы за счет предприятия</t>
  </si>
  <si>
    <t>ТО кассовых аппаратов</t>
  </si>
  <si>
    <t>ТО оборудования</t>
  </si>
  <si>
    <t>дератизация, дезинфекция</t>
  </si>
  <si>
    <t>платежи по промыш. Безопасности</t>
  </si>
  <si>
    <t>расходы на горячее питание</t>
  </si>
  <si>
    <t>внутреннее водопортебление</t>
  </si>
  <si>
    <t>страхование  транспорта</t>
  </si>
  <si>
    <t>установка общедомовых приборов</t>
  </si>
  <si>
    <t>ремонт и обслуживание офисного оборудования (услуги сторонних организаций)</t>
  </si>
  <si>
    <t>расходы на  молоко</t>
  </si>
  <si>
    <t>приобретение запчастей и расходных материалов для орг.техники</t>
  </si>
  <si>
    <t>теплоэнергия</t>
  </si>
  <si>
    <t>аренда оборудования, в т.ч. баллонов</t>
  </si>
  <si>
    <t>ТО автотранспорта</t>
  </si>
  <si>
    <t>расходы на уборку и вывоз мусора (вывоз ТКО)</t>
  </si>
  <si>
    <t>расчет расходов на вывоз отходов, не относящихся к ТКО на полигоне Светлогорск (размещение отходов)</t>
  </si>
  <si>
    <t>расходы на уборку и вывоз мусора не относящихся к ТКО</t>
  </si>
  <si>
    <t>расходы на совместное содержание общего имущества дома</t>
  </si>
  <si>
    <t>расходы по оформлению документов(техинвент-ция объекта,документация по текущему содержанию объектов)</t>
  </si>
  <si>
    <t>расходы на пожарную безопасность (содержание противопожарной сигнализации)</t>
  </si>
  <si>
    <t>ТО энергетического оборудования </t>
  </si>
  <si>
    <t>расходы на пожарную безопасность (ТО, проверка, зарядка огнетушителей)</t>
  </si>
  <si>
    <t>проведение изыскательных работ в целях размещения водозаборных скважин(г. Зеленоградск п .Малиновка)</t>
  </si>
  <si>
    <t>физико-химические испытания</t>
  </si>
  <si>
    <t>лицензирование скважинных водозаборов </t>
  </si>
  <si>
    <t>услуги сторонних охранных организций</t>
  </si>
  <si>
    <t>рекламные расходы</t>
  </si>
  <si>
    <t>ГСМ (для отопления, оборудования)</t>
  </si>
  <si>
    <t>расходы на технологическое присоединение</t>
  </si>
  <si>
    <t>ОСАГО</t>
  </si>
  <si>
    <t>ГСМ (капитальный ремонт)</t>
  </si>
  <si>
    <t>ремонт и обслуживание авто</t>
  </si>
  <si>
    <t>специальная оценка условий труда</t>
  </si>
  <si>
    <t>лизинг автотранспорта</t>
  </si>
  <si>
    <t>уголь</t>
  </si>
  <si>
    <t>расходы на медикаменты</t>
  </si>
  <si>
    <t>прочие мероприятия по ГО и ЧС</t>
  </si>
  <si>
    <t>пусконалодочные работы  на ВНС</t>
  </si>
  <si>
    <t>Ремонтные работы</t>
  </si>
  <si>
    <t>Ремонтные расходы</t>
  </si>
  <si>
    <t>Расходы на текущий ремонт объектов ЦС ХВС/ВО либо объектов, входящих в такие системы (без расходов на оплату труда ремонтного персонала)</t>
  </si>
  <si>
    <t>расходы на текущий ремонт</t>
  </si>
  <si>
    <t xml:space="preserve">Расходы на капитальный ремонт ЦС ХВС/ВО либо объектов, входящих в такие системы </t>
  </si>
  <si>
    <t>расходы на капитальный ремонт</t>
  </si>
  <si>
    <t>Ремонтный персонал</t>
  </si>
  <si>
    <t>расходы на оплату труда и отчисления на социальные нужды РП</t>
  </si>
  <si>
    <t>расходы на оплату труда ремонтного персонала</t>
  </si>
  <si>
    <t>отчисления на социальные нужды ремонтного персонала</t>
  </si>
  <si>
    <t>Административные расходы</t>
  </si>
  <si>
    <t>Расходы на оплату работ и услуг, выполняемых сторонними организациями, в составе административных расходов</t>
  </si>
  <si>
    <t>Расходы на оплату работ и услуг, выполняемых сторонними организациями</t>
  </si>
  <si>
    <t>услуги связи и интернет в составе административных расходов</t>
  </si>
  <si>
    <t>услуги связи и интернет</t>
  </si>
  <si>
    <t>юридические услуги в составе административных расходов</t>
  </si>
  <si>
    <t>юридические услуги</t>
  </si>
  <si>
    <t>аудиторские услуги, лицензии, разрешения, экспертиза в составе административных расходов</t>
  </si>
  <si>
    <t>аудиторские услуги, лицензии, разрешения, экспертиза</t>
  </si>
  <si>
    <t>консультационные услуги в составе административных расходов</t>
  </si>
  <si>
    <t>консультационные услуги</t>
  </si>
  <si>
    <t>услуги по вневедомственной охране объектов и территорий в составе административных расходов</t>
  </si>
  <si>
    <t>услуги по вневедомственной охране объектов и территорий</t>
  </si>
  <si>
    <t>информационные услуги в составе административных расходов</t>
  </si>
  <si>
    <t>информационные услуги</t>
  </si>
  <si>
    <t>прочие услуги, выполняемые сторонними организациями, в составе административных расходов</t>
  </si>
  <si>
    <t>прочие услуги</t>
  </si>
  <si>
    <t>АУП</t>
  </si>
  <si>
    <t>Расходы на оплату труда и отчисления на социальные нужды АП</t>
  </si>
  <si>
    <t>расходы на оплату труда административного персонала</t>
  </si>
  <si>
    <t>отчисления на социальные нужды АП</t>
  </si>
  <si>
    <t>Арендная плата и лизинговые платежи, не связанные с арендой (лизингом) ЦС в/с, либо объектов, входящих в такие системы</t>
  </si>
  <si>
    <t>Служебные командировки в составе административных расходов</t>
  </si>
  <si>
    <t>Служебные командировки</t>
  </si>
  <si>
    <t>Обучение персонала в составе административных расходов</t>
  </si>
  <si>
    <t>Обучение персонала</t>
  </si>
  <si>
    <t>Средства на страхование в составе административных расходов</t>
  </si>
  <si>
    <t>Средства на страхование производственных объектов</t>
  </si>
  <si>
    <t>Итого по прочим административным расходам</t>
  </si>
  <si>
    <t>Прочие административные расходы</t>
  </si>
  <si>
    <t>Прочие административные расходы: расходы на амортизацию непроизводственных активов</t>
  </si>
  <si>
    <t>расходы на амортизацию непроизводственных активов</t>
  </si>
  <si>
    <t>Прочие административные расходы: расходы по охране объектов и территорий</t>
  </si>
  <si>
    <t>расходы по охране объектов и территорий, в т.ч. пожарная охрана</t>
  </si>
  <si>
    <t>Прочие административные расходы: материалы</t>
  </si>
  <si>
    <t>материалы</t>
  </si>
  <si>
    <t>Прочие административные расходы: ремонт и содержание ОС</t>
  </si>
  <si>
    <t>ремонт и содержание ОС</t>
  </si>
  <si>
    <t>Прочие административные расходы: транспорт</t>
  </si>
  <si>
    <t>транспорт</t>
  </si>
  <si>
    <t>Прочие административные расходы: налоги</t>
  </si>
  <si>
    <t>налоги</t>
  </si>
  <si>
    <t>Прочие административные расходы: прочее</t>
  </si>
  <si>
    <t>прочие расходы в т.ч.:</t>
  </si>
  <si>
    <t>оргтехника и ее обслуживание ( аренда оргтехники, запчасти на оргтехники, приобретение оргтехники, ремонт оргтехники и обсл, утилизация)</t>
  </si>
  <si>
    <t>канцелярские и типографские</t>
  </si>
  <si>
    <t>материалы на хоз. нужды, произ. инвентарь</t>
  </si>
  <si>
    <t>обслуживание оборудования, зданий</t>
  </si>
  <si>
    <t>почтовые расходы, подписка</t>
  </si>
  <si>
    <t>медикаменты</t>
  </si>
  <si>
    <t>отчетность по каналам связи и услуги спецорганизаций, ТВ</t>
  </si>
  <si>
    <t>мероприятия по ГО и ЧС в т.ч Пож. безопасность</t>
  </si>
  <si>
    <t>налог на имущество</t>
  </si>
  <si>
    <t>расходы по экологии</t>
  </si>
  <si>
    <t>рекламные расходы</t>
  </si>
  <si>
    <t>услуги стационарной телефонной связи</t>
  </si>
  <si>
    <t>услуги мобильной телефонной связи</t>
  </si>
  <si>
    <t>запчасти и расходные материалы на оргтехнику</t>
  </si>
  <si>
    <t>ремонт и обслуж офисного оборудования</t>
  </si>
  <si>
    <t>обслуживание программного обеспечения</t>
  </si>
  <si>
    <t>лицензирование программного обеспечения</t>
  </si>
  <si>
    <t>услуги интернет</t>
  </si>
  <si>
    <t>услуги банка</t>
  </si>
  <si>
    <t>обучение,семинары,конференции</t>
  </si>
  <si>
    <t>ТО зданий, оборудования, поверки, прочее</t>
  </si>
  <si>
    <t>Сбытовые расходы гарантирующей организации (за исключением резерва по сомнительным долгам)</t>
  </si>
  <si>
    <t>Сбытовые расходы гарантирующей организации:</t>
  </si>
  <si>
    <t>Расходы на приобретение материалов, связанные со сбытовой деятельностью</t>
  </si>
  <si>
    <t>Расходы на содержание помещений, используемых при осуществлении сбытовой деятельности</t>
  </si>
  <si>
    <t>Сбыт</t>
  </si>
  <si>
    <t>Расходы на оплату труда, страховые взносы на обязательное социальное страхование, выплачиваемые из фонда оплаты труда сбытового персонала</t>
  </si>
  <si>
    <t>M0514</t>
  </si>
  <si>
    <t>Заработная плата всего</t>
  </si>
  <si>
    <t>Расходы на амортизацию основных средств и нематериальных активов (сбытовая деятельность)</t>
  </si>
  <si>
    <t>Расходы на амортизацию основных средств и нематериальных активов, используемых при осуществлении сбытовой деятельности</t>
  </si>
  <si>
    <t>Расходы на аренду, лизинг имущества, используемого при осуществлении сбытовой деятельности</t>
  </si>
  <si>
    <t>Расходы на уплату процентов по займам и кредитам, привлечение которых обосновано ростом дебиторской задолженности абонентов</t>
  </si>
  <si>
    <t>Расходы на уплату процентов по займам и кредитам, привлечение которых обосновано ростом дебиторской задолженности абонентов за регулируемые услуги водоснабжения (водоотведения)</t>
  </si>
  <si>
    <t>Расходы на оплату работ и (или) услуг, выполняемых сторонними организациями или индивидуальными предпринимателями (сбытовая деятельность)</t>
  </si>
  <si>
    <t>Расходы на оплату работ и (или) услуг, выполняемых сторонними организациями или индивидуальными предпринимателями, связанных со сбытовой деятельностью</t>
  </si>
  <si>
    <t>Прочие расходы, связанные со сбытовой деятельностью</t>
  </si>
  <si>
    <t>Затраты на электроэнергию, всего</t>
  </si>
  <si>
    <t>Расходы на электрическую энергию</t>
  </si>
  <si>
    <t>Производственные расходы на электрическую энергию</t>
  </si>
  <si>
    <t>Смета</t>
  </si>
  <si>
    <t>M2124</t>
  </si>
  <si>
    <t>Тариф на электроэнергию</t>
  </si>
  <si>
    <t>Тариф по электроэнергии</t>
  </si>
  <si>
    <t>руб/кВт*ч</t>
  </si>
  <si>
    <t>M2122</t>
  </si>
  <si>
    <t>Объем покупной электроэнергии</t>
  </si>
  <si>
    <t>Кол-во электроэнергии</t>
  </si>
  <si>
    <t>тыс.кВт*ч</t>
  </si>
  <si>
    <t>На технологические цели</t>
  </si>
  <si>
    <t>ЭЭ</t>
  </si>
  <si>
    <t>Кол-во электроэнергии на технологические нужды</t>
  </si>
  <si>
    <t>M3030</t>
  </si>
  <si>
    <t>Удельное потребление электрической энергии</t>
  </si>
  <si>
    <t>Удельный расход электроэнергии</t>
  </si>
  <si>
    <t>кВт*ч/м3</t>
  </si>
  <si>
    <t>M3098</t>
  </si>
  <si>
    <t>Подано воды в сеть/Принято сточных вод</t>
  </si>
  <si>
    <t>объем воды/сточных вод</t>
  </si>
  <si>
    <t>M3046</t>
  </si>
  <si>
    <t>Показатель надежности и качества объектов ЦС ХВС/ВО</t>
  </si>
  <si>
    <t>общее количество электроэнергии, потребляемой в процессе подготовки/очистки вод</t>
  </si>
  <si>
    <t>Показатели</t>
  </si>
  <si>
    <t>Кол-во электроэнергии на технологические нужды водоподготовки/очистки сточных вод</t>
  </si>
  <si>
    <t>Удельный расход электрической энергии, потребляемой в процессе подготовки/очистки вод, на единицу объема</t>
  </si>
  <si>
    <t>Удельный расход электроэнергии на водоподготовку/очистку сточных вод</t>
  </si>
  <si>
    <t>общий объем питьевой воды, подвергаемой водоподготовке/сточных вод, подвергающихся очистке</t>
  </si>
  <si>
    <t>общее количество электроэнергии, потребляемой при транспортировке</t>
  </si>
  <si>
    <t>Кол-во электроэнергии на технологические нужды транспортировки воды/сточных вод</t>
  </si>
  <si>
    <t>Удельный расход электрической энергии, потребляемой в процессе транспортировки питьевой воды/сточных вод, на единицу объема</t>
  </si>
  <si>
    <t>Удельный расход электроэнергии на транспортировку воды/сточных вод</t>
  </si>
  <si>
    <t>общий объем транспортируемой питьевой воды/сточных вод</t>
  </si>
  <si>
    <t>На хозяйственные нужды</t>
  </si>
  <si>
    <t>Кол-во электроэнергии на общепроизводственные нужды</t>
  </si>
  <si>
    <t>Электрическая энергия в составе общей суммы вспомогательных расходов</t>
  </si>
  <si>
    <t>Счет 23</t>
  </si>
  <si>
    <t>Вспомогательные расходы на электрическую энергию (счет 23)</t>
  </si>
  <si>
    <t>Электрическая энергия в составе общей суммы цеховых расходов</t>
  </si>
  <si>
    <t>Общепроизводственные расходы на электрическую энергию (счет 25)</t>
  </si>
  <si>
    <t>Электрическая энергия в составе общей суммы административных расходов</t>
  </si>
  <si>
    <t>Счет 26</t>
  </si>
  <si>
    <t>Административные расходы на электрическую энергию (счет 26)</t>
  </si>
  <si>
    <t>Неподконтрольные расходы</t>
  </si>
  <si>
    <t>Неподконтрольные расходы, в том числе:</t>
  </si>
  <si>
    <t>Расходы на оплату товаров (услуг, работ), приобретаемых у других организаций</t>
  </si>
  <si>
    <t>НР</t>
  </si>
  <si>
    <t>Расходы на оплату товаров (услуг, работ), приобретаемых у других организаций:</t>
  </si>
  <si>
    <t>Расходы на тепловую энергию, всего</t>
  </si>
  <si>
    <t>Расходы на тепловую энергию</t>
  </si>
  <si>
    <t>Расходы на теплоноситель</t>
  </si>
  <si>
    <t>Расходы на топливо</t>
  </si>
  <si>
    <t>Расходы на оплату работ и услуг, связанные с эксплуатацией ЦС ВС/ВО: транспортировка воды</t>
  </si>
  <si>
    <t>Расходы на транспортировку воды</t>
  </si>
  <si>
    <t>Расходы на приобретение холодной воды/оплату услуг по перекачке и очистке стоков</t>
  </si>
  <si>
    <t>Расходы на покупку воды</t>
  </si>
  <si>
    <t>Расходы на оплату работ и услуг, связанные с эксплуатацией ЦС ВС/ВО: услуги по холодному водоснабжению</t>
  </si>
  <si>
    <t>Расходы на оплату работ и услуг, связанные с эксплуатацией ЦС ВС/ВО: услуги по транспортировке холодной воды</t>
  </si>
  <si>
    <t>Расходы на оплату работ и услуг, связанные с эксплуатацией ЦС ВС/ВО: услуги по горячему водоснабжению</t>
  </si>
  <si>
    <t>Расходы на оплату работ и услуг, связанные с эксплуатацией ЦС ВС/ВО: услуги по приготовлению воды на нужды горячего водоснабжения</t>
  </si>
  <si>
    <t>Расходы на оплату работ и услуг, связанные с эксплуатацией ЦС ВС/ВО: услуги по транспортировке горячей воды</t>
  </si>
  <si>
    <t>Расходы на оплату работ и услуг, связанные с эксплуатацией ЦС ВС/ВО: услуги по водоотведению</t>
  </si>
  <si>
    <t>Услуги по водоотведению</t>
  </si>
  <si>
    <t>Расходы на оплату работ и услуг, связанные с эксплуатацией ЦС ВС/ВО: транспортировка сточных вод</t>
  </si>
  <si>
    <t>Химические реагенты</t>
  </si>
  <si>
    <t>Расходы на реагенты</t>
  </si>
  <si>
    <t>Налоги и сборы</t>
  </si>
  <si>
    <t>Налоги и сборы:</t>
  </si>
  <si>
    <t>Налог на прибыль</t>
  </si>
  <si>
    <t>Налог на имущество организаций</t>
  </si>
  <si>
    <t>Земельный налог</t>
  </si>
  <si>
    <t>Водный налог</t>
  </si>
  <si>
    <t>Плата за пользование водным объектом</t>
  </si>
  <si>
    <t>Транспортный налог</t>
  </si>
  <si>
    <t>Плата за негативное воздействие на окружающую среду</t>
  </si>
  <si>
    <t>Прочие налоги и сборы</t>
  </si>
  <si>
    <t>Единый налог, уплачиваемый организацией, применяющей упрощённую систему налогообложения</t>
  </si>
  <si>
    <t>Налог при УСН</t>
  </si>
  <si>
    <t>Расходы на арендную плату, лизинговые платежи, концессионную плату</t>
  </si>
  <si>
    <t>Арендная и концессионная плата, лизинговые платежи</t>
  </si>
  <si>
    <t>Аренда имущества</t>
  </si>
  <si>
    <t>Аренда муниципальной или государственной собственности</t>
  </si>
  <si>
    <t>Аренда частной собственности</t>
  </si>
  <si>
    <t>Концессионная плата</t>
  </si>
  <si>
    <t>Лизинговые платежи</t>
  </si>
  <si>
    <t>Аренда земельных участков</t>
  </si>
  <si>
    <t>Расходы по сомнительным долгам, в размере не более 2% НВВ</t>
  </si>
  <si>
    <t>Резерв по сомнительным долгам гарантирующей организации</t>
  </si>
  <si>
    <t>Экономия расходов</t>
  </si>
  <si>
    <t>Расходы на обслуживание бесхозяйных сетей</t>
  </si>
  <si>
    <t>Расходы на компенсацию экономически обоснованных расходов</t>
  </si>
  <si>
    <t>Амортизация</t>
  </si>
  <si>
    <t>Нормативная прибыль</t>
  </si>
  <si>
    <t>Иные экономически обоснованные расходы на социальные нужды, в соответствии с пунктом 86 Методических указаний</t>
  </si>
  <si>
    <t>Иные экономически обоснованные расходы на социальные нужды, в соответствии с пунктом 86 настоящих Методических указаний</t>
  </si>
  <si>
    <t xml:space="preserve">Нормативный уровень прибыли </t>
  </si>
  <si>
    <t>3.3.4.</t>
  </si>
  <si>
    <t>Нормативный уровень прибыли (справочно)</t>
  </si>
  <si>
    <t>Корректировка НВВ</t>
  </si>
  <si>
    <t>Ввод объектов системы водоснабжения и (или) водоотведения в эксплуатацию и изменение утвержденной инвестиционной программы</t>
  </si>
  <si>
    <t>Ввод объектов системы водоснабжения и (или) водоотведения в эксплуатацию и изменение утвержденной инвестиционной программы (Калининград)</t>
  </si>
  <si>
    <t>В соответствии с формулой (36) п. 93 МУ №1746 э за недостижение целевых показателей (потери воды +4,55%),  дЦП (Калининград)</t>
  </si>
  <si>
    <t>В соответствии с формулой (35) п. 92 МУ №1746 э за неисполнение ИП, дИП (Калининград)</t>
  </si>
  <si>
    <t>Корректировка НВВ за 2023 год ( Тов. Выручка 942410,30 т.р., НВВ скорр 978319,62. Недополучено 35 909,32, с учетом бюджетных средств 63 146,19 т.р.  Корреткировка 63146,19-35 909,32= 27236,86 т.р. (Калининград)</t>
  </si>
  <si>
    <t>2025 год</t>
  </si>
  <si>
    <t>2026 год</t>
  </si>
  <si>
    <t>Проткол  Службы № 90/23 от 13.12.2023 стр. 20  снятие за 2022 год  390,56</t>
  </si>
  <si>
    <t>Размер корректировки НВВ, осуществляемой с целью учёта отклонения фактических значений параметров расчёта тарифов от значений, учтённых при установлении тарифов</t>
  </si>
  <si>
    <t>Сглаживание годовое в долгосрочке</t>
  </si>
  <si>
    <t>Сглаживание</t>
  </si>
  <si>
    <t xml:space="preserve">Избыток средств, полученный за отчётные периоды регулирования </t>
  </si>
  <si>
    <t>Избыток средств, полученный за отчётные периоды регулирования</t>
  </si>
  <si>
    <t>Экономически не обоснованные доходы / расходы прошлых периодов регулирования</t>
  </si>
  <si>
    <t>Бюджетные субсидии, полученные на финансирование расходов, учтенных в тарифах</t>
  </si>
  <si>
    <t>Величина отклонения по результатам досудебного рассмотрения споров</t>
  </si>
  <si>
    <t>Величина отклонения по результатам рассмотрения разногласий</t>
  </si>
  <si>
    <t>Итого НВВ для расчета тарифа</t>
  </si>
  <si>
    <t>Тариф на водоснабжение/водоотведение</t>
  </si>
  <si>
    <t>руб./куб. м</t>
  </si>
  <si>
    <t>Тариф с 1.01. по 30.06.</t>
  </si>
  <si>
    <t>Тариф с 1.07. по 31.12.</t>
  </si>
  <si>
    <t>M3848</t>
  </si>
  <si>
    <t>Ставка платы за объем принятых стоков</t>
  </si>
  <si>
    <t>M3849</t>
  </si>
  <si>
    <t>Ставка платы за объем принятых стоков I полугодие</t>
  </si>
  <si>
    <t>M3850</t>
  </si>
  <si>
    <t>Ставка платы за объем принятых стоков II полугодие</t>
  </si>
  <si>
    <t>M3851</t>
  </si>
  <si>
    <t>Темп роста ставки платы за объем принятых стоков</t>
  </si>
  <si>
    <t>M3852</t>
  </si>
  <si>
    <t>Ставка платы за объем принятых стоков с НДС</t>
  </si>
  <si>
    <t>M3853</t>
  </si>
  <si>
    <t>Ставка платы за объем принятых стоков с НДС I полугодие</t>
  </si>
  <si>
    <t>M3854</t>
  </si>
  <si>
    <t>Ставка платы за объем принятых стоков с НДС II полугодие</t>
  </si>
  <si>
    <t>M3855</t>
  </si>
  <si>
    <t>Темп роста ставки платы за объем принятых стоков с НДС</t>
  </si>
  <si>
    <t>M3856</t>
  </si>
  <si>
    <t>Ставка платы за содержание мощности</t>
  </si>
  <si>
    <t>M3857</t>
  </si>
  <si>
    <t>Ставка платы за содержание мощности I полугодие</t>
  </si>
  <si>
    <t>M3858</t>
  </si>
  <si>
    <t>Ставка платы за содержание мощности II полугодие</t>
  </si>
  <si>
    <t>M3859</t>
  </si>
  <si>
    <t>темп роста ставки платы за содержание мощности</t>
  </si>
  <si>
    <t>M3860</t>
  </si>
  <si>
    <t>Ставка платы за содержание мощности с НДС</t>
  </si>
  <si>
    <t>M3861</t>
  </si>
  <si>
    <t>Ставка платы за содержание мощности с НДС I полугодие</t>
  </si>
  <si>
    <t>M3862</t>
  </si>
  <si>
    <t>Ставка платы за содержание мощности с НДС II полугодие</t>
  </si>
  <si>
    <t>M3863</t>
  </si>
  <si>
    <t>темп роста ставки платы за содержание мощности с НДС</t>
  </si>
  <si>
    <t>M3864</t>
  </si>
  <si>
    <t>Разделение тарифа</t>
  </si>
  <si>
    <t>M3865</t>
  </si>
  <si>
    <t>M3866</t>
  </si>
  <si>
    <t>Разделение тарифа (тариф)</t>
  </si>
  <si>
    <t>M3867</t>
  </si>
  <si>
    <t>Разделение тарифа (тариф I полугодие)</t>
  </si>
  <si>
    <t>M3868</t>
  </si>
  <si>
    <t>Разделение тарифа (тариф II полугодие)</t>
  </si>
  <si>
    <t>M3869</t>
  </si>
  <si>
    <t>Разделение тарифа (темп роста тарифа)</t>
  </si>
  <si>
    <t>M3870</t>
  </si>
  <si>
    <t>Разделение тарифа (объем реализованной воды/сточных вод)</t>
  </si>
  <si>
    <t>M3871</t>
  </si>
  <si>
    <t>Разделение тарифа (объем I полугодия)</t>
  </si>
  <si>
    <t>M3872</t>
  </si>
  <si>
    <t>Разделение тарифа (объем II полугодия)</t>
  </si>
  <si>
    <t>M3873</t>
  </si>
  <si>
    <t>Разделение тарифа (НВВ)</t>
  </si>
  <si>
    <t>ITOG_ADD</t>
  </si>
  <si>
    <t>M3924</t>
  </si>
  <si>
    <t>проверка</t>
  </si>
  <si>
    <t>ВОДООТВЕДЕНИЕ</t>
  </si>
  <si>
    <t xml:space="preserve"> Донское</t>
  </si>
  <si>
    <t>Зеленоградский МО</t>
  </si>
  <si>
    <t>ИТОГО (ВО)</t>
  </si>
  <si>
    <t>Прием сточных вод (без учёта неучтенного притока)</t>
  </si>
  <si>
    <t>от собственного производства</t>
  </si>
  <si>
    <t>принято от абонентов, в т.ч.:</t>
  </si>
  <si>
    <t>от собственных абонентов:</t>
  </si>
  <si>
    <t>от населения</t>
  </si>
  <si>
    <t>неучтенный приток</t>
  </si>
  <si>
    <t>на собственные очистные сооружения</t>
  </si>
  <si>
    <t>другим организациям</t>
  </si>
  <si>
    <t>расходы по охране труда</t>
  </si>
  <si>
    <t>оплата услуг по экологии</t>
  </si>
  <si>
    <t>страхование автотранспорта</t>
  </si>
  <si>
    <t>услуги по профосмотру</t>
  </si>
  <si>
    <t>поверка приборов и средств измерения</t>
  </si>
  <si>
    <t>транспортные расходы+ расходы по экспедированию</t>
  </si>
  <si>
    <t>вывоз мусора ( ТКО, не ТКО, контейнеры)</t>
  </si>
  <si>
    <t>внутренне водопотребление/водоотведение</t>
  </si>
  <si>
    <t>аренда баллонов</t>
  </si>
  <si>
    <t>мероприятия по ГО и ЧС / пож. безопасность</t>
  </si>
  <si>
    <t>содержание общего имущества</t>
  </si>
  <si>
    <t>расходы по спецоценке условий труда</t>
  </si>
  <si>
    <t>ТО  кассовых апппартов</t>
  </si>
  <si>
    <t>услуги предоставления отчетности по каналам связи</t>
  </si>
  <si>
    <t>услуги спецорганизаций</t>
  </si>
  <si>
    <t>обслуживание оборудования (энергетического)</t>
  </si>
  <si>
    <t>расходы по оформлению документов</t>
  </si>
  <si>
    <t>расходы на молоко и горячие питание</t>
  </si>
  <si>
    <t>расходы на охрану произв. объектов</t>
  </si>
  <si>
    <t>платежи по промышленной безопасности</t>
  </si>
  <si>
    <t>охрана труда</t>
  </si>
  <si>
    <t>аренда оборудования, в т.ч. баллонов</t>
  </si>
  <si>
    <t>услуги сторонн.  орг-ции  по профосмотру</t>
  </si>
  <si>
    <t>расходы на пожарную безопасность</t>
  </si>
  <si>
    <t>отходы производства</t>
  </si>
  <si>
    <t>оплата услуг сторонних организаций по экологии</t>
  </si>
  <si>
    <t>ремонт и обслуживание транспорта</t>
  </si>
  <si>
    <t>ТО автотранспорта</t>
  </si>
  <si>
    <t>услуги стороннего авто</t>
  </si>
  <si>
    <t>услуги сторонних охранных организаций</t>
  </si>
  <si>
    <t>ГСМ (для отопления, оборудования)</t>
  </si>
  <si>
    <t>расходы на технологическое присоединение</t>
  </si>
  <si>
    <t>специальная оценка условий труда, аттестация рабочих мест</t>
  </si>
  <si>
    <t>расходы ОСАГО</t>
  </si>
  <si>
    <t>оформление документов</t>
  </si>
  <si>
    <t>проверка приборов</t>
  </si>
  <si>
    <t>ТО энергетического оборудования</t>
  </si>
  <si>
    <t>ТО кассовых аппаратов</t>
  </si>
  <si>
    <t>почтовые расходы</t>
  </si>
  <si>
    <t>канцелярские и  типографские расходы, подписка</t>
  </si>
  <si>
    <t>оргтехника и ее обслуживание ( аренда офисной техники, ремонт и обслуживание оргтехники, зап. части на орг тех., приобретение оргтиехники, утилизация)</t>
  </si>
  <si>
    <t>брендирование, реклама</t>
  </si>
  <si>
    <t>обслуживание ПО и лицензирование ПО</t>
  </si>
  <si>
    <t>услуги интернета</t>
  </si>
  <si>
    <t>обучение, семинары, конференции</t>
  </si>
  <si>
    <t>расходы на совместное содержание общего имущества дома</t>
  </si>
  <si>
    <t>3.1.2.2</t>
  </si>
  <si>
    <t>3.1.2.3</t>
  </si>
  <si>
    <t>3.1.2.4</t>
  </si>
  <si>
    <t>Услуги по транспортировке сточных вод</t>
  </si>
  <si>
    <t>3.1.3.4.3</t>
  </si>
  <si>
    <t>3.1.3.4.4</t>
  </si>
  <si>
    <t>Займы и кредиты (для метода индексации)</t>
  </si>
  <si>
    <t>Займы и кредиты (за исключенением ИП)</t>
  </si>
  <si>
    <t>Возврат займов и кредитов (за исключением средств, привлекаемым на реализацию инвестиционной программы и пополнение оборотных средств)</t>
  </si>
  <si>
    <t>Возврат займов и кредитов</t>
  </si>
  <si>
    <t>Проценты по займам и кредитам  (за исключением средств, привлекаемым на реализацию инвестиционной программы и пополнение оборотных средств)</t>
  </si>
  <si>
    <t>Проценты по займам и кредитам</t>
  </si>
  <si>
    <t>Расходы концессионера на осуществление государственного кадастрового учета и (или) государственной регистрации права собственности концедента</t>
  </si>
  <si>
    <t>Неподконтрольные расходы в составе общей суммы административных расходов</t>
  </si>
  <si>
    <t>Административные расходы (счет 26)</t>
  </si>
  <si>
    <t>Неподконтрольные расходы в составе общей суммы цеховых расходов</t>
  </si>
  <si>
    <t>Общепроизводственные (цеховые) расходы (счет 25)</t>
  </si>
  <si>
    <t>Вспомогательные расходы</t>
  </si>
  <si>
    <t>Вспомогательные расходы (счет 23)</t>
  </si>
  <si>
    <t>Прочие прямые расходы</t>
  </si>
  <si>
    <t>Амортизация производственные расходы</t>
  </si>
  <si>
    <t>Амортизация (в том числе инвестиционная (справочно)</t>
  </si>
  <si>
    <t>в том числе инвестиционная (справочно)</t>
  </si>
  <si>
    <t>Амортизация в составе общей суммы административных расходов</t>
  </si>
  <si>
    <t>Амортизация в составе общей суммы цеховых расходов</t>
  </si>
  <si>
    <t>Общепроизводственные расходы (счет 25)</t>
  </si>
  <si>
    <t>Амортизация в составе общей суммы вспомогательных расходов</t>
  </si>
  <si>
    <t>Амортизация в составе общей суммы прочих прямых расходов</t>
  </si>
  <si>
    <t>Прочие прямые</t>
  </si>
  <si>
    <t>Средства на возврат займов и кредитов и процентов по ним, привлекаемым на реализацию инвестиционной программы и пополнение оборотных средств</t>
  </si>
  <si>
    <t>Возврат займов и кредитов (по средствам, привлекаемым на реализацию инвестиционной программы и пополнение оборотных средств)</t>
  </si>
  <si>
    <t>Средства на возврат инвестиционных займов</t>
  </si>
  <si>
    <t>Проценты по займам и кредитам (по средствам, привлекаемым на реализацию инвестиционной программы и пополнение оборотных средств)</t>
  </si>
  <si>
    <t>Средства на уплату процентов по инвестиционным займам</t>
  </si>
  <si>
    <t>Капитальные расходы</t>
  </si>
  <si>
    <t>M2133</t>
  </si>
  <si>
    <t>Нормативный уровень прибыли</t>
  </si>
  <si>
    <t>Нормативный уровень прибыли, установленный в соответствии с п.84 Методических указаний</t>
  </si>
  <si>
    <t>Расчетная предпринимательская прибыль гарантирующей организации</t>
  </si>
  <si>
    <t>M3044</t>
  </si>
  <si>
    <t>Ставка для расчета предпринимательской прибыли гарантирующей организации</t>
  </si>
  <si>
    <t>Отклонение фактически достигнутого объема поданной воды или принятых сточных вод</t>
  </si>
  <si>
    <t>Отклонение фактических значений индекса потребительских цен и других индексов, предусмотренных прогнозом СЭР РФ</t>
  </si>
  <si>
    <t>Отклонение фактических значений индекса потребительских цен и других индексов, предусмотренных прогнозом социально-экономического развития Российской Федерации</t>
  </si>
  <si>
    <t>Отклонение фактически достигнутого уровня неподконтрольных расходов</t>
  </si>
  <si>
    <t>объем собственных средств на реализацию инвестиционной программы, включающий амортизацию основных средств и нематериальных активов</t>
  </si>
  <si>
    <t>объем собственных средств на реализацию инвестиционной программы, включающий амортизацию основных средств и нематериальных активов, расходы из прибыли и иные собственные средства, определенные инвестиционной программой, за исключением средств бюджетов всех уровней бюджетной системы Российской Федерации, и платы за подключение (технологическое присоединение) к централизованной системе водоснабжения и (или) водоотведения</t>
  </si>
  <si>
    <t xml:space="preserve">размер финансирования инвестиционной программы за счет всех источников финансирования, за исключением средств бюджетов всех уровней бюджетной системы Российской Федерации, и платы за подключение </t>
  </si>
  <si>
    <t>размер финансирования инвестиционной программы за счет всех источников финансирования, за исключением средств бюджетов всех уровней бюджетной системы Российской Федерации, и платы за подключение (технологическое присоединение) к централизованной системе водоснабжения и (или) водоотведения</t>
  </si>
  <si>
    <t>Степень исполнения регулируемой организацией обязательств по созданию и (или) реконструкции объектов концессионного соглашения</t>
  </si>
  <si>
    <t>Степень исполнения регулируемой организацией обязательств по созданию и (или) реконструкции объектов концессионного соглашения, по эксплуатации объектов по договору аренды централизованных систем горячего водоснабжения, холодного водоснабжения и (или) водоотведения, отдельных объектов таких систем, находящихся в государственной или муниципальной собственности, по реализации инвестиционной программы, производственной программы при недостижении регулируемой организацией утвержденных плановых значений показателей надежности и качества объектов централизованных систем водоснабжения и (или) водоотведения</t>
  </si>
  <si>
    <t>В соответствии с формулой (36) п. 93 МУ №1746 э за недостижение целевых показателей  дЦП</t>
  </si>
  <si>
    <t>В соответствии с формулой (35) п. 92 МУ №1746 э за неисполнение ИП, дИП</t>
  </si>
  <si>
    <t>Корректировка НВВ за 2023 год ( Тов. Выручка 764 682,17 т.р., НВВ скорр 653 539,65. Корреткировка 764 682,17-653 539,65= "минус" 111 142,52 т.р.</t>
  </si>
  <si>
    <t>Корректировка за 2022 год на 2025+2026</t>
  </si>
  <si>
    <t>ПДК</t>
  </si>
  <si>
    <t>Не использовано средств ПДК за 2022 год ( получено  161 119,19 т. р. "минус" ( 10519,45 плата за нВОС+ 36251,84 финанс. ПП)=114 34791 т. р</t>
  </si>
  <si>
    <r>
      <rPr>
        <sz val="12"/>
        <color theme="1"/>
        <rFont val="Times New Roman"/>
        <family val="1"/>
        <charset val="204"/>
      </rPr>
      <t xml:space="preserve">Не использовано средств ПДК за 2023 год ( получено  </t>
    </r>
    <r>
      <rPr>
        <b/>
        <sz val="12"/>
        <color theme="1"/>
        <rFont val="Times New Roman"/>
        <family val="1"/>
        <charset val="204"/>
      </rPr>
      <t>225 582,49</t>
    </r>
    <r>
      <rPr>
        <sz val="12"/>
        <color theme="1"/>
        <rFont val="Times New Roman"/>
        <family val="1"/>
        <charset val="204"/>
      </rPr>
      <t xml:space="preserve"> т. р. "минус" по данным ГП КО Водоканал"( 10283,39 плата за нВОС+ 51 943,28 финанс. ПП+ лизинг и проценты  36 751,94+ 14400,51 (тех. Инспек, услуги по экологии); Службой принято использование </t>
    </r>
    <r>
      <rPr>
        <b/>
        <sz val="12"/>
        <color theme="1"/>
        <rFont val="Times New Roman"/>
        <family val="1"/>
        <charset val="204"/>
      </rPr>
      <t xml:space="preserve"> 50 442,38 т. р</t>
    </r>
    <r>
      <rPr>
        <sz val="12"/>
        <color theme="1"/>
        <rFont val="Times New Roman"/>
        <family val="1"/>
        <charset val="204"/>
      </rPr>
      <t>.= 175 140,11 т. р.</t>
    </r>
  </si>
  <si>
    <t>Протокол Службы №90-23 от 13.12.2023 года страница 83 , распределено на 2025 год снятие за невыполнение ИП за 2020 года</t>
  </si>
  <si>
    <t xml:space="preserve">Протокол Службы №90-23 от 13.12.2023 года страница 83 , распределено на 2025 год снятие за неиспользование ПДК за 2022 год  71 219,47 </t>
  </si>
  <si>
    <t>суммарная корректировка распределена по Протоколу  № 111/24 от 18.12.2024 года :</t>
  </si>
  <si>
    <t>2027 год</t>
  </si>
  <si>
    <t>2028 год</t>
  </si>
  <si>
    <t>Недополученные доходы / расходы прошлых периодов</t>
  </si>
  <si>
    <t>Расчет МЭОР</t>
  </si>
  <si>
    <t>Экономически обоснованные расходы, не учтенные органом регулирования тарифов при установлении тарифов в прошлом периоде</t>
  </si>
  <si>
    <t>Недополученные доходы прошлых периодов регулирования</t>
  </si>
  <si>
    <t>Расходы, связанные с обслуживанием заемных средств и собственных средств, направляемых на покрытие недостатка средств</t>
  </si>
  <si>
    <t>Плата за негативное воздействие</t>
  </si>
  <si>
    <t>Плата за негативное воздействие на работу централизованных систем водоотведения</t>
  </si>
  <si>
    <t>ВС+ВО</t>
  </si>
  <si>
    <t>ВСЕГО (ВС+ВО)</t>
  </si>
  <si>
    <t>внутренне водопотребление</t>
  </si>
  <si>
    <t>платежи по промышленной безопасности</t>
  </si>
  <si>
    <t>верно</t>
  </si>
  <si>
    <t>ФОТ  (ВС+ВО)</t>
  </si>
  <si>
    <t>Статья затрат</t>
  </si>
  <si>
    <t>Расходы на оплату труда производственного персонала</t>
  </si>
  <si>
    <t xml:space="preserve">численность </t>
  </si>
  <si>
    <t>среднемесячная оплата труда</t>
  </si>
  <si>
    <t>Расходы на оплату труда ремонтного персонала</t>
  </si>
  <si>
    <t>численность персонала</t>
  </si>
  <si>
    <t>Расходы на оплату труда АП</t>
  </si>
  <si>
    <t>Расходы на оплату труда сбытового персонала</t>
  </si>
  <si>
    <t>ИТОГО ФОТ (без начислений)</t>
  </si>
  <si>
    <t>теплоэнергия, электроэнергия (компенсация)</t>
  </si>
  <si>
    <t>услуги сторонних охранных организаций</t>
  </si>
  <si>
    <t>В соответствии с формулой (36) п. 93 МУ №1746 э за недостижение целевых показателей (качество воды),  дЦП (Калининград)</t>
  </si>
  <si>
    <t>Тариф с 1.01. по 30.06. / 2026 г. 01.01. по 30.09.</t>
  </si>
  <si>
    <t>Тариф с 1.07. по 31.12./ 2026 г. 01.10. по 31.12.</t>
  </si>
  <si>
    <t xml:space="preserve"> Показатели надежности, качества, энергетической эффективности объектов централизованных систем холодного водоснабжения.</t>
  </si>
  <si>
    <t>Показатели качества питьевой воды</t>
  </si>
  <si>
    <t>1.</t>
  </si>
  <si>
    <t>Доля проб питьевой воды, подаваемой с источников водоснабжения, водопроводных станций или иных объектов централизованной системы водоснабжения в распределительную водопроводную сеть, не соответствующих установленным требованиям, в общем объеме проб, отобранных по результатам производственного контроля качества питьевой воды, %.</t>
  </si>
  <si>
    <t>2.</t>
  </si>
  <si>
    <t>Доля проб питьевой воды в распределительной водопроводной сети, не соответствующих установленным требованиям, в общем объеме проб, отобранных по результатам производственного контроля качества питьевой воды, %</t>
  </si>
  <si>
    <t>Показатели надежности и бесперебойности водоснабжения</t>
  </si>
  <si>
    <t>3.</t>
  </si>
  <si>
    <t>Количество перерывов в подаче воды, произошедших в результате аварий, повреждений и иных технологических нарушений в расчете на протяженность водопроводной сети в год, ед./км</t>
  </si>
  <si>
    <t>ед./км</t>
  </si>
  <si>
    <t>Показатели эффективности использования ресурсов</t>
  </si>
  <si>
    <t>4.</t>
  </si>
  <si>
    <t>Доля потерь воды в централизованных системах водоснабжения при ее транспортировке в общем объеме, поданной в водопроводную сеть, %</t>
  </si>
  <si>
    <t>5.</t>
  </si>
  <si>
    <t xml:space="preserve">Удельный расход электрической энергии, потребляемой в технологическом процессе подготовки питьевой воды, на единицу объема воды, отпускаемой в сеть </t>
  </si>
  <si>
    <t>кВт*ч/куб.м</t>
  </si>
  <si>
    <t>6.</t>
  </si>
  <si>
    <t>Удельный расход электрической энергии, потребляемой в технологическом процессе транспортировки питьевой воды, на единицу объема транспортируемой питьевой воды</t>
  </si>
  <si>
    <t>В соответствии с формулой (36) п. 93 МУ №1746 э за недостижение целевых показателей  дЦП ( качество стоков)</t>
  </si>
  <si>
    <t xml:space="preserve"> Показатели надежности, качества, энергетической эффективности объектов централизованных систем холодного водоотведения.</t>
  </si>
  <si>
    <t xml:space="preserve">Показатели надежности и бесперебойности водоотведения </t>
  </si>
  <si>
    <t>удельное количество аварий и засоров в расчете на протяженность канализационной сети в год</t>
  </si>
  <si>
    <t>Показатели очистки сточных вод</t>
  </si>
  <si>
    <t xml:space="preserve">доля сточных вод, не подвергающихся очистке, в общем объеме сточных вод, сбрасываемых в централизованные общесплавные или бытовые системы водоотведения </t>
  </si>
  <si>
    <t xml:space="preserve">доля поверхностных сточных вод, не подвергающихся очистке, в общем объеме поверхностных сточных вод, принимаемых в централизованную ливневую систему водоотведения </t>
  </si>
  <si>
    <t xml:space="preserve">доля проб сточных вод, не соответствующих установленным нормативам допустимых сбросов, лимитам на сбросы, рассчитанная применительно к видам централизованных систем водоотведения раздельно для централизованной общесплавной (бытовой) и централизованной ливневой систем водоотведения </t>
  </si>
  <si>
    <t>Показатели эффективности использования ресурсов:</t>
  </si>
  <si>
    <t xml:space="preserve">удельный расход электрической энергии, потребляемой в технологическом процессе очистки сточных вод, на единицу объема очищаемых сточных вод </t>
  </si>
  <si>
    <t>кВт*ч/куб. м</t>
  </si>
  <si>
    <t>удельный расход электрической энергии, потребляемой в технологическом процессе транспортировки сточных вод, на единицу объема транспортируемых сточных вод</t>
  </si>
  <si>
    <t xml:space="preserve">ФОТ  (ВС+ВО  без ЕСН) </t>
  </si>
  <si>
    <t xml:space="preserve">ВСЕГО ФОТ (ВС+ВО без ЕСН) </t>
  </si>
  <si>
    <t>в т.ч.</t>
  </si>
  <si>
    <t>ФОТ  ВОДОСНАБЖЕНИЕ</t>
  </si>
  <si>
    <t>ВСЕГО ФОТ водоснабжение (без ЕСН)</t>
  </si>
  <si>
    <t>ИТОГО ФОТ водоснабжение (без начислений)</t>
  </si>
  <si>
    <t>ФОТ  ВОДООТВЕДЕНИЕ</t>
  </si>
  <si>
    <t>ВСЕГО ФОТ водоотведение (без ЕСН)</t>
  </si>
  <si>
    <t>ИТОГО ФОТ водоотведение (без начислений)</t>
  </si>
  <si>
    <t>Тариф на водоснабжение</t>
  </si>
  <si>
    <t>расходы на молоко и горячее питание</t>
  </si>
  <si>
    <t>Тариф на водоотведение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</si>
</sst>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#,##0.00\ _₽"/>
    <numFmt numFmtId="165" formatCode="0.000"/>
    <numFmt numFmtId="166" formatCode="0.00000"/>
    <numFmt numFmtId="167" formatCode="#,##0.000"/>
    <numFmt numFmtId="168" formatCode="#,##0.000000"/>
    <numFmt numFmtId="169" formatCode="#\ ##0.000"/>
    <numFmt numFmtId="170" formatCode="#\ ##0.00"/>
    <numFmt numFmtId="171" formatCode="#,##0.00000"/>
    <numFmt numFmtId="172" formatCode="#\ ##0.00000"/>
    <numFmt numFmtId="173" formatCode="#,##0.0000"/>
    <numFmt numFmtId="174" formatCode="#\ ##0.0000"/>
    <numFmt numFmtId="175" formatCode="0.00_ "/>
    <numFmt numFmtId="176" formatCode="#\ ##0.00\ _₽"/>
  </numFmts>
  <fonts count="34" x14ac:knownFonts="1">
    <font>
      <sz val="11"/>
      <color rgb="FF000000"/>
      <name val="Calibri"/>
      <charset val="1"/>
    </font>
    <font>
      <sz val="10"/>
      <name val="Arial"/>
      <family val="2"/>
      <charset val="204"/>
    </font>
    <font>
      <sz val="11"/>
      <color rgb="FF000000"/>
      <name val="Calibri"/>
      <family val="2"/>
      <charset val="204"/>
    </font>
    <font>
      <sz val="12"/>
      <color rgb="FF00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rgb="FF00CCFF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i/>
      <sz val="12"/>
      <color rgb="FF000000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b/>
      <i/>
      <sz val="11"/>
      <color rgb="FF000000"/>
      <name val="Calibri"/>
      <family val="2"/>
      <charset val="204"/>
    </font>
    <font>
      <i/>
      <sz val="12"/>
      <color theme="1"/>
      <name val="Times New Roman"/>
      <family val="1"/>
      <charset val="204"/>
    </font>
    <font>
      <b/>
      <sz val="11"/>
      <color rgb="FF000000"/>
      <name val="Calibri"/>
      <family val="2"/>
      <charset val="204"/>
    </font>
    <font>
      <i/>
      <sz val="12"/>
      <color rgb="FF000000"/>
      <name val="Times New Roman"/>
      <family val="1"/>
      <charset val="204"/>
    </font>
    <font>
      <i/>
      <sz val="12"/>
      <name val="Times New Roman"/>
      <family val="1"/>
      <charset val="204"/>
    </font>
    <font>
      <i/>
      <sz val="11"/>
      <color rgb="FF000000"/>
      <name val="Calibri"/>
      <family val="2"/>
      <charset val="204"/>
    </font>
    <font>
      <i/>
      <sz val="12"/>
      <color rgb="FF000080"/>
      <name val="Times New Roman"/>
      <family val="1"/>
      <charset val="204"/>
    </font>
    <font>
      <b/>
      <i/>
      <sz val="12"/>
      <color theme="9" tint="-0.249977111117893"/>
      <name val="Times New Roman"/>
      <family val="1"/>
      <charset val="204"/>
    </font>
    <font>
      <sz val="9"/>
      <color rgb="FF000000"/>
      <name val="Tahoma"/>
      <family val="2"/>
      <charset val="204"/>
    </font>
    <font>
      <sz val="10"/>
      <color rgb="FF000000"/>
      <name val="Times New Roman"/>
      <family val="1"/>
      <charset val="204"/>
    </font>
    <font>
      <sz val="12"/>
      <color theme="0"/>
      <name val="Times New Roman"/>
      <family val="1"/>
      <charset val="204"/>
    </font>
    <font>
      <i/>
      <sz val="12"/>
      <color theme="9"/>
      <name val="Times New Roman"/>
      <family val="1"/>
      <charset val="204"/>
    </font>
    <font>
      <b/>
      <sz val="9"/>
      <color rgb="FF000000"/>
      <name val="Tahoma"/>
      <family val="2"/>
      <charset val="204"/>
    </font>
    <font>
      <sz val="11"/>
      <color rgb="FF000000"/>
      <name val="Times New Roman"/>
      <family val="1"/>
      <charset val="204"/>
    </font>
    <font>
      <b/>
      <i/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i/>
      <sz val="11"/>
      <color rgb="FF000000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12"/>
      <color rgb="FF000000"/>
      <name val="Calibri"/>
      <family val="2"/>
      <charset val="204"/>
    </font>
    <font>
      <b/>
      <sz val="9"/>
      <color rgb="FF000000"/>
      <name val="Times New Roman"/>
      <family val="1"/>
      <charset val="204"/>
    </font>
  </fonts>
  <fills count="21">
    <fill>
      <patternFill patternType="none"/>
    </fill>
    <fill>
      <patternFill patternType="gray125"/>
    </fill>
    <fill>
      <patternFill patternType="solid">
        <fgColor theme="0"/>
        <bgColor rgb="FFF2F2F2"/>
      </patternFill>
    </fill>
    <fill>
      <patternFill patternType="solid">
        <fgColor theme="8" tint="0.39988402966399123"/>
        <bgColor rgb="FFBCBCBC"/>
      </patternFill>
    </fill>
    <fill>
      <patternFill patternType="solid">
        <fgColor rgb="FFFF8080"/>
        <bgColor rgb="FFF4B183"/>
      </patternFill>
    </fill>
    <fill>
      <patternFill patternType="solid">
        <fgColor theme="5" tint="0.39988402966399123"/>
        <bgColor rgb="FFFFCC99"/>
      </patternFill>
    </fill>
    <fill>
      <patternFill patternType="solid">
        <fgColor rgb="FFDBEDF1"/>
        <bgColor rgb="FFDEEBF7"/>
      </patternFill>
    </fill>
    <fill>
      <patternFill patternType="solid">
        <fgColor rgb="FFFFCC99"/>
        <bgColor rgb="FFF4B183"/>
      </patternFill>
    </fill>
    <fill>
      <patternFill patternType="solid">
        <fgColor rgb="FFFFFF00"/>
        <bgColor rgb="FFFFCC00"/>
      </patternFill>
    </fill>
    <fill>
      <patternFill patternType="solid">
        <fgColor rgb="FFD3DBDB"/>
        <bgColor rgb="FFD7EAD3"/>
      </patternFill>
    </fill>
    <fill>
      <patternFill patternType="solid">
        <fgColor rgb="FFD7EAD3"/>
        <bgColor rgb="FFE2F0D9"/>
      </patternFill>
    </fill>
    <fill>
      <patternFill patternType="solid">
        <fgColor theme="7" tint="0.79989013336588644"/>
        <bgColor rgb="FFF2F2F2"/>
      </patternFill>
    </fill>
    <fill>
      <patternFill patternType="solid">
        <fgColor rgb="FFFF0000"/>
        <bgColor rgb="FFC9211E"/>
      </patternFill>
    </fill>
    <fill>
      <patternFill patternType="solid">
        <fgColor theme="0" tint="-4.9989318521683403E-2"/>
        <bgColor rgb="FFE2F0D9"/>
      </patternFill>
    </fill>
    <fill>
      <patternFill patternType="solid">
        <fgColor theme="9" tint="0.79989013336588644"/>
        <bgColor rgb="FFD7EAD3"/>
      </patternFill>
    </fill>
    <fill>
      <patternFill patternType="solid">
        <fgColor theme="8" tint="0.79989013336588644"/>
        <bgColor rgb="FFDBEDF1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4B183"/>
      </patternFill>
    </fill>
    <fill>
      <patternFill patternType="solid">
        <fgColor theme="0"/>
        <bgColor rgb="FFFFCC00"/>
      </patternFill>
    </fill>
    <fill>
      <patternFill patternType="solid">
        <fgColor theme="0"/>
        <bgColor rgb="FFFFCC99"/>
      </patternFill>
    </fill>
  </fills>
  <borders count="83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C0C0C0"/>
      </left>
      <right/>
      <top style="thin">
        <color rgb="FFC0C0C0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rgb="FFBCBCBC"/>
      </left>
      <right style="thin">
        <color rgb="FFBCBCBC"/>
      </right>
      <top style="thin">
        <color rgb="FFBCBCBC"/>
      </top>
      <bottom style="thin">
        <color rgb="FFBCBCBC"/>
      </bottom>
      <diagonal/>
    </border>
    <border>
      <left style="thin">
        <color rgb="FFBCBCBC"/>
      </left>
      <right style="thin">
        <color rgb="FFBCBCBC"/>
      </right>
      <top style="thin">
        <color rgb="FFBCBCBC"/>
      </top>
      <bottom/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/>
      <right/>
      <top style="thin">
        <color rgb="FFBCBCBC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theme="0" tint="-0.249977111117893"/>
      </left>
      <right/>
      <top/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/>
      <right/>
      <top style="thin">
        <color rgb="FFBCBCBC"/>
      </top>
      <bottom/>
      <diagonal/>
    </border>
    <border>
      <left/>
      <right/>
      <top style="thin">
        <color theme="0" tint="-0.249977111117893"/>
      </top>
      <bottom/>
      <diagonal/>
    </border>
    <border>
      <left/>
      <right/>
      <top style="medium">
        <color auto="1"/>
      </top>
      <bottom/>
      <diagonal/>
    </border>
  </borders>
  <cellStyleXfs count="2">
    <xf numFmtId="0" fontId="0" fillId="0" borderId="0">
      <alignment vertical="top"/>
    </xf>
    <xf numFmtId="0" fontId="2" fillId="0" borderId="0" applyBorder="0">
      <alignment vertical="top"/>
    </xf>
  </cellStyleXfs>
  <cellXfs count="1148">
    <xf numFmtId="0" fontId="0" fillId="0" borderId="0" xfId="0">
      <alignment vertical="top"/>
    </xf>
    <xf numFmtId="0" fontId="4" fillId="2" borderId="6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4" fillId="2" borderId="0" xfId="0" applyFont="1" applyFill="1">
      <alignment vertical="top"/>
    </xf>
    <xf numFmtId="0" fontId="3" fillId="0" borderId="0" xfId="0" applyFont="1">
      <alignment vertical="top"/>
    </xf>
    <xf numFmtId="0" fontId="3" fillId="2" borderId="0" xfId="0" applyFont="1" applyFill="1">
      <alignment vertical="top"/>
    </xf>
    <xf numFmtId="164" fontId="3" fillId="0" borderId="0" xfId="0" applyNumberFormat="1" applyFont="1">
      <alignment vertical="top"/>
    </xf>
    <xf numFmtId="0" fontId="4" fillId="2" borderId="0" xfId="0" applyFont="1" applyFill="1" applyAlignment="1">
      <alignment horizontal="left" vertical="top"/>
    </xf>
    <xf numFmtId="0" fontId="3" fillId="3" borderId="0" xfId="0" applyFont="1" applyFill="1">
      <alignment vertical="top"/>
    </xf>
    <xf numFmtId="0" fontId="5" fillId="0" borderId="0" xfId="0" applyFont="1" applyAlignment="1">
      <alignment horizontal="left" vertical="top"/>
    </xf>
    <xf numFmtId="0" fontId="5" fillId="4" borderId="0" xfId="0" applyFont="1" applyFill="1" applyAlignment="1">
      <alignment horizontal="left" vertical="top"/>
    </xf>
    <xf numFmtId="0" fontId="5" fillId="0" borderId="0" xfId="0" applyFont="1" applyAlignment="1">
      <alignment horizontal="right" vertical="top"/>
    </xf>
    <xf numFmtId="0" fontId="4" fillId="0" borderId="0" xfId="0" applyFont="1" applyAlignment="1">
      <alignment horizontal="left" vertical="top"/>
    </xf>
    <xf numFmtId="49" fontId="4" fillId="2" borderId="0" xfId="0" applyNumberFormat="1" applyFont="1" applyFill="1" applyAlignment="1">
      <alignment horizontal="left" vertical="top"/>
    </xf>
    <xf numFmtId="4" fontId="4" fillId="2" borderId="0" xfId="0" applyNumberFormat="1" applyFont="1" applyFill="1" applyAlignment="1">
      <alignment horizontal="left" vertical="top"/>
    </xf>
    <xf numFmtId="0" fontId="6" fillId="2" borderId="0" xfId="0" applyFont="1" applyFill="1">
      <alignment vertical="top"/>
    </xf>
    <xf numFmtId="0" fontId="6" fillId="2" borderId="0" xfId="0" applyFont="1" applyFill="1" applyAlignment="1">
      <alignment horizontal="left" vertical="top"/>
    </xf>
    <xf numFmtId="0" fontId="3" fillId="5" borderId="0" xfId="0" applyFont="1" applyFill="1">
      <alignment vertical="top"/>
    </xf>
    <xf numFmtId="0" fontId="7" fillId="0" borderId="0" xfId="0" applyFont="1">
      <alignment vertical="top"/>
    </xf>
    <xf numFmtId="164" fontId="8" fillId="0" borderId="0" xfId="0" applyNumberFormat="1" applyFont="1">
      <alignment vertical="top"/>
    </xf>
    <xf numFmtId="0" fontId="4" fillId="2" borderId="7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0" fontId="4" fillId="2" borderId="12" xfId="0" applyFont="1" applyFill="1" applyBorder="1" applyAlignment="1">
      <alignment horizontal="center" vertical="center" wrapText="1"/>
    </xf>
    <xf numFmtId="0" fontId="4" fillId="2" borderId="13" xfId="0" applyFont="1" applyFill="1" applyBorder="1" applyAlignment="1">
      <alignment horizontal="center" vertical="center" wrapText="1"/>
    </xf>
    <xf numFmtId="0" fontId="5" fillId="2" borderId="14" xfId="0" applyFont="1" applyFill="1" applyBorder="1" applyAlignment="1">
      <alignment horizontal="center" vertical="center"/>
    </xf>
    <xf numFmtId="0" fontId="5" fillId="2" borderId="15" xfId="0" applyFont="1" applyFill="1" applyBorder="1" applyAlignment="1">
      <alignment horizontal="center" vertical="center"/>
    </xf>
    <xf numFmtId="0" fontId="4" fillId="2" borderId="16" xfId="0" applyFont="1" applyFill="1" applyBorder="1" applyAlignment="1">
      <alignment horizontal="center" vertical="center" wrapText="1"/>
    </xf>
    <xf numFmtId="164" fontId="4" fillId="2" borderId="12" xfId="0" applyNumberFormat="1" applyFont="1" applyFill="1" applyBorder="1" applyAlignment="1">
      <alignment horizontal="center" vertical="center" wrapText="1"/>
    </xf>
    <xf numFmtId="164" fontId="4" fillId="2" borderId="13" xfId="0" applyNumberFormat="1" applyFont="1" applyFill="1" applyBorder="1" applyAlignment="1">
      <alignment horizontal="center" vertical="center" wrapText="1"/>
    </xf>
    <xf numFmtId="164" fontId="5" fillId="2" borderId="14" xfId="0" applyNumberFormat="1" applyFont="1" applyFill="1" applyBorder="1" applyAlignment="1">
      <alignment horizontal="center" vertical="center"/>
    </xf>
    <xf numFmtId="49" fontId="4" fillId="2" borderId="12" xfId="0" applyNumberFormat="1" applyFont="1" applyFill="1" applyBorder="1" applyAlignment="1">
      <alignment horizontal="center" vertical="center" wrapText="1"/>
    </xf>
    <xf numFmtId="49" fontId="4" fillId="2" borderId="13" xfId="0" applyNumberFormat="1" applyFont="1" applyFill="1" applyBorder="1" applyAlignment="1">
      <alignment horizontal="center" vertical="center" wrapText="1"/>
    </xf>
    <xf numFmtId="49" fontId="4" fillId="2" borderId="14" xfId="0" applyNumberFormat="1" applyFont="1" applyFill="1" applyBorder="1" applyAlignment="1">
      <alignment horizontal="center" vertical="center" wrapText="1"/>
    </xf>
    <xf numFmtId="0" fontId="3" fillId="2" borderId="12" xfId="0" applyFont="1" applyFill="1" applyBorder="1">
      <alignment vertical="top"/>
    </xf>
    <xf numFmtId="0" fontId="3" fillId="2" borderId="13" xfId="0" applyFont="1" applyFill="1" applyBorder="1">
      <alignment vertical="top"/>
    </xf>
    <xf numFmtId="0" fontId="3" fillId="2" borderId="14" xfId="0" applyFont="1" applyFill="1" applyBorder="1">
      <alignment vertical="top"/>
    </xf>
    <xf numFmtId="0" fontId="3" fillId="2" borderId="15" xfId="0" applyFont="1" applyFill="1" applyBorder="1">
      <alignment vertical="top"/>
    </xf>
    <xf numFmtId="0" fontId="3" fillId="2" borderId="16" xfId="0" applyFont="1" applyFill="1" applyBorder="1">
      <alignment vertical="top"/>
    </xf>
    <xf numFmtId="164" fontId="3" fillId="2" borderId="12" xfId="0" applyNumberFormat="1" applyFont="1" applyFill="1" applyBorder="1">
      <alignment vertical="top"/>
    </xf>
    <xf numFmtId="164" fontId="3" fillId="2" borderId="13" xfId="0" applyNumberFormat="1" applyFont="1" applyFill="1" applyBorder="1">
      <alignment vertical="top"/>
    </xf>
    <xf numFmtId="164" fontId="3" fillId="2" borderId="14" xfId="0" applyNumberFormat="1" applyFont="1" applyFill="1" applyBorder="1">
      <alignment vertical="top"/>
    </xf>
    <xf numFmtId="0" fontId="4" fillId="2" borderId="12" xfId="0" applyFont="1" applyFill="1" applyBorder="1" applyAlignment="1">
      <alignment horizontal="right" vertical="center"/>
    </xf>
    <xf numFmtId="0" fontId="4" fillId="2" borderId="13" xfId="0" applyFont="1" applyFill="1" applyBorder="1" applyAlignment="1">
      <alignment horizontal="right" vertical="center"/>
    </xf>
    <xf numFmtId="0" fontId="4" fillId="2" borderId="14" xfId="0" applyFont="1" applyFill="1" applyBorder="1" applyAlignment="1">
      <alignment horizontal="right" vertical="center"/>
    </xf>
    <xf numFmtId="0" fontId="4" fillId="2" borderId="15" xfId="0" applyFont="1" applyFill="1" applyBorder="1" applyAlignment="1">
      <alignment horizontal="center" vertical="center"/>
    </xf>
    <xf numFmtId="0" fontId="4" fillId="2" borderId="13" xfId="0" applyFont="1" applyFill="1" applyBorder="1" applyAlignment="1">
      <alignment horizontal="center" vertical="center"/>
    </xf>
    <xf numFmtId="165" fontId="4" fillId="2" borderId="12" xfId="0" applyNumberFormat="1" applyFont="1" applyFill="1" applyBorder="1" applyAlignment="1">
      <alignment horizontal="right" vertical="center"/>
    </xf>
    <xf numFmtId="165" fontId="4" fillId="2" borderId="13" xfId="0" applyNumberFormat="1" applyFont="1" applyFill="1" applyBorder="1" applyAlignment="1">
      <alignment horizontal="right" vertical="center"/>
    </xf>
    <xf numFmtId="165" fontId="4" fillId="2" borderId="14" xfId="0" applyNumberFormat="1" applyFont="1" applyFill="1" applyBorder="1" applyAlignment="1">
      <alignment horizontal="right" vertical="center"/>
    </xf>
    <xf numFmtId="0" fontId="4" fillId="2" borderId="12" xfId="0" applyFont="1" applyFill="1" applyBorder="1">
      <alignment vertical="top"/>
    </xf>
    <xf numFmtId="0" fontId="4" fillId="2" borderId="15" xfId="0" applyFont="1" applyFill="1" applyBorder="1">
      <alignment vertical="top"/>
    </xf>
    <xf numFmtId="166" fontId="4" fillId="2" borderId="12" xfId="0" applyNumberFormat="1" applyFont="1" applyFill="1" applyBorder="1" applyAlignment="1">
      <alignment horizontal="right" vertical="center"/>
    </xf>
    <xf numFmtId="166" fontId="4" fillId="2" borderId="13" xfId="0" applyNumberFormat="1" applyFont="1" applyFill="1" applyBorder="1" applyAlignment="1">
      <alignment horizontal="right" vertical="center"/>
    </xf>
    <xf numFmtId="166" fontId="4" fillId="2" borderId="14" xfId="0" applyNumberFormat="1" applyFont="1" applyFill="1" applyBorder="1" applyAlignment="1">
      <alignment horizontal="right" vertical="center"/>
    </xf>
    <xf numFmtId="0" fontId="4" fillId="2" borderId="12" xfId="0" applyFont="1" applyFill="1" applyBorder="1" applyAlignment="1">
      <alignment horizontal="left" vertical="center"/>
    </xf>
    <xf numFmtId="0" fontId="4" fillId="2" borderId="13" xfId="0" applyFont="1" applyFill="1" applyBorder="1" applyAlignment="1">
      <alignment horizontal="left" vertical="center"/>
    </xf>
    <xf numFmtId="0" fontId="4" fillId="2" borderId="15" xfId="0" applyFont="1" applyFill="1" applyBorder="1" applyAlignment="1">
      <alignment horizontal="left" vertical="center"/>
    </xf>
    <xf numFmtId="0" fontId="4" fillId="2" borderId="14" xfId="0" applyFont="1" applyFill="1" applyBorder="1" applyAlignment="1">
      <alignment horizontal="left" vertical="center"/>
    </xf>
    <xf numFmtId="0" fontId="4" fillId="2" borderId="12" xfId="0" applyFont="1" applyFill="1" applyBorder="1" applyAlignment="1">
      <alignment horizontal="center" vertical="center"/>
    </xf>
    <xf numFmtId="167" fontId="4" fillId="2" borderId="12" xfId="0" applyNumberFormat="1" applyFont="1" applyFill="1" applyBorder="1" applyAlignment="1">
      <alignment horizontal="right" vertical="center"/>
    </xf>
    <xf numFmtId="167" fontId="4" fillId="2" borderId="13" xfId="0" applyNumberFormat="1" applyFont="1" applyFill="1" applyBorder="1" applyAlignment="1">
      <alignment horizontal="right" vertical="center"/>
    </xf>
    <xf numFmtId="167" fontId="4" fillId="2" borderId="14" xfId="0" applyNumberFormat="1" applyFont="1" applyFill="1" applyBorder="1" applyAlignment="1">
      <alignment horizontal="right" vertical="center"/>
    </xf>
    <xf numFmtId="0" fontId="10" fillId="2" borderId="0" xfId="0" applyFont="1" applyFill="1" applyAlignment="1">
      <alignment horizontal="left" vertical="center"/>
    </xf>
    <xf numFmtId="0" fontId="10" fillId="2" borderId="0" xfId="0" applyFont="1" applyFill="1" applyAlignment="1">
      <alignment horizontal="center" vertical="center"/>
    </xf>
    <xf numFmtId="0" fontId="4" fillId="2" borderId="13" xfId="0" applyFont="1" applyFill="1" applyBorder="1" applyAlignment="1">
      <alignment horizontal="left" vertical="center" indent="1"/>
    </xf>
    <xf numFmtId="4" fontId="4" fillId="2" borderId="12" xfId="0" applyNumberFormat="1" applyFont="1" applyFill="1" applyBorder="1" applyAlignment="1">
      <alignment horizontal="right" vertical="center"/>
    </xf>
    <xf numFmtId="4" fontId="4" fillId="2" borderId="13" xfId="0" applyNumberFormat="1" applyFont="1" applyFill="1" applyBorder="1" applyAlignment="1">
      <alignment horizontal="right" vertical="center"/>
    </xf>
    <xf numFmtId="4" fontId="4" fillId="2" borderId="14" xfId="0" applyNumberFormat="1" applyFont="1" applyFill="1" applyBorder="1" applyAlignment="1">
      <alignment horizontal="right" vertical="center"/>
    </xf>
    <xf numFmtId="0" fontId="3" fillId="0" borderId="0" xfId="0" applyFont="1" applyAlignment="1"/>
    <xf numFmtId="2" fontId="5" fillId="0" borderId="0" xfId="0" applyNumberFormat="1" applyFont="1" applyAlignment="1">
      <alignment horizontal="left" vertical="top"/>
    </xf>
    <xf numFmtId="0" fontId="10" fillId="0" borderId="0" xfId="0" applyFont="1" applyAlignment="1">
      <alignment horizontal="left" vertical="top"/>
    </xf>
    <xf numFmtId="0" fontId="4" fillId="2" borderId="13" xfId="0" applyFont="1" applyFill="1" applyBorder="1" applyAlignment="1">
      <alignment horizontal="left" vertical="center" wrapText="1"/>
    </xf>
    <xf numFmtId="0" fontId="5" fillId="7" borderId="0" xfId="0" applyFont="1" applyFill="1" applyAlignment="1">
      <alignment horizontal="left" vertical="top"/>
    </xf>
    <xf numFmtId="0" fontId="4" fillId="2" borderId="13" xfId="0" applyFont="1" applyFill="1" applyBorder="1" applyAlignment="1">
      <alignment horizontal="left" vertical="center" wrapText="1" indent="1"/>
    </xf>
    <xf numFmtId="168" fontId="4" fillId="2" borderId="12" xfId="0" applyNumberFormat="1" applyFont="1" applyFill="1" applyBorder="1" applyAlignment="1">
      <alignment horizontal="right" vertical="center"/>
    </xf>
    <xf numFmtId="168" fontId="4" fillId="2" borderId="13" xfId="0" applyNumberFormat="1" applyFont="1" applyFill="1" applyBorder="1" applyAlignment="1">
      <alignment horizontal="right" vertical="center"/>
    </xf>
    <xf numFmtId="168" fontId="4" fillId="2" borderId="14" xfId="0" applyNumberFormat="1" applyFont="1" applyFill="1" applyBorder="1" applyAlignment="1">
      <alignment horizontal="right" vertical="center"/>
    </xf>
    <xf numFmtId="0" fontId="5" fillId="8" borderId="0" xfId="0" applyFont="1" applyFill="1" applyAlignment="1" applyProtection="1">
      <alignment horizontal="left" vertical="top"/>
      <protection locked="0"/>
    </xf>
    <xf numFmtId="0" fontId="3" fillId="8" borderId="0" xfId="0" applyFont="1" applyFill="1" applyProtection="1">
      <alignment vertical="top"/>
      <protection locked="0"/>
    </xf>
    <xf numFmtId="0" fontId="5" fillId="8" borderId="0" xfId="0" applyFont="1" applyFill="1" applyAlignment="1" applyProtection="1">
      <alignment horizontal="right" vertical="top"/>
      <protection locked="0"/>
    </xf>
    <xf numFmtId="0" fontId="4" fillId="2" borderId="13" xfId="0" applyFont="1" applyFill="1" applyBorder="1" applyAlignment="1">
      <alignment horizontal="left" vertical="center" wrapText="1" indent="2"/>
    </xf>
    <xf numFmtId="10" fontId="4" fillId="2" borderId="12" xfId="0" applyNumberFormat="1" applyFont="1" applyFill="1" applyBorder="1" applyAlignment="1">
      <alignment horizontal="right" vertical="center"/>
    </xf>
    <xf numFmtId="10" fontId="4" fillId="2" borderId="13" xfId="0" applyNumberFormat="1" applyFont="1" applyFill="1" applyBorder="1" applyAlignment="1" applyProtection="1">
      <alignment horizontal="right" vertical="center"/>
      <protection locked="0"/>
    </xf>
    <xf numFmtId="10" fontId="4" fillId="2" borderId="14" xfId="0" applyNumberFormat="1" applyFont="1" applyFill="1" applyBorder="1" applyAlignment="1" applyProtection="1">
      <alignment horizontal="right" vertical="center"/>
      <protection locked="0"/>
    </xf>
    <xf numFmtId="167" fontId="4" fillId="2" borderId="13" xfId="0" applyNumberFormat="1" applyFont="1" applyFill="1" applyBorder="1" applyAlignment="1" applyProtection="1">
      <alignment horizontal="right" vertical="center"/>
      <protection locked="0"/>
    </xf>
    <xf numFmtId="0" fontId="4" fillId="2" borderId="13" xfId="0" applyFont="1" applyFill="1" applyBorder="1" applyAlignment="1">
      <alignment horizontal="left" vertical="center" wrapText="1" indent="3"/>
    </xf>
    <xf numFmtId="0" fontId="4" fillId="2" borderId="13" xfId="0" applyFont="1" applyFill="1" applyBorder="1">
      <alignment vertical="top"/>
    </xf>
    <xf numFmtId="10" fontId="4" fillId="2" borderId="14" xfId="0" applyNumberFormat="1" applyFont="1" applyFill="1" applyBorder="1" applyAlignment="1">
      <alignment horizontal="right" vertical="center"/>
    </xf>
    <xf numFmtId="4" fontId="4" fillId="2" borderId="12" xfId="0" applyNumberFormat="1" applyFont="1" applyFill="1" applyBorder="1" applyAlignment="1" applyProtection="1">
      <alignment horizontal="right" vertical="center"/>
      <protection locked="0"/>
    </xf>
    <xf numFmtId="4" fontId="4" fillId="2" borderId="14" xfId="0" applyNumberFormat="1" applyFont="1" applyFill="1" applyBorder="1" applyAlignment="1" applyProtection="1">
      <alignment horizontal="right" vertical="center"/>
      <protection locked="0"/>
    </xf>
    <xf numFmtId="10" fontId="4" fillId="2" borderId="12" xfId="0" applyNumberFormat="1" applyFont="1" applyFill="1" applyBorder="1" applyAlignment="1" applyProtection="1">
      <alignment horizontal="right" vertical="center"/>
      <protection locked="0"/>
    </xf>
    <xf numFmtId="0" fontId="4" fillId="2" borderId="14" xfId="0" applyFont="1" applyFill="1" applyBorder="1">
      <alignment vertical="top"/>
    </xf>
    <xf numFmtId="0" fontId="11" fillId="0" borderId="0" xfId="0" applyFont="1" applyAlignment="1">
      <alignment horizontal="left" vertical="top"/>
    </xf>
    <xf numFmtId="0" fontId="12" fillId="0" borderId="0" xfId="0" applyFont="1">
      <alignment vertical="top"/>
    </xf>
    <xf numFmtId="0" fontId="11" fillId="4" borderId="0" xfId="0" applyFont="1" applyFill="1" applyAlignment="1">
      <alignment horizontal="left" vertical="top"/>
    </xf>
    <xf numFmtId="0" fontId="11" fillId="0" borderId="0" xfId="0" applyFont="1" applyAlignment="1">
      <alignment horizontal="right" vertical="top"/>
    </xf>
    <xf numFmtId="0" fontId="13" fillId="2" borderId="12" xfId="0" applyFont="1" applyFill="1" applyBorder="1" applyAlignment="1">
      <alignment horizontal="center" vertical="center"/>
    </xf>
    <xf numFmtId="0" fontId="13" fillId="2" borderId="13" xfId="0" applyFont="1" applyFill="1" applyBorder="1" applyAlignment="1">
      <alignment horizontal="left" vertical="center" wrapText="1"/>
    </xf>
    <xf numFmtId="0" fontId="13" fillId="2" borderId="15" xfId="0" applyFont="1" applyFill="1" applyBorder="1" applyAlignment="1">
      <alignment horizontal="center" vertical="center" wrapText="1"/>
    </xf>
    <xf numFmtId="167" fontId="13" fillId="2" borderId="12" xfId="0" applyNumberFormat="1" applyFont="1" applyFill="1" applyBorder="1" applyAlignment="1">
      <alignment horizontal="right" vertical="center"/>
    </xf>
    <xf numFmtId="167" fontId="13" fillId="2" borderId="13" xfId="0" applyNumberFormat="1" applyFont="1" applyFill="1" applyBorder="1" applyAlignment="1">
      <alignment horizontal="right" vertical="center"/>
    </xf>
    <xf numFmtId="167" fontId="13" fillId="2" borderId="14" xfId="0" applyNumberFormat="1" applyFont="1" applyFill="1" applyBorder="1" applyAlignment="1">
      <alignment horizontal="right" vertical="center"/>
    </xf>
    <xf numFmtId="167" fontId="13" fillId="2" borderId="15" xfId="0" applyNumberFormat="1" applyFont="1" applyFill="1" applyBorder="1" applyAlignment="1">
      <alignment horizontal="right" vertical="center"/>
    </xf>
    <xf numFmtId="167" fontId="13" fillId="2" borderId="16" xfId="0" applyNumberFormat="1" applyFont="1" applyFill="1" applyBorder="1" applyAlignment="1">
      <alignment horizontal="right" vertical="center"/>
    </xf>
    <xf numFmtId="0" fontId="12" fillId="2" borderId="0" xfId="0" applyFont="1" applyFill="1">
      <alignment vertical="top"/>
    </xf>
    <xf numFmtId="164" fontId="13" fillId="2" borderId="12" xfId="0" applyNumberFormat="1" applyFont="1" applyFill="1" applyBorder="1" applyAlignment="1">
      <alignment horizontal="right" vertical="center"/>
    </xf>
    <xf numFmtId="164" fontId="13" fillId="2" borderId="13" xfId="0" applyNumberFormat="1" applyFont="1" applyFill="1" applyBorder="1" applyAlignment="1">
      <alignment horizontal="right" vertical="center"/>
    </xf>
    <xf numFmtId="164" fontId="13" fillId="2" borderId="14" xfId="0" applyNumberFormat="1" applyFont="1" applyFill="1" applyBorder="1" applyAlignment="1">
      <alignment horizontal="right" vertical="center"/>
    </xf>
    <xf numFmtId="0" fontId="14" fillId="0" borderId="0" xfId="0" applyFont="1">
      <alignment vertical="top"/>
    </xf>
    <xf numFmtId="0" fontId="5" fillId="2" borderId="0" xfId="0" applyFont="1" applyFill="1" applyAlignment="1">
      <alignment horizontal="left" vertical="top"/>
    </xf>
    <xf numFmtId="0" fontId="15" fillId="2" borderId="13" xfId="0" applyFont="1" applyFill="1" applyBorder="1" applyAlignment="1">
      <alignment horizontal="left" vertical="center" wrapText="1" indent="2"/>
    </xf>
    <xf numFmtId="0" fontId="4" fillId="2" borderId="15" xfId="0" applyFont="1" applyFill="1" applyBorder="1" applyAlignment="1">
      <alignment horizontal="center" vertical="center" wrapText="1"/>
    </xf>
    <xf numFmtId="167" fontId="4" fillId="2" borderId="15" xfId="0" applyNumberFormat="1" applyFont="1" applyFill="1" applyBorder="1" applyAlignment="1">
      <alignment horizontal="right" vertical="center"/>
    </xf>
    <xf numFmtId="169" fontId="4" fillId="2" borderId="16" xfId="0" applyNumberFormat="1" applyFont="1" applyFill="1" applyBorder="1" applyAlignment="1">
      <alignment horizontal="right" vertical="center"/>
    </xf>
    <xf numFmtId="169" fontId="4" fillId="2" borderId="13" xfId="0" applyNumberFormat="1" applyFont="1" applyFill="1" applyBorder="1" applyAlignment="1">
      <alignment horizontal="right" vertical="center"/>
    </xf>
    <xf numFmtId="169" fontId="4" fillId="2" borderId="15" xfId="0" applyNumberFormat="1" applyFont="1" applyFill="1" applyBorder="1" applyAlignment="1">
      <alignment horizontal="right" vertical="center"/>
    </xf>
    <xf numFmtId="169" fontId="4" fillId="2" borderId="12" xfId="0" applyNumberFormat="1" applyFont="1" applyFill="1" applyBorder="1" applyAlignment="1">
      <alignment horizontal="right" vertical="center"/>
    </xf>
    <xf numFmtId="169" fontId="4" fillId="2" borderId="14" xfId="0" applyNumberFormat="1" applyFont="1" applyFill="1" applyBorder="1" applyAlignment="1">
      <alignment horizontal="right" vertical="center"/>
    </xf>
    <xf numFmtId="164" fontId="4" fillId="2" borderId="12" xfId="0" applyNumberFormat="1" applyFont="1" applyFill="1" applyBorder="1" applyAlignment="1">
      <alignment horizontal="right" vertical="center"/>
    </xf>
    <xf numFmtId="164" fontId="4" fillId="2" borderId="13" xfId="0" applyNumberFormat="1" applyFont="1" applyFill="1" applyBorder="1" applyAlignment="1">
      <alignment horizontal="right" vertical="center"/>
    </xf>
    <xf numFmtId="164" fontId="4" fillId="2" borderId="14" xfId="0" applyNumberFormat="1" applyFont="1" applyFill="1" applyBorder="1" applyAlignment="1">
      <alignment horizontal="right" vertical="center"/>
    </xf>
    <xf numFmtId="49" fontId="11" fillId="2" borderId="0" xfId="0" applyNumberFormat="1" applyFont="1" applyFill="1" applyAlignment="1">
      <alignment horizontal="left" vertical="top"/>
    </xf>
    <xf numFmtId="0" fontId="11" fillId="2" borderId="0" xfId="0" applyFont="1" applyFill="1" applyAlignment="1">
      <alignment horizontal="left" vertical="top"/>
    </xf>
    <xf numFmtId="0" fontId="13" fillId="2" borderId="13" xfId="0" applyFont="1" applyFill="1" applyBorder="1" applyAlignment="1">
      <alignment horizontal="left" vertical="center" wrapText="1" indent="1"/>
    </xf>
    <xf numFmtId="169" fontId="13" fillId="2" borderId="16" xfId="0" applyNumberFormat="1" applyFont="1" applyFill="1" applyBorder="1" applyAlignment="1">
      <alignment horizontal="right" vertical="center"/>
    </xf>
    <xf numFmtId="169" fontId="13" fillId="2" borderId="13" xfId="0" applyNumberFormat="1" applyFont="1" applyFill="1" applyBorder="1" applyAlignment="1">
      <alignment horizontal="right" vertical="center"/>
    </xf>
    <xf numFmtId="169" fontId="13" fillId="2" borderId="15" xfId="0" applyNumberFormat="1" applyFont="1" applyFill="1" applyBorder="1" applyAlignment="1">
      <alignment horizontal="right" vertical="center"/>
    </xf>
    <xf numFmtId="169" fontId="13" fillId="2" borderId="12" xfId="0" applyNumberFormat="1" applyFont="1" applyFill="1" applyBorder="1" applyAlignment="1">
      <alignment horizontal="right" vertical="center"/>
    </xf>
    <xf numFmtId="169" fontId="13" fillId="2" borderId="14" xfId="0" applyNumberFormat="1" applyFont="1" applyFill="1" applyBorder="1" applyAlignment="1">
      <alignment horizontal="right" vertical="center"/>
    </xf>
    <xf numFmtId="49" fontId="5" fillId="2" borderId="0" xfId="0" applyNumberFormat="1" applyFont="1" applyFill="1" applyAlignment="1">
      <alignment horizontal="left" vertical="top"/>
    </xf>
    <xf numFmtId="0" fontId="15" fillId="2" borderId="13" xfId="0" applyFont="1" applyFill="1" applyBorder="1" applyAlignment="1">
      <alignment horizontal="left" vertical="center" wrapText="1" indent="3"/>
    </xf>
    <xf numFmtId="4" fontId="4" fillId="2" borderId="15" xfId="0" applyNumberFormat="1" applyFont="1" applyFill="1" applyBorder="1" applyAlignment="1">
      <alignment horizontal="right" vertical="center"/>
    </xf>
    <xf numFmtId="170" fontId="4" fillId="2" borderId="16" xfId="0" applyNumberFormat="1" applyFont="1" applyFill="1" applyBorder="1" applyAlignment="1">
      <alignment horizontal="right" vertical="center"/>
    </xf>
    <xf numFmtId="170" fontId="4" fillId="2" borderId="13" xfId="0" applyNumberFormat="1" applyFont="1" applyFill="1" applyBorder="1" applyAlignment="1">
      <alignment horizontal="right" vertical="center"/>
    </xf>
    <xf numFmtId="170" fontId="4" fillId="2" borderId="15" xfId="0" applyNumberFormat="1" applyFont="1" applyFill="1" applyBorder="1" applyAlignment="1">
      <alignment horizontal="right" vertical="center"/>
    </xf>
    <xf numFmtId="170" fontId="4" fillId="2" borderId="12" xfId="0" applyNumberFormat="1" applyFont="1" applyFill="1" applyBorder="1" applyAlignment="1">
      <alignment horizontal="right" vertical="center"/>
    </xf>
    <xf numFmtId="170" fontId="4" fillId="2" borderId="14" xfId="0" applyNumberFormat="1" applyFont="1" applyFill="1" applyBorder="1" applyAlignment="1">
      <alignment horizontal="right" vertical="center"/>
    </xf>
    <xf numFmtId="0" fontId="5" fillId="2" borderId="15" xfId="0" applyFont="1" applyFill="1" applyBorder="1" applyAlignment="1">
      <alignment horizontal="right" vertical="center"/>
    </xf>
    <xf numFmtId="0" fontId="5" fillId="2" borderId="13" xfId="0" applyFont="1" applyFill="1" applyBorder="1" applyAlignment="1">
      <alignment horizontal="right" vertical="center"/>
    </xf>
    <xf numFmtId="167" fontId="4" fillId="2" borderId="16" xfId="0" applyNumberFormat="1" applyFont="1" applyFill="1" applyBorder="1" applyAlignment="1">
      <alignment horizontal="right" vertical="center"/>
    </xf>
    <xf numFmtId="167" fontId="6" fillId="2" borderId="12" xfId="0" applyNumberFormat="1" applyFont="1" applyFill="1" applyBorder="1" applyAlignment="1">
      <alignment horizontal="right" vertical="center"/>
    </xf>
    <xf numFmtId="167" fontId="6" fillId="2" borderId="13" xfId="0" applyNumberFormat="1" applyFont="1" applyFill="1" applyBorder="1" applyAlignment="1">
      <alignment horizontal="right" vertical="center"/>
    </xf>
    <xf numFmtId="167" fontId="6" fillId="2" borderId="14" xfId="0" applyNumberFormat="1" applyFont="1" applyFill="1" applyBorder="1" applyAlignment="1">
      <alignment horizontal="right" vertical="center"/>
    </xf>
    <xf numFmtId="167" fontId="6" fillId="2" borderId="15" xfId="0" applyNumberFormat="1" applyFont="1" applyFill="1" applyBorder="1" applyAlignment="1">
      <alignment horizontal="right" vertical="center"/>
    </xf>
    <xf numFmtId="167" fontId="6" fillId="2" borderId="16" xfId="0" applyNumberFormat="1" applyFont="1" applyFill="1" applyBorder="1" applyAlignment="1">
      <alignment horizontal="right" vertical="center"/>
    </xf>
    <xf numFmtId="0" fontId="4" fillId="2" borderId="0" xfId="0" applyFont="1" applyFill="1" applyAlignment="1">
      <alignment horizontal="center" vertical="center"/>
    </xf>
    <xf numFmtId="0" fontId="4" fillId="2" borderId="13" xfId="0" applyFont="1" applyFill="1" applyBorder="1" applyAlignment="1">
      <alignment horizontal="left" vertical="center" indent="4"/>
    </xf>
    <xf numFmtId="0" fontId="5" fillId="2" borderId="17" xfId="0" applyFont="1" applyFill="1" applyBorder="1" applyAlignment="1">
      <alignment horizontal="left" vertical="top"/>
    </xf>
    <xf numFmtId="0" fontId="6" fillId="6" borderId="12" xfId="0" applyFont="1" applyFill="1" applyBorder="1" applyAlignment="1">
      <alignment horizontal="center" vertical="center"/>
    </xf>
    <xf numFmtId="0" fontId="6" fillId="6" borderId="13" xfId="0" applyFont="1" applyFill="1" applyBorder="1" applyAlignment="1">
      <alignment horizontal="left" vertical="center" wrapText="1"/>
    </xf>
    <xf numFmtId="0" fontId="6" fillId="6" borderId="15" xfId="0" applyFont="1" applyFill="1" applyBorder="1" applyAlignment="1">
      <alignment horizontal="center" vertical="center"/>
    </xf>
    <xf numFmtId="4" fontId="6" fillId="6" borderId="18" xfId="0" applyNumberFormat="1" applyFont="1" applyFill="1" applyBorder="1" applyAlignment="1">
      <alignment horizontal="right" vertical="center"/>
    </xf>
    <xf numFmtId="4" fontId="6" fillId="6" borderId="13" xfId="0" applyNumberFormat="1" applyFont="1" applyFill="1" applyBorder="1" applyAlignment="1">
      <alignment horizontal="right" vertical="center"/>
    </xf>
    <xf numFmtId="4" fontId="6" fillId="6" borderId="19" xfId="0" applyNumberFormat="1" applyFont="1" applyFill="1" applyBorder="1" applyAlignment="1">
      <alignment horizontal="right" vertical="center"/>
    </xf>
    <xf numFmtId="4" fontId="6" fillId="6" borderId="20" xfId="0" applyNumberFormat="1" applyFont="1" applyFill="1" applyBorder="1" applyAlignment="1">
      <alignment horizontal="right" vertical="center"/>
    </xf>
    <xf numFmtId="4" fontId="6" fillId="6" borderId="16" xfId="0" applyNumberFormat="1" applyFont="1" applyFill="1" applyBorder="1" applyAlignment="1">
      <alignment horizontal="right" vertical="center"/>
    </xf>
    <xf numFmtId="164" fontId="6" fillId="6" borderId="12" xfId="0" applyNumberFormat="1" applyFont="1" applyFill="1" applyBorder="1" applyAlignment="1">
      <alignment horizontal="right" vertical="center"/>
    </xf>
    <xf numFmtId="164" fontId="6" fillId="6" borderId="13" xfId="0" applyNumberFormat="1" applyFont="1" applyFill="1" applyBorder="1" applyAlignment="1">
      <alignment horizontal="right" vertical="center"/>
    </xf>
    <xf numFmtId="164" fontId="6" fillId="6" borderId="14" xfId="0" applyNumberFormat="1" applyFont="1" applyFill="1" applyBorder="1" applyAlignment="1">
      <alignment horizontal="right" vertical="center"/>
    </xf>
    <xf numFmtId="0" fontId="8" fillId="0" borderId="0" xfId="0" applyFont="1">
      <alignment vertical="top"/>
    </xf>
    <xf numFmtId="0" fontId="9" fillId="0" borderId="0" xfId="0" applyFont="1" applyAlignment="1">
      <alignment horizontal="left" vertical="top"/>
    </xf>
    <xf numFmtId="0" fontId="9" fillId="0" borderId="0" xfId="0" applyFont="1" applyAlignment="1">
      <alignment horizontal="right" vertical="top"/>
    </xf>
    <xf numFmtId="0" fontId="6" fillId="6" borderId="13" xfId="0" applyFont="1" applyFill="1" applyBorder="1" applyAlignment="1">
      <alignment horizontal="left" vertical="center" wrapText="1" indent="1"/>
    </xf>
    <xf numFmtId="0" fontId="8" fillId="2" borderId="0" xfId="0" applyFont="1" applyFill="1">
      <alignment vertical="top"/>
    </xf>
    <xf numFmtId="0" fontId="16" fillId="0" borderId="0" xfId="0" applyFont="1">
      <alignment vertical="top"/>
    </xf>
    <xf numFmtId="0" fontId="6" fillId="6" borderId="13" xfId="0" applyFont="1" applyFill="1" applyBorder="1" applyAlignment="1">
      <alignment horizontal="left" vertical="center" wrapText="1" indent="2"/>
    </xf>
    <xf numFmtId="0" fontId="6" fillId="6" borderId="13" xfId="0" applyFont="1" applyFill="1" applyBorder="1" applyAlignment="1">
      <alignment horizontal="left" vertical="center" wrapText="1" indent="3"/>
    </xf>
    <xf numFmtId="0" fontId="4" fillId="2" borderId="13" xfId="0" applyFont="1" applyFill="1" applyBorder="1" applyAlignment="1">
      <alignment horizontal="left" vertical="center" wrapText="1" indent="4" shrinkToFit="1"/>
    </xf>
    <xf numFmtId="4" fontId="4" fillId="2" borderId="18" xfId="0" applyNumberFormat="1" applyFont="1" applyFill="1" applyBorder="1" applyAlignment="1">
      <alignment horizontal="right" vertical="center"/>
    </xf>
    <xf numFmtId="4" fontId="4" fillId="2" borderId="19" xfId="0" applyNumberFormat="1" applyFont="1" applyFill="1" applyBorder="1" applyAlignment="1">
      <alignment horizontal="right" vertical="center"/>
    </xf>
    <xf numFmtId="0" fontId="4" fillId="2" borderId="13" xfId="0" applyFont="1" applyFill="1" applyBorder="1" applyAlignment="1">
      <alignment horizontal="left" vertical="center" wrapText="1" indent="5" shrinkToFit="1"/>
    </xf>
    <xf numFmtId="4" fontId="4" fillId="2" borderId="13" xfId="0" applyNumberFormat="1" applyFont="1" applyFill="1" applyBorder="1" applyAlignment="1" applyProtection="1">
      <alignment horizontal="right" vertical="center"/>
      <protection locked="0"/>
    </xf>
    <xf numFmtId="4" fontId="4" fillId="2" borderId="16" xfId="0" applyNumberFormat="1" applyFont="1" applyFill="1" applyBorder="1" applyAlignment="1">
      <alignment horizontal="right" vertical="center"/>
    </xf>
    <xf numFmtId="4" fontId="5" fillId="2" borderId="12" xfId="0" applyNumberFormat="1" applyFont="1" applyFill="1" applyBorder="1" applyAlignment="1" applyProtection="1">
      <alignment horizontal="right" vertical="center"/>
      <protection locked="0"/>
    </xf>
    <xf numFmtId="4" fontId="4" fillId="2" borderId="15" xfId="0" applyNumberFormat="1" applyFont="1" applyFill="1" applyBorder="1" applyAlignment="1" applyProtection="1">
      <alignment horizontal="right" vertical="center"/>
      <protection locked="0"/>
    </xf>
    <xf numFmtId="170" fontId="4" fillId="2" borderId="16" xfId="0" applyNumberFormat="1" applyFont="1" applyFill="1" applyBorder="1" applyAlignment="1" applyProtection="1">
      <alignment horizontal="right" vertical="center"/>
      <protection locked="0"/>
    </xf>
    <xf numFmtId="170" fontId="4" fillId="2" borderId="13" xfId="0" applyNumberFormat="1" applyFont="1" applyFill="1" applyBorder="1" applyAlignment="1" applyProtection="1">
      <alignment horizontal="right" vertical="center"/>
      <protection locked="0"/>
    </xf>
    <xf numFmtId="170" fontId="4" fillId="2" borderId="15" xfId="0" applyNumberFormat="1" applyFont="1" applyFill="1" applyBorder="1" applyAlignment="1" applyProtection="1">
      <alignment horizontal="right" vertical="center"/>
      <protection locked="0"/>
    </xf>
    <xf numFmtId="170" fontId="4" fillId="2" borderId="12" xfId="0" applyNumberFormat="1" applyFont="1" applyFill="1" applyBorder="1" applyAlignment="1" applyProtection="1">
      <alignment horizontal="right" vertical="center"/>
      <protection locked="0"/>
    </xf>
    <xf numFmtId="170" fontId="4" fillId="2" borderId="14" xfId="0" applyNumberFormat="1" applyFont="1" applyFill="1" applyBorder="1" applyAlignment="1" applyProtection="1">
      <alignment horizontal="right" vertical="center"/>
      <protection locked="0"/>
    </xf>
    <xf numFmtId="4" fontId="4" fillId="2" borderId="16" xfId="0" applyNumberFormat="1" applyFont="1" applyFill="1" applyBorder="1" applyAlignment="1" applyProtection="1">
      <alignment horizontal="right" vertical="center"/>
      <protection locked="0"/>
    </xf>
    <xf numFmtId="0" fontId="13" fillId="2" borderId="13" xfId="0" applyFont="1" applyFill="1" applyBorder="1" applyAlignment="1">
      <alignment horizontal="right" vertical="center" wrapText="1" indent="4" shrinkToFit="1"/>
    </xf>
    <xf numFmtId="0" fontId="13" fillId="2" borderId="15" xfId="0" applyFont="1" applyFill="1" applyBorder="1" applyAlignment="1">
      <alignment horizontal="center" vertical="center"/>
    </xf>
    <xf numFmtId="4" fontId="13" fillId="2" borderId="12" xfId="0" applyNumberFormat="1" applyFont="1" applyFill="1" applyBorder="1" applyAlignment="1">
      <alignment horizontal="right" vertical="center"/>
    </xf>
    <xf numFmtId="4" fontId="13" fillId="2" borderId="13" xfId="0" applyNumberFormat="1" applyFont="1" applyFill="1" applyBorder="1" applyAlignment="1">
      <alignment horizontal="right" vertical="center"/>
    </xf>
    <xf numFmtId="4" fontId="13" fillId="2" borderId="14" xfId="0" applyNumberFormat="1" applyFont="1" applyFill="1" applyBorder="1" applyAlignment="1">
      <alignment horizontal="right" vertical="center"/>
    </xf>
    <xf numFmtId="4" fontId="13" fillId="2" borderId="15" xfId="0" applyNumberFormat="1" applyFont="1" applyFill="1" applyBorder="1" applyAlignment="1">
      <alignment horizontal="right" vertical="center"/>
    </xf>
    <xf numFmtId="170" fontId="13" fillId="2" borderId="16" xfId="0" applyNumberFormat="1" applyFont="1" applyFill="1" applyBorder="1" applyAlignment="1">
      <alignment horizontal="right" vertical="center"/>
    </xf>
    <xf numFmtId="170" fontId="13" fillId="2" borderId="13" xfId="0" applyNumberFormat="1" applyFont="1" applyFill="1" applyBorder="1" applyAlignment="1">
      <alignment horizontal="right" vertical="center"/>
    </xf>
    <xf numFmtId="170" fontId="13" fillId="2" borderId="15" xfId="0" applyNumberFormat="1" applyFont="1" applyFill="1" applyBorder="1" applyAlignment="1">
      <alignment horizontal="right" vertical="center"/>
    </xf>
    <xf numFmtId="170" fontId="13" fillId="2" borderId="12" xfId="0" applyNumberFormat="1" applyFont="1" applyFill="1" applyBorder="1" applyAlignment="1">
      <alignment horizontal="right" vertical="center"/>
    </xf>
    <xf numFmtId="170" fontId="13" fillId="2" borderId="14" xfId="0" applyNumberFormat="1" applyFont="1" applyFill="1" applyBorder="1" applyAlignment="1">
      <alignment horizontal="right" vertical="center"/>
    </xf>
    <xf numFmtId="4" fontId="13" fillId="2" borderId="12" xfId="0" applyNumberFormat="1" applyFont="1" applyFill="1" applyBorder="1" applyAlignment="1" applyProtection="1">
      <alignment horizontal="right" vertical="center"/>
      <protection locked="0"/>
    </xf>
    <xf numFmtId="4" fontId="13" fillId="2" borderId="13" xfId="0" applyNumberFormat="1" applyFont="1" applyFill="1" applyBorder="1" applyAlignment="1" applyProtection="1">
      <alignment horizontal="right" vertical="center"/>
      <protection locked="0"/>
    </xf>
    <xf numFmtId="4" fontId="13" fillId="2" borderId="14" xfId="0" applyNumberFormat="1" applyFont="1" applyFill="1" applyBorder="1" applyAlignment="1" applyProtection="1">
      <alignment horizontal="right" vertical="center"/>
      <protection locked="0"/>
    </xf>
    <xf numFmtId="4" fontId="13" fillId="2" borderId="15" xfId="0" applyNumberFormat="1" applyFont="1" applyFill="1" applyBorder="1" applyAlignment="1" applyProtection="1">
      <alignment horizontal="right" vertical="center"/>
      <protection locked="0"/>
    </xf>
    <xf numFmtId="170" fontId="13" fillId="2" borderId="16" xfId="0" applyNumberFormat="1" applyFont="1" applyFill="1" applyBorder="1" applyAlignment="1" applyProtection="1">
      <alignment horizontal="right" vertical="center"/>
      <protection locked="0"/>
    </xf>
    <xf numFmtId="170" fontId="13" fillId="2" borderId="13" xfId="0" applyNumberFormat="1" applyFont="1" applyFill="1" applyBorder="1" applyAlignment="1" applyProtection="1">
      <alignment horizontal="right" vertical="center"/>
      <protection locked="0"/>
    </xf>
    <xf numFmtId="170" fontId="13" fillId="2" borderId="15" xfId="0" applyNumberFormat="1" applyFont="1" applyFill="1" applyBorder="1" applyAlignment="1" applyProtection="1">
      <alignment horizontal="right" vertical="center"/>
      <protection locked="0"/>
    </xf>
    <xf numFmtId="170" fontId="13" fillId="2" borderId="12" xfId="0" applyNumberFormat="1" applyFont="1" applyFill="1" applyBorder="1" applyAlignment="1" applyProtection="1">
      <alignment horizontal="right" vertical="center"/>
      <protection locked="0"/>
    </xf>
    <xf numFmtId="170" fontId="13" fillId="2" borderId="14" xfId="0" applyNumberFormat="1" applyFont="1" applyFill="1" applyBorder="1" applyAlignment="1" applyProtection="1">
      <alignment horizontal="right" vertical="center"/>
      <protection locked="0"/>
    </xf>
    <xf numFmtId="0" fontId="15" fillId="2" borderId="13" xfId="0" applyFont="1" applyFill="1" applyBorder="1" applyAlignment="1">
      <alignment horizontal="right" vertical="center" wrapText="1" indent="4" shrinkToFit="1"/>
    </xf>
    <xf numFmtId="0" fontId="5" fillId="2" borderId="0" xfId="0" applyFont="1" applyFill="1" applyAlignment="1">
      <alignment horizontal="right" vertical="top"/>
    </xf>
    <xf numFmtId="4" fontId="5" fillId="2" borderId="15" xfId="0" applyNumberFormat="1" applyFont="1" applyFill="1" applyBorder="1" applyAlignment="1" applyProtection="1">
      <alignment horizontal="right" vertical="center"/>
      <protection locked="0"/>
    </xf>
    <xf numFmtId="0" fontId="0" fillId="2" borderId="0" xfId="0" applyFill="1">
      <alignment vertical="top"/>
    </xf>
    <xf numFmtId="0" fontId="4" fillId="2" borderId="13" xfId="0" applyFont="1" applyFill="1" applyBorder="1" applyAlignment="1">
      <alignment horizontal="left" vertical="center" wrapText="1" indent="6" shrinkToFit="1"/>
    </xf>
    <xf numFmtId="0" fontId="5" fillId="7" borderId="0" xfId="0" applyFont="1" applyFill="1" applyAlignment="1">
      <alignment horizontal="right" vertical="top"/>
    </xf>
    <xf numFmtId="0" fontId="2" fillId="0" borderId="0" xfId="0" applyFont="1">
      <alignment vertical="top"/>
    </xf>
    <xf numFmtId="0" fontId="17" fillId="0" borderId="0" xfId="0" applyFont="1">
      <alignment vertical="top"/>
    </xf>
    <xf numFmtId="0" fontId="18" fillId="0" borderId="0" xfId="0" applyFont="1" applyAlignment="1">
      <alignment horizontal="left" vertical="top"/>
    </xf>
    <xf numFmtId="0" fontId="18" fillId="0" borderId="0" xfId="0" applyFont="1" applyAlignment="1">
      <alignment horizontal="right" vertical="top"/>
    </xf>
    <xf numFmtId="0" fontId="17" fillId="2" borderId="12" xfId="0" applyFont="1" applyFill="1" applyBorder="1" applyAlignment="1">
      <alignment horizontal="center" vertical="center"/>
    </xf>
    <xf numFmtId="0" fontId="17" fillId="2" borderId="13" xfId="0" applyFont="1" applyFill="1" applyBorder="1" applyAlignment="1">
      <alignment horizontal="left" vertical="center" wrapText="1"/>
    </xf>
    <xf numFmtId="0" fontId="17" fillId="2" borderId="15" xfId="0" applyFont="1" applyFill="1" applyBorder="1" applyAlignment="1">
      <alignment horizontal="center" vertical="center" wrapText="1"/>
    </xf>
    <xf numFmtId="2" fontId="17" fillId="2" borderId="12" xfId="0" applyNumberFormat="1" applyFont="1" applyFill="1" applyBorder="1" applyAlignment="1">
      <alignment horizontal="right" vertical="center"/>
    </xf>
    <xf numFmtId="2" fontId="17" fillId="2" borderId="13" xfId="0" applyNumberFormat="1" applyFont="1" applyFill="1" applyBorder="1" applyAlignment="1">
      <alignment horizontal="right" vertical="center"/>
    </xf>
    <xf numFmtId="2" fontId="17" fillId="2" borderId="14" xfId="0" applyNumberFormat="1" applyFont="1" applyFill="1" applyBorder="1" applyAlignment="1">
      <alignment horizontal="right" vertical="center"/>
    </xf>
    <xf numFmtId="4" fontId="15" fillId="2" borderId="12" xfId="0" applyNumberFormat="1" applyFont="1" applyFill="1" applyBorder="1" applyAlignment="1">
      <alignment horizontal="right" vertical="center"/>
    </xf>
    <xf numFmtId="4" fontId="15" fillId="2" borderId="13" xfId="0" applyNumberFormat="1" applyFont="1" applyFill="1" applyBorder="1" applyAlignment="1" applyProtection="1">
      <alignment horizontal="right" vertical="center"/>
      <protection locked="0"/>
    </xf>
    <xf numFmtId="4" fontId="15" fillId="2" borderId="14" xfId="0" applyNumberFormat="1" applyFont="1" applyFill="1" applyBorder="1" applyAlignment="1" applyProtection="1">
      <alignment horizontal="right" vertical="center"/>
      <protection locked="0"/>
    </xf>
    <xf numFmtId="4" fontId="15" fillId="2" borderId="15" xfId="0" applyNumberFormat="1" applyFont="1" applyFill="1" applyBorder="1" applyAlignment="1" applyProtection="1">
      <alignment horizontal="right" vertical="center"/>
      <protection locked="0"/>
    </xf>
    <xf numFmtId="4" fontId="15" fillId="2" borderId="16" xfId="0" applyNumberFormat="1" applyFont="1" applyFill="1" applyBorder="1" applyAlignment="1">
      <alignment horizontal="right" vertical="center"/>
    </xf>
    <xf numFmtId="0" fontId="17" fillId="2" borderId="0" xfId="0" applyFont="1" applyFill="1">
      <alignment vertical="top"/>
    </xf>
    <xf numFmtId="0" fontId="19" fillId="0" borderId="0" xfId="0" applyFont="1">
      <alignment vertical="top"/>
    </xf>
    <xf numFmtId="0" fontId="4" fillId="2" borderId="13" xfId="0" applyFont="1" applyFill="1" applyBorder="1" applyAlignment="1">
      <alignment horizontal="left" vertical="center" wrapText="1" indent="5"/>
    </xf>
    <xf numFmtId="16" fontId="17" fillId="2" borderId="12" xfId="0" applyNumberFormat="1" applyFont="1" applyFill="1" applyBorder="1" applyAlignment="1">
      <alignment horizontal="center" vertical="center"/>
    </xf>
    <xf numFmtId="2" fontId="18" fillId="2" borderId="13" xfId="0" applyNumberFormat="1" applyFont="1" applyFill="1" applyBorder="1" applyAlignment="1">
      <alignment horizontal="right" vertical="center"/>
    </xf>
    <xf numFmtId="2" fontId="18" fillId="2" borderId="14" xfId="0" applyNumberFormat="1" applyFont="1" applyFill="1" applyBorder="1" applyAlignment="1">
      <alignment horizontal="right" vertical="center"/>
    </xf>
    <xf numFmtId="4" fontId="15" fillId="2" borderId="12" xfId="0" applyNumberFormat="1" applyFont="1" applyFill="1" applyBorder="1" applyAlignment="1" applyProtection="1">
      <alignment horizontal="right" vertical="center"/>
      <protection locked="0"/>
    </xf>
    <xf numFmtId="4" fontId="18" fillId="2" borderId="15" xfId="0" applyNumberFormat="1" applyFont="1" applyFill="1" applyBorder="1" applyAlignment="1" applyProtection="1">
      <alignment horizontal="right" vertical="center"/>
      <protection locked="0"/>
    </xf>
    <xf numFmtId="170" fontId="15" fillId="2" borderId="16" xfId="0" applyNumberFormat="1" applyFont="1" applyFill="1" applyBorder="1" applyAlignment="1">
      <alignment horizontal="right" vertical="center"/>
    </xf>
    <xf numFmtId="170" fontId="15" fillId="2" borderId="13" xfId="0" applyNumberFormat="1" applyFont="1" applyFill="1" applyBorder="1" applyAlignment="1" applyProtection="1">
      <alignment horizontal="right" vertical="center"/>
      <protection locked="0"/>
    </xf>
    <xf numFmtId="170" fontId="15" fillId="2" borderId="15" xfId="0" applyNumberFormat="1" applyFont="1" applyFill="1" applyBorder="1" applyAlignment="1" applyProtection="1">
      <alignment horizontal="right" vertical="center"/>
      <protection locked="0"/>
    </xf>
    <xf numFmtId="170" fontId="15" fillId="2" borderId="12" xfId="0" applyNumberFormat="1" applyFont="1" applyFill="1" applyBorder="1" applyAlignment="1">
      <alignment horizontal="right" vertical="center"/>
    </xf>
    <xf numFmtId="170" fontId="15" fillId="2" borderId="14" xfId="0" applyNumberFormat="1" applyFont="1" applyFill="1" applyBorder="1" applyAlignment="1" applyProtection="1">
      <alignment horizontal="right" vertical="center"/>
      <protection locked="0"/>
    </xf>
    <xf numFmtId="0" fontId="18" fillId="2" borderId="0" xfId="0" applyFont="1" applyFill="1" applyAlignment="1">
      <alignment horizontal="left" vertical="top"/>
    </xf>
    <xf numFmtId="0" fontId="18" fillId="2" borderId="0" xfId="0" applyFont="1" applyFill="1" applyAlignment="1">
      <alignment horizontal="right" vertical="top"/>
    </xf>
    <xf numFmtId="170" fontId="15" fillId="2" borderId="16" xfId="0" applyNumberFormat="1" applyFont="1" applyFill="1" applyBorder="1" applyAlignment="1" applyProtection="1">
      <alignment horizontal="right" vertical="center"/>
      <protection locked="0"/>
    </xf>
    <xf numFmtId="170" fontId="15" fillId="2" borderId="12" xfId="0" applyNumberFormat="1" applyFont="1" applyFill="1" applyBorder="1" applyAlignment="1" applyProtection="1">
      <alignment horizontal="right" vertical="center"/>
      <protection locked="0"/>
    </xf>
    <xf numFmtId="0" fontId="19" fillId="2" borderId="0" xfId="0" applyFont="1" applyFill="1">
      <alignment vertical="top"/>
    </xf>
    <xf numFmtId="17" fontId="17" fillId="2" borderId="12" xfId="0" applyNumberFormat="1" applyFont="1" applyFill="1" applyBorder="1" applyAlignment="1">
      <alignment horizontal="center" vertical="center"/>
    </xf>
    <xf numFmtId="2" fontId="20" fillId="2" borderId="13" xfId="0" applyNumberFormat="1" applyFont="1" applyFill="1" applyBorder="1" applyAlignment="1">
      <alignment horizontal="right" vertical="center"/>
    </xf>
    <xf numFmtId="2" fontId="20" fillId="2" borderId="14" xfId="0" applyNumberFormat="1" applyFont="1" applyFill="1" applyBorder="1" applyAlignment="1">
      <alignment horizontal="right" vertical="center"/>
    </xf>
    <xf numFmtId="0" fontId="17" fillId="2" borderId="21" xfId="0" applyFont="1" applyFill="1" applyBorder="1" applyAlignment="1">
      <alignment horizontal="left" vertical="center" wrapText="1"/>
    </xf>
    <xf numFmtId="17" fontId="17" fillId="2" borderId="18" xfId="0" applyNumberFormat="1" applyFont="1" applyFill="1" applyBorder="1" applyAlignment="1">
      <alignment horizontal="center" vertical="center"/>
    </xf>
    <xf numFmtId="0" fontId="6" fillId="6" borderId="13" xfId="0" applyFont="1" applyFill="1" applyBorder="1" applyAlignment="1">
      <alignment horizontal="left" vertical="center" wrapText="1" indent="3" shrinkToFit="1"/>
    </xf>
    <xf numFmtId="4" fontId="6" fillId="6" borderId="12" xfId="0" applyNumberFormat="1" applyFont="1" applyFill="1" applyBorder="1" applyAlignment="1">
      <alignment horizontal="right" vertical="center"/>
    </xf>
    <xf numFmtId="4" fontId="6" fillId="6" borderId="14" xfId="0" applyNumberFormat="1" applyFont="1" applyFill="1" applyBorder="1" applyAlignment="1">
      <alignment horizontal="right" vertical="center"/>
    </xf>
    <xf numFmtId="0" fontId="4" fillId="2" borderId="22" xfId="0" applyFont="1" applyFill="1" applyBorder="1">
      <alignment vertical="top"/>
    </xf>
    <xf numFmtId="0" fontId="4" fillId="2" borderId="23" xfId="0" applyFont="1" applyFill="1" applyBorder="1">
      <alignment vertical="top"/>
    </xf>
    <xf numFmtId="0" fontId="3" fillId="2" borderId="22" xfId="0" applyFont="1" applyFill="1" applyBorder="1">
      <alignment vertical="top"/>
    </xf>
    <xf numFmtId="0" fontId="3" fillId="2" borderId="23" xfId="0" applyFont="1" applyFill="1" applyBorder="1">
      <alignment vertical="top"/>
    </xf>
    <xf numFmtId="0" fontId="15" fillId="2" borderId="15" xfId="0" applyFont="1" applyFill="1" applyBorder="1" applyAlignment="1">
      <alignment horizontal="center" vertical="center"/>
    </xf>
    <xf numFmtId="0" fontId="17" fillId="2" borderId="12" xfId="0" applyFont="1" applyFill="1" applyBorder="1" applyAlignment="1">
      <alignment horizontal="right" vertical="center"/>
    </xf>
    <xf numFmtId="0" fontId="17" fillId="2" borderId="14" xfId="0" applyFont="1" applyFill="1" applyBorder="1" applyAlignment="1">
      <alignment horizontal="right" vertical="center"/>
    </xf>
    <xf numFmtId="4" fontId="6" fillId="6" borderId="13" xfId="0" applyNumberFormat="1" applyFont="1" applyFill="1" applyBorder="1" applyAlignment="1" applyProtection="1">
      <alignment horizontal="right" vertical="center"/>
      <protection locked="0"/>
    </xf>
    <xf numFmtId="4" fontId="6" fillId="6" borderId="15" xfId="0" applyNumberFormat="1" applyFont="1" applyFill="1" applyBorder="1" applyAlignment="1">
      <alignment horizontal="right" vertical="center"/>
    </xf>
    <xf numFmtId="170" fontId="6" fillId="6" borderId="16" xfId="0" applyNumberFormat="1" applyFont="1" applyFill="1" applyBorder="1" applyAlignment="1">
      <alignment horizontal="right" vertical="center"/>
    </xf>
    <xf numFmtId="170" fontId="6" fillId="6" borderId="13" xfId="0" applyNumberFormat="1" applyFont="1" applyFill="1" applyBorder="1" applyAlignment="1" applyProtection="1">
      <alignment horizontal="right" vertical="center"/>
      <protection locked="0"/>
    </xf>
    <xf numFmtId="170" fontId="6" fillId="6" borderId="15" xfId="0" applyNumberFormat="1" applyFont="1" applyFill="1" applyBorder="1" applyAlignment="1">
      <alignment horizontal="right" vertical="center"/>
    </xf>
    <xf numFmtId="170" fontId="6" fillId="6" borderId="12" xfId="0" applyNumberFormat="1" applyFont="1" applyFill="1" applyBorder="1" applyAlignment="1">
      <alignment horizontal="right" vertical="center"/>
    </xf>
    <xf numFmtId="170" fontId="6" fillId="6" borderId="14" xfId="0" applyNumberFormat="1" applyFont="1" applyFill="1" applyBorder="1" applyAlignment="1">
      <alignment horizontal="right" vertical="center"/>
    </xf>
    <xf numFmtId="171" fontId="4" fillId="2" borderId="12" xfId="0" applyNumberFormat="1" applyFont="1" applyFill="1" applyBorder="1" applyAlignment="1">
      <alignment horizontal="right" vertical="center"/>
    </xf>
    <xf numFmtId="171" fontId="4" fillId="2" borderId="13" xfId="0" applyNumberFormat="1" applyFont="1" applyFill="1" applyBorder="1" applyAlignment="1">
      <alignment horizontal="right" vertical="center"/>
    </xf>
    <xf numFmtId="171" fontId="4" fillId="2" borderId="14" xfId="0" applyNumberFormat="1" applyFont="1" applyFill="1" applyBorder="1" applyAlignment="1">
      <alignment horizontal="right" vertical="center"/>
    </xf>
    <xf numFmtId="171" fontId="4" fillId="2" borderId="15" xfId="0" applyNumberFormat="1" applyFont="1" applyFill="1" applyBorder="1" applyAlignment="1">
      <alignment horizontal="right" vertical="center"/>
    </xf>
    <xf numFmtId="172" fontId="4" fillId="2" borderId="16" xfId="0" applyNumberFormat="1" applyFont="1" applyFill="1" applyBorder="1" applyAlignment="1">
      <alignment horizontal="right" vertical="center"/>
    </xf>
    <xf numFmtId="172" fontId="4" fillId="2" borderId="13" xfId="0" applyNumberFormat="1" applyFont="1" applyFill="1" applyBorder="1" applyAlignment="1">
      <alignment horizontal="right" vertical="center"/>
    </xf>
    <xf numFmtId="172" fontId="4" fillId="2" borderId="15" xfId="0" applyNumberFormat="1" applyFont="1" applyFill="1" applyBorder="1" applyAlignment="1">
      <alignment horizontal="right" vertical="center"/>
    </xf>
    <xf numFmtId="172" fontId="4" fillId="2" borderId="12" xfId="0" applyNumberFormat="1" applyFont="1" applyFill="1" applyBorder="1" applyAlignment="1">
      <alignment horizontal="right" vertical="center"/>
    </xf>
    <xf numFmtId="172" fontId="4" fillId="2" borderId="14" xfId="0" applyNumberFormat="1" applyFont="1" applyFill="1" applyBorder="1" applyAlignment="1">
      <alignment horizontal="right" vertical="center"/>
    </xf>
    <xf numFmtId="0" fontId="3" fillId="2" borderId="13" xfId="0" applyFont="1" applyFill="1" applyBorder="1" applyAlignment="1">
      <alignment horizontal="right" vertical="center"/>
    </xf>
    <xf numFmtId="169" fontId="4" fillId="2" borderId="13" xfId="0" applyNumberFormat="1" applyFont="1" applyFill="1" applyBorder="1" applyAlignment="1" applyProtection="1">
      <alignment horizontal="right" vertical="center"/>
      <protection locked="0"/>
    </xf>
    <xf numFmtId="0" fontId="15" fillId="2" borderId="13" xfId="0" applyFont="1" applyFill="1" applyBorder="1" applyAlignment="1">
      <alignment horizontal="left" vertical="center" wrapText="1" indent="4"/>
    </xf>
    <xf numFmtId="0" fontId="15" fillId="2" borderId="13" xfId="0" applyFont="1" applyFill="1" applyBorder="1" applyAlignment="1">
      <alignment horizontal="right" vertical="center" wrapText="1" indent="1"/>
    </xf>
    <xf numFmtId="173" fontId="4" fillId="2" borderId="12" xfId="0" applyNumberFormat="1" applyFont="1" applyFill="1" applyBorder="1" applyAlignment="1">
      <alignment horizontal="right" vertical="center"/>
    </xf>
    <xf numFmtId="173" fontId="4" fillId="2" borderId="13" xfId="0" applyNumberFormat="1" applyFont="1" applyFill="1" applyBorder="1" applyAlignment="1">
      <alignment horizontal="right" vertical="center"/>
    </xf>
    <xf numFmtId="173" fontId="4" fillId="2" borderId="14" xfId="0" applyNumberFormat="1" applyFont="1" applyFill="1" applyBorder="1" applyAlignment="1">
      <alignment horizontal="right" vertical="center"/>
    </xf>
    <xf numFmtId="173" fontId="4" fillId="2" borderId="15" xfId="0" applyNumberFormat="1" applyFont="1" applyFill="1" applyBorder="1" applyAlignment="1">
      <alignment horizontal="right" vertical="center"/>
    </xf>
    <xf numFmtId="174" fontId="4" fillId="2" borderId="16" xfId="0" applyNumberFormat="1" applyFont="1" applyFill="1" applyBorder="1" applyAlignment="1">
      <alignment horizontal="right" vertical="center"/>
    </xf>
    <xf numFmtId="174" fontId="4" fillId="2" borderId="13" xfId="0" applyNumberFormat="1" applyFont="1" applyFill="1" applyBorder="1" applyAlignment="1">
      <alignment horizontal="right" vertical="center"/>
    </xf>
    <xf numFmtId="174" fontId="4" fillId="2" borderId="15" xfId="0" applyNumberFormat="1" applyFont="1" applyFill="1" applyBorder="1" applyAlignment="1">
      <alignment horizontal="right" vertical="center"/>
    </xf>
    <xf numFmtId="174" fontId="4" fillId="2" borderId="12" xfId="0" applyNumberFormat="1" applyFont="1" applyFill="1" applyBorder="1" applyAlignment="1">
      <alignment horizontal="right" vertical="center"/>
    </xf>
    <xf numFmtId="174" fontId="4" fillId="2" borderId="14" xfId="0" applyNumberFormat="1" applyFont="1" applyFill="1" applyBorder="1" applyAlignment="1">
      <alignment horizontal="right" vertical="center"/>
    </xf>
    <xf numFmtId="0" fontId="15" fillId="2" borderId="13" xfId="0" applyFont="1" applyFill="1" applyBorder="1" applyAlignment="1">
      <alignment horizontal="left" vertical="center" wrapText="1" indent="5"/>
    </xf>
    <xf numFmtId="0" fontId="15" fillId="2" borderId="13" xfId="0" applyFont="1" applyFill="1" applyBorder="1" applyAlignment="1">
      <alignment horizontal="right" vertical="center" wrapText="1"/>
    </xf>
    <xf numFmtId="0" fontId="15" fillId="2" borderId="13" xfId="0" applyFont="1" applyFill="1" applyBorder="1" applyAlignment="1">
      <alignment horizontal="left" vertical="center" indent="4"/>
    </xf>
    <xf numFmtId="0" fontId="4" fillId="2" borderId="13" xfId="0" applyFont="1" applyFill="1" applyBorder="1" applyAlignment="1">
      <alignment horizontal="left" vertical="center" wrapText="1" indent="4"/>
    </xf>
    <xf numFmtId="0" fontId="6" fillId="6" borderId="13" xfId="0" applyFont="1" applyFill="1" applyBorder="1" applyAlignment="1">
      <alignment horizontal="left" vertical="center" indent="1"/>
    </xf>
    <xf numFmtId="170" fontId="6" fillId="6" borderId="13" xfId="0" applyNumberFormat="1" applyFont="1" applyFill="1" applyBorder="1" applyAlignment="1">
      <alignment horizontal="right" vertical="center"/>
    </xf>
    <xf numFmtId="0" fontId="5" fillId="9" borderId="0" xfId="0" applyFont="1" applyFill="1" applyAlignment="1">
      <alignment horizontal="left" vertical="top"/>
    </xf>
    <xf numFmtId="0" fontId="5" fillId="9" borderId="0" xfId="0" applyFont="1" applyFill="1" applyAlignment="1">
      <alignment horizontal="right" vertical="top"/>
    </xf>
    <xf numFmtId="14" fontId="4" fillId="2" borderId="12" xfId="0" applyNumberFormat="1" applyFont="1" applyFill="1" applyBorder="1" applyAlignment="1">
      <alignment horizontal="center" vertical="center"/>
    </xf>
    <xf numFmtId="4" fontId="21" fillId="2" borderId="13" xfId="0" applyNumberFormat="1" applyFont="1" applyFill="1" applyBorder="1" applyAlignment="1">
      <alignment horizontal="right" vertical="center" indent="1"/>
    </xf>
    <xf numFmtId="0" fontId="21" fillId="2" borderId="13" xfId="0" applyFont="1" applyFill="1" applyBorder="1" applyAlignment="1">
      <alignment horizontal="left" vertical="center" wrapText="1" indent="1"/>
    </xf>
    <xf numFmtId="0" fontId="21" fillId="2" borderId="15" xfId="0" applyFont="1" applyFill="1" applyBorder="1" applyAlignment="1">
      <alignment horizontal="left" vertical="center" indent="1"/>
    </xf>
    <xf numFmtId="0" fontId="21" fillId="2" borderId="12" xfId="0" applyFont="1" applyFill="1" applyBorder="1" applyAlignment="1">
      <alignment horizontal="left" vertical="center" indent="1"/>
    </xf>
    <xf numFmtId="0" fontId="21" fillId="2" borderId="14" xfId="0" applyFont="1" applyFill="1" applyBorder="1" applyAlignment="1">
      <alignment horizontal="left" vertical="center" indent="1"/>
    </xf>
    <xf numFmtId="0" fontId="5" fillId="2" borderId="13" xfId="0" applyFont="1" applyFill="1" applyBorder="1" applyAlignment="1">
      <alignment horizontal="left" vertical="center" wrapText="1" indent="1"/>
    </xf>
    <xf numFmtId="4" fontId="5" fillId="2" borderId="13" xfId="0" applyNumberFormat="1" applyFont="1" applyFill="1" applyBorder="1" applyAlignment="1">
      <alignment horizontal="right" vertical="center" indent="1"/>
    </xf>
    <xf numFmtId="4" fontId="6" fillId="6" borderId="12" xfId="0" applyNumberFormat="1" applyFont="1" applyFill="1" applyBorder="1" applyAlignment="1" applyProtection="1">
      <alignment horizontal="right" vertical="center"/>
      <protection locked="0"/>
    </xf>
    <xf numFmtId="4" fontId="6" fillId="6" borderId="14" xfId="0" applyNumberFormat="1" applyFont="1" applyFill="1" applyBorder="1" applyAlignment="1" applyProtection="1">
      <alignment horizontal="right" vertical="center"/>
      <protection locked="0"/>
    </xf>
    <xf numFmtId="4" fontId="6" fillId="6" borderId="15" xfId="0" applyNumberFormat="1" applyFont="1" applyFill="1" applyBorder="1" applyAlignment="1" applyProtection="1">
      <alignment horizontal="right" vertical="center"/>
      <protection locked="0"/>
    </xf>
    <xf numFmtId="170" fontId="6" fillId="6" borderId="16" xfId="0" applyNumberFormat="1" applyFont="1" applyFill="1" applyBorder="1" applyAlignment="1" applyProtection="1">
      <alignment horizontal="right" vertical="center"/>
      <protection locked="0"/>
    </xf>
    <xf numFmtId="170" fontId="6" fillId="6" borderId="15" xfId="0" applyNumberFormat="1" applyFont="1" applyFill="1" applyBorder="1" applyAlignment="1" applyProtection="1">
      <alignment horizontal="right" vertical="center"/>
      <protection locked="0"/>
    </xf>
    <xf numFmtId="170" fontId="6" fillId="6" borderId="12" xfId="0" applyNumberFormat="1" applyFont="1" applyFill="1" applyBorder="1" applyAlignment="1" applyProtection="1">
      <alignment horizontal="right" vertical="center"/>
      <protection locked="0"/>
    </xf>
    <xf numFmtId="170" fontId="6" fillId="6" borderId="14" xfId="0" applyNumberFormat="1" applyFont="1" applyFill="1" applyBorder="1" applyAlignment="1" applyProtection="1">
      <alignment horizontal="right" vertical="center"/>
      <protection locked="0"/>
    </xf>
    <xf numFmtId="0" fontId="9" fillId="7" borderId="0" xfId="0" applyFont="1" applyFill="1" applyAlignment="1">
      <alignment horizontal="left" vertical="top"/>
    </xf>
    <xf numFmtId="0" fontId="9" fillId="10" borderId="0" xfId="0" applyFont="1" applyFill="1" applyAlignment="1">
      <alignment horizontal="left" vertical="top"/>
    </xf>
    <xf numFmtId="0" fontId="5" fillId="10" borderId="0" xfId="0" applyFont="1" applyFill="1" applyAlignment="1">
      <alignment horizontal="left" vertical="top"/>
    </xf>
    <xf numFmtId="0" fontId="5" fillId="10" borderId="0" xfId="0" applyFont="1" applyFill="1" applyAlignment="1">
      <alignment horizontal="right" vertical="top"/>
    </xf>
    <xf numFmtId="4" fontId="4" fillId="2" borderId="24" xfId="0" applyNumberFormat="1" applyFont="1" applyFill="1" applyBorder="1" applyAlignment="1" applyProtection="1">
      <alignment horizontal="right" vertical="center"/>
      <protection locked="0"/>
    </xf>
    <xf numFmtId="4" fontId="4" fillId="2" borderId="25" xfId="0" applyNumberFormat="1" applyFont="1" applyFill="1" applyBorder="1" applyAlignment="1" applyProtection="1">
      <alignment horizontal="right" vertical="center"/>
      <protection locked="0"/>
    </xf>
    <xf numFmtId="4" fontId="4" fillId="2" borderId="26" xfId="0" applyNumberFormat="1" applyFont="1" applyFill="1" applyBorder="1" applyAlignment="1" applyProtection="1">
      <alignment horizontal="right" vertical="center"/>
      <protection locked="0"/>
    </xf>
    <xf numFmtId="0" fontId="9" fillId="4" borderId="0" xfId="0" applyFont="1" applyFill="1" applyAlignment="1">
      <alignment horizontal="left" vertical="top"/>
    </xf>
    <xf numFmtId="0" fontId="9" fillId="10" borderId="0" xfId="0" applyFont="1" applyFill="1" applyAlignment="1">
      <alignment horizontal="right" vertical="top"/>
    </xf>
    <xf numFmtId="0" fontId="6" fillId="2" borderId="12" xfId="0" applyFont="1" applyFill="1" applyBorder="1" applyAlignment="1">
      <alignment horizontal="center" vertical="center"/>
    </xf>
    <xf numFmtId="0" fontId="6" fillId="2" borderId="13" xfId="0" applyFont="1" applyFill="1" applyBorder="1" applyAlignment="1">
      <alignment horizontal="left" vertical="center" wrapText="1"/>
    </xf>
    <xf numFmtId="0" fontId="6" fillId="2" borderId="14" xfId="0" applyFont="1" applyFill="1" applyBorder="1" applyAlignment="1">
      <alignment horizontal="center" vertical="center"/>
    </xf>
    <xf numFmtId="4" fontId="6" fillId="2" borderId="4" xfId="0" applyNumberFormat="1" applyFont="1" applyFill="1" applyBorder="1" applyAlignment="1" applyProtection="1">
      <alignment horizontal="right" vertical="center"/>
      <protection locked="0"/>
    </xf>
    <xf numFmtId="4" fontId="6" fillId="2" borderId="5" xfId="0" applyNumberFormat="1" applyFont="1" applyFill="1" applyBorder="1" applyAlignment="1" applyProtection="1">
      <alignment horizontal="right" vertical="center"/>
      <protection locked="0"/>
    </xf>
    <xf numFmtId="4" fontId="6" fillId="2" borderId="10" xfId="0" applyNumberFormat="1" applyFont="1" applyFill="1" applyBorder="1" applyAlignment="1" applyProtection="1">
      <alignment horizontal="right" vertical="center"/>
      <protection locked="0"/>
    </xf>
    <xf numFmtId="4" fontId="6" fillId="2" borderId="12" xfId="0" applyNumberFormat="1" applyFont="1" applyFill="1" applyBorder="1" applyAlignment="1" applyProtection="1">
      <alignment horizontal="right" vertical="center"/>
      <protection locked="0"/>
    </xf>
    <xf numFmtId="4" fontId="6" fillId="2" borderId="13" xfId="0" applyNumberFormat="1" applyFont="1" applyFill="1" applyBorder="1" applyAlignment="1" applyProtection="1">
      <alignment horizontal="right" vertical="center"/>
      <protection locked="0"/>
    </xf>
    <xf numFmtId="4" fontId="6" fillId="2" borderId="14" xfId="0" applyNumberFormat="1" applyFont="1" applyFill="1" applyBorder="1" applyAlignment="1" applyProtection="1">
      <alignment horizontal="right" vertical="center"/>
      <protection locked="0"/>
    </xf>
    <xf numFmtId="4" fontId="6" fillId="2" borderId="15" xfId="0" applyNumberFormat="1" applyFont="1" applyFill="1" applyBorder="1" applyAlignment="1" applyProtection="1">
      <alignment horizontal="right" vertical="center"/>
      <protection locked="0"/>
    </xf>
    <xf numFmtId="170" fontId="6" fillId="2" borderId="16" xfId="0" applyNumberFormat="1" applyFont="1" applyFill="1" applyBorder="1" applyAlignment="1" applyProtection="1">
      <alignment horizontal="right" vertical="center"/>
      <protection locked="0"/>
    </xf>
    <xf numFmtId="170" fontId="6" fillId="2" borderId="13" xfId="0" applyNumberFormat="1" applyFont="1" applyFill="1" applyBorder="1" applyAlignment="1" applyProtection="1">
      <alignment horizontal="right" vertical="center"/>
      <protection locked="0"/>
    </xf>
    <xf numFmtId="170" fontId="6" fillId="2" borderId="15" xfId="0" applyNumberFormat="1" applyFont="1" applyFill="1" applyBorder="1" applyAlignment="1" applyProtection="1">
      <alignment horizontal="right" vertical="center"/>
      <protection locked="0"/>
    </xf>
    <xf numFmtId="170" fontId="6" fillId="2" borderId="12" xfId="0" applyNumberFormat="1" applyFont="1" applyFill="1" applyBorder="1" applyAlignment="1" applyProtection="1">
      <alignment horizontal="right" vertical="center"/>
      <protection locked="0"/>
    </xf>
    <xf numFmtId="170" fontId="6" fillId="2" borderId="14" xfId="0" applyNumberFormat="1" applyFont="1" applyFill="1" applyBorder="1" applyAlignment="1" applyProtection="1">
      <alignment horizontal="right" vertical="center"/>
      <protection locked="0"/>
    </xf>
    <xf numFmtId="0" fontId="6" fillId="2" borderId="27" xfId="0" applyFont="1" applyFill="1" applyBorder="1" applyAlignment="1">
      <alignment horizontal="center" vertical="center"/>
    </xf>
    <xf numFmtId="0" fontId="6" fillId="2" borderId="28" xfId="0" applyFont="1" applyFill="1" applyBorder="1" applyAlignment="1">
      <alignment horizontal="left" vertical="center" wrapText="1"/>
    </xf>
    <xf numFmtId="0" fontId="6" fillId="2" borderId="29" xfId="0" applyFont="1" applyFill="1" applyBorder="1" applyAlignment="1">
      <alignment horizontal="center" vertical="center"/>
    </xf>
    <xf numFmtId="4" fontId="6" fillId="2" borderId="27" xfId="0" applyNumberFormat="1" applyFont="1" applyFill="1" applyBorder="1" applyAlignment="1" applyProtection="1">
      <alignment horizontal="right" vertical="center"/>
      <protection locked="0"/>
    </xf>
    <xf numFmtId="4" fontId="6" fillId="2" borderId="28" xfId="0" applyNumberFormat="1" applyFont="1" applyFill="1" applyBorder="1" applyAlignment="1" applyProtection="1">
      <alignment horizontal="right" vertical="center"/>
      <protection locked="0"/>
    </xf>
    <xf numFmtId="4" fontId="6" fillId="2" borderId="29" xfId="0" applyNumberFormat="1" applyFont="1" applyFill="1" applyBorder="1" applyAlignment="1" applyProtection="1">
      <alignment horizontal="right" vertical="center"/>
      <protection locked="0"/>
    </xf>
    <xf numFmtId="4" fontId="6" fillId="2" borderId="30" xfId="0" applyNumberFormat="1" applyFont="1" applyFill="1" applyBorder="1" applyAlignment="1" applyProtection="1">
      <alignment horizontal="right" vertical="center"/>
      <protection locked="0"/>
    </xf>
    <xf numFmtId="170" fontId="6" fillId="2" borderId="31" xfId="0" applyNumberFormat="1" applyFont="1" applyFill="1" applyBorder="1" applyAlignment="1" applyProtection="1">
      <alignment horizontal="right" vertical="center"/>
      <protection locked="0"/>
    </xf>
    <xf numFmtId="170" fontId="6" fillId="2" borderId="28" xfId="0" applyNumberFormat="1" applyFont="1" applyFill="1" applyBorder="1" applyAlignment="1" applyProtection="1">
      <alignment horizontal="right" vertical="center"/>
      <protection locked="0"/>
    </xf>
    <xf numFmtId="170" fontId="6" fillId="2" borderId="30" xfId="0" applyNumberFormat="1" applyFont="1" applyFill="1" applyBorder="1" applyAlignment="1" applyProtection="1">
      <alignment horizontal="right" vertical="center"/>
      <protection locked="0"/>
    </xf>
    <xf numFmtId="170" fontId="6" fillId="2" borderId="27" xfId="0" applyNumberFormat="1" applyFont="1" applyFill="1" applyBorder="1" applyAlignment="1" applyProtection="1">
      <alignment horizontal="right" vertical="center"/>
      <protection locked="0"/>
    </xf>
    <xf numFmtId="170" fontId="6" fillId="2" borderId="29" xfId="0" applyNumberFormat="1" applyFont="1" applyFill="1" applyBorder="1" applyAlignment="1" applyProtection="1">
      <alignment horizontal="right" vertical="center"/>
      <protection locked="0"/>
    </xf>
    <xf numFmtId="0" fontId="6" fillId="6" borderId="32" xfId="0" applyFont="1" applyFill="1" applyBorder="1" applyAlignment="1">
      <alignment horizontal="center" vertical="center"/>
    </xf>
    <xf numFmtId="0" fontId="6" fillId="6" borderId="33" xfId="0" applyFont="1" applyFill="1" applyBorder="1" applyAlignment="1">
      <alignment horizontal="left" vertical="center" wrapText="1"/>
    </xf>
    <xf numFmtId="0" fontId="6" fillId="6" borderId="34" xfId="0" applyFont="1" applyFill="1" applyBorder="1" applyAlignment="1">
      <alignment horizontal="center" vertical="center"/>
    </xf>
    <xf numFmtId="4" fontId="6" fillId="6" borderId="32" xfId="0" applyNumberFormat="1" applyFont="1" applyFill="1" applyBorder="1" applyAlignment="1">
      <alignment horizontal="right" vertical="center"/>
    </xf>
    <xf numFmtId="4" fontId="6" fillId="6" borderId="33" xfId="0" applyNumberFormat="1" applyFont="1" applyFill="1" applyBorder="1" applyAlignment="1">
      <alignment horizontal="right" vertical="center"/>
    </xf>
    <xf numFmtId="4" fontId="6" fillId="6" borderId="34" xfId="0" applyNumberFormat="1" applyFont="1" applyFill="1" applyBorder="1" applyAlignment="1">
      <alignment horizontal="right" vertical="center"/>
    </xf>
    <xf numFmtId="4" fontId="6" fillId="6" borderId="35" xfId="0" applyNumberFormat="1" applyFont="1" applyFill="1" applyBorder="1" applyAlignment="1">
      <alignment horizontal="right" vertical="center"/>
    </xf>
    <xf numFmtId="4" fontId="6" fillId="6" borderId="36" xfId="0" applyNumberFormat="1" applyFont="1" applyFill="1" applyBorder="1" applyAlignment="1">
      <alignment horizontal="right" vertical="center"/>
    </xf>
    <xf numFmtId="164" fontId="6" fillId="6" borderId="24" xfId="0" applyNumberFormat="1" applyFont="1" applyFill="1" applyBorder="1" applyAlignment="1">
      <alignment horizontal="right" vertical="center"/>
    </xf>
    <xf numFmtId="164" fontId="6" fillId="6" borderId="25" xfId="0" applyNumberFormat="1" applyFont="1" applyFill="1" applyBorder="1" applyAlignment="1">
      <alignment horizontal="right" vertical="center"/>
    </xf>
    <xf numFmtId="164" fontId="6" fillId="6" borderId="26" xfId="0" applyNumberFormat="1" applyFont="1" applyFill="1" applyBorder="1" applyAlignment="1">
      <alignment horizontal="right" vertical="center"/>
    </xf>
    <xf numFmtId="0" fontId="6" fillId="2" borderId="4" xfId="0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left" vertical="center" wrapText="1"/>
    </xf>
    <xf numFmtId="0" fontId="6" fillId="2" borderId="10" xfId="0" applyFont="1" applyFill="1" applyBorder="1" applyAlignment="1">
      <alignment horizontal="center" vertical="center"/>
    </xf>
    <xf numFmtId="4" fontId="6" fillId="2" borderId="4" xfId="0" applyNumberFormat="1" applyFont="1" applyFill="1" applyBorder="1" applyAlignment="1">
      <alignment horizontal="right" vertical="center"/>
    </xf>
    <xf numFmtId="4" fontId="6" fillId="2" borderId="5" xfId="0" applyNumberFormat="1" applyFont="1" applyFill="1" applyBorder="1" applyAlignment="1">
      <alignment horizontal="right" vertical="center"/>
    </xf>
    <xf numFmtId="4" fontId="6" fillId="2" borderId="10" xfId="0" applyNumberFormat="1" applyFont="1" applyFill="1" applyBorder="1" applyAlignment="1">
      <alignment horizontal="right" vertical="center"/>
    </xf>
    <xf numFmtId="4" fontId="6" fillId="2" borderId="6" xfId="0" applyNumberFormat="1" applyFont="1" applyFill="1" applyBorder="1" applyAlignment="1">
      <alignment horizontal="right" vertical="center"/>
    </xf>
    <xf numFmtId="4" fontId="6" fillId="2" borderId="11" xfId="0" applyNumberFormat="1" applyFont="1" applyFill="1" applyBorder="1" applyAlignment="1">
      <alignment horizontal="right" vertical="center"/>
    </xf>
    <xf numFmtId="164" fontId="6" fillId="2" borderId="0" xfId="0" applyNumberFormat="1" applyFont="1" applyFill="1" applyAlignment="1">
      <alignment horizontal="right" vertical="center"/>
    </xf>
    <xf numFmtId="0" fontId="4" fillId="2" borderId="14" xfId="0" applyFont="1" applyFill="1" applyBorder="1" applyAlignment="1">
      <alignment horizontal="center" vertical="center"/>
    </xf>
    <xf numFmtId="164" fontId="4" fillId="2" borderId="0" xfId="0" applyNumberFormat="1" applyFont="1" applyFill="1" applyAlignment="1">
      <alignment horizontal="right" vertical="center"/>
    </xf>
    <xf numFmtId="0" fontId="4" fillId="2" borderId="24" xfId="0" applyFont="1" applyFill="1" applyBorder="1" applyAlignment="1">
      <alignment horizontal="center" vertical="center"/>
    </xf>
    <xf numFmtId="0" fontId="4" fillId="2" borderId="25" xfId="0" applyFont="1" applyFill="1" applyBorder="1" applyAlignment="1">
      <alignment horizontal="left" vertical="center" wrapText="1" indent="1"/>
    </xf>
    <xf numFmtId="0" fontId="4" fillId="2" borderId="26" xfId="0" applyFont="1" applyFill="1" applyBorder="1" applyAlignment="1">
      <alignment horizontal="center" vertical="center"/>
    </xf>
    <xf numFmtId="4" fontId="4" fillId="2" borderId="24" xfId="0" applyNumberFormat="1" applyFont="1" applyFill="1" applyBorder="1" applyAlignment="1">
      <alignment horizontal="right" vertical="center"/>
    </xf>
    <xf numFmtId="4" fontId="4" fillId="2" borderId="25" xfId="0" applyNumberFormat="1" applyFont="1" applyFill="1" applyBorder="1" applyAlignment="1">
      <alignment horizontal="right" vertical="center"/>
    </xf>
    <xf numFmtId="4" fontId="4" fillId="2" borderId="26" xfId="0" applyNumberFormat="1" applyFont="1" applyFill="1" applyBorder="1" applyAlignment="1">
      <alignment horizontal="right" vertical="center"/>
    </xf>
    <xf numFmtId="4" fontId="4" fillId="2" borderId="37" xfId="0" applyNumberFormat="1" applyFont="1" applyFill="1" applyBorder="1" applyAlignment="1">
      <alignment horizontal="right" vertical="center"/>
    </xf>
    <xf numFmtId="4" fontId="4" fillId="2" borderId="38" xfId="0" applyNumberFormat="1" applyFont="1" applyFill="1" applyBorder="1" applyAlignment="1">
      <alignment horizontal="right" vertical="center"/>
    </xf>
    <xf numFmtId="0" fontId="4" fillId="2" borderId="39" xfId="0" applyFont="1" applyFill="1" applyBorder="1" applyAlignment="1">
      <alignment horizontal="center" vertical="center"/>
    </xf>
    <xf numFmtId="0" fontId="4" fillId="2" borderId="39" xfId="0" applyFont="1" applyFill="1" applyBorder="1" applyAlignment="1">
      <alignment horizontal="left" vertical="center"/>
    </xf>
    <xf numFmtId="4" fontId="4" fillId="2" borderId="39" xfId="0" applyNumberFormat="1" applyFont="1" applyFill="1" applyBorder="1" applyAlignment="1">
      <alignment horizontal="right" vertical="center"/>
    </xf>
    <xf numFmtId="164" fontId="4" fillId="2" borderId="4" xfId="0" applyNumberFormat="1" applyFont="1" applyFill="1" applyBorder="1" applyAlignment="1">
      <alignment horizontal="right" vertical="center"/>
    </xf>
    <xf numFmtId="0" fontId="4" fillId="2" borderId="40" xfId="0" applyFont="1" applyFill="1" applyBorder="1" applyAlignment="1">
      <alignment horizontal="center" vertical="center"/>
    </xf>
    <xf numFmtId="0" fontId="4" fillId="2" borderId="41" xfId="0" applyFont="1" applyFill="1" applyBorder="1" applyAlignment="1">
      <alignment horizontal="left" vertical="center" indent="1"/>
    </xf>
    <xf numFmtId="4" fontId="4" fillId="2" borderId="41" xfId="0" applyNumberFormat="1" applyFont="1" applyFill="1" applyBorder="1" applyAlignment="1">
      <alignment horizontal="right" vertical="center"/>
    </xf>
    <xf numFmtId="0" fontId="4" fillId="2" borderId="41" xfId="0" applyFont="1" applyFill="1" applyBorder="1" applyAlignment="1">
      <alignment horizontal="center" vertical="center"/>
    </xf>
    <xf numFmtId="0" fontId="4" fillId="2" borderId="41" xfId="0" applyFont="1" applyFill="1" applyBorder="1" applyAlignment="1">
      <alignment horizontal="left" vertical="center"/>
    </xf>
    <xf numFmtId="4" fontId="4" fillId="2" borderId="42" xfId="0" applyNumberFormat="1" applyFont="1" applyFill="1" applyBorder="1" applyAlignment="1">
      <alignment horizontal="right" vertical="center"/>
    </xf>
    <xf numFmtId="4" fontId="4" fillId="2" borderId="43" xfId="0" applyNumberFormat="1" applyFont="1" applyFill="1" applyBorder="1" applyAlignment="1">
      <alignment horizontal="right" vertical="center"/>
    </xf>
    <xf numFmtId="4" fontId="4" fillId="2" borderId="0" xfId="0" applyNumberFormat="1" applyFont="1" applyFill="1" applyAlignment="1">
      <alignment horizontal="right" vertical="center"/>
    </xf>
    <xf numFmtId="49" fontId="4" fillId="2" borderId="41" xfId="0" applyNumberFormat="1" applyFont="1" applyFill="1" applyBorder="1" applyAlignment="1">
      <alignment horizontal="left" vertical="center" indent="1"/>
    </xf>
    <xf numFmtId="4" fontId="4" fillId="2" borderId="44" xfId="0" applyNumberFormat="1" applyFont="1" applyFill="1" applyBorder="1" applyAlignment="1">
      <alignment horizontal="right" vertical="center"/>
    </xf>
    <xf numFmtId="0" fontId="4" fillId="2" borderId="41" xfId="0" applyFont="1" applyFill="1" applyBorder="1" applyAlignment="1">
      <alignment horizontal="left" vertical="center" indent="2"/>
    </xf>
    <xf numFmtId="49" fontId="4" fillId="2" borderId="40" xfId="0" applyNumberFormat="1" applyFont="1" applyFill="1" applyBorder="1" applyAlignment="1">
      <alignment horizontal="center" vertical="center"/>
    </xf>
    <xf numFmtId="0" fontId="4" fillId="2" borderId="45" xfId="0" applyFont="1" applyFill="1" applyBorder="1" applyAlignment="1">
      <alignment horizontal="left" vertical="center" indent="1"/>
    </xf>
    <xf numFmtId="49" fontId="4" fillId="2" borderId="46" xfId="0" applyNumberFormat="1" applyFont="1" applyFill="1" applyBorder="1" applyAlignment="1">
      <alignment horizontal="left" vertical="center" indent="1"/>
    </xf>
    <xf numFmtId="164" fontId="3" fillId="2" borderId="0" xfId="0" applyNumberFormat="1" applyFont="1" applyFill="1">
      <alignment vertical="top"/>
    </xf>
    <xf numFmtId="4" fontId="4" fillId="2" borderId="0" xfId="0" applyNumberFormat="1" applyFont="1" applyFill="1">
      <alignment vertical="top"/>
    </xf>
    <xf numFmtId="0" fontId="22" fillId="0" borderId="0" xfId="0" applyFont="1">
      <alignment vertical="top"/>
    </xf>
    <xf numFmtId="164" fontId="8" fillId="2" borderId="0" xfId="0" applyNumberFormat="1" applyFont="1" applyFill="1">
      <alignment vertical="top"/>
    </xf>
    <xf numFmtId="0" fontId="23" fillId="0" borderId="0" xfId="0" applyFont="1">
      <alignment vertical="top"/>
    </xf>
    <xf numFmtId="0" fontId="5" fillId="2" borderId="12" xfId="0" applyFont="1" applyFill="1" applyBorder="1" applyAlignment="1">
      <alignment horizontal="center" vertical="center"/>
    </xf>
    <xf numFmtId="0" fontId="5" fillId="2" borderId="13" xfId="0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/>
    </xf>
    <xf numFmtId="0" fontId="24" fillId="2" borderId="12" xfId="0" applyFont="1" applyFill="1" applyBorder="1" applyAlignment="1">
      <alignment horizontal="left" vertical="center"/>
    </xf>
    <xf numFmtId="0" fontId="24" fillId="2" borderId="13" xfId="0" applyFont="1" applyFill="1" applyBorder="1" applyAlignment="1">
      <alignment horizontal="left" vertical="center"/>
    </xf>
    <xf numFmtId="0" fontId="24" fillId="2" borderId="15" xfId="0" applyFont="1" applyFill="1" applyBorder="1" applyAlignment="1">
      <alignment horizontal="left" vertical="center"/>
    </xf>
    <xf numFmtId="0" fontId="5" fillId="2" borderId="13" xfId="0" applyFont="1" applyFill="1" applyBorder="1" applyAlignment="1">
      <alignment horizontal="left" vertical="center"/>
    </xf>
    <xf numFmtId="0" fontId="10" fillId="2" borderId="12" xfId="0" applyFont="1" applyFill="1" applyBorder="1" applyAlignment="1">
      <alignment horizontal="center" vertical="center"/>
    </xf>
    <xf numFmtId="0" fontId="5" fillId="2" borderId="13" xfId="0" applyFont="1" applyFill="1" applyBorder="1" applyAlignment="1">
      <alignment horizontal="left" vertical="center" wrapText="1"/>
    </xf>
    <xf numFmtId="0" fontId="5" fillId="2" borderId="15" xfId="0" applyFont="1" applyFill="1" applyBorder="1" applyAlignment="1">
      <alignment horizontal="left" vertical="center"/>
    </xf>
    <xf numFmtId="0" fontId="5" fillId="2" borderId="13" xfId="0" applyFont="1" applyFill="1" applyBorder="1" applyAlignment="1">
      <alignment horizontal="left" vertical="center" wrapText="1" indent="2"/>
    </xf>
    <xf numFmtId="0" fontId="5" fillId="2" borderId="13" xfId="0" applyFont="1" applyFill="1" applyBorder="1" applyAlignment="1">
      <alignment horizontal="left" vertical="center" wrapText="1" indent="3"/>
    </xf>
    <xf numFmtId="0" fontId="18" fillId="2" borderId="13" xfId="0" applyFont="1" applyFill="1" applyBorder="1" applyAlignment="1">
      <alignment horizontal="left" vertical="center" indent="2"/>
    </xf>
    <xf numFmtId="0" fontId="18" fillId="2" borderId="13" xfId="0" applyFont="1" applyFill="1" applyBorder="1" applyAlignment="1">
      <alignment horizontal="left" vertical="center" indent="3"/>
    </xf>
    <xf numFmtId="0" fontId="13" fillId="2" borderId="0" xfId="0" applyFont="1" applyFill="1" applyAlignment="1">
      <alignment horizontal="left" vertical="top"/>
    </xf>
    <xf numFmtId="0" fontId="11" fillId="2" borderId="12" xfId="0" applyFont="1" applyFill="1" applyBorder="1" applyAlignment="1">
      <alignment horizontal="center" vertical="center"/>
    </xf>
    <xf numFmtId="0" fontId="11" fillId="2" borderId="13" xfId="0" applyFont="1" applyFill="1" applyBorder="1" applyAlignment="1">
      <alignment horizontal="left" vertical="center" wrapText="1"/>
    </xf>
    <xf numFmtId="0" fontId="11" fillId="2" borderId="15" xfId="0" applyFont="1" applyFill="1" applyBorder="1" applyAlignment="1">
      <alignment horizontal="center" vertical="center" wrapText="1"/>
    </xf>
    <xf numFmtId="0" fontId="18" fillId="2" borderId="13" xfId="0" applyFont="1" applyFill="1" applyBorder="1" applyAlignment="1">
      <alignment horizontal="left" vertical="center" wrapText="1" indent="2"/>
    </xf>
    <xf numFmtId="0" fontId="5" fillId="2" borderId="15" xfId="0" applyFont="1" applyFill="1" applyBorder="1" applyAlignment="1">
      <alignment horizontal="center" vertical="center" wrapText="1"/>
    </xf>
    <xf numFmtId="0" fontId="13" fillId="2" borderId="0" xfId="0" applyFont="1" applyFill="1">
      <alignment vertical="top"/>
    </xf>
    <xf numFmtId="0" fontId="11" fillId="2" borderId="13" xfId="0" applyFont="1" applyFill="1" applyBorder="1" applyAlignment="1">
      <alignment horizontal="left" vertical="center" wrapText="1" indent="1"/>
    </xf>
    <xf numFmtId="0" fontId="11" fillId="2" borderId="13" xfId="0" applyFont="1" applyFill="1" applyBorder="1" applyAlignment="1">
      <alignment horizontal="left" vertical="center" wrapText="1" indent="2"/>
    </xf>
    <xf numFmtId="0" fontId="5" fillId="2" borderId="13" xfId="0" applyFont="1" applyFill="1" applyBorder="1" applyAlignment="1">
      <alignment horizontal="left" vertical="center" wrapText="1" indent="4"/>
    </xf>
    <xf numFmtId="167" fontId="4" fillId="2" borderId="18" xfId="0" applyNumberFormat="1" applyFont="1" applyFill="1" applyBorder="1" applyAlignment="1">
      <alignment horizontal="right" vertical="center"/>
    </xf>
    <xf numFmtId="167" fontId="4" fillId="2" borderId="19" xfId="0" applyNumberFormat="1" applyFont="1" applyFill="1" applyBorder="1" applyAlignment="1">
      <alignment horizontal="right" vertical="center"/>
    </xf>
    <xf numFmtId="0" fontId="9" fillId="11" borderId="12" xfId="0" applyFont="1" applyFill="1" applyBorder="1" applyAlignment="1">
      <alignment horizontal="center" vertical="center"/>
    </xf>
    <xf numFmtId="0" fontId="9" fillId="11" borderId="13" xfId="0" applyFont="1" applyFill="1" applyBorder="1" applyAlignment="1">
      <alignment horizontal="left" vertical="center" wrapText="1"/>
    </xf>
    <xf numFmtId="0" fontId="9" fillId="11" borderId="15" xfId="0" applyFont="1" applyFill="1" applyBorder="1" applyAlignment="1">
      <alignment horizontal="center" vertical="center"/>
    </xf>
    <xf numFmtId="4" fontId="6" fillId="11" borderId="18" xfId="0" applyNumberFormat="1" applyFont="1" applyFill="1" applyBorder="1" applyAlignment="1">
      <alignment horizontal="right" vertical="center"/>
    </xf>
    <xf numFmtId="4" fontId="6" fillId="11" borderId="13" xfId="0" applyNumberFormat="1" applyFont="1" applyFill="1" applyBorder="1" applyAlignment="1">
      <alignment horizontal="right" vertical="center"/>
    </xf>
    <xf numFmtId="4" fontId="6" fillId="11" borderId="20" xfId="0" applyNumberFormat="1" applyFont="1" applyFill="1" applyBorder="1" applyAlignment="1">
      <alignment horizontal="right" vertical="center"/>
    </xf>
    <xf numFmtId="4" fontId="6" fillId="11" borderId="19" xfId="0" applyNumberFormat="1" applyFont="1" applyFill="1" applyBorder="1" applyAlignment="1">
      <alignment horizontal="right" vertical="center"/>
    </xf>
    <xf numFmtId="164" fontId="6" fillId="11" borderId="12" xfId="0" applyNumberFormat="1" applyFont="1" applyFill="1" applyBorder="1" applyAlignment="1">
      <alignment horizontal="right" vertical="center"/>
    </xf>
    <xf numFmtId="164" fontId="6" fillId="11" borderId="13" xfId="0" applyNumberFormat="1" applyFont="1" applyFill="1" applyBorder="1" applyAlignment="1">
      <alignment horizontal="right" vertical="center"/>
    </xf>
    <xf numFmtId="164" fontId="6" fillId="11" borderId="14" xfId="0" applyNumberFormat="1" applyFont="1" applyFill="1" applyBorder="1" applyAlignment="1">
      <alignment horizontal="right" vertical="center"/>
    </xf>
    <xf numFmtId="0" fontId="9" fillId="11" borderId="13" xfId="0" applyFont="1" applyFill="1" applyBorder="1" applyAlignment="1">
      <alignment horizontal="left" vertical="center" wrapText="1" indent="1"/>
    </xf>
    <xf numFmtId="0" fontId="9" fillId="11" borderId="13" xfId="0" applyFont="1" applyFill="1" applyBorder="1" applyAlignment="1">
      <alignment horizontal="left" vertical="center" wrapText="1" indent="2"/>
    </xf>
    <xf numFmtId="0" fontId="9" fillId="11" borderId="13" xfId="0" applyFont="1" applyFill="1" applyBorder="1" applyAlignment="1">
      <alignment horizontal="left" vertical="center" wrapText="1" indent="3"/>
    </xf>
    <xf numFmtId="0" fontId="5" fillId="2" borderId="13" xfId="0" applyFont="1" applyFill="1" applyBorder="1" applyAlignment="1">
      <alignment horizontal="left" vertical="center" wrapText="1" indent="4" shrinkToFit="1"/>
    </xf>
    <xf numFmtId="4" fontId="4" fillId="2" borderId="20" xfId="0" applyNumberFormat="1" applyFont="1" applyFill="1" applyBorder="1" applyAlignment="1">
      <alignment horizontal="right" vertical="center"/>
    </xf>
    <xf numFmtId="0" fontId="5" fillId="2" borderId="13" xfId="0" applyFont="1" applyFill="1" applyBorder="1" applyAlignment="1">
      <alignment horizontal="left" vertical="center" wrapText="1" indent="5" shrinkToFit="1"/>
    </xf>
    <xf numFmtId="4" fontId="4" fillId="2" borderId="18" xfId="0" applyNumberFormat="1" applyFont="1" applyFill="1" applyBorder="1" applyAlignment="1" applyProtection="1">
      <alignment horizontal="right" vertical="center"/>
      <protection locked="0"/>
    </xf>
    <xf numFmtId="4" fontId="4" fillId="2" borderId="19" xfId="0" applyNumberFormat="1" applyFont="1" applyFill="1" applyBorder="1" applyAlignment="1" applyProtection="1">
      <alignment horizontal="right" vertical="center"/>
      <protection locked="0"/>
    </xf>
    <xf numFmtId="0" fontId="11" fillId="2" borderId="13" xfId="0" applyFont="1" applyFill="1" applyBorder="1" applyAlignment="1">
      <alignment horizontal="right" vertical="center" wrapText="1" indent="4" shrinkToFit="1"/>
    </xf>
    <xf numFmtId="0" fontId="11" fillId="2" borderId="15" xfId="0" applyFont="1" applyFill="1" applyBorder="1" applyAlignment="1">
      <alignment horizontal="center" vertical="center"/>
    </xf>
    <xf numFmtId="0" fontId="18" fillId="2" borderId="13" xfId="0" applyFont="1" applyFill="1" applyBorder="1" applyAlignment="1">
      <alignment horizontal="right" vertical="center" wrapText="1" indent="4" shrinkToFit="1"/>
    </xf>
    <xf numFmtId="175" fontId="4" fillId="2" borderId="12" xfId="0" applyNumberFormat="1" applyFont="1" applyFill="1" applyBorder="1" applyAlignment="1">
      <alignment horizontal="right" vertical="center"/>
    </xf>
    <xf numFmtId="175" fontId="4" fillId="2" borderId="15" xfId="0" applyNumberFormat="1" applyFont="1" applyFill="1" applyBorder="1" applyAlignment="1">
      <alignment horizontal="right" vertical="center"/>
    </xf>
    <xf numFmtId="175" fontId="4" fillId="2" borderId="13" xfId="0" applyNumberFormat="1" applyFont="1" applyFill="1" applyBorder="1" applyAlignment="1">
      <alignment horizontal="right" vertical="center"/>
    </xf>
    <xf numFmtId="175" fontId="4" fillId="2" borderId="14" xfId="0" applyNumberFormat="1" applyFont="1" applyFill="1" applyBorder="1" applyAlignment="1">
      <alignment horizontal="right" vertical="center"/>
    </xf>
    <xf numFmtId="0" fontId="5" fillId="2" borderId="13" xfId="0" applyFont="1" applyFill="1" applyBorder="1" applyAlignment="1">
      <alignment horizontal="left" vertical="center" wrapText="1" indent="6" shrinkToFit="1"/>
    </xf>
    <xf numFmtId="0" fontId="2" fillId="2" borderId="0" xfId="0" applyFont="1" applyFill="1">
      <alignment vertical="top"/>
    </xf>
    <xf numFmtId="0" fontId="18" fillId="2" borderId="12" xfId="0" applyFont="1" applyFill="1" applyBorder="1" applyAlignment="1">
      <alignment horizontal="center" vertical="center"/>
    </xf>
    <xf numFmtId="0" fontId="18" fillId="2" borderId="15" xfId="0" applyFont="1" applyFill="1" applyBorder="1" applyAlignment="1">
      <alignment horizontal="center" vertical="center"/>
    </xf>
    <xf numFmtId="4" fontId="15" fillId="2" borderId="13" xfId="0" applyNumberFormat="1" applyFont="1" applyFill="1" applyBorder="1" applyAlignment="1">
      <alignment horizontal="right" vertical="center"/>
    </xf>
    <xf numFmtId="0" fontId="5" fillId="2" borderId="13" xfId="0" applyFont="1" applyFill="1" applyBorder="1" applyAlignment="1">
      <alignment horizontal="left" vertical="center" wrapText="1" indent="5"/>
    </xf>
    <xf numFmtId="0" fontId="15" fillId="2" borderId="12" xfId="0" applyFont="1" applyFill="1" applyBorder="1" applyAlignment="1">
      <alignment horizontal="right" vertical="center"/>
    </xf>
    <xf numFmtId="0" fontId="15" fillId="2" borderId="14" xfId="0" applyFont="1" applyFill="1" applyBorder="1" applyAlignment="1">
      <alignment horizontal="right" vertical="center"/>
    </xf>
    <xf numFmtId="0" fontId="15" fillId="2" borderId="15" xfId="0" applyFont="1" applyFill="1" applyBorder="1" applyAlignment="1">
      <alignment horizontal="right" vertical="center"/>
    </xf>
    <xf numFmtId="164" fontId="15" fillId="2" borderId="12" xfId="0" applyNumberFormat="1" applyFont="1" applyFill="1" applyBorder="1" applyAlignment="1">
      <alignment horizontal="right" vertical="center"/>
    </xf>
    <xf numFmtId="4" fontId="15" fillId="2" borderId="15" xfId="0" applyNumberFormat="1" applyFont="1" applyFill="1" applyBorder="1" applyAlignment="1">
      <alignment horizontal="right" vertical="center"/>
    </xf>
    <xf numFmtId="175" fontId="15" fillId="2" borderId="12" xfId="0" applyNumberFormat="1" applyFont="1" applyFill="1" applyBorder="1" applyAlignment="1">
      <alignment horizontal="right" vertical="center"/>
    </xf>
    <xf numFmtId="175" fontId="15" fillId="2" borderId="13" xfId="0" applyNumberFormat="1" applyFont="1" applyFill="1" applyBorder="1" applyAlignment="1">
      <alignment horizontal="right" vertical="center"/>
    </xf>
    <xf numFmtId="175" fontId="15" fillId="2" borderId="14" xfId="0" applyNumberFormat="1" applyFont="1" applyFill="1" applyBorder="1" applyAlignment="1">
      <alignment horizontal="right" vertical="center"/>
    </xf>
    <xf numFmtId="2" fontId="15" fillId="2" borderId="12" xfId="0" applyNumberFormat="1" applyFont="1" applyFill="1" applyBorder="1" applyAlignment="1">
      <alignment horizontal="right" vertical="center"/>
    </xf>
    <xf numFmtId="2" fontId="15" fillId="2" borderId="13" xfId="0" applyNumberFormat="1" applyFont="1" applyFill="1" applyBorder="1" applyAlignment="1">
      <alignment horizontal="right" vertical="center"/>
    </xf>
    <xf numFmtId="2" fontId="15" fillId="2" borderId="15" xfId="0" applyNumberFormat="1" applyFont="1" applyFill="1" applyBorder="1" applyAlignment="1">
      <alignment horizontal="right" vertical="center"/>
    </xf>
    <xf numFmtId="49" fontId="18" fillId="2" borderId="13" xfId="0" applyNumberFormat="1" applyFont="1" applyFill="1" applyBorder="1" applyAlignment="1" applyProtection="1">
      <alignment vertical="center" wrapText="1"/>
      <protection locked="0"/>
    </xf>
    <xf numFmtId="49" fontId="18" fillId="2" borderId="13" xfId="0" applyNumberFormat="1" applyFont="1" applyFill="1" applyBorder="1" applyAlignment="1" applyProtection="1">
      <alignment horizontal="left" vertical="center" wrapText="1"/>
      <protection locked="0"/>
    </xf>
    <xf numFmtId="175" fontId="15" fillId="2" borderId="15" xfId="0" applyNumberFormat="1" applyFont="1" applyFill="1" applyBorder="1" applyAlignment="1">
      <alignment horizontal="right" vertical="center"/>
    </xf>
    <xf numFmtId="0" fontId="9" fillId="11" borderId="13" xfId="0" applyFont="1" applyFill="1" applyBorder="1" applyAlignment="1">
      <alignment horizontal="left" vertical="center" wrapText="1" indent="3" shrinkToFit="1"/>
    </xf>
    <xf numFmtId="4" fontId="6" fillId="11" borderId="16" xfId="0" applyNumberFormat="1" applyFont="1" applyFill="1" applyBorder="1" applyAlignment="1">
      <alignment horizontal="right" vertical="center"/>
    </xf>
    <xf numFmtId="4" fontId="6" fillId="11" borderId="12" xfId="0" applyNumberFormat="1" applyFont="1" applyFill="1" applyBorder="1" applyAlignment="1">
      <alignment horizontal="right" vertical="center"/>
    </xf>
    <xf numFmtId="4" fontId="6" fillId="11" borderId="15" xfId="0" applyNumberFormat="1" applyFont="1" applyFill="1" applyBorder="1" applyAlignment="1">
      <alignment horizontal="right" vertical="center"/>
    </xf>
    <xf numFmtId="164" fontId="17" fillId="2" borderId="13" xfId="0" applyNumberFormat="1" applyFont="1" applyFill="1" applyBorder="1" applyAlignment="1">
      <alignment horizontal="right" vertical="center"/>
    </xf>
    <xf numFmtId="164" fontId="17" fillId="2" borderId="14" xfId="0" applyNumberFormat="1" applyFont="1" applyFill="1" applyBorder="1" applyAlignment="1">
      <alignment horizontal="right" vertical="center"/>
    </xf>
    <xf numFmtId="164" fontId="17" fillId="2" borderId="15" xfId="0" applyNumberFormat="1" applyFont="1" applyFill="1" applyBorder="1" applyAlignment="1">
      <alignment horizontal="right" vertical="center"/>
    </xf>
    <xf numFmtId="164" fontId="15" fillId="2" borderId="15" xfId="0" applyNumberFormat="1" applyFont="1" applyFill="1" applyBorder="1" applyAlignment="1">
      <alignment horizontal="right" vertical="center"/>
    </xf>
    <xf numFmtId="4" fontId="17" fillId="2" borderId="15" xfId="0" applyNumberFormat="1" applyFont="1" applyFill="1" applyBorder="1" applyAlignment="1">
      <alignment horizontal="right" vertical="center"/>
    </xf>
    <xf numFmtId="176" fontId="15" fillId="2" borderId="12" xfId="0" applyNumberFormat="1" applyFont="1" applyFill="1" applyBorder="1" applyAlignment="1">
      <alignment horizontal="right" vertical="center"/>
    </xf>
    <xf numFmtId="176" fontId="17" fillId="2" borderId="13" xfId="0" applyNumberFormat="1" applyFont="1" applyFill="1" applyBorder="1" applyAlignment="1">
      <alignment horizontal="right" vertical="center"/>
    </xf>
    <xf numFmtId="176" fontId="17" fillId="2" borderId="15" xfId="0" applyNumberFormat="1" applyFont="1" applyFill="1" applyBorder="1" applyAlignment="1">
      <alignment horizontal="right" vertical="center"/>
    </xf>
    <xf numFmtId="176" fontId="17" fillId="2" borderId="14" xfId="0" applyNumberFormat="1" applyFont="1" applyFill="1" applyBorder="1" applyAlignment="1">
      <alignment horizontal="right" vertical="center"/>
    </xf>
    <xf numFmtId="0" fontId="17" fillId="2" borderId="15" xfId="0" applyFont="1" applyFill="1" applyBorder="1" applyAlignment="1">
      <alignment horizontal="right" vertical="center"/>
    </xf>
    <xf numFmtId="4" fontId="18" fillId="2" borderId="12" xfId="0" applyNumberFormat="1" applyFont="1" applyFill="1" applyBorder="1" applyAlignment="1" applyProtection="1">
      <alignment horizontal="right" vertical="center"/>
      <protection locked="0"/>
    </xf>
    <xf numFmtId="4" fontId="6" fillId="11" borderId="13" xfId="0" applyNumberFormat="1" applyFont="1" applyFill="1" applyBorder="1" applyAlignment="1" applyProtection="1">
      <alignment horizontal="right" vertical="center"/>
      <protection locked="0"/>
    </xf>
    <xf numFmtId="4" fontId="6" fillId="11" borderId="14" xfId="0" applyNumberFormat="1" applyFont="1" applyFill="1" applyBorder="1" applyAlignment="1">
      <alignment horizontal="right" vertical="center"/>
    </xf>
    <xf numFmtId="170" fontId="6" fillId="11" borderId="12" xfId="0" applyNumberFormat="1" applyFont="1" applyFill="1" applyBorder="1" applyAlignment="1">
      <alignment horizontal="right" vertical="center"/>
    </xf>
    <xf numFmtId="170" fontId="6" fillId="11" borderId="13" xfId="0" applyNumberFormat="1" applyFont="1" applyFill="1" applyBorder="1" applyAlignment="1">
      <alignment horizontal="right" vertical="center"/>
    </xf>
    <xf numFmtId="170" fontId="6" fillId="11" borderId="15" xfId="0" applyNumberFormat="1" applyFont="1" applyFill="1" applyBorder="1" applyAlignment="1">
      <alignment horizontal="right" vertical="center"/>
    </xf>
    <xf numFmtId="170" fontId="6" fillId="11" borderId="14" xfId="0" applyNumberFormat="1" applyFont="1" applyFill="1" applyBorder="1" applyAlignment="1">
      <alignment horizontal="right" vertical="center"/>
    </xf>
    <xf numFmtId="0" fontId="18" fillId="2" borderId="13" xfId="0" applyFont="1" applyFill="1" applyBorder="1" applyAlignment="1">
      <alignment horizontal="left" vertical="center" wrapText="1" indent="3"/>
    </xf>
    <xf numFmtId="0" fontId="18" fillId="2" borderId="13" xfId="0" applyFont="1" applyFill="1" applyBorder="1" applyAlignment="1">
      <alignment horizontal="left" vertical="center" wrapText="1" indent="4"/>
    </xf>
    <xf numFmtId="0" fontId="18" fillId="2" borderId="13" xfId="0" applyFont="1" applyFill="1" applyBorder="1" applyAlignment="1">
      <alignment horizontal="right" vertical="center" wrapText="1" indent="1"/>
    </xf>
    <xf numFmtId="0" fontId="18" fillId="2" borderId="13" xfId="0" applyFont="1" applyFill="1" applyBorder="1" applyAlignment="1">
      <alignment horizontal="left" vertical="center" wrapText="1" indent="5"/>
    </xf>
    <xf numFmtId="0" fontId="18" fillId="2" borderId="13" xfId="0" applyFont="1" applyFill="1" applyBorder="1" applyAlignment="1">
      <alignment horizontal="right" vertical="center" wrapText="1"/>
    </xf>
    <xf numFmtId="0" fontId="18" fillId="2" borderId="13" xfId="0" applyFont="1" applyFill="1" applyBorder="1" applyAlignment="1">
      <alignment horizontal="left" vertical="center" indent="4"/>
    </xf>
    <xf numFmtId="0" fontId="5" fillId="2" borderId="12" xfId="0" applyFont="1" applyFill="1" applyBorder="1" applyAlignment="1">
      <alignment horizontal="center" vertical="center" wrapText="1"/>
    </xf>
    <xf numFmtId="0" fontId="9" fillId="11" borderId="13" xfId="0" applyFont="1" applyFill="1" applyBorder="1" applyAlignment="1">
      <alignment horizontal="left" vertical="center" indent="1"/>
    </xf>
    <xf numFmtId="0" fontId="5" fillId="11" borderId="12" xfId="0" applyFont="1" applyFill="1" applyBorder="1" applyAlignment="1">
      <alignment horizontal="center" vertical="center"/>
    </xf>
    <xf numFmtId="49" fontId="5" fillId="11" borderId="13" xfId="0" applyNumberFormat="1" applyFont="1" applyFill="1" applyBorder="1" applyAlignment="1">
      <alignment horizontal="left" vertical="center" wrapText="1" indent="2" shrinkToFit="1"/>
    </xf>
    <xf numFmtId="0" fontId="5" fillId="11" borderId="15" xfId="0" applyFont="1" applyFill="1" applyBorder="1" applyAlignment="1">
      <alignment horizontal="center" vertical="center"/>
    </xf>
    <xf numFmtId="4" fontId="4" fillId="11" borderId="12" xfId="0" applyNumberFormat="1" applyFont="1" applyFill="1" applyBorder="1" applyAlignment="1">
      <alignment horizontal="right" vertical="center"/>
    </xf>
    <xf numFmtId="4" fontId="4" fillId="11" borderId="13" xfId="0" applyNumberFormat="1" applyFont="1" applyFill="1" applyBorder="1" applyAlignment="1">
      <alignment horizontal="right" vertical="center"/>
    </xf>
    <xf numFmtId="4" fontId="4" fillId="11" borderId="14" xfId="0" applyNumberFormat="1" applyFont="1" applyFill="1" applyBorder="1" applyAlignment="1">
      <alignment horizontal="right" vertical="center"/>
    </xf>
    <xf numFmtId="4" fontId="4" fillId="11" borderId="15" xfId="0" applyNumberFormat="1" applyFont="1" applyFill="1" applyBorder="1" applyAlignment="1">
      <alignment horizontal="right" vertical="center"/>
    </xf>
    <xf numFmtId="170" fontId="4" fillId="11" borderId="12" xfId="0" applyNumberFormat="1" applyFont="1" applyFill="1" applyBorder="1" applyAlignment="1">
      <alignment horizontal="right" vertical="center"/>
    </xf>
    <xf numFmtId="170" fontId="4" fillId="11" borderId="13" xfId="0" applyNumberFormat="1" applyFont="1" applyFill="1" applyBorder="1" applyAlignment="1">
      <alignment horizontal="right" vertical="center"/>
    </xf>
    <xf numFmtId="170" fontId="4" fillId="11" borderId="14" xfId="0" applyNumberFormat="1" applyFont="1" applyFill="1" applyBorder="1" applyAlignment="1">
      <alignment horizontal="right" vertical="center"/>
    </xf>
    <xf numFmtId="164" fontId="4" fillId="11" borderId="12" xfId="0" applyNumberFormat="1" applyFont="1" applyFill="1" applyBorder="1" applyAlignment="1">
      <alignment horizontal="right" vertical="center"/>
    </xf>
    <xf numFmtId="164" fontId="4" fillId="11" borderId="13" xfId="0" applyNumberFormat="1" applyFont="1" applyFill="1" applyBorder="1" applyAlignment="1">
      <alignment horizontal="right" vertical="center"/>
    </xf>
    <xf numFmtId="164" fontId="4" fillId="11" borderId="14" xfId="0" applyNumberFormat="1" applyFont="1" applyFill="1" applyBorder="1" applyAlignment="1">
      <alignment horizontal="right" vertical="center"/>
    </xf>
    <xf numFmtId="0" fontId="10" fillId="0" borderId="0" xfId="0" applyFont="1" applyAlignment="1">
      <alignment horizontal="right" vertical="top"/>
    </xf>
    <xf numFmtId="49" fontId="5" fillId="11" borderId="13" xfId="0" applyNumberFormat="1" applyFont="1" applyFill="1" applyBorder="1" applyAlignment="1">
      <alignment horizontal="left" vertical="center" wrapText="1" indent="3" shrinkToFit="1"/>
    </xf>
    <xf numFmtId="4" fontId="4" fillId="11" borderId="12" xfId="0" applyNumberFormat="1" applyFont="1" applyFill="1" applyBorder="1" applyAlignment="1" applyProtection="1">
      <alignment horizontal="right" vertical="center"/>
      <protection locked="0"/>
    </xf>
    <xf numFmtId="4" fontId="4" fillId="11" borderId="13" xfId="0" applyNumberFormat="1" applyFont="1" applyFill="1" applyBorder="1" applyAlignment="1" applyProtection="1">
      <alignment horizontal="right" vertical="center"/>
      <protection locked="0"/>
    </xf>
    <xf numFmtId="4" fontId="4" fillId="11" borderId="14" xfId="0" applyNumberFormat="1" applyFont="1" applyFill="1" applyBorder="1" applyAlignment="1" applyProtection="1">
      <alignment horizontal="right" vertical="center"/>
      <protection locked="0"/>
    </xf>
    <xf numFmtId="4" fontId="4" fillId="11" borderId="15" xfId="0" applyNumberFormat="1" applyFont="1" applyFill="1" applyBorder="1" applyAlignment="1" applyProtection="1">
      <alignment horizontal="right" vertical="center"/>
      <protection locked="0"/>
    </xf>
    <xf numFmtId="49" fontId="5" fillId="2" borderId="13" xfId="0" applyNumberFormat="1" applyFont="1" applyFill="1" applyBorder="1" applyAlignment="1">
      <alignment horizontal="left" vertical="center" wrapText="1" indent="2" shrinkToFit="1"/>
    </xf>
    <xf numFmtId="0" fontId="5" fillId="2" borderId="27" xfId="0" applyFont="1" applyFill="1" applyBorder="1" applyAlignment="1">
      <alignment horizontal="center" vertical="center"/>
    </xf>
    <xf numFmtId="0" fontId="25" fillId="2" borderId="13" xfId="0" applyFont="1" applyFill="1" applyBorder="1" applyAlignment="1">
      <alignment horizontal="left" vertical="center" indent="1"/>
    </xf>
    <xf numFmtId="0" fontId="25" fillId="2" borderId="14" xfId="0" applyFont="1" applyFill="1" applyBorder="1" applyAlignment="1">
      <alignment horizontal="center" vertical="center"/>
    </xf>
    <xf numFmtId="4" fontId="25" fillId="2" borderId="12" xfId="0" applyNumberFormat="1" applyFont="1" applyFill="1" applyBorder="1" applyAlignment="1" applyProtection="1">
      <alignment horizontal="right" vertical="center"/>
      <protection locked="0"/>
    </xf>
    <xf numFmtId="4" fontId="25" fillId="2" borderId="13" xfId="0" applyNumberFormat="1" applyFont="1" applyFill="1" applyBorder="1" applyAlignment="1" applyProtection="1">
      <alignment horizontal="right" vertical="center"/>
      <protection locked="0"/>
    </xf>
    <xf numFmtId="4" fontId="25" fillId="2" borderId="15" xfId="0" applyNumberFormat="1" applyFont="1" applyFill="1" applyBorder="1" applyAlignment="1" applyProtection="1">
      <alignment horizontal="right" vertical="center"/>
      <protection locked="0"/>
    </xf>
    <xf numFmtId="0" fontId="25" fillId="2" borderId="13" xfId="0" applyFont="1" applyFill="1" applyBorder="1" applyAlignment="1">
      <alignment horizontal="left" vertical="center" wrapText="1" indent="1"/>
    </xf>
    <xf numFmtId="0" fontId="5" fillId="2" borderId="4" xfId="0" applyFont="1" applyFill="1" applyBorder="1" applyAlignment="1">
      <alignment horizontal="center" vertical="center"/>
    </xf>
    <xf numFmtId="0" fontId="21" fillId="2" borderId="14" xfId="0" applyFont="1" applyFill="1" applyBorder="1" applyAlignment="1">
      <alignment horizontal="center" vertical="center"/>
    </xf>
    <xf numFmtId="4" fontId="21" fillId="2" borderId="12" xfId="0" applyNumberFormat="1" applyFont="1" applyFill="1" applyBorder="1" applyAlignment="1" applyProtection="1">
      <alignment horizontal="right" vertical="center"/>
      <protection locked="0"/>
    </xf>
    <xf numFmtId="4" fontId="21" fillId="2" borderId="13" xfId="0" applyNumberFormat="1" applyFont="1" applyFill="1" applyBorder="1" applyAlignment="1" applyProtection="1">
      <alignment horizontal="right" vertical="center"/>
      <protection locked="0"/>
    </xf>
    <xf numFmtId="0" fontId="21" fillId="2" borderId="15" xfId="0" applyFont="1" applyFill="1" applyBorder="1" applyAlignment="1">
      <alignment horizontal="center" vertical="center"/>
    </xf>
    <xf numFmtId="4" fontId="6" fillId="11" borderId="12" xfId="0" applyNumberFormat="1" applyFont="1" applyFill="1" applyBorder="1" applyAlignment="1" applyProtection="1">
      <alignment horizontal="right" vertical="center"/>
      <protection locked="0"/>
    </xf>
    <xf numFmtId="4" fontId="6" fillId="11" borderId="14" xfId="0" applyNumberFormat="1" applyFont="1" applyFill="1" applyBorder="1" applyAlignment="1" applyProtection="1">
      <alignment horizontal="right" vertical="center"/>
      <protection locked="0"/>
    </xf>
    <xf numFmtId="4" fontId="6" fillId="11" borderId="15" xfId="0" applyNumberFormat="1" applyFont="1" applyFill="1" applyBorder="1" applyAlignment="1" applyProtection="1">
      <alignment horizontal="right" vertical="center"/>
      <protection locked="0"/>
    </xf>
    <xf numFmtId="170" fontId="6" fillId="11" borderId="12" xfId="0" applyNumberFormat="1" applyFont="1" applyFill="1" applyBorder="1" applyAlignment="1" applyProtection="1">
      <alignment horizontal="right" vertical="center"/>
      <protection locked="0"/>
    </xf>
    <xf numFmtId="170" fontId="6" fillId="11" borderId="13" xfId="0" applyNumberFormat="1" applyFont="1" applyFill="1" applyBorder="1" applyAlignment="1" applyProtection="1">
      <alignment horizontal="right" vertical="center"/>
      <protection locked="0"/>
    </xf>
    <xf numFmtId="170" fontId="6" fillId="11" borderId="15" xfId="0" applyNumberFormat="1" applyFont="1" applyFill="1" applyBorder="1" applyAlignment="1" applyProtection="1">
      <alignment horizontal="right" vertical="center"/>
      <protection locked="0"/>
    </xf>
    <xf numFmtId="170" fontId="6" fillId="11" borderId="14" xfId="0" applyNumberFormat="1" applyFont="1" applyFill="1" applyBorder="1" applyAlignment="1" applyProtection="1">
      <alignment horizontal="right" vertical="center"/>
      <protection locked="0"/>
    </xf>
    <xf numFmtId="4" fontId="6" fillId="11" borderId="12" xfId="0" applyNumberFormat="1" applyFont="1" applyFill="1" applyBorder="1" applyAlignment="1">
      <alignment vertical="center"/>
    </xf>
    <xf numFmtId="4" fontId="6" fillId="11" borderId="13" xfId="0" applyNumberFormat="1" applyFont="1" applyFill="1" applyBorder="1" applyAlignment="1">
      <alignment vertical="center"/>
    </xf>
    <xf numFmtId="4" fontId="6" fillId="11" borderId="14" xfId="0" applyNumberFormat="1" applyFont="1" applyFill="1" applyBorder="1" applyAlignment="1">
      <alignment vertical="center"/>
    </xf>
    <xf numFmtId="4" fontId="6" fillId="11" borderId="15" xfId="0" applyNumberFormat="1" applyFont="1" applyFill="1" applyBorder="1" applyAlignment="1">
      <alignment vertical="center"/>
    </xf>
    <xf numFmtId="170" fontId="6" fillId="11" borderId="12" xfId="0" applyNumberFormat="1" applyFont="1" applyFill="1" applyBorder="1" applyAlignment="1">
      <alignment vertical="center"/>
    </xf>
    <xf numFmtId="170" fontId="6" fillId="11" borderId="13" xfId="0" applyNumberFormat="1" applyFont="1" applyFill="1" applyBorder="1" applyAlignment="1">
      <alignment vertical="center"/>
    </xf>
    <xf numFmtId="170" fontId="6" fillId="11" borderId="15" xfId="0" applyNumberFormat="1" applyFont="1" applyFill="1" applyBorder="1" applyAlignment="1">
      <alignment vertical="center"/>
    </xf>
    <xf numFmtId="170" fontId="6" fillId="11" borderId="14" xfId="0" applyNumberFormat="1" applyFont="1" applyFill="1" applyBorder="1" applyAlignment="1">
      <alignment vertical="center"/>
    </xf>
    <xf numFmtId="4" fontId="6" fillId="11" borderId="12" xfId="0" applyNumberFormat="1" applyFont="1" applyFill="1" applyBorder="1">
      <alignment vertical="top"/>
    </xf>
    <xf numFmtId="4" fontId="6" fillId="11" borderId="13" xfId="0" applyNumberFormat="1" applyFont="1" applyFill="1" applyBorder="1">
      <alignment vertical="top"/>
    </xf>
    <xf numFmtId="4" fontId="6" fillId="11" borderId="14" xfId="0" applyNumberFormat="1" applyFont="1" applyFill="1" applyBorder="1">
      <alignment vertical="top"/>
    </xf>
    <xf numFmtId="4" fontId="6" fillId="11" borderId="15" xfId="0" applyNumberFormat="1" applyFont="1" applyFill="1" applyBorder="1">
      <alignment vertical="top"/>
    </xf>
    <xf numFmtId="170" fontId="6" fillId="11" borderId="12" xfId="0" applyNumberFormat="1" applyFont="1" applyFill="1" applyBorder="1">
      <alignment vertical="top"/>
    </xf>
    <xf numFmtId="170" fontId="6" fillId="11" borderId="13" xfId="0" applyNumberFormat="1" applyFont="1" applyFill="1" applyBorder="1">
      <alignment vertical="top"/>
    </xf>
    <xf numFmtId="170" fontId="6" fillId="11" borderId="15" xfId="0" applyNumberFormat="1" applyFont="1" applyFill="1" applyBorder="1">
      <alignment vertical="top"/>
    </xf>
    <xf numFmtId="170" fontId="6" fillId="11" borderId="14" xfId="0" applyNumberFormat="1" applyFont="1" applyFill="1" applyBorder="1">
      <alignment vertical="top"/>
    </xf>
    <xf numFmtId="0" fontId="3" fillId="2" borderId="13" xfId="0" applyFont="1" applyFill="1" applyBorder="1" applyAlignment="1">
      <alignment horizontal="left" vertical="center" wrapText="1" indent="1"/>
    </xf>
    <xf numFmtId="0" fontId="9" fillId="2" borderId="12" xfId="0" applyFont="1" applyFill="1" applyBorder="1" applyAlignment="1">
      <alignment horizontal="center" vertical="center"/>
    </xf>
    <xf numFmtId="0" fontId="9" fillId="2" borderId="13" xfId="0" applyFont="1" applyFill="1" applyBorder="1" applyAlignment="1">
      <alignment horizontal="left" vertical="center" wrapText="1"/>
    </xf>
    <xf numFmtId="0" fontId="9" fillId="2" borderId="15" xfId="0" applyFont="1" applyFill="1" applyBorder="1" applyAlignment="1">
      <alignment horizontal="center" vertical="center"/>
    </xf>
    <xf numFmtId="164" fontId="6" fillId="2" borderId="12" xfId="0" applyNumberFormat="1" applyFont="1" applyFill="1" applyBorder="1" applyAlignment="1">
      <alignment horizontal="right" vertical="center"/>
    </xf>
    <xf numFmtId="164" fontId="6" fillId="2" borderId="13" xfId="0" applyNumberFormat="1" applyFont="1" applyFill="1" applyBorder="1" applyAlignment="1">
      <alignment horizontal="right" vertical="center"/>
    </xf>
    <xf numFmtId="164" fontId="6" fillId="2" borderId="14" xfId="0" applyNumberFormat="1" applyFont="1" applyFill="1" applyBorder="1" applyAlignment="1">
      <alignment horizontal="right" vertical="center"/>
    </xf>
    <xf numFmtId="0" fontId="9" fillId="2" borderId="27" xfId="0" applyFont="1" applyFill="1" applyBorder="1" applyAlignment="1">
      <alignment horizontal="center" vertical="center"/>
    </xf>
    <xf numFmtId="0" fontId="9" fillId="2" borderId="28" xfId="0" applyFont="1" applyFill="1" applyBorder="1" applyAlignment="1">
      <alignment horizontal="left" vertical="center" wrapText="1"/>
    </xf>
    <xf numFmtId="0" fontId="9" fillId="2" borderId="30" xfId="0" applyFont="1" applyFill="1" applyBorder="1" applyAlignment="1">
      <alignment horizontal="center" vertical="center"/>
    </xf>
    <xf numFmtId="0" fontId="9" fillId="11" borderId="32" xfId="0" applyFont="1" applyFill="1" applyBorder="1" applyAlignment="1">
      <alignment horizontal="center" vertical="center"/>
    </xf>
    <xf numFmtId="0" fontId="9" fillId="11" borderId="33" xfId="0" applyFont="1" applyFill="1" applyBorder="1" applyAlignment="1">
      <alignment horizontal="left" vertical="center" wrapText="1"/>
    </xf>
    <xf numFmtId="0" fontId="9" fillId="11" borderId="35" xfId="0" applyFont="1" applyFill="1" applyBorder="1" applyAlignment="1">
      <alignment horizontal="center" vertical="center"/>
    </xf>
    <xf numFmtId="4" fontId="6" fillId="11" borderId="32" xfId="0" applyNumberFormat="1" applyFont="1" applyFill="1" applyBorder="1" applyAlignment="1">
      <alignment horizontal="right" vertical="center"/>
    </xf>
    <xf numFmtId="4" fontId="6" fillId="11" borderId="33" xfId="0" applyNumberFormat="1" applyFont="1" applyFill="1" applyBorder="1" applyAlignment="1">
      <alignment horizontal="right" vertical="center"/>
    </xf>
    <xf numFmtId="167" fontId="6" fillId="11" borderId="34" xfId="0" applyNumberFormat="1" applyFont="1" applyFill="1" applyBorder="1" applyAlignment="1">
      <alignment horizontal="right" vertical="center"/>
    </xf>
    <xf numFmtId="4" fontId="6" fillId="11" borderId="34" xfId="0" applyNumberFormat="1" applyFont="1" applyFill="1" applyBorder="1" applyAlignment="1">
      <alignment horizontal="right" vertical="center"/>
    </xf>
    <xf numFmtId="4" fontId="6" fillId="11" borderId="35" xfId="0" applyNumberFormat="1" applyFont="1" applyFill="1" applyBorder="1" applyAlignment="1">
      <alignment horizontal="right" vertical="center"/>
    </xf>
    <xf numFmtId="164" fontId="6" fillId="11" borderId="24" xfId="0" applyNumberFormat="1" applyFont="1" applyFill="1" applyBorder="1" applyAlignment="1">
      <alignment horizontal="right" vertical="center"/>
    </xf>
    <xf numFmtId="164" fontId="6" fillId="11" borderId="25" xfId="0" applyNumberFormat="1" applyFont="1" applyFill="1" applyBorder="1" applyAlignment="1">
      <alignment horizontal="right" vertical="center"/>
    </xf>
    <xf numFmtId="164" fontId="6" fillId="11" borderId="26" xfId="0" applyNumberFormat="1" applyFont="1" applyFill="1" applyBorder="1" applyAlignment="1">
      <alignment horizontal="right" vertical="center"/>
    </xf>
    <xf numFmtId="0" fontId="4" fillId="12" borderId="0" xfId="0" applyFont="1" applyFill="1">
      <alignment vertical="top"/>
    </xf>
    <xf numFmtId="0" fontId="5" fillId="2" borderId="5" xfId="0" applyFont="1" applyFill="1" applyBorder="1" applyAlignment="1">
      <alignment horizontal="left" vertical="center" indent="1"/>
    </xf>
    <xf numFmtId="4" fontId="4" fillId="2" borderId="4" xfId="0" applyNumberFormat="1" applyFont="1" applyFill="1" applyBorder="1" applyAlignment="1">
      <alignment horizontal="right" vertical="center"/>
    </xf>
    <xf numFmtId="4" fontId="4" fillId="2" borderId="5" xfId="0" applyNumberFormat="1" applyFont="1" applyFill="1" applyBorder="1" applyAlignment="1">
      <alignment horizontal="right" vertical="center"/>
    </xf>
    <xf numFmtId="4" fontId="4" fillId="2" borderId="10" xfId="0" applyNumberFormat="1" applyFont="1" applyFill="1" applyBorder="1" applyAlignment="1">
      <alignment horizontal="right" vertical="center"/>
    </xf>
    <xf numFmtId="4" fontId="4" fillId="2" borderId="6" xfId="0" applyNumberFormat="1" applyFont="1" applyFill="1" applyBorder="1" applyAlignment="1">
      <alignment horizontal="right" vertical="center"/>
    </xf>
    <xf numFmtId="164" fontId="4" fillId="2" borderId="5" xfId="0" applyNumberFormat="1" applyFont="1" applyFill="1" applyBorder="1" applyAlignment="1">
      <alignment horizontal="right" vertical="center"/>
    </xf>
    <xf numFmtId="164" fontId="4" fillId="2" borderId="10" xfId="0" applyNumberFormat="1" applyFont="1" applyFill="1" applyBorder="1" applyAlignment="1">
      <alignment horizontal="right" vertical="center"/>
    </xf>
    <xf numFmtId="164" fontId="4" fillId="2" borderId="27" xfId="0" applyNumberFormat="1" applyFont="1" applyFill="1" applyBorder="1" applyAlignment="1">
      <alignment horizontal="right" vertical="center"/>
    </xf>
    <xf numFmtId="164" fontId="4" fillId="2" borderId="28" xfId="0" applyNumberFormat="1" applyFont="1" applyFill="1" applyBorder="1" applyAlignment="1">
      <alignment horizontal="right" vertical="center"/>
    </xf>
    <xf numFmtId="164" fontId="4" fillId="2" borderId="29" xfId="0" applyNumberFormat="1" applyFont="1" applyFill="1" applyBorder="1" applyAlignment="1">
      <alignment horizontal="right" vertical="center"/>
    </xf>
    <xf numFmtId="0" fontId="5" fillId="2" borderId="24" xfId="0" applyFont="1" applyFill="1" applyBorder="1" applyAlignment="1">
      <alignment horizontal="center" vertical="center"/>
    </xf>
    <xf numFmtId="0" fontId="5" fillId="2" borderId="25" xfId="0" applyFont="1" applyFill="1" applyBorder="1" applyAlignment="1">
      <alignment horizontal="left" vertical="center" wrapText="1" indent="1"/>
    </xf>
    <xf numFmtId="0" fontId="5" fillId="2" borderId="37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center" vertical="center" wrapText="1"/>
    </xf>
    <xf numFmtId="0" fontId="4" fillId="2" borderId="47" xfId="0" applyFont="1" applyFill="1" applyBorder="1" applyAlignment="1">
      <alignment horizontal="center" vertical="center"/>
    </xf>
    <xf numFmtId="0" fontId="5" fillId="2" borderId="49" xfId="0" applyFont="1" applyFill="1" applyBorder="1" applyAlignment="1">
      <alignment horizontal="center" vertical="center"/>
    </xf>
    <xf numFmtId="0" fontId="4" fillId="2" borderId="18" xfId="0" applyFont="1" applyFill="1" applyBorder="1" applyAlignment="1">
      <alignment horizontal="center" vertical="center" wrapText="1"/>
    </xf>
    <xf numFmtId="0" fontId="5" fillId="2" borderId="19" xfId="0" applyFont="1" applyFill="1" applyBorder="1" applyAlignment="1">
      <alignment horizontal="center" vertical="center"/>
    </xf>
    <xf numFmtId="49" fontId="4" fillId="2" borderId="18" xfId="0" applyNumberFormat="1" applyFont="1" applyFill="1" applyBorder="1" applyAlignment="1">
      <alignment horizontal="center" vertical="center" wrapText="1"/>
    </xf>
    <xf numFmtId="49" fontId="4" fillId="2" borderId="19" xfId="0" applyNumberFormat="1" applyFont="1" applyFill="1" applyBorder="1" applyAlignment="1">
      <alignment horizontal="center" vertical="center" wrapText="1"/>
    </xf>
    <xf numFmtId="0" fontId="4" fillId="2" borderId="18" xfId="0" applyFont="1" applyFill="1" applyBorder="1" applyAlignment="1">
      <alignment horizontal="right" vertical="center"/>
    </xf>
    <xf numFmtId="0" fontId="4" fillId="2" borderId="19" xfId="0" applyFont="1" applyFill="1" applyBorder="1" applyAlignment="1">
      <alignment horizontal="right" vertical="center"/>
    </xf>
    <xf numFmtId="165" fontId="4" fillId="2" borderId="18" xfId="0" applyNumberFormat="1" applyFont="1" applyFill="1" applyBorder="1" applyAlignment="1">
      <alignment horizontal="right" vertical="center"/>
    </xf>
    <xf numFmtId="165" fontId="4" fillId="2" borderId="19" xfId="0" applyNumberFormat="1" applyFont="1" applyFill="1" applyBorder="1" applyAlignment="1">
      <alignment horizontal="right" vertical="center"/>
    </xf>
    <xf numFmtId="166" fontId="4" fillId="2" borderId="18" xfId="0" applyNumberFormat="1" applyFont="1" applyFill="1" applyBorder="1" applyAlignment="1">
      <alignment horizontal="right" vertical="center"/>
    </xf>
    <xf numFmtId="166" fontId="4" fillId="2" borderId="19" xfId="0" applyNumberFormat="1" applyFont="1" applyFill="1" applyBorder="1" applyAlignment="1">
      <alignment horizontal="right" vertical="center"/>
    </xf>
    <xf numFmtId="0" fontId="4" fillId="2" borderId="18" xfId="0" applyFont="1" applyFill="1" applyBorder="1" applyAlignment="1">
      <alignment horizontal="left" vertical="center"/>
    </xf>
    <xf numFmtId="0" fontId="4" fillId="2" borderId="19" xfId="0" applyFont="1" applyFill="1" applyBorder="1" applyAlignment="1">
      <alignment horizontal="left" vertical="center"/>
    </xf>
    <xf numFmtId="0" fontId="4" fillId="2" borderId="18" xfId="0" applyFont="1" applyFill="1" applyBorder="1">
      <alignment vertical="top"/>
    </xf>
    <xf numFmtId="168" fontId="4" fillId="2" borderId="18" xfId="0" applyNumberFormat="1" applyFont="1" applyFill="1" applyBorder="1" applyAlignment="1">
      <alignment horizontal="right" vertical="center"/>
    </xf>
    <xf numFmtId="168" fontId="4" fillId="2" borderId="19" xfId="0" applyNumberFormat="1" applyFont="1" applyFill="1" applyBorder="1" applyAlignment="1">
      <alignment horizontal="right" vertical="center"/>
    </xf>
    <xf numFmtId="10" fontId="4" fillId="2" borderId="18" xfId="0" applyNumberFormat="1" applyFont="1" applyFill="1" applyBorder="1" applyAlignment="1">
      <alignment horizontal="right" vertical="center"/>
    </xf>
    <xf numFmtId="10" fontId="4" fillId="2" borderId="19" xfId="0" applyNumberFormat="1" applyFont="1" applyFill="1" applyBorder="1" applyAlignment="1" applyProtection="1">
      <alignment horizontal="right" vertical="center"/>
      <protection locked="0"/>
    </xf>
    <xf numFmtId="10" fontId="4" fillId="2" borderId="19" xfId="0" applyNumberFormat="1" applyFont="1" applyFill="1" applyBorder="1" applyAlignment="1">
      <alignment horizontal="right" vertical="center"/>
    </xf>
    <xf numFmtId="10" fontId="4" fillId="2" borderId="18" xfId="0" applyNumberFormat="1" applyFont="1" applyFill="1" applyBorder="1" applyAlignment="1" applyProtection="1">
      <alignment horizontal="right" vertical="center"/>
      <protection locked="0"/>
    </xf>
    <xf numFmtId="0" fontId="4" fillId="2" borderId="19" xfId="0" applyFont="1" applyFill="1" applyBorder="1">
      <alignment vertical="top"/>
    </xf>
    <xf numFmtId="0" fontId="13" fillId="2" borderId="14" xfId="0" applyFont="1" applyFill="1" applyBorder="1" applyAlignment="1">
      <alignment horizontal="center" vertical="center" wrapText="1"/>
    </xf>
    <xf numFmtId="167" fontId="13" fillId="2" borderId="18" xfId="0" applyNumberFormat="1" applyFont="1" applyFill="1" applyBorder="1" applyAlignment="1">
      <alignment horizontal="right" vertical="center"/>
    </xf>
    <xf numFmtId="167" fontId="13" fillId="2" borderId="19" xfId="0" applyNumberFormat="1" applyFont="1" applyFill="1" applyBorder="1" applyAlignment="1">
      <alignment horizontal="right" vertical="center"/>
    </xf>
    <xf numFmtId="0" fontId="4" fillId="2" borderId="14" xfId="0" applyFont="1" applyFill="1" applyBorder="1" applyAlignment="1">
      <alignment horizontal="center" vertical="center" wrapText="1"/>
    </xf>
    <xf numFmtId="0" fontId="5" fillId="2" borderId="14" xfId="0" applyFont="1" applyFill="1" applyBorder="1" applyAlignment="1">
      <alignment horizontal="right" vertical="center"/>
    </xf>
    <xf numFmtId="167" fontId="6" fillId="2" borderId="18" xfId="0" applyNumberFormat="1" applyFont="1" applyFill="1" applyBorder="1" applyAlignment="1">
      <alignment horizontal="right" vertical="center"/>
    </xf>
    <xf numFmtId="167" fontId="6" fillId="2" borderId="19" xfId="0" applyNumberFormat="1" applyFont="1" applyFill="1" applyBorder="1" applyAlignment="1">
      <alignment horizontal="right" vertical="center"/>
    </xf>
    <xf numFmtId="0" fontId="6" fillId="13" borderId="12" xfId="0" applyFont="1" applyFill="1" applyBorder="1" applyAlignment="1">
      <alignment horizontal="center" vertical="center"/>
    </xf>
    <xf numFmtId="0" fontId="6" fillId="13" borderId="13" xfId="0" applyFont="1" applyFill="1" applyBorder="1" applyAlignment="1">
      <alignment horizontal="left" vertical="center" wrapText="1"/>
    </xf>
    <xf numFmtId="0" fontId="6" fillId="13" borderId="14" xfId="0" applyFont="1" applyFill="1" applyBorder="1" applyAlignment="1">
      <alignment horizontal="center" vertical="center"/>
    </xf>
    <xf numFmtId="4" fontId="6" fillId="13" borderId="18" xfId="0" applyNumberFormat="1" applyFont="1" applyFill="1" applyBorder="1" applyAlignment="1">
      <alignment horizontal="right" vertical="center"/>
    </xf>
    <xf numFmtId="4" fontId="6" fillId="13" borderId="13" xfId="0" applyNumberFormat="1" applyFont="1" applyFill="1" applyBorder="1" applyAlignment="1">
      <alignment horizontal="right" vertical="center"/>
    </xf>
    <xf numFmtId="4" fontId="6" fillId="13" borderId="19" xfId="0" applyNumberFormat="1" applyFont="1" applyFill="1" applyBorder="1" applyAlignment="1">
      <alignment horizontal="right" vertical="center"/>
    </xf>
    <xf numFmtId="4" fontId="6" fillId="13" borderId="20" xfId="0" applyNumberFormat="1" applyFont="1" applyFill="1" applyBorder="1" applyAlignment="1">
      <alignment horizontal="right" vertical="center"/>
    </xf>
    <xf numFmtId="164" fontId="6" fillId="13" borderId="12" xfId="0" applyNumberFormat="1" applyFont="1" applyFill="1" applyBorder="1" applyAlignment="1">
      <alignment horizontal="right" vertical="center"/>
    </xf>
    <xf numFmtId="164" fontId="6" fillId="13" borderId="13" xfId="0" applyNumberFormat="1" applyFont="1" applyFill="1" applyBorder="1" applyAlignment="1">
      <alignment horizontal="right" vertical="center"/>
    </xf>
    <xf numFmtId="164" fontId="6" fillId="13" borderId="14" xfId="0" applyNumberFormat="1" applyFont="1" applyFill="1" applyBorder="1" applyAlignment="1">
      <alignment horizontal="right" vertical="center"/>
    </xf>
    <xf numFmtId="0" fontId="6" fillId="13" borderId="13" xfId="0" applyFont="1" applyFill="1" applyBorder="1" applyAlignment="1">
      <alignment horizontal="left" vertical="center" wrapText="1" indent="1"/>
    </xf>
    <xf numFmtId="0" fontId="6" fillId="13" borderId="13" xfId="0" applyFont="1" applyFill="1" applyBorder="1" applyAlignment="1">
      <alignment horizontal="left" vertical="center" wrapText="1" indent="2"/>
    </xf>
    <xf numFmtId="0" fontId="6" fillId="13" borderId="13" xfId="0" applyFont="1" applyFill="1" applyBorder="1" applyAlignment="1">
      <alignment horizontal="left" vertical="center" wrapText="1" indent="3"/>
    </xf>
    <xf numFmtId="4" fontId="4" fillId="2" borderId="20" xfId="0" applyNumberFormat="1" applyFont="1" applyFill="1" applyBorder="1" applyAlignment="1" applyProtection="1">
      <alignment horizontal="right" vertical="center"/>
      <protection locked="0"/>
    </xf>
    <xf numFmtId="0" fontId="13" fillId="2" borderId="14" xfId="0" applyFont="1" applyFill="1" applyBorder="1" applyAlignment="1">
      <alignment horizontal="center" vertical="center"/>
    </xf>
    <xf numFmtId="4" fontId="13" fillId="2" borderId="18" xfId="0" applyNumberFormat="1" applyFont="1" applyFill="1" applyBorder="1" applyAlignment="1">
      <alignment horizontal="right" vertical="center"/>
    </xf>
    <xf numFmtId="4" fontId="13" fillId="2" borderId="19" xfId="0" applyNumberFormat="1" applyFont="1" applyFill="1" applyBorder="1" applyAlignment="1">
      <alignment horizontal="right" vertical="center"/>
    </xf>
    <xf numFmtId="4" fontId="13" fillId="2" borderId="16" xfId="0" applyNumberFormat="1" applyFont="1" applyFill="1" applyBorder="1" applyAlignment="1">
      <alignment horizontal="right" vertical="center"/>
    </xf>
    <xf numFmtId="4" fontId="13" fillId="2" borderId="18" xfId="0" applyNumberFormat="1" applyFont="1" applyFill="1" applyBorder="1" applyAlignment="1" applyProtection="1">
      <alignment horizontal="right" vertical="center"/>
      <protection locked="0"/>
    </xf>
    <xf numFmtId="4" fontId="13" fillId="2" borderId="19" xfId="0" applyNumberFormat="1" applyFont="1" applyFill="1" applyBorder="1" applyAlignment="1" applyProtection="1">
      <alignment horizontal="right" vertical="center"/>
      <protection locked="0"/>
    </xf>
    <xf numFmtId="4" fontId="13" fillId="2" borderId="20" xfId="0" applyNumberFormat="1" applyFont="1" applyFill="1" applyBorder="1" applyAlignment="1" applyProtection="1">
      <alignment horizontal="right" vertical="center"/>
      <protection locked="0"/>
    </xf>
    <xf numFmtId="0" fontId="17" fillId="2" borderId="14" xfId="0" applyFont="1" applyFill="1" applyBorder="1" applyAlignment="1">
      <alignment horizontal="center" vertical="center" wrapText="1"/>
    </xf>
    <xf numFmtId="2" fontId="17" fillId="2" borderId="18" xfId="0" applyNumberFormat="1" applyFont="1" applyFill="1" applyBorder="1" applyAlignment="1">
      <alignment horizontal="right" vertical="center"/>
    </xf>
    <xf numFmtId="2" fontId="17" fillId="2" borderId="19" xfId="0" applyNumberFormat="1" applyFont="1" applyFill="1" applyBorder="1" applyAlignment="1">
      <alignment horizontal="right" vertical="center"/>
    </xf>
    <xf numFmtId="2" fontId="17" fillId="2" borderId="20" xfId="0" applyNumberFormat="1" applyFont="1" applyFill="1" applyBorder="1" applyAlignment="1">
      <alignment horizontal="right" vertical="center"/>
    </xf>
    <xf numFmtId="0" fontId="6" fillId="13" borderId="13" xfId="0" applyFont="1" applyFill="1" applyBorder="1" applyAlignment="1">
      <alignment horizontal="left" vertical="center" wrapText="1" indent="3" shrinkToFit="1"/>
    </xf>
    <xf numFmtId="4" fontId="6" fillId="13" borderId="16" xfId="0" applyNumberFormat="1" applyFont="1" applyFill="1" applyBorder="1" applyAlignment="1">
      <alignment horizontal="right" vertical="center"/>
    </xf>
    <xf numFmtId="4" fontId="6" fillId="13" borderId="14" xfId="0" applyNumberFormat="1" applyFont="1" applyFill="1" applyBorder="1" applyAlignment="1">
      <alignment horizontal="right" vertical="center"/>
    </xf>
    <xf numFmtId="170" fontId="6" fillId="13" borderId="16" xfId="0" applyNumberFormat="1" applyFont="1" applyFill="1" applyBorder="1" applyAlignment="1">
      <alignment horizontal="right" vertical="center"/>
    </xf>
    <xf numFmtId="170" fontId="6" fillId="13" borderId="13" xfId="0" applyNumberFormat="1" applyFont="1" applyFill="1" applyBorder="1" applyAlignment="1">
      <alignment horizontal="right" vertical="center"/>
    </xf>
    <xf numFmtId="170" fontId="6" fillId="13" borderId="14" xfId="0" applyNumberFormat="1" applyFont="1" applyFill="1" applyBorder="1" applyAlignment="1">
      <alignment horizontal="right" vertical="center"/>
    </xf>
    <xf numFmtId="170" fontId="6" fillId="13" borderId="12" xfId="0" applyNumberFormat="1" applyFont="1" applyFill="1" applyBorder="1" applyAlignment="1">
      <alignment horizontal="right" vertical="center"/>
    </xf>
    <xf numFmtId="4" fontId="6" fillId="13" borderId="12" xfId="0" applyNumberFormat="1" applyFont="1" applyFill="1" applyBorder="1" applyAlignment="1">
      <alignment horizontal="right" vertical="center"/>
    </xf>
    <xf numFmtId="4" fontId="13" fillId="2" borderId="20" xfId="0" applyNumberFormat="1" applyFont="1" applyFill="1" applyBorder="1" applyAlignment="1">
      <alignment horizontal="right" vertical="center"/>
    </xf>
    <xf numFmtId="0" fontId="15" fillId="2" borderId="14" xfId="0" applyFont="1" applyFill="1" applyBorder="1" applyAlignment="1">
      <alignment horizontal="center" vertical="center"/>
    </xf>
    <xf numFmtId="4" fontId="17" fillId="2" borderId="18" xfId="0" applyNumberFormat="1" applyFont="1" applyFill="1" applyBorder="1" applyAlignment="1">
      <alignment horizontal="right" vertical="center"/>
    </xf>
    <xf numFmtId="4" fontId="17" fillId="2" borderId="13" xfId="0" applyNumberFormat="1" applyFont="1" applyFill="1" applyBorder="1" applyAlignment="1">
      <alignment horizontal="right" vertical="center"/>
    </xf>
    <xf numFmtId="4" fontId="17" fillId="2" borderId="19" xfId="0" applyNumberFormat="1" applyFont="1" applyFill="1" applyBorder="1" applyAlignment="1">
      <alignment horizontal="right" vertical="center"/>
    </xf>
    <xf numFmtId="4" fontId="17" fillId="2" borderId="20" xfId="0" applyNumberFormat="1" applyFont="1" applyFill="1" applyBorder="1" applyAlignment="1">
      <alignment horizontal="right" vertical="center"/>
    </xf>
    <xf numFmtId="0" fontId="17" fillId="2" borderId="18" xfId="0" applyFont="1" applyFill="1" applyBorder="1" applyAlignment="1">
      <alignment horizontal="right" vertical="center"/>
    </xf>
    <xf numFmtId="0" fontId="17" fillId="2" borderId="19" xfId="0" applyFont="1" applyFill="1" applyBorder="1" applyAlignment="1">
      <alignment horizontal="right" vertical="center"/>
    </xf>
    <xf numFmtId="170" fontId="17" fillId="2" borderId="18" xfId="0" applyNumberFormat="1" applyFont="1" applyFill="1" applyBorder="1" applyAlignment="1">
      <alignment horizontal="right" vertical="center"/>
    </xf>
    <xf numFmtId="170" fontId="17" fillId="2" borderId="13" xfId="0" applyNumberFormat="1" applyFont="1" applyFill="1" applyBorder="1" applyAlignment="1">
      <alignment horizontal="right" vertical="center"/>
    </xf>
    <xf numFmtId="170" fontId="17" fillId="2" borderId="19" xfId="0" applyNumberFormat="1" applyFont="1" applyFill="1" applyBorder="1" applyAlignment="1">
      <alignment horizontal="right" vertical="center"/>
    </xf>
    <xf numFmtId="4" fontId="17" fillId="2" borderId="12" xfId="0" applyNumberFormat="1" applyFont="1" applyFill="1" applyBorder="1" applyAlignment="1">
      <alignment horizontal="center" vertical="center"/>
    </xf>
    <xf numFmtId="167" fontId="4" fillId="2" borderId="20" xfId="0" applyNumberFormat="1" applyFont="1" applyFill="1" applyBorder="1" applyAlignment="1">
      <alignment horizontal="right" vertical="center"/>
    </xf>
    <xf numFmtId="173" fontId="4" fillId="2" borderId="18" xfId="0" applyNumberFormat="1" applyFont="1" applyFill="1" applyBorder="1" applyAlignment="1">
      <alignment horizontal="right" vertical="center"/>
    </xf>
    <xf numFmtId="173" fontId="4" fillId="2" borderId="19" xfId="0" applyNumberFormat="1" applyFont="1" applyFill="1" applyBorder="1" applyAlignment="1">
      <alignment horizontal="right" vertical="center"/>
    </xf>
    <xf numFmtId="173" fontId="4" fillId="2" borderId="16" xfId="0" applyNumberFormat="1" applyFont="1" applyFill="1" applyBorder="1" applyAlignment="1">
      <alignment horizontal="right" vertical="center"/>
    </xf>
    <xf numFmtId="0" fontId="6" fillId="13" borderId="13" xfId="0" applyFont="1" applyFill="1" applyBorder="1" applyAlignment="1">
      <alignment horizontal="left" vertical="center" indent="1"/>
    </xf>
    <xf numFmtId="4" fontId="6" fillId="13" borderId="18" xfId="0" applyNumberFormat="1" applyFont="1" applyFill="1" applyBorder="1" applyAlignment="1" applyProtection="1">
      <alignment horizontal="right" vertical="center"/>
      <protection locked="0"/>
    </xf>
    <xf numFmtId="4" fontId="6" fillId="13" borderId="13" xfId="0" applyNumberFormat="1" applyFont="1" applyFill="1" applyBorder="1" applyAlignment="1" applyProtection="1">
      <alignment horizontal="right" vertical="center"/>
      <protection locked="0"/>
    </xf>
    <xf numFmtId="4" fontId="6" fillId="13" borderId="19" xfId="0" applyNumberFormat="1" applyFont="1" applyFill="1" applyBorder="1" applyAlignment="1" applyProtection="1">
      <alignment horizontal="right" vertical="center"/>
      <protection locked="0"/>
    </xf>
    <xf numFmtId="4" fontId="6" fillId="13" borderId="20" xfId="0" applyNumberFormat="1" applyFont="1" applyFill="1" applyBorder="1" applyAlignment="1" applyProtection="1">
      <alignment horizontal="right" vertical="center"/>
      <protection locked="0"/>
    </xf>
    <xf numFmtId="4" fontId="6" fillId="13" borderId="16" xfId="0" applyNumberFormat="1" applyFont="1" applyFill="1" applyBorder="1" applyAlignment="1" applyProtection="1">
      <alignment horizontal="right" vertical="center"/>
      <protection locked="0"/>
    </xf>
    <xf numFmtId="4" fontId="6" fillId="13" borderId="14" xfId="0" applyNumberFormat="1" applyFont="1" applyFill="1" applyBorder="1" applyAlignment="1" applyProtection="1">
      <alignment horizontal="right" vertical="center"/>
      <protection locked="0"/>
    </xf>
    <xf numFmtId="4" fontId="6" fillId="13" borderId="12" xfId="0" applyNumberFormat="1" applyFont="1" applyFill="1" applyBorder="1" applyAlignment="1" applyProtection="1">
      <alignment horizontal="right" vertical="center"/>
      <protection locked="0"/>
    </xf>
    <xf numFmtId="4" fontId="6" fillId="2" borderId="18" xfId="0" applyNumberFormat="1" applyFont="1" applyFill="1" applyBorder="1" applyAlignment="1" applyProtection="1">
      <alignment horizontal="right" vertical="center"/>
      <protection locked="0"/>
    </xf>
    <xf numFmtId="4" fontId="6" fillId="2" borderId="19" xfId="0" applyNumberFormat="1" applyFont="1" applyFill="1" applyBorder="1" applyAlignment="1" applyProtection="1">
      <alignment horizontal="right" vertical="center"/>
      <protection locked="0"/>
    </xf>
    <xf numFmtId="4" fontId="6" fillId="2" borderId="16" xfId="0" applyNumberFormat="1" applyFont="1" applyFill="1" applyBorder="1" applyAlignment="1" applyProtection="1">
      <alignment horizontal="right" vertical="center"/>
      <protection locked="0"/>
    </xf>
    <xf numFmtId="4" fontId="6" fillId="2" borderId="52" xfId="0" applyNumberFormat="1" applyFont="1" applyFill="1" applyBorder="1" applyAlignment="1" applyProtection="1">
      <alignment horizontal="right" vertical="center"/>
      <protection locked="0"/>
    </xf>
    <xf numFmtId="4" fontId="6" fillId="2" borderId="53" xfId="0" applyNumberFormat="1" applyFont="1" applyFill="1" applyBorder="1" applyAlignment="1" applyProtection="1">
      <alignment horizontal="right" vertical="center"/>
      <protection locked="0"/>
    </xf>
    <xf numFmtId="4" fontId="6" fillId="2" borderId="31" xfId="0" applyNumberFormat="1" applyFont="1" applyFill="1" applyBorder="1" applyAlignment="1" applyProtection="1">
      <alignment horizontal="right" vertical="center"/>
      <protection locked="0"/>
    </xf>
    <xf numFmtId="0" fontId="6" fillId="13" borderId="32" xfId="0" applyFont="1" applyFill="1" applyBorder="1" applyAlignment="1">
      <alignment horizontal="center" vertical="center"/>
    </xf>
    <xf numFmtId="0" fontId="6" fillId="13" borderId="33" xfId="0" applyFont="1" applyFill="1" applyBorder="1" applyAlignment="1">
      <alignment horizontal="left" vertical="center" wrapText="1"/>
    </xf>
    <xf numFmtId="0" fontId="6" fillId="13" borderId="34" xfId="0" applyFont="1" applyFill="1" applyBorder="1" applyAlignment="1">
      <alignment horizontal="center" vertical="center"/>
    </xf>
    <xf numFmtId="4" fontId="6" fillId="13" borderId="2" xfId="0" applyNumberFormat="1" applyFont="1" applyFill="1" applyBorder="1" applyAlignment="1">
      <alignment horizontal="right" vertical="center"/>
    </xf>
    <xf numFmtId="4" fontId="6" fillId="13" borderId="33" xfId="0" applyNumberFormat="1" applyFont="1" applyFill="1" applyBorder="1" applyAlignment="1">
      <alignment horizontal="right" vertical="center"/>
    </xf>
    <xf numFmtId="167" fontId="6" fillId="13" borderId="50" xfId="0" applyNumberFormat="1" applyFont="1" applyFill="1" applyBorder="1" applyAlignment="1">
      <alignment horizontal="right" vertical="center"/>
    </xf>
    <xf numFmtId="4" fontId="6" fillId="13" borderId="36" xfId="0" applyNumberFormat="1" applyFont="1" applyFill="1" applyBorder="1" applyAlignment="1">
      <alignment horizontal="right" vertical="center"/>
    </xf>
    <xf numFmtId="4" fontId="6" fillId="13" borderId="34" xfId="0" applyNumberFormat="1" applyFont="1" applyFill="1" applyBorder="1" applyAlignment="1">
      <alignment horizontal="right" vertical="center"/>
    </xf>
    <xf numFmtId="4" fontId="6" fillId="13" borderId="32" xfId="0" applyNumberFormat="1" applyFont="1" applyFill="1" applyBorder="1" applyAlignment="1">
      <alignment horizontal="right" vertical="center"/>
    </xf>
    <xf numFmtId="164" fontId="6" fillId="13" borderId="24" xfId="0" applyNumberFormat="1" applyFont="1" applyFill="1" applyBorder="1" applyAlignment="1">
      <alignment horizontal="right" vertical="center"/>
    </xf>
    <xf numFmtId="164" fontId="6" fillId="13" borderId="25" xfId="0" applyNumberFormat="1" applyFont="1" applyFill="1" applyBorder="1" applyAlignment="1">
      <alignment horizontal="right" vertical="center"/>
    </xf>
    <xf numFmtId="164" fontId="6" fillId="13" borderId="26" xfId="0" applyNumberFormat="1" applyFont="1" applyFill="1" applyBorder="1" applyAlignment="1">
      <alignment horizontal="right" vertical="center"/>
    </xf>
    <xf numFmtId="4" fontId="3" fillId="2" borderId="0" xfId="0" applyNumberFormat="1" applyFont="1" applyFill="1">
      <alignment vertical="top"/>
    </xf>
    <xf numFmtId="0" fontId="6" fillId="0" borderId="0" xfId="0" applyFont="1" applyAlignment="1"/>
    <xf numFmtId="0" fontId="4" fillId="14" borderId="47" xfId="0" applyFont="1" applyFill="1" applyBorder="1" applyAlignment="1">
      <alignment wrapText="1"/>
    </xf>
    <xf numFmtId="0" fontId="4" fillId="14" borderId="47" xfId="0" applyFont="1" applyFill="1" applyBorder="1" applyAlignment="1">
      <alignment horizontal="center" vertical="center"/>
    </xf>
    <xf numFmtId="4" fontId="3" fillId="14" borderId="12" xfId="0" applyNumberFormat="1" applyFont="1" applyFill="1" applyBorder="1">
      <alignment vertical="top"/>
    </xf>
    <xf numFmtId="4" fontId="3" fillId="14" borderId="13" xfId="0" applyNumberFormat="1" applyFont="1" applyFill="1" applyBorder="1">
      <alignment vertical="top"/>
    </xf>
    <xf numFmtId="4" fontId="3" fillId="14" borderId="14" xfId="0" applyNumberFormat="1" applyFont="1" applyFill="1" applyBorder="1">
      <alignment vertical="top"/>
    </xf>
    <xf numFmtId="4" fontId="3" fillId="14" borderId="16" xfId="0" applyNumberFormat="1" applyFont="1" applyFill="1" applyBorder="1">
      <alignment vertical="top"/>
    </xf>
    <xf numFmtId="164" fontId="3" fillId="14" borderId="12" xfId="0" applyNumberFormat="1" applyFont="1" applyFill="1" applyBorder="1">
      <alignment vertical="top"/>
    </xf>
    <xf numFmtId="164" fontId="3" fillId="14" borderId="13" xfId="0" applyNumberFormat="1" applyFont="1" applyFill="1" applyBorder="1">
      <alignment vertical="top"/>
    </xf>
    <xf numFmtId="164" fontId="3" fillId="14" borderId="14" xfId="0" applyNumberFormat="1" applyFont="1" applyFill="1" applyBorder="1">
      <alignment vertical="top"/>
    </xf>
    <xf numFmtId="0" fontId="15" fillId="2" borderId="18" xfId="0" applyFont="1" applyFill="1" applyBorder="1" applyAlignment="1">
      <alignment wrapText="1"/>
    </xf>
    <xf numFmtId="4" fontId="3" fillId="2" borderId="12" xfId="0" applyNumberFormat="1" applyFont="1" applyFill="1" applyBorder="1">
      <alignment vertical="top"/>
    </xf>
    <xf numFmtId="4" fontId="3" fillId="2" borderId="13" xfId="0" applyNumberFormat="1" applyFont="1" applyFill="1" applyBorder="1">
      <alignment vertical="top"/>
    </xf>
    <xf numFmtId="4" fontId="3" fillId="2" borderId="14" xfId="0" applyNumberFormat="1" applyFont="1" applyFill="1" applyBorder="1">
      <alignment vertical="top"/>
    </xf>
    <xf numFmtId="4" fontId="3" fillId="2" borderId="16" xfId="0" applyNumberFormat="1" applyFont="1" applyFill="1" applyBorder="1">
      <alignment vertical="top"/>
    </xf>
    <xf numFmtId="164" fontId="3" fillId="2" borderId="16" xfId="0" applyNumberFormat="1" applyFont="1" applyFill="1" applyBorder="1">
      <alignment vertical="top"/>
    </xf>
    <xf numFmtId="0" fontId="4" fillId="14" borderId="18" xfId="0" applyFont="1" applyFill="1" applyBorder="1" applyAlignment="1">
      <alignment wrapText="1"/>
    </xf>
    <xf numFmtId="0" fontId="15" fillId="2" borderId="52" xfId="0" applyFont="1" applyFill="1" applyBorder="1" applyAlignment="1">
      <alignment wrapText="1"/>
    </xf>
    <xf numFmtId="0" fontId="4" fillId="2" borderId="22" xfId="0" applyFont="1" applyFill="1" applyBorder="1" applyAlignment="1">
      <alignment horizontal="center" vertical="center"/>
    </xf>
    <xf numFmtId="164" fontId="3" fillId="2" borderId="27" xfId="0" applyNumberFormat="1" applyFont="1" applyFill="1" applyBorder="1">
      <alignment vertical="top"/>
    </xf>
    <xf numFmtId="164" fontId="3" fillId="2" borderId="28" xfId="0" applyNumberFormat="1" applyFont="1" applyFill="1" applyBorder="1">
      <alignment vertical="top"/>
    </xf>
    <xf numFmtId="164" fontId="3" fillId="2" borderId="29" xfId="0" applyNumberFormat="1" applyFont="1" applyFill="1" applyBorder="1">
      <alignment vertical="top"/>
    </xf>
    <xf numFmtId="164" fontId="3" fillId="2" borderId="31" xfId="0" applyNumberFormat="1" applyFont="1" applyFill="1" applyBorder="1">
      <alignment vertical="top"/>
    </xf>
    <xf numFmtId="0" fontId="8" fillId="0" borderId="0" xfId="0" applyFont="1" applyAlignment="1">
      <alignment horizontal="right" vertical="center"/>
    </xf>
    <xf numFmtId="0" fontId="8" fillId="2" borderId="0" xfId="0" applyFont="1" applyFill="1" applyAlignment="1">
      <alignment horizontal="right" vertical="center"/>
    </xf>
    <xf numFmtId="0" fontId="6" fillId="2" borderId="2" xfId="0" applyFont="1" applyFill="1" applyBorder="1" applyAlignment="1">
      <alignment horizontal="center" vertical="center"/>
    </xf>
    <xf numFmtId="4" fontId="8" fillId="2" borderId="32" xfId="0" applyNumberFormat="1" applyFont="1" applyFill="1" applyBorder="1" applyAlignment="1">
      <alignment horizontal="right" vertical="center"/>
    </xf>
    <xf numFmtId="4" fontId="8" fillId="2" borderId="33" xfId="0" applyNumberFormat="1" applyFont="1" applyFill="1" applyBorder="1" applyAlignment="1">
      <alignment horizontal="right" vertical="center"/>
    </xf>
    <xf numFmtId="4" fontId="8" fillId="2" borderId="34" xfId="0" applyNumberFormat="1" applyFont="1" applyFill="1" applyBorder="1" applyAlignment="1">
      <alignment horizontal="right" vertical="center"/>
    </xf>
    <xf numFmtId="4" fontId="8" fillId="2" borderId="36" xfId="0" applyNumberFormat="1" applyFont="1" applyFill="1" applyBorder="1" applyAlignment="1">
      <alignment horizontal="right" vertical="center"/>
    </xf>
    <xf numFmtId="164" fontId="8" fillId="2" borderId="32" xfId="0" applyNumberFormat="1" applyFont="1" applyFill="1" applyBorder="1" applyAlignment="1">
      <alignment horizontal="right" vertical="center"/>
    </xf>
    <xf numFmtId="164" fontId="8" fillId="2" borderId="33" xfId="0" applyNumberFormat="1" applyFont="1" applyFill="1" applyBorder="1" applyAlignment="1">
      <alignment horizontal="right" vertical="center"/>
    </xf>
    <xf numFmtId="164" fontId="8" fillId="2" borderId="34" xfId="0" applyNumberFormat="1" applyFont="1" applyFill="1" applyBorder="1" applyAlignment="1">
      <alignment horizontal="right" vertical="center"/>
    </xf>
    <xf numFmtId="0" fontId="26" fillId="0" borderId="0" xfId="0" applyFont="1" applyAlignment="1">
      <alignment horizontal="right" vertical="center"/>
    </xf>
    <xf numFmtId="0" fontId="3" fillId="0" borderId="0" xfId="0" applyFont="1" applyAlignment="1">
      <alignment horizontal="right"/>
    </xf>
    <xf numFmtId="0" fontId="3" fillId="2" borderId="0" xfId="0" applyFont="1" applyFill="1" applyAlignment="1">
      <alignment horizontal="right"/>
    </xf>
    <xf numFmtId="0" fontId="3" fillId="2" borderId="0" xfId="0" applyFont="1" applyFill="1" applyAlignment="1">
      <alignment horizontal="left"/>
    </xf>
    <xf numFmtId="4" fontId="3" fillId="2" borderId="0" xfId="0" applyNumberFormat="1" applyFont="1" applyFill="1" applyAlignment="1">
      <alignment horizontal="right"/>
    </xf>
    <xf numFmtId="164" fontId="3" fillId="2" borderId="0" xfId="0" applyNumberFormat="1" applyFont="1" applyFill="1" applyAlignment="1">
      <alignment horizontal="right"/>
    </xf>
    <xf numFmtId="0" fontId="22" fillId="0" borderId="0" xfId="0" applyFont="1" applyAlignment="1">
      <alignment horizontal="right"/>
    </xf>
    <xf numFmtId="0" fontId="27" fillId="0" borderId="0" xfId="0" applyFont="1">
      <alignment vertical="top"/>
    </xf>
    <xf numFmtId="173" fontId="3" fillId="2" borderId="0" xfId="0" applyNumberFormat="1" applyFont="1" applyFill="1">
      <alignment vertical="top"/>
    </xf>
    <xf numFmtId="0" fontId="5" fillId="2" borderId="8" xfId="0" applyFont="1" applyFill="1" applyBorder="1" applyAlignment="1">
      <alignment horizontal="center" vertical="center"/>
    </xf>
    <xf numFmtId="0" fontId="4" fillId="2" borderId="58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164" fontId="4" fillId="2" borderId="27" xfId="0" applyNumberFormat="1" applyFont="1" applyFill="1" applyBorder="1" applyAlignment="1">
      <alignment horizontal="center" vertical="center" wrapText="1"/>
    </xf>
    <xf numFmtId="164" fontId="4" fillId="2" borderId="28" xfId="0" applyNumberFormat="1" applyFont="1" applyFill="1" applyBorder="1" applyAlignment="1">
      <alignment horizontal="center" vertical="center" wrapText="1"/>
    </xf>
    <xf numFmtId="0" fontId="4" fillId="2" borderId="29" xfId="0" applyFont="1" applyFill="1" applyBorder="1" applyAlignment="1">
      <alignment horizontal="center" vertical="center" wrapText="1"/>
    </xf>
    <xf numFmtId="167" fontId="3" fillId="2" borderId="15" xfId="0" applyNumberFormat="1" applyFont="1" applyFill="1" applyBorder="1">
      <alignment vertical="top"/>
    </xf>
    <xf numFmtId="164" fontId="3" fillId="2" borderId="32" xfId="0" applyNumberFormat="1" applyFont="1" applyFill="1" applyBorder="1">
      <alignment vertical="top"/>
    </xf>
    <xf numFmtId="164" fontId="3" fillId="2" borderId="33" xfId="0" applyNumberFormat="1" applyFont="1" applyFill="1" applyBorder="1">
      <alignment vertical="top"/>
    </xf>
    <xf numFmtId="164" fontId="3" fillId="2" borderId="34" xfId="0" applyNumberFormat="1" applyFont="1" applyFill="1" applyBorder="1">
      <alignment vertical="top"/>
    </xf>
    <xf numFmtId="164" fontId="3" fillId="2" borderId="4" xfId="0" applyNumberFormat="1" applyFont="1" applyFill="1" applyBorder="1">
      <alignment vertical="top"/>
    </xf>
    <xf numFmtId="164" fontId="3" fillId="2" borderId="5" xfId="0" applyNumberFormat="1" applyFont="1" applyFill="1" applyBorder="1">
      <alignment vertical="top"/>
    </xf>
    <xf numFmtId="164" fontId="3" fillId="2" borderId="10" xfId="0" applyNumberFormat="1" applyFont="1" applyFill="1" applyBorder="1">
      <alignment vertical="top"/>
    </xf>
    <xf numFmtId="165" fontId="4" fillId="2" borderId="15" xfId="0" applyNumberFormat="1" applyFont="1" applyFill="1" applyBorder="1" applyAlignment="1">
      <alignment horizontal="right" vertical="center"/>
    </xf>
    <xf numFmtId="10" fontId="4" fillId="2" borderId="13" xfId="0" applyNumberFormat="1" applyFont="1" applyFill="1" applyBorder="1" applyAlignment="1">
      <alignment horizontal="right" vertical="center"/>
    </xf>
    <xf numFmtId="164" fontId="13" fillId="2" borderId="7" xfId="0" applyNumberFormat="1" applyFont="1" applyFill="1" applyBorder="1" applyAlignment="1">
      <alignment horizontal="right" vertical="center"/>
    </xf>
    <xf numFmtId="164" fontId="13" fillId="2" borderId="8" xfId="0" applyNumberFormat="1" applyFont="1" applyFill="1" applyBorder="1" applyAlignment="1">
      <alignment horizontal="right" vertical="center"/>
    </xf>
    <xf numFmtId="164" fontId="13" fillId="2" borderId="9" xfId="0" applyNumberFormat="1" applyFont="1" applyFill="1" applyBorder="1" applyAlignment="1">
      <alignment horizontal="right" vertical="center"/>
    </xf>
    <xf numFmtId="0" fontId="28" fillId="0" borderId="0" xfId="0" applyFont="1">
      <alignment vertical="top"/>
    </xf>
    <xf numFmtId="0" fontId="29" fillId="0" borderId="0" xfId="0" applyFont="1">
      <alignment vertical="top"/>
    </xf>
    <xf numFmtId="4" fontId="4" fillId="2" borderId="15" xfId="1" applyNumberFormat="1" applyFont="1" applyFill="1" applyBorder="1" applyAlignment="1">
      <alignment horizontal="right" vertical="center"/>
    </xf>
    <xf numFmtId="4" fontId="4" fillId="2" borderId="15" xfId="1" applyNumberFormat="1" applyFont="1" applyFill="1" applyBorder="1" applyAlignment="1" applyProtection="1">
      <alignment horizontal="right" vertical="center"/>
      <protection locked="0"/>
    </xf>
    <xf numFmtId="4" fontId="13" fillId="2" borderId="15" xfId="1" applyNumberFormat="1" applyFont="1" applyFill="1" applyBorder="1" applyAlignment="1">
      <alignment horizontal="right" vertical="center"/>
    </xf>
    <xf numFmtId="4" fontId="13" fillId="2" borderId="15" xfId="1" applyNumberFormat="1" applyFont="1" applyFill="1" applyBorder="1" applyAlignment="1" applyProtection="1">
      <alignment horizontal="right" vertical="center"/>
      <protection locked="0"/>
    </xf>
    <xf numFmtId="4" fontId="5" fillId="2" borderId="13" xfId="0" applyNumberFormat="1" applyFont="1" applyFill="1" applyBorder="1" applyAlignment="1" applyProtection="1">
      <alignment horizontal="right" vertical="center"/>
      <protection locked="0"/>
    </xf>
    <xf numFmtId="0" fontId="27" fillId="2" borderId="0" xfId="0" applyFont="1" applyFill="1">
      <alignment vertical="top"/>
    </xf>
    <xf numFmtId="2" fontId="17" fillId="2" borderId="15" xfId="0" applyNumberFormat="1" applyFont="1" applyFill="1" applyBorder="1" applyAlignment="1">
      <alignment horizontal="right" vertical="center"/>
    </xf>
    <xf numFmtId="0" fontId="30" fillId="0" borderId="0" xfId="0" applyFont="1">
      <alignment vertical="top"/>
    </xf>
    <xf numFmtId="2" fontId="18" fillId="2" borderId="15" xfId="0" applyNumberFormat="1" applyFont="1" applyFill="1" applyBorder="1" applyAlignment="1">
      <alignment horizontal="right" vertical="center"/>
    </xf>
    <xf numFmtId="4" fontId="18" fillId="2" borderId="13" xfId="0" applyNumberFormat="1" applyFont="1" applyFill="1" applyBorder="1" applyAlignment="1" applyProtection="1">
      <alignment horizontal="right" vertical="center"/>
      <protection locked="0"/>
    </xf>
    <xf numFmtId="0" fontId="30" fillId="2" borderId="0" xfId="0" applyFont="1" applyFill="1">
      <alignment vertical="top"/>
    </xf>
    <xf numFmtId="0" fontId="17" fillId="2" borderId="13" xfId="0" applyFont="1" applyFill="1" applyBorder="1" applyAlignment="1">
      <alignment horizontal="right" vertical="center"/>
    </xf>
    <xf numFmtId="4" fontId="9" fillId="15" borderId="15" xfId="0" applyNumberFormat="1" applyFont="1" applyFill="1" applyBorder="1" applyAlignment="1">
      <alignment horizontal="right" vertical="center"/>
    </xf>
    <xf numFmtId="4" fontId="5" fillId="2" borderId="15" xfId="0" applyNumberFormat="1" applyFont="1" applyFill="1" applyBorder="1" applyAlignment="1">
      <alignment horizontal="right" vertical="center"/>
    </xf>
    <xf numFmtId="4" fontId="5" fillId="0" borderId="15" xfId="0" applyNumberFormat="1" applyFont="1" applyBorder="1" applyAlignment="1">
      <alignment horizontal="right" vertical="center"/>
    </xf>
    <xf numFmtId="4" fontId="29" fillId="0" borderId="0" xfId="0" applyNumberFormat="1" applyFont="1">
      <alignment vertical="top"/>
    </xf>
    <xf numFmtId="0" fontId="6" fillId="2" borderId="15" xfId="0" applyFont="1" applyFill="1" applyBorder="1" applyAlignment="1">
      <alignment horizontal="center" vertical="center"/>
    </xf>
    <xf numFmtId="0" fontId="6" fillId="2" borderId="30" xfId="0" applyFont="1" applyFill="1" applyBorder="1" applyAlignment="1">
      <alignment horizontal="center" vertical="center"/>
    </xf>
    <xf numFmtId="164" fontId="4" fillId="2" borderId="24" xfId="0" applyNumberFormat="1" applyFont="1" applyFill="1" applyBorder="1" applyAlignment="1">
      <alignment horizontal="right" vertical="center"/>
    </xf>
    <xf numFmtId="164" fontId="4" fillId="2" borderId="25" xfId="0" applyNumberFormat="1" applyFont="1" applyFill="1" applyBorder="1" applyAlignment="1">
      <alignment horizontal="right" vertical="center"/>
    </xf>
    <xf numFmtId="164" fontId="4" fillId="2" borderId="26" xfId="0" applyNumberFormat="1" applyFont="1" applyFill="1" applyBorder="1" applyAlignment="1">
      <alignment horizontal="right" vertical="center"/>
    </xf>
    <xf numFmtId="164" fontId="6" fillId="6" borderId="59" xfId="0" applyNumberFormat="1" applyFont="1" applyFill="1" applyBorder="1" applyAlignment="1">
      <alignment horizontal="right" vertical="center"/>
    </xf>
    <xf numFmtId="164" fontId="6" fillId="6" borderId="60" xfId="0" applyNumberFormat="1" applyFont="1" applyFill="1" applyBorder="1" applyAlignment="1">
      <alignment horizontal="right" vertical="center"/>
    </xf>
    <xf numFmtId="164" fontId="6" fillId="6" borderId="61" xfId="0" applyNumberFormat="1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center" vertical="center"/>
    </xf>
    <xf numFmtId="0" fontId="4" fillId="2" borderId="37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left" vertical="center" indent="1"/>
    </xf>
    <xf numFmtId="4" fontId="10" fillId="2" borderId="0" xfId="0" applyNumberFormat="1" applyFont="1" applyFill="1" applyAlignment="1">
      <alignment horizontal="right" vertical="center"/>
    </xf>
    <xf numFmtId="0" fontId="10" fillId="2" borderId="0" xfId="0" applyFont="1" applyFill="1" applyAlignment="1">
      <alignment horizontal="right" vertical="top"/>
    </xf>
    <xf numFmtId="0" fontId="4" fillId="0" borderId="4" xfId="0" applyFont="1" applyBorder="1" applyAlignment="1">
      <alignment horizontal="center" vertical="top"/>
    </xf>
    <xf numFmtId="0" fontId="3" fillId="0" borderId="5" xfId="0" applyFont="1" applyBorder="1" applyAlignment="1">
      <alignment vertical="center" wrapText="1"/>
    </xf>
    <xf numFmtId="0" fontId="3" fillId="0" borderId="6" xfId="0" applyFont="1" applyBorder="1" applyAlignment="1">
      <alignment horizontal="center" vertical="center" wrapText="1"/>
    </xf>
    <xf numFmtId="4" fontId="4" fillId="2" borderId="7" xfId="0" applyNumberFormat="1" applyFont="1" applyFill="1" applyBorder="1" applyAlignment="1">
      <alignment horizontal="right" vertical="center"/>
    </xf>
    <xf numFmtId="4" fontId="4" fillId="2" borderId="8" xfId="0" applyNumberFormat="1" applyFont="1" applyFill="1" applyBorder="1" applyAlignment="1">
      <alignment horizontal="right" vertical="center"/>
    </xf>
    <xf numFmtId="4" fontId="4" fillId="2" borderId="9" xfId="0" applyNumberFormat="1" applyFont="1" applyFill="1" applyBorder="1" applyAlignment="1">
      <alignment horizontal="right" vertical="center"/>
    </xf>
    <xf numFmtId="4" fontId="4" fillId="2" borderId="11" xfId="0" applyNumberFormat="1" applyFont="1" applyFill="1" applyBorder="1" applyAlignment="1">
      <alignment horizontal="right" vertical="center"/>
    </xf>
    <xf numFmtId="4" fontId="4" fillId="2" borderId="48" xfId="0" applyNumberFormat="1" applyFont="1" applyFill="1" applyBorder="1" applyAlignment="1">
      <alignment horizontal="right" vertical="center"/>
    </xf>
    <xf numFmtId="2" fontId="3" fillId="0" borderId="7" xfId="0" applyNumberFormat="1" applyFont="1" applyBorder="1" applyAlignment="1">
      <alignment horizontal="right" vertical="center"/>
    </xf>
    <xf numFmtId="2" fontId="3" fillId="2" borderId="8" xfId="0" applyNumberFormat="1" applyFont="1" applyFill="1" applyBorder="1" applyAlignment="1">
      <alignment horizontal="right" vertical="center"/>
    </xf>
    <xf numFmtId="2" fontId="3" fillId="2" borderId="58" xfId="0" applyNumberFormat="1" applyFont="1" applyFill="1" applyBorder="1" applyAlignment="1">
      <alignment horizontal="right" vertical="center"/>
    </xf>
    <xf numFmtId="2" fontId="3" fillId="2" borderId="7" xfId="0" applyNumberFormat="1" applyFont="1" applyFill="1" applyBorder="1" applyAlignment="1">
      <alignment vertical="center"/>
    </xf>
    <xf numFmtId="2" fontId="3" fillId="2" borderId="8" xfId="0" applyNumberFormat="1" applyFont="1" applyFill="1" applyBorder="1" applyAlignment="1">
      <alignment vertical="center"/>
    </xf>
    <xf numFmtId="2" fontId="3" fillId="2" borderId="58" xfId="0" applyNumberFormat="1" applyFont="1" applyFill="1" applyBorder="1" applyAlignment="1">
      <alignment vertical="center"/>
    </xf>
    <xf numFmtId="2" fontId="3" fillId="2" borderId="9" xfId="0" applyNumberFormat="1" applyFont="1" applyFill="1" applyBorder="1" applyAlignment="1">
      <alignment vertical="center"/>
    </xf>
    <xf numFmtId="2" fontId="3" fillId="2" borderId="63" xfId="0" applyNumberFormat="1" applyFont="1" applyFill="1" applyBorder="1" applyAlignment="1">
      <alignment vertical="center"/>
    </xf>
    <xf numFmtId="4" fontId="4" fillId="2" borderId="58" xfId="0" applyNumberFormat="1" applyFont="1" applyFill="1" applyBorder="1" applyAlignment="1">
      <alignment horizontal="right" vertical="center"/>
    </xf>
    <xf numFmtId="0" fontId="4" fillId="0" borderId="27" xfId="0" applyFont="1" applyBorder="1" applyAlignment="1">
      <alignment horizontal="center" vertical="top"/>
    </xf>
    <xf numFmtId="0" fontId="3" fillId="0" borderId="28" xfId="0" applyFont="1" applyBorder="1" applyAlignment="1">
      <alignment vertical="center" wrapText="1"/>
    </xf>
    <xf numFmtId="0" fontId="3" fillId="0" borderId="30" xfId="0" applyFont="1" applyBorder="1" applyAlignment="1">
      <alignment horizontal="center" vertical="center" wrapText="1"/>
    </xf>
    <xf numFmtId="4" fontId="4" fillId="2" borderId="31" xfId="0" applyNumberFormat="1" applyFont="1" applyFill="1" applyBorder="1" applyAlignment="1">
      <alignment horizontal="right" vertical="center"/>
    </xf>
    <xf numFmtId="4" fontId="4" fillId="2" borderId="28" xfId="0" applyNumberFormat="1" applyFont="1" applyFill="1" applyBorder="1" applyAlignment="1">
      <alignment horizontal="right" vertical="center"/>
    </xf>
    <xf numFmtId="4" fontId="4" fillId="2" borderId="64" xfId="0" applyNumberFormat="1" applyFont="1" applyFill="1" applyBorder="1" applyAlignment="1">
      <alignment horizontal="right" vertical="center"/>
    </xf>
    <xf numFmtId="2" fontId="3" fillId="0" borderId="24" xfId="0" applyNumberFormat="1" applyFont="1" applyBorder="1" applyAlignment="1">
      <alignment horizontal="right" vertical="center"/>
    </xf>
    <xf numFmtId="2" fontId="3" fillId="2" borderId="25" xfId="0" applyNumberFormat="1" applyFont="1" applyFill="1" applyBorder="1" applyAlignment="1">
      <alignment horizontal="right" vertical="center"/>
    </xf>
    <xf numFmtId="2" fontId="3" fillId="2" borderId="37" xfId="0" applyNumberFormat="1" applyFont="1" applyFill="1" applyBorder="1" applyAlignment="1">
      <alignment horizontal="right" vertical="center"/>
    </xf>
    <xf numFmtId="2" fontId="3" fillId="2" borderId="24" xfId="0" applyNumberFormat="1" applyFont="1" applyFill="1" applyBorder="1" applyAlignment="1">
      <alignment vertical="center"/>
    </xf>
    <xf numFmtId="2" fontId="3" fillId="2" borderId="25" xfId="0" applyNumberFormat="1" applyFont="1" applyFill="1" applyBorder="1" applyAlignment="1">
      <alignment vertical="center"/>
    </xf>
    <xf numFmtId="2" fontId="3" fillId="2" borderId="37" xfId="0" applyNumberFormat="1" applyFont="1" applyFill="1" applyBorder="1" applyAlignment="1">
      <alignment vertical="center"/>
    </xf>
    <xf numFmtId="2" fontId="3" fillId="2" borderId="26" xfId="0" applyNumberFormat="1" applyFont="1" applyFill="1" applyBorder="1" applyAlignment="1">
      <alignment vertical="center"/>
    </xf>
    <xf numFmtId="2" fontId="3" fillId="2" borderId="38" xfId="0" applyNumberFormat="1" applyFont="1" applyFill="1" applyBorder="1" applyAlignment="1">
      <alignment vertical="center"/>
    </xf>
    <xf numFmtId="4" fontId="4" fillId="0" borderId="24" xfId="0" applyNumberFormat="1" applyFont="1" applyBorder="1" applyAlignment="1">
      <alignment horizontal="right" vertical="center"/>
    </xf>
    <xf numFmtId="0" fontId="4" fillId="0" borderId="65" xfId="0" applyFont="1" applyBorder="1" applyAlignment="1">
      <alignment horizontal="center" vertical="top"/>
    </xf>
    <xf numFmtId="0" fontId="3" fillId="0" borderId="66" xfId="0" applyFont="1" applyBorder="1" applyAlignment="1">
      <alignment vertical="center" wrapText="1"/>
    </xf>
    <xf numFmtId="0" fontId="3" fillId="0" borderId="67" xfId="0" applyFont="1" applyBorder="1" applyAlignment="1">
      <alignment horizontal="center" vertical="center" wrapText="1"/>
    </xf>
    <xf numFmtId="165" fontId="4" fillId="2" borderId="65" xfId="0" applyNumberFormat="1" applyFont="1" applyFill="1" applyBorder="1" applyAlignment="1">
      <alignment horizontal="right" vertical="center"/>
    </xf>
    <xf numFmtId="165" fontId="4" fillId="2" borderId="66" xfId="0" applyNumberFormat="1" applyFont="1" applyFill="1" applyBorder="1" applyAlignment="1">
      <alignment horizontal="right" vertical="center"/>
    </xf>
    <xf numFmtId="165" fontId="4" fillId="2" borderId="68" xfId="0" applyNumberFormat="1" applyFont="1" applyFill="1" applyBorder="1" applyAlignment="1">
      <alignment horizontal="right" vertical="center"/>
    </xf>
    <xf numFmtId="165" fontId="4" fillId="2" borderId="69" xfId="0" applyNumberFormat="1" applyFont="1" applyFill="1" applyBorder="1" applyAlignment="1">
      <alignment horizontal="right" vertical="center"/>
    </xf>
    <xf numFmtId="165" fontId="4" fillId="2" borderId="0" xfId="0" applyNumberFormat="1" applyFont="1" applyFill="1" applyAlignment="1">
      <alignment horizontal="right" vertical="center"/>
    </xf>
    <xf numFmtId="165" fontId="3" fillId="0" borderId="65" xfId="0" applyNumberFormat="1" applyFont="1" applyBorder="1" applyAlignment="1">
      <alignment horizontal="right" vertical="center"/>
    </xf>
    <xf numFmtId="165" fontId="3" fillId="2" borderId="66" xfId="0" applyNumberFormat="1" applyFont="1" applyFill="1" applyBorder="1" applyAlignment="1">
      <alignment horizontal="right" vertical="center"/>
    </xf>
    <xf numFmtId="165" fontId="3" fillId="2" borderId="67" xfId="0" applyNumberFormat="1" applyFont="1" applyFill="1" applyBorder="1" applyAlignment="1">
      <alignment horizontal="right" vertical="center"/>
    </xf>
    <xf numFmtId="165" fontId="3" fillId="2" borderId="65" xfId="0" applyNumberFormat="1" applyFont="1" applyFill="1" applyBorder="1" applyAlignment="1">
      <alignment vertical="center"/>
    </xf>
    <xf numFmtId="165" fontId="3" fillId="2" borderId="66" xfId="0" applyNumberFormat="1" applyFont="1" applyFill="1" applyBorder="1" applyAlignment="1">
      <alignment vertical="center"/>
    </xf>
    <xf numFmtId="165" fontId="3" fillId="2" borderId="67" xfId="0" applyNumberFormat="1" applyFont="1" applyFill="1" applyBorder="1" applyAlignment="1">
      <alignment vertical="center"/>
    </xf>
    <xf numFmtId="165" fontId="3" fillId="2" borderId="32" xfId="0" applyNumberFormat="1" applyFont="1" applyFill="1" applyBorder="1" applyAlignment="1">
      <alignment vertical="center"/>
    </xf>
    <xf numFmtId="165" fontId="3" fillId="2" borderId="33" xfId="0" applyNumberFormat="1" applyFont="1" applyFill="1" applyBorder="1" applyAlignment="1">
      <alignment vertical="center"/>
    </xf>
    <xf numFmtId="165" fontId="3" fillId="2" borderId="34" xfId="0" applyNumberFormat="1" applyFont="1" applyFill="1" applyBorder="1" applyAlignment="1">
      <alignment vertical="center"/>
    </xf>
    <xf numFmtId="165" fontId="3" fillId="2" borderId="69" xfId="0" applyNumberFormat="1" applyFont="1" applyFill="1" applyBorder="1" applyAlignment="1">
      <alignment vertical="center"/>
    </xf>
    <xf numFmtId="165" fontId="4" fillId="2" borderId="32" xfId="0" applyNumberFormat="1" applyFont="1" applyFill="1" applyBorder="1" applyAlignment="1">
      <alignment horizontal="right" vertical="center"/>
    </xf>
    <xf numFmtId="165" fontId="4" fillId="2" borderId="33" xfId="0" applyNumberFormat="1" applyFont="1" applyFill="1" applyBorder="1" applyAlignment="1">
      <alignment horizontal="right" vertical="center"/>
    </xf>
    <xf numFmtId="165" fontId="4" fillId="2" borderId="34" xfId="0" applyNumberFormat="1" applyFont="1" applyFill="1" applyBorder="1" applyAlignment="1">
      <alignment horizontal="right" vertical="center"/>
    </xf>
    <xf numFmtId="165" fontId="4" fillId="2" borderId="36" xfId="0" applyNumberFormat="1" applyFont="1" applyFill="1" applyBorder="1" applyAlignment="1">
      <alignment horizontal="right" vertical="center"/>
    </xf>
    <xf numFmtId="165" fontId="4" fillId="2" borderId="70" xfId="0" applyNumberFormat="1" applyFont="1" applyFill="1" applyBorder="1" applyAlignment="1">
      <alignment horizontal="right" vertical="center"/>
    </xf>
    <xf numFmtId="165" fontId="4" fillId="2" borderId="71" xfId="0" applyNumberFormat="1" applyFont="1" applyFill="1" applyBorder="1" applyAlignment="1">
      <alignment horizontal="right" vertical="center"/>
    </xf>
    <xf numFmtId="165" fontId="4" fillId="2" borderId="72" xfId="0" applyNumberFormat="1" applyFont="1" applyFill="1" applyBorder="1" applyAlignment="1">
      <alignment horizontal="right" vertical="center"/>
    </xf>
    <xf numFmtId="165" fontId="4" fillId="2" borderId="73" xfId="0" applyNumberFormat="1" applyFont="1" applyFill="1" applyBorder="1" applyAlignment="1">
      <alignment horizontal="right" vertical="center"/>
    </xf>
    <xf numFmtId="0" fontId="27" fillId="6" borderId="73" xfId="0" applyFont="1" applyFill="1" applyBorder="1">
      <alignment vertical="top"/>
    </xf>
    <xf numFmtId="0" fontId="4" fillId="0" borderId="7" xfId="0" applyFont="1" applyBorder="1" applyAlignment="1">
      <alignment horizontal="center" vertical="top"/>
    </xf>
    <xf numFmtId="0" fontId="3" fillId="0" borderId="8" xfId="0" applyFont="1" applyBorder="1" applyAlignment="1">
      <alignment vertical="center" wrapText="1"/>
    </xf>
    <xf numFmtId="0" fontId="3" fillId="0" borderId="58" xfId="0" applyFont="1" applyBorder="1" applyAlignment="1">
      <alignment horizontal="center" vertical="center" wrapText="1"/>
    </xf>
    <xf numFmtId="2" fontId="4" fillId="2" borderId="7" xfId="0" applyNumberFormat="1" applyFont="1" applyFill="1" applyBorder="1" applyAlignment="1">
      <alignment horizontal="right" vertical="center"/>
    </xf>
    <xf numFmtId="2" fontId="4" fillId="2" borderId="8" xfId="0" applyNumberFormat="1" applyFont="1" applyFill="1" applyBorder="1" applyAlignment="1">
      <alignment horizontal="right" vertical="center"/>
    </xf>
    <xf numFmtId="2" fontId="4" fillId="2" borderId="58" xfId="0" applyNumberFormat="1" applyFont="1" applyFill="1" applyBorder="1" applyAlignment="1">
      <alignment horizontal="right" vertical="center"/>
    </xf>
    <xf numFmtId="2" fontId="3" fillId="2" borderId="7" xfId="0" applyNumberFormat="1" applyFont="1" applyFill="1" applyBorder="1" applyAlignment="1">
      <alignment horizontal="right" vertical="center"/>
    </xf>
    <xf numFmtId="4" fontId="4" fillId="2" borderId="63" xfId="0" applyNumberFormat="1" applyFont="1" applyFill="1" applyBorder="1" applyAlignment="1">
      <alignment horizontal="right" vertical="center"/>
    </xf>
    <xf numFmtId="0" fontId="4" fillId="0" borderId="24" xfId="0" applyFont="1" applyBorder="1" applyAlignment="1">
      <alignment horizontal="center" vertical="top"/>
    </xf>
    <xf numFmtId="0" fontId="3" fillId="0" borderId="25" xfId="0" applyFont="1" applyBorder="1" applyAlignment="1">
      <alignment vertical="center" wrapText="1"/>
    </xf>
    <xf numFmtId="0" fontId="3" fillId="0" borderId="37" xfId="0" applyFont="1" applyBorder="1" applyAlignment="1">
      <alignment horizontal="center" vertical="center" wrapText="1"/>
    </xf>
    <xf numFmtId="165" fontId="4" fillId="2" borderId="24" xfId="0" applyNumberFormat="1" applyFont="1" applyFill="1" applyBorder="1" applyAlignment="1">
      <alignment horizontal="right" vertical="center"/>
    </xf>
    <xf numFmtId="165" fontId="4" fillId="2" borderId="25" xfId="0" applyNumberFormat="1" applyFont="1" applyFill="1" applyBorder="1" applyAlignment="1">
      <alignment horizontal="right" vertical="center"/>
    </xf>
    <xf numFmtId="165" fontId="4" fillId="2" borderId="37" xfId="0" applyNumberFormat="1" applyFont="1" applyFill="1" applyBorder="1" applyAlignment="1">
      <alignment horizontal="right" vertical="center"/>
    </xf>
    <xf numFmtId="165" fontId="3" fillId="0" borderId="24" xfId="0" applyNumberFormat="1" applyFont="1" applyBorder="1" applyAlignment="1">
      <alignment horizontal="right" vertical="center"/>
    </xf>
    <xf numFmtId="165" fontId="3" fillId="2" borderId="25" xfId="0" applyNumberFormat="1" applyFont="1" applyFill="1" applyBorder="1" applyAlignment="1">
      <alignment horizontal="right" vertical="center"/>
    </xf>
    <xf numFmtId="165" fontId="3" fillId="2" borderId="37" xfId="0" applyNumberFormat="1" applyFont="1" applyFill="1" applyBorder="1" applyAlignment="1">
      <alignment horizontal="right" vertical="center"/>
    </xf>
    <xf numFmtId="165" fontId="3" fillId="2" borderId="24" xfId="0" applyNumberFormat="1" applyFont="1" applyFill="1" applyBorder="1" applyAlignment="1">
      <alignment horizontal="right" vertical="center"/>
    </xf>
    <xf numFmtId="165" fontId="3" fillId="2" borderId="24" xfId="0" applyNumberFormat="1" applyFont="1" applyFill="1" applyBorder="1" applyAlignment="1">
      <alignment vertical="center"/>
    </xf>
    <xf numFmtId="165" fontId="3" fillId="2" borderId="25" xfId="0" applyNumberFormat="1" applyFont="1" applyFill="1" applyBorder="1" applyAlignment="1">
      <alignment vertical="center"/>
    </xf>
    <xf numFmtId="165" fontId="3" fillId="2" borderId="37" xfId="0" applyNumberFormat="1" applyFont="1" applyFill="1" applyBorder="1" applyAlignment="1">
      <alignment vertical="center"/>
    </xf>
    <xf numFmtId="165" fontId="4" fillId="2" borderId="26" xfId="0" applyNumberFormat="1" applyFont="1" applyFill="1" applyBorder="1" applyAlignment="1">
      <alignment horizontal="right" vertical="center"/>
    </xf>
    <xf numFmtId="0" fontId="4" fillId="2" borderId="76" xfId="0" applyFont="1" applyFill="1" applyBorder="1" applyAlignment="1">
      <alignment horizontal="center" vertical="center"/>
    </xf>
    <xf numFmtId="0" fontId="4" fillId="2" borderId="39" xfId="0" applyFont="1" applyFill="1" applyBorder="1" applyAlignment="1">
      <alignment horizontal="left" vertical="center" indent="1"/>
    </xf>
    <xf numFmtId="49" fontId="4" fillId="2" borderId="0" xfId="0" applyNumberFormat="1" applyFont="1" applyFill="1" applyAlignment="1">
      <alignment horizontal="left" vertical="center" indent="1"/>
    </xf>
    <xf numFmtId="0" fontId="31" fillId="0" borderId="0" xfId="0" applyFont="1">
      <alignment vertical="top"/>
    </xf>
    <xf numFmtId="164" fontId="15" fillId="2" borderId="13" xfId="0" applyNumberFormat="1" applyFont="1" applyFill="1" applyBorder="1" applyAlignment="1">
      <alignment horizontal="right" vertical="center"/>
    </xf>
    <xf numFmtId="4" fontId="9" fillId="11" borderId="13" xfId="0" applyNumberFormat="1" applyFont="1" applyFill="1" applyBorder="1" applyAlignment="1">
      <alignment horizontal="right" vertical="center"/>
    </xf>
    <xf numFmtId="0" fontId="25" fillId="2" borderId="15" xfId="0" applyFont="1" applyFill="1" applyBorder="1" applyAlignment="1">
      <alignment horizontal="center" vertical="center"/>
    </xf>
    <xf numFmtId="4" fontId="21" fillId="2" borderId="13" xfId="0" applyNumberFormat="1" applyFont="1" applyFill="1" applyBorder="1" applyAlignment="1">
      <alignment horizontal="right" vertical="center"/>
    </xf>
    <xf numFmtId="4" fontId="6" fillId="2" borderId="24" xfId="0" applyNumberFormat="1" applyFont="1" applyFill="1" applyBorder="1" applyAlignment="1" applyProtection="1">
      <alignment horizontal="right" vertical="center"/>
      <protection locked="0"/>
    </xf>
    <xf numFmtId="4" fontId="6" fillId="2" borderId="25" xfId="0" applyNumberFormat="1" applyFont="1" applyFill="1" applyBorder="1" applyAlignment="1" applyProtection="1">
      <alignment horizontal="right" vertical="center"/>
      <protection locked="0"/>
    </xf>
    <xf numFmtId="4" fontId="6" fillId="2" borderId="37" xfId="0" applyNumberFormat="1" applyFont="1" applyFill="1" applyBorder="1" applyAlignment="1" applyProtection="1">
      <alignment horizontal="right" vertical="center"/>
      <protection locked="0"/>
    </xf>
    <xf numFmtId="170" fontId="6" fillId="2" borderId="24" xfId="0" applyNumberFormat="1" applyFont="1" applyFill="1" applyBorder="1" applyAlignment="1" applyProtection="1">
      <alignment horizontal="right" vertical="center"/>
      <protection locked="0"/>
    </xf>
    <xf numFmtId="170" fontId="6" fillId="2" borderId="25" xfId="0" applyNumberFormat="1" applyFont="1" applyFill="1" applyBorder="1" applyAlignment="1" applyProtection="1">
      <alignment horizontal="right" vertical="center"/>
      <protection locked="0"/>
    </xf>
    <xf numFmtId="170" fontId="6" fillId="2" borderId="37" xfId="0" applyNumberFormat="1" applyFont="1" applyFill="1" applyBorder="1" applyAlignment="1" applyProtection="1">
      <alignment horizontal="right" vertical="center"/>
      <protection locked="0"/>
    </xf>
    <xf numFmtId="170" fontId="6" fillId="2" borderId="26" xfId="0" applyNumberFormat="1" applyFont="1" applyFill="1" applyBorder="1" applyAlignment="1" applyProtection="1">
      <alignment horizontal="right" vertical="center"/>
      <protection locked="0"/>
    </xf>
    <xf numFmtId="164" fontId="6" fillId="2" borderId="24" xfId="0" applyNumberFormat="1" applyFont="1" applyFill="1" applyBorder="1" applyAlignment="1">
      <alignment horizontal="right" vertical="center"/>
    </xf>
    <xf numFmtId="164" fontId="6" fillId="2" borderId="25" xfId="0" applyNumberFormat="1" applyFont="1" applyFill="1" applyBorder="1" applyAlignment="1">
      <alignment horizontal="right" vertical="center"/>
    </xf>
    <xf numFmtId="164" fontId="6" fillId="2" borderId="26" xfId="0" applyNumberFormat="1" applyFont="1" applyFill="1" applyBorder="1" applyAlignment="1">
      <alignment horizontal="right" vertical="center"/>
    </xf>
    <xf numFmtId="4" fontId="6" fillId="11" borderId="59" xfId="0" applyNumberFormat="1" applyFont="1" applyFill="1" applyBorder="1" applyAlignment="1">
      <alignment horizontal="right" vertical="center"/>
    </xf>
    <xf numFmtId="4" fontId="6" fillId="11" borderId="60" xfId="0" applyNumberFormat="1" applyFont="1" applyFill="1" applyBorder="1" applyAlignment="1">
      <alignment horizontal="right" vertical="center"/>
    </xf>
    <xf numFmtId="4" fontId="6" fillId="11" borderId="74" xfId="0" applyNumberFormat="1" applyFont="1" applyFill="1" applyBorder="1" applyAlignment="1">
      <alignment horizontal="right" vertical="center"/>
    </xf>
    <xf numFmtId="4" fontId="6" fillId="11" borderId="61" xfId="0" applyNumberFormat="1" applyFont="1" applyFill="1" applyBorder="1" applyAlignment="1">
      <alignment horizontal="right" vertical="center"/>
    </xf>
    <xf numFmtId="4" fontId="6" fillId="11" borderId="75" xfId="0" applyNumberFormat="1" applyFont="1" applyFill="1" applyBorder="1" applyAlignment="1">
      <alignment horizontal="right" vertical="center"/>
    </xf>
    <xf numFmtId="164" fontId="6" fillId="11" borderId="59" xfId="0" applyNumberFormat="1" applyFont="1" applyFill="1" applyBorder="1" applyAlignment="1">
      <alignment horizontal="right" vertical="center"/>
    </xf>
    <xf numFmtId="164" fontId="6" fillId="11" borderId="60" xfId="0" applyNumberFormat="1" applyFont="1" applyFill="1" applyBorder="1" applyAlignment="1">
      <alignment horizontal="right" vertical="center"/>
    </xf>
    <xf numFmtId="164" fontId="6" fillId="11" borderId="61" xfId="0" applyNumberFormat="1" applyFont="1" applyFill="1" applyBorder="1" applyAlignment="1">
      <alignment horizontal="right" vertical="center"/>
    </xf>
    <xf numFmtId="167" fontId="4" fillId="2" borderId="0" xfId="0" applyNumberFormat="1" applyFont="1" applyFill="1" applyAlignment="1">
      <alignment horizontal="right" vertical="center"/>
    </xf>
    <xf numFmtId="4" fontId="4" fillId="2" borderId="27" xfId="0" applyNumberFormat="1" applyFont="1" applyFill="1" applyBorder="1" applyAlignment="1">
      <alignment horizontal="right" vertical="center"/>
    </xf>
    <xf numFmtId="4" fontId="4" fillId="2" borderId="29" xfId="0" applyNumberFormat="1" applyFont="1" applyFill="1" applyBorder="1" applyAlignment="1">
      <alignment horizontal="right" vertical="center"/>
    </xf>
    <xf numFmtId="4" fontId="4" fillId="2" borderId="30" xfId="0" applyNumberFormat="1" applyFont="1" applyFill="1" applyBorder="1" applyAlignment="1">
      <alignment horizontal="right" vertical="center"/>
    </xf>
    <xf numFmtId="4" fontId="5" fillId="2" borderId="16" xfId="0" applyNumberFormat="1" applyFont="1" applyFill="1" applyBorder="1" applyAlignment="1" applyProtection="1">
      <alignment horizontal="right" vertical="center"/>
      <protection locked="0"/>
    </xf>
    <xf numFmtId="0" fontId="5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left" vertical="center" indent="1"/>
    </xf>
    <xf numFmtId="0" fontId="32" fillId="0" borderId="0" xfId="0" applyFont="1">
      <alignment vertical="top"/>
    </xf>
    <xf numFmtId="0" fontId="6" fillId="0" borderId="0" xfId="0" applyFont="1" applyAlignment="1">
      <alignment horizontal="left" vertical="center"/>
    </xf>
    <xf numFmtId="0" fontId="4" fillId="0" borderId="70" xfId="0" applyFont="1" applyBorder="1" applyAlignment="1">
      <alignment horizontal="center" vertical="center" wrapText="1"/>
    </xf>
    <xf numFmtId="0" fontId="4" fillId="2" borderId="71" xfId="0" applyFont="1" applyFill="1" applyBorder="1" applyAlignment="1">
      <alignment horizontal="left" vertical="center" wrapText="1"/>
    </xf>
    <xf numFmtId="0" fontId="4" fillId="2" borderId="72" xfId="0" applyFont="1" applyFill="1" applyBorder="1" applyAlignment="1">
      <alignment horizontal="center" vertical="center" wrapText="1"/>
    </xf>
    <xf numFmtId="165" fontId="4" fillId="2" borderId="35" xfId="0" applyNumberFormat="1" applyFont="1" applyFill="1" applyBorder="1" applyAlignment="1">
      <alignment horizontal="right" vertical="center"/>
    </xf>
    <xf numFmtId="165" fontId="4" fillId="0" borderId="36" xfId="0" applyNumberFormat="1" applyFont="1" applyBorder="1" applyAlignment="1">
      <alignment horizontal="right" vertical="center"/>
    </xf>
    <xf numFmtId="167" fontId="4" fillId="0" borderId="32" xfId="0" applyNumberFormat="1" applyFont="1" applyBorder="1" applyAlignment="1">
      <alignment horizontal="right" vertical="center"/>
    </xf>
    <xf numFmtId="167" fontId="4" fillId="2" borderId="33" xfId="0" applyNumberFormat="1" applyFont="1" applyFill="1" applyBorder="1" applyAlignment="1">
      <alignment horizontal="right" vertical="center"/>
    </xf>
    <xf numFmtId="167" fontId="4" fillId="2" borderId="35" xfId="0" applyNumberFormat="1" applyFont="1" applyFill="1" applyBorder="1" applyAlignment="1">
      <alignment horizontal="right" vertical="center"/>
    </xf>
    <xf numFmtId="0" fontId="4" fillId="0" borderId="4" xfId="0" applyFont="1" applyBorder="1" applyAlignment="1">
      <alignment horizontal="center" vertical="center" wrapText="1"/>
    </xf>
    <xf numFmtId="0" fontId="4" fillId="2" borderId="5" xfId="0" applyFont="1" applyFill="1" applyBorder="1" applyAlignment="1">
      <alignment horizontal="left" vertical="center" wrapText="1"/>
    </xf>
    <xf numFmtId="4" fontId="5" fillId="2" borderId="4" xfId="0" applyNumberFormat="1" applyFont="1" applyFill="1" applyBorder="1" applyAlignment="1">
      <alignment horizontal="right" vertical="center"/>
    </xf>
    <xf numFmtId="4" fontId="4" fillId="0" borderId="7" xfId="0" applyNumberFormat="1" applyFont="1" applyBorder="1" applyAlignment="1">
      <alignment horizontal="right" vertical="center"/>
    </xf>
    <xf numFmtId="0" fontId="4" fillId="0" borderId="12" xfId="0" applyFont="1" applyBorder="1" applyAlignment="1">
      <alignment horizontal="center" vertical="center" wrapText="1"/>
    </xf>
    <xf numFmtId="0" fontId="4" fillId="0" borderId="24" xfId="0" applyFont="1" applyBorder="1" applyAlignment="1">
      <alignment horizontal="center" vertical="center" wrapText="1"/>
    </xf>
    <xf numFmtId="0" fontId="4" fillId="2" borderId="25" xfId="0" applyFont="1" applyFill="1" applyBorder="1" applyAlignment="1">
      <alignment horizontal="left" vertical="center" wrapText="1"/>
    </xf>
    <xf numFmtId="0" fontId="4" fillId="2" borderId="37" xfId="0" applyFont="1" applyFill="1" applyBorder="1" applyAlignment="1">
      <alignment horizontal="center" vertical="center" wrapText="1"/>
    </xf>
    <xf numFmtId="165" fontId="4" fillId="2" borderId="4" xfId="0" applyNumberFormat="1" applyFont="1" applyFill="1" applyBorder="1" applyAlignment="1">
      <alignment horizontal="right" vertical="center"/>
    </xf>
    <xf numFmtId="165" fontId="4" fillId="2" borderId="5" xfId="0" applyNumberFormat="1" applyFont="1" applyFill="1" applyBorder="1" applyAlignment="1">
      <alignment horizontal="right" vertical="center"/>
    </xf>
    <xf numFmtId="165" fontId="4" fillId="2" borderId="6" xfId="0" applyNumberFormat="1" applyFont="1" applyFill="1" applyBorder="1" applyAlignment="1">
      <alignment horizontal="right" vertical="center"/>
    </xf>
    <xf numFmtId="165" fontId="4" fillId="2" borderId="7" xfId="0" applyNumberFormat="1" applyFont="1" applyFill="1" applyBorder="1" applyAlignment="1">
      <alignment horizontal="right" vertical="center"/>
    </xf>
    <xf numFmtId="165" fontId="4" fillId="2" borderId="8" xfId="0" applyNumberFormat="1" applyFont="1" applyFill="1" applyBorder="1" applyAlignment="1">
      <alignment horizontal="right" vertical="center"/>
    </xf>
    <xf numFmtId="165" fontId="4" fillId="2" borderId="9" xfId="0" applyNumberFormat="1" applyFont="1" applyFill="1" applyBorder="1" applyAlignment="1">
      <alignment horizontal="right" vertical="center"/>
    </xf>
    <xf numFmtId="165" fontId="4" fillId="2" borderId="63" xfId="0" applyNumberFormat="1" applyFont="1" applyFill="1" applyBorder="1" applyAlignment="1">
      <alignment horizontal="right" vertical="center"/>
    </xf>
    <xf numFmtId="165" fontId="4" fillId="2" borderId="38" xfId="0" applyNumberFormat="1" applyFont="1" applyFill="1" applyBorder="1" applyAlignment="1">
      <alignment horizontal="right" vertical="center"/>
    </xf>
    <xf numFmtId="0" fontId="4" fillId="2" borderId="63" xfId="0" applyFont="1" applyFill="1" applyBorder="1" applyAlignment="1">
      <alignment horizontal="center" vertical="center"/>
    </xf>
    <xf numFmtId="0" fontId="6" fillId="13" borderId="15" xfId="0" applyFont="1" applyFill="1" applyBorder="1" applyAlignment="1">
      <alignment horizontal="center" vertical="center"/>
    </xf>
    <xf numFmtId="4" fontId="6" fillId="13" borderId="15" xfId="0" applyNumberFormat="1" applyFont="1" applyFill="1" applyBorder="1" applyAlignment="1">
      <alignment horizontal="right" vertical="center"/>
    </xf>
    <xf numFmtId="4" fontId="13" fillId="2" borderId="16" xfId="0" applyNumberFormat="1" applyFont="1" applyFill="1" applyBorder="1" applyAlignment="1" applyProtection="1">
      <alignment horizontal="right" vertical="center"/>
      <protection locked="0"/>
    </xf>
    <xf numFmtId="170" fontId="6" fillId="13" borderId="15" xfId="0" applyNumberFormat="1" applyFont="1" applyFill="1" applyBorder="1" applyAlignment="1">
      <alignment horizontal="right" vertical="center"/>
    </xf>
    <xf numFmtId="4" fontId="17" fillId="2" borderId="12" xfId="0" applyNumberFormat="1" applyFont="1" applyFill="1" applyBorder="1" applyAlignment="1">
      <alignment horizontal="right" vertical="center"/>
    </xf>
    <xf numFmtId="4" fontId="17" fillId="2" borderId="14" xfId="0" applyNumberFormat="1" applyFont="1" applyFill="1" applyBorder="1" applyAlignment="1">
      <alignment horizontal="right" vertical="center"/>
    </xf>
    <xf numFmtId="170" fontId="17" fillId="2" borderId="12" xfId="0" applyNumberFormat="1" applyFont="1" applyFill="1" applyBorder="1" applyAlignment="1">
      <alignment horizontal="right" vertical="center"/>
    </xf>
    <xf numFmtId="4" fontId="6" fillId="13" borderId="15" xfId="0" applyNumberFormat="1" applyFont="1" applyFill="1" applyBorder="1" applyAlignment="1" applyProtection="1">
      <alignment horizontal="right" vertical="center"/>
      <protection locked="0"/>
    </xf>
    <xf numFmtId="4" fontId="6" fillId="2" borderId="26" xfId="0" applyNumberFormat="1" applyFont="1" applyFill="1" applyBorder="1" applyAlignment="1" applyProtection="1">
      <alignment horizontal="right" vertical="center"/>
      <protection locked="0"/>
    </xf>
    <xf numFmtId="4" fontId="6" fillId="2" borderId="38" xfId="0" applyNumberFormat="1" applyFont="1" applyFill="1" applyBorder="1" applyAlignment="1" applyProtection="1">
      <alignment horizontal="right" vertical="center"/>
      <protection locked="0"/>
    </xf>
    <xf numFmtId="0" fontId="6" fillId="13" borderId="2" xfId="0" applyFont="1" applyFill="1" applyBorder="1" applyAlignment="1">
      <alignment horizontal="center" vertical="center"/>
    </xf>
    <xf numFmtId="0" fontId="6" fillId="13" borderId="32" xfId="0" applyFont="1" applyFill="1" applyBorder="1" applyAlignment="1">
      <alignment horizontal="left" vertical="center" wrapText="1"/>
    </xf>
    <xf numFmtId="0" fontId="6" fillId="13" borderId="35" xfId="0" applyFont="1" applyFill="1" applyBorder="1" applyAlignment="1">
      <alignment horizontal="center" vertical="center"/>
    </xf>
    <xf numFmtId="4" fontId="6" fillId="13" borderId="59" xfId="0" applyNumberFormat="1" applyFont="1" applyFill="1" applyBorder="1" applyAlignment="1">
      <alignment horizontal="right" vertical="center"/>
    </xf>
    <xf numFmtId="4" fontId="6" fillId="13" borderId="60" xfId="0" applyNumberFormat="1" applyFont="1" applyFill="1" applyBorder="1" applyAlignment="1">
      <alignment horizontal="right" vertical="center"/>
    </xf>
    <xf numFmtId="167" fontId="6" fillId="13" borderId="60" xfId="0" applyNumberFormat="1" applyFont="1" applyFill="1" applyBorder="1" applyAlignment="1">
      <alignment horizontal="right" vertical="center"/>
    </xf>
    <xf numFmtId="4" fontId="6" fillId="13" borderId="74" xfId="0" applyNumberFormat="1" applyFont="1" applyFill="1" applyBorder="1" applyAlignment="1">
      <alignment horizontal="right" vertical="center"/>
    </xf>
    <xf numFmtId="4" fontId="6" fillId="13" borderId="61" xfId="0" applyNumberFormat="1" applyFont="1" applyFill="1" applyBorder="1" applyAlignment="1">
      <alignment horizontal="right" vertical="center"/>
    </xf>
    <xf numFmtId="4" fontId="6" fillId="13" borderId="75" xfId="0" applyNumberFormat="1" applyFont="1" applyFill="1" applyBorder="1" applyAlignment="1">
      <alignment horizontal="right" vertical="center"/>
    </xf>
    <xf numFmtId="164" fontId="6" fillId="13" borderId="59" xfId="0" applyNumberFormat="1" applyFont="1" applyFill="1" applyBorder="1" applyAlignment="1">
      <alignment horizontal="right" vertical="center"/>
    </xf>
    <xf numFmtId="164" fontId="6" fillId="13" borderId="60" xfId="0" applyNumberFormat="1" applyFont="1" applyFill="1" applyBorder="1" applyAlignment="1">
      <alignment horizontal="right" vertical="center"/>
    </xf>
    <xf numFmtId="164" fontId="6" fillId="13" borderId="61" xfId="0" applyNumberFormat="1" applyFont="1" applyFill="1" applyBorder="1" applyAlignment="1">
      <alignment horizontal="right" vertical="center"/>
    </xf>
    <xf numFmtId="0" fontId="5" fillId="2" borderId="5" xfId="0" applyFont="1" applyFill="1" applyBorder="1" applyAlignment="1">
      <alignment horizontal="center" vertical="center"/>
    </xf>
    <xf numFmtId="0" fontId="4" fillId="2" borderId="32" xfId="0" applyFont="1" applyFill="1" applyBorder="1" applyAlignment="1">
      <alignment horizontal="center" vertical="center"/>
    </xf>
    <xf numFmtId="0" fontId="4" fillId="2" borderId="33" xfId="0" applyFont="1" applyFill="1" applyBorder="1" applyAlignment="1">
      <alignment horizontal="center" vertical="center"/>
    </xf>
    <xf numFmtId="0" fontId="5" fillId="2" borderId="33" xfId="0" applyFont="1" applyFill="1" applyBorder="1" applyAlignment="1">
      <alignment horizontal="center" vertical="center"/>
    </xf>
    <xf numFmtId="0" fontId="4" fillId="2" borderId="35" xfId="0" applyFont="1" applyFill="1" applyBorder="1" applyAlignment="1">
      <alignment horizontal="center" vertical="center"/>
    </xf>
    <xf numFmtId="4" fontId="3" fillId="14" borderId="15" xfId="0" applyNumberFormat="1" applyFont="1" applyFill="1" applyBorder="1">
      <alignment vertical="top"/>
    </xf>
    <xf numFmtId="4" fontId="3" fillId="2" borderId="15" xfId="0" applyNumberFormat="1" applyFont="1" applyFill="1" applyBorder="1">
      <alignment vertical="top"/>
    </xf>
    <xf numFmtId="164" fontId="3" fillId="2" borderId="15" xfId="0" applyNumberFormat="1" applyFont="1" applyFill="1" applyBorder="1">
      <alignment vertical="top"/>
    </xf>
    <xf numFmtId="164" fontId="3" fillId="2" borderId="30" xfId="0" applyNumberFormat="1" applyFont="1" applyFill="1" applyBorder="1">
      <alignment vertical="top"/>
    </xf>
    <xf numFmtId="164" fontId="3" fillId="2" borderId="24" xfId="0" applyNumberFormat="1" applyFont="1" applyFill="1" applyBorder="1">
      <alignment vertical="top"/>
    </xf>
    <xf numFmtId="164" fontId="3" fillId="2" borderId="25" xfId="0" applyNumberFormat="1" applyFont="1" applyFill="1" applyBorder="1">
      <alignment vertical="top"/>
    </xf>
    <xf numFmtId="164" fontId="3" fillId="2" borderId="26" xfId="0" applyNumberFormat="1" applyFont="1" applyFill="1" applyBorder="1">
      <alignment vertical="top"/>
    </xf>
    <xf numFmtId="4" fontId="8" fillId="2" borderId="35" xfId="0" applyNumberFormat="1" applyFont="1" applyFill="1" applyBorder="1" applyAlignment="1">
      <alignment horizontal="right" vertical="center"/>
    </xf>
    <xf numFmtId="4" fontId="8" fillId="2" borderId="2" xfId="0" applyNumberFormat="1" applyFont="1" applyFill="1" applyBorder="1" applyAlignment="1">
      <alignment horizontal="right" vertical="center"/>
    </xf>
    <xf numFmtId="164" fontId="8" fillId="2" borderId="59" xfId="0" applyNumberFormat="1" applyFont="1" applyFill="1" applyBorder="1" applyAlignment="1">
      <alignment horizontal="right" vertical="center"/>
    </xf>
    <xf numFmtId="164" fontId="8" fillId="2" borderId="60" xfId="0" applyNumberFormat="1" applyFont="1" applyFill="1" applyBorder="1" applyAlignment="1">
      <alignment horizontal="right" vertical="center"/>
    </xf>
    <xf numFmtId="164" fontId="8" fillId="2" borderId="61" xfId="0" applyNumberFormat="1" applyFont="1" applyFill="1" applyBorder="1" applyAlignment="1">
      <alignment horizontal="right" vertical="center"/>
    </xf>
    <xf numFmtId="0" fontId="33" fillId="0" borderId="0" xfId="0" applyFont="1" applyAlignment="1">
      <alignment horizontal="right" vertical="center"/>
    </xf>
    <xf numFmtId="0" fontId="31" fillId="0" borderId="0" xfId="0" applyFont="1" applyAlignment="1">
      <alignment horizontal="right"/>
    </xf>
    <xf numFmtId="0" fontId="4" fillId="2" borderId="10" xfId="0" applyFont="1" applyFill="1" applyBorder="1" applyAlignment="1">
      <alignment horizontal="center" vertical="center"/>
    </xf>
    <xf numFmtId="0" fontId="4" fillId="2" borderId="34" xfId="0" applyFont="1" applyFill="1" applyBorder="1" applyAlignment="1">
      <alignment horizontal="center" vertical="center"/>
    </xf>
    <xf numFmtId="0" fontId="4" fillId="2" borderId="36" xfId="0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 wrapText="1"/>
    </xf>
    <xf numFmtId="4" fontId="9" fillId="6" borderId="15" xfId="0" applyNumberFormat="1" applyFont="1" applyFill="1" applyBorder="1" applyAlignment="1">
      <alignment horizontal="right" vertical="center"/>
    </xf>
    <xf numFmtId="4" fontId="11" fillId="2" borderId="15" xfId="0" applyNumberFormat="1" applyFont="1" applyFill="1" applyBorder="1" applyAlignment="1">
      <alignment horizontal="right" vertical="center"/>
    </xf>
    <xf numFmtId="4" fontId="11" fillId="2" borderId="15" xfId="0" applyNumberFormat="1" applyFont="1" applyFill="1" applyBorder="1" applyAlignment="1" applyProtection="1">
      <alignment horizontal="right" vertical="center"/>
      <protection locked="0"/>
    </xf>
    <xf numFmtId="171" fontId="5" fillId="2" borderId="15" xfId="0" applyNumberFormat="1" applyFont="1" applyFill="1" applyBorder="1" applyAlignment="1">
      <alignment horizontal="right" vertical="center"/>
    </xf>
    <xf numFmtId="167" fontId="5" fillId="2" borderId="15" xfId="0" applyNumberFormat="1" applyFont="1" applyFill="1" applyBorder="1" applyAlignment="1">
      <alignment horizontal="right" vertical="center"/>
    </xf>
    <xf numFmtId="173" fontId="5" fillId="2" borderId="15" xfId="0" applyNumberFormat="1" applyFont="1" applyFill="1" applyBorder="1" applyAlignment="1">
      <alignment horizontal="right" vertical="center"/>
    </xf>
    <xf numFmtId="4" fontId="18" fillId="2" borderId="15" xfId="0" applyNumberFormat="1" applyFont="1" applyFill="1" applyBorder="1" applyAlignment="1">
      <alignment horizontal="right" vertical="center"/>
    </xf>
    <xf numFmtId="4" fontId="9" fillId="11" borderId="15" xfId="0" applyNumberFormat="1" applyFont="1" applyFill="1" applyBorder="1" applyAlignment="1">
      <alignment horizontal="right" vertical="center"/>
    </xf>
    <xf numFmtId="164" fontId="18" fillId="2" borderId="15" xfId="0" applyNumberFormat="1" applyFont="1" applyFill="1" applyBorder="1" applyAlignment="1">
      <alignment horizontal="right" vertical="center"/>
    </xf>
    <xf numFmtId="0" fontId="18" fillId="2" borderId="15" xfId="0" applyFont="1" applyFill="1" applyBorder="1" applyAlignment="1">
      <alignment horizontal="right" vertical="center"/>
    </xf>
    <xf numFmtId="4" fontId="5" fillId="11" borderId="15" xfId="0" applyNumberFormat="1" applyFont="1" applyFill="1" applyBorder="1" applyAlignment="1">
      <alignment horizontal="right" vertical="center"/>
    </xf>
    <xf numFmtId="4" fontId="5" fillId="11" borderId="15" xfId="0" applyNumberFormat="1" applyFont="1" applyFill="1" applyBorder="1" applyAlignment="1" applyProtection="1">
      <alignment horizontal="right" vertical="center"/>
      <protection locked="0"/>
    </xf>
    <xf numFmtId="4" fontId="9" fillId="11" borderId="15" xfId="0" applyNumberFormat="1" applyFont="1" applyFill="1" applyBorder="1" applyAlignment="1" applyProtection="1">
      <alignment horizontal="right" vertical="center"/>
      <protection locked="0"/>
    </xf>
    <xf numFmtId="4" fontId="9" fillId="11" borderId="15" xfId="0" applyNumberFormat="1" applyFont="1" applyFill="1" applyBorder="1" applyAlignment="1">
      <alignment vertical="center"/>
    </xf>
    <xf numFmtId="4" fontId="9" fillId="11" borderId="15" xfId="0" applyNumberFormat="1" applyFont="1" applyFill="1" applyBorder="1">
      <alignment vertical="top"/>
    </xf>
    <xf numFmtId="4" fontId="9" fillId="2" borderId="15" xfId="0" applyNumberFormat="1" applyFont="1" applyFill="1" applyBorder="1" applyAlignment="1" applyProtection="1">
      <alignment horizontal="right" vertical="center"/>
      <protection locked="0"/>
    </xf>
    <xf numFmtId="4" fontId="9" fillId="2" borderId="37" xfId="0" applyNumberFormat="1" applyFont="1" applyFill="1" applyBorder="1" applyAlignment="1" applyProtection="1">
      <alignment horizontal="right" vertical="center"/>
      <protection locked="0"/>
    </xf>
    <xf numFmtId="4" fontId="9" fillId="11" borderId="74" xfId="0" applyNumberFormat="1" applyFont="1" applyFill="1" applyBorder="1" applyAlignment="1">
      <alignment horizontal="right" vertical="center"/>
    </xf>
    <xf numFmtId="4" fontId="5" fillId="2" borderId="48" xfId="0" applyNumberFormat="1" applyFont="1" applyFill="1" applyBorder="1" applyAlignment="1">
      <alignment horizontal="right" vertical="center"/>
    </xf>
    <xf numFmtId="4" fontId="5" fillId="2" borderId="20" xfId="0" applyNumberFormat="1" applyFont="1" applyFill="1" applyBorder="1" applyAlignment="1">
      <alignment horizontal="right" vertical="center"/>
    </xf>
    <xf numFmtId="167" fontId="5" fillId="2" borderId="20" xfId="0" applyNumberFormat="1" applyFont="1" applyFill="1" applyBorder="1" applyAlignment="1">
      <alignment horizontal="right" vertical="center"/>
    </xf>
    <xf numFmtId="4" fontId="5" fillId="2" borderId="64" xfId="0" applyNumberFormat="1" applyFont="1" applyFill="1" applyBorder="1" applyAlignment="1">
      <alignment horizontal="right" vertical="center"/>
    </xf>
    <xf numFmtId="4" fontId="5" fillId="2" borderId="9" xfId="0" applyNumberFormat="1" applyFont="1" applyFill="1" applyBorder="1" applyAlignment="1">
      <alignment horizontal="right" vertical="center"/>
    </xf>
    <xf numFmtId="4" fontId="5" fillId="2" borderId="14" xfId="0" applyNumberFormat="1" applyFont="1" applyFill="1" applyBorder="1" applyAlignment="1" applyProtection="1">
      <alignment horizontal="right" vertical="center"/>
      <protection locked="0"/>
    </xf>
    <xf numFmtId="4" fontId="5" fillId="2" borderId="14" xfId="0" applyNumberFormat="1" applyFont="1" applyFill="1" applyBorder="1" applyAlignment="1">
      <alignment horizontal="right" vertical="center"/>
    </xf>
    <xf numFmtId="4" fontId="5" fillId="2" borderId="26" xfId="0" applyNumberFormat="1" applyFont="1" applyFill="1" applyBorder="1" applyAlignment="1">
      <alignment horizontal="right" vertical="center"/>
    </xf>
    <xf numFmtId="0" fontId="5" fillId="2" borderId="13" xfId="0" applyFont="1" applyFill="1" applyBorder="1" applyAlignment="1">
      <alignment horizontal="center" vertical="center" wrapText="1"/>
    </xf>
    <xf numFmtId="4" fontId="8" fillId="2" borderId="0" xfId="0" applyNumberFormat="1" applyFont="1" applyFill="1">
      <alignment vertical="top"/>
    </xf>
    <xf numFmtId="4" fontId="8" fillId="0" borderId="0" xfId="0" applyNumberFormat="1" applyFont="1">
      <alignment vertical="top"/>
    </xf>
    <xf numFmtId="0" fontId="27" fillId="16" borderId="0" xfId="0" applyFont="1" applyFill="1">
      <alignment vertical="top"/>
    </xf>
    <xf numFmtId="165" fontId="4" fillId="2" borderId="27" xfId="0" applyNumberFormat="1" applyFont="1" applyFill="1" applyBorder="1" applyAlignment="1">
      <alignment horizontal="right" vertical="center"/>
    </xf>
    <xf numFmtId="165" fontId="4" fillId="2" borderId="28" xfId="0" applyNumberFormat="1" applyFont="1" applyFill="1" applyBorder="1" applyAlignment="1">
      <alignment horizontal="right" vertical="center"/>
    </xf>
    <xf numFmtId="165" fontId="4" fillId="2" borderId="29" xfId="0" applyNumberFormat="1" applyFont="1" applyFill="1" applyBorder="1" applyAlignment="1">
      <alignment horizontal="right" vertical="center"/>
    </xf>
    <xf numFmtId="167" fontId="13" fillId="2" borderId="7" xfId="0" applyNumberFormat="1" applyFont="1" applyFill="1" applyBorder="1" applyAlignment="1">
      <alignment horizontal="right" vertical="center"/>
    </xf>
    <xf numFmtId="167" fontId="13" fillId="2" borderId="8" xfId="0" applyNumberFormat="1" applyFont="1" applyFill="1" applyBorder="1" applyAlignment="1">
      <alignment horizontal="right" vertical="center"/>
    </xf>
    <xf numFmtId="167" fontId="13" fillId="2" borderId="9" xfId="0" applyNumberFormat="1" applyFont="1" applyFill="1" applyBorder="1" applyAlignment="1">
      <alignment horizontal="right" vertical="center"/>
    </xf>
    <xf numFmtId="0" fontId="3" fillId="2" borderId="31" xfId="0" applyFont="1" applyFill="1" applyBorder="1">
      <alignment vertical="top"/>
    </xf>
    <xf numFmtId="0" fontId="3" fillId="2" borderId="28" xfId="0" applyFont="1" applyFill="1" applyBorder="1">
      <alignment vertical="top"/>
    </xf>
    <xf numFmtId="0" fontId="3" fillId="2" borderId="29" xfId="0" applyFont="1" applyFill="1" applyBorder="1">
      <alignment vertical="top"/>
    </xf>
    <xf numFmtId="167" fontId="13" fillId="2" borderId="58" xfId="0" applyNumberFormat="1" applyFont="1" applyFill="1" applyBorder="1" applyAlignment="1">
      <alignment horizontal="right" vertical="center"/>
    </xf>
    <xf numFmtId="0" fontId="3" fillId="2" borderId="30" xfId="0" applyFont="1" applyFill="1" applyBorder="1">
      <alignment vertical="top"/>
    </xf>
    <xf numFmtId="0" fontId="3" fillId="2" borderId="27" xfId="0" applyFont="1" applyFill="1" applyBorder="1">
      <alignment vertical="top"/>
    </xf>
    <xf numFmtId="170" fontId="17" fillId="2" borderId="14" xfId="0" applyNumberFormat="1" applyFont="1" applyFill="1" applyBorder="1" applyAlignment="1">
      <alignment horizontal="right" vertical="center"/>
    </xf>
    <xf numFmtId="0" fontId="3" fillId="17" borderId="0" xfId="0" applyFont="1" applyFill="1">
      <alignment vertical="top"/>
    </xf>
    <xf numFmtId="0" fontId="5" fillId="17" borderId="0" xfId="0" applyFont="1" applyFill="1" applyAlignment="1">
      <alignment horizontal="left" vertical="top"/>
    </xf>
    <xf numFmtId="0" fontId="5" fillId="18" borderId="0" xfId="0" applyFont="1" applyFill="1" applyAlignment="1">
      <alignment horizontal="left" vertical="top"/>
    </xf>
    <xf numFmtId="0" fontId="5" fillId="17" borderId="0" xfId="0" applyFont="1" applyFill="1" applyAlignment="1">
      <alignment horizontal="right" vertical="top"/>
    </xf>
    <xf numFmtId="0" fontId="27" fillId="17" borderId="0" xfId="0" applyFont="1" applyFill="1">
      <alignment vertical="top"/>
    </xf>
    <xf numFmtId="0" fontId="0" fillId="17" borderId="0" xfId="0" applyFill="1">
      <alignment vertical="top"/>
    </xf>
    <xf numFmtId="4" fontId="0" fillId="0" borderId="0" xfId="0" applyNumberFormat="1">
      <alignment vertical="top"/>
    </xf>
    <xf numFmtId="4" fontId="2" fillId="0" borderId="0" xfId="0" applyNumberFormat="1" applyFont="1">
      <alignment vertical="top"/>
    </xf>
    <xf numFmtId="4" fontId="16" fillId="0" borderId="0" xfId="0" applyNumberFormat="1" applyFont="1">
      <alignment vertical="top"/>
    </xf>
    <xf numFmtId="4" fontId="2" fillId="17" borderId="0" xfId="0" applyNumberFormat="1" applyFont="1" applyFill="1">
      <alignment vertical="top"/>
    </xf>
    <xf numFmtId="0" fontId="2" fillId="17" borderId="0" xfId="0" applyFont="1" applyFill="1">
      <alignment vertical="top"/>
    </xf>
    <xf numFmtId="164" fontId="4" fillId="2" borderId="16" xfId="0" applyNumberFormat="1" applyFont="1" applyFill="1" applyBorder="1" applyAlignment="1">
      <alignment horizontal="right" vertical="center"/>
    </xf>
    <xf numFmtId="167" fontId="4" fillId="2" borderId="15" xfId="0" applyNumberFormat="1" applyFont="1" applyFill="1" applyBorder="1" applyAlignment="1" applyProtection="1">
      <alignment horizontal="right" vertical="center"/>
      <protection locked="0"/>
    </xf>
    <xf numFmtId="4" fontId="6" fillId="2" borderId="7" xfId="0" applyNumberFormat="1" applyFont="1" applyFill="1" applyBorder="1" applyAlignment="1">
      <alignment horizontal="right" vertical="center"/>
    </xf>
    <xf numFmtId="4" fontId="6" fillId="2" borderId="8" xfId="0" applyNumberFormat="1" applyFont="1" applyFill="1" applyBorder="1" applyAlignment="1">
      <alignment horizontal="right" vertical="center"/>
    </xf>
    <xf numFmtId="4" fontId="6" fillId="2" borderId="9" xfId="0" applyNumberFormat="1" applyFont="1" applyFill="1" applyBorder="1" applyAlignment="1">
      <alignment horizontal="right" vertical="center"/>
    </xf>
    <xf numFmtId="0" fontId="9" fillId="11" borderId="13" xfId="0" applyFont="1" applyFill="1" applyBorder="1" applyAlignment="1">
      <alignment vertical="center" wrapText="1"/>
    </xf>
    <xf numFmtId="0" fontId="9" fillId="11" borderId="13" xfId="0" applyFont="1" applyFill="1" applyBorder="1" applyAlignment="1">
      <alignment vertical="center"/>
    </xf>
    <xf numFmtId="167" fontId="6" fillId="11" borderId="78" xfId="0" applyNumberFormat="1" applyFont="1" applyFill="1" applyBorder="1" applyAlignment="1">
      <alignment horizontal="right" vertical="center"/>
    </xf>
    <xf numFmtId="49" fontId="4" fillId="2" borderId="79" xfId="0" applyNumberFormat="1" applyFont="1" applyFill="1" applyBorder="1" applyAlignment="1">
      <alignment horizontal="center" vertical="center"/>
    </xf>
    <xf numFmtId="0" fontId="4" fillId="2" borderId="80" xfId="0" applyFont="1" applyFill="1" applyBorder="1" applyAlignment="1">
      <alignment horizontal="left" vertical="center" indent="1"/>
    </xf>
    <xf numFmtId="49" fontId="4" fillId="2" borderId="81" xfId="0" applyNumberFormat="1" applyFont="1" applyFill="1" applyBorder="1" applyAlignment="1">
      <alignment horizontal="left" vertical="center" indent="1"/>
    </xf>
    <xf numFmtId="4" fontId="19" fillId="0" borderId="0" xfId="0" applyNumberFormat="1" applyFont="1">
      <alignment vertical="top"/>
    </xf>
    <xf numFmtId="4" fontId="2" fillId="2" borderId="0" xfId="0" applyNumberFormat="1" applyFont="1" applyFill="1">
      <alignment vertical="top"/>
    </xf>
    <xf numFmtId="4" fontId="4" fillId="2" borderId="13" xfId="0" applyNumberFormat="1" applyFont="1" applyFill="1" applyBorder="1">
      <alignment vertical="top"/>
    </xf>
    <xf numFmtId="4" fontId="4" fillId="2" borderId="12" xfId="0" applyNumberFormat="1" applyFont="1" applyFill="1" applyBorder="1">
      <alignment vertical="top"/>
    </xf>
    <xf numFmtId="4" fontId="4" fillId="2" borderId="15" xfId="0" applyNumberFormat="1" applyFont="1" applyFill="1" applyBorder="1">
      <alignment vertical="top"/>
    </xf>
    <xf numFmtId="167" fontId="13" fillId="2" borderId="58" xfId="0" applyNumberFormat="1" applyFont="1" applyFill="1" applyBorder="1" applyAlignment="1" applyProtection="1">
      <alignment horizontal="right" vertical="center"/>
      <protection locked="0"/>
    </xf>
    <xf numFmtId="170" fontId="17" fillId="2" borderId="15" xfId="0" applyNumberFormat="1" applyFont="1" applyFill="1" applyBorder="1" applyAlignment="1">
      <alignment horizontal="right" vertical="center"/>
    </xf>
    <xf numFmtId="4" fontId="0" fillId="17" borderId="0" xfId="0" applyNumberFormat="1" applyFill="1">
      <alignment vertical="top"/>
    </xf>
    <xf numFmtId="4" fontId="15" fillId="2" borderId="16" xfId="0" applyNumberFormat="1" applyFont="1" applyFill="1" applyBorder="1" applyAlignment="1" applyProtection="1">
      <alignment horizontal="right" vertical="center"/>
      <protection locked="0"/>
    </xf>
    <xf numFmtId="171" fontId="4" fillId="2" borderId="16" xfId="0" applyNumberFormat="1" applyFont="1" applyFill="1" applyBorder="1" applyAlignment="1">
      <alignment horizontal="right" vertical="center"/>
    </xf>
    <xf numFmtId="0" fontId="21" fillId="2" borderId="16" xfId="0" applyFont="1" applyFill="1" applyBorder="1" applyAlignment="1">
      <alignment horizontal="left" vertical="center" indent="1"/>
    </xf>
    <xf numFmtId="4" fontId="6" fillId="6" borderId="16" xfId="0" applyNumberFormat="1" applyFont="1" applyFill="1" applyBorder="1" applyAlignment="1" applyProtection="1">
      <alignment horizontal="right" vertical="center"/>
      <protection locked="0"/>
    </xf>
    <xf numFmtId="4" fontId="6" fillId="6" borderId="59" xfId="0" applyNumberFormat="1" applyFont="1" applyFill="1" applyBorder="1" applyAlignment="1">
      <alignment horizontal="right" vertical="center"/>
    </xf>
    <xf numFmtId="4" fontId="6" fillId="6" borderId="60" xfId="0" applyNumberFormat="1" applyFont="1" applyFill="1" applyBorder="1" applyAlignment="1">
      <alignment horizontal="right" vertical="center"/>
    </xf>
    <xf numFmtId="4" fontId="6" fillId="6" borderId="78" xfId="0" applyNumberFormat="1" applyFont="1" applyFill="1" applyBorder="1" applyAlignment="1">
      <alignment horizontal="right" vertical="center"/>
    </xf>
    <xf numFmtId="4" fontId="4" fillId="2" borderId="14" xfId="1" applyNumberFormat="1" applyFont="1" applyFill="1" applyBorder="1" applyAlignment="1" applyProtection="1">
      <alignment horizontal="right" vertical="center"/>
      <protection locked="0"/>
    </xf>
    <xf numFmtId="4" fontId="13" fillId="2" borderId="14" xfId="1" applyNumberFormat="1" applyFont="1" applyFill="1" applyBorder="1" applyAlignment="1">
      <alignment horizontal="right" vertical="center"/>
    </xf>
    <xf numFmtId="4" fontId="13" fillId="2" borderId="14" xfId="1" applyNumberFormat="1" applyFont="1" applyFill="1" applyBorder="1" applyAlignment="1" applyProtection="1">
      <alignment horizontal="right" vertical="center"/>
      <protection locked="0"/>
    </xf>
    <xf numFmtId="4" fontId="4" fillId="2" borderId="14" xfId="1" applyNumberFormat="1" applyFont="1" applyFill="1" applyBorder="1" applyAlignment="1">
      <alignment horizontal="right" vertical="center"/>
    </xf>
    <xf numFmtId="4" fontId="6" fillId="6" borderId="74" xfId="0" applyNumberFormat="1" applyFont="1" applyFill="1" applyBorder="1" applyAlignment="1">
      <alignment horizontal="right" vertical="center"/>
    </xf>
    <xf numFmtId="4" fontId="6" fillId="6" borderId="61" xfId="0" applyNumberFormat="1" applyFont="1" applyFill="1" applyBorder="1" applyAlignment="1">
      <alignment horizontal="right" vertical="center"/>
    </xf>
    <xf numFmtId="4" fontId="6" fillId="6" borderId="75" xfId="0" applyNumberFormat="1" applyFont="1" applyFill="1" applyBorder="1" applyAlignment="1">
      <alignment horizontal="right" vertical="center"/>
    </xf>
    <xf numFmtId="4" fontId="9" fillId="6" borderId="74" xfId="0" applyNumberFormat="1" applyFont="1" applyFill="1" applyBorder="1" applyAlignment="1">
      <alignment horizontal="right" vertical="center"/>
    </xf>
    <xf numFmtId="4" fontId="5" fillId="19" borderId="15" xfId="0" applyNumberFormat="1" applyFont="1" applyFill="1" applyBorder="1" applyAlignment="1">
      <alignment horizontal="right" vertical="center"/>
    </xf>
    <xf numFmtId="0" fontId="15" fillId="2" borderId="16" xfId="0" applyFont="1" applyFill="1" applyBorder="1" applyAlignment="1">
      <alignment horizontal="right" vertical="center"/>
    </xf>
    <xf numFmtId="164" fontId="15" fillId="2" borderId="16" xfId="0" applyNumberFormat="1" applyFont="1" applyFill="1" applyBorder="1" applyAlignment="1">
      <alignment horizontal="right" vertical="center"/>
    </xf>
    <xf numFmtId="176" fontId="15" fillId="2" borderId="16" xfId="0" applyNumberFormat="1" applyFont="1" applyFill="1" applyBorder="1" applyAlignment="1">
      <alignment horizontal="right" vertical="center"/>
    </xf>
    <xf numFmtId="4" fontId="4" fillId="11" borderId="16" xfId="0" applyNumberFormat="1" applyFont="1" applyFill="1" applyBorder="1" applyAlignment="1">
      <alignment horizontal="right" vertical="center"/>
    </xf>
    <xf numFmtId="4" fontId="4" fillId="11" borderId="16" xfId="0" applyNumberFormat="1" applyFont="1" applyFill="1" applyBorder="1" applyAlignment="1" applyProtection="1">
      <alignment horizontal="right" vertical="center"/>
      <protection locked="0"/>
    </xf>
    <xf numFmtId="4" fontId="6" fillId="11" borderId="16" xfId="0" applyNumberFormat="1" applyFont="1" applyFill="1" applyBorder="1" applyAlignment="1" applyProtection="1">
      <alignment horizontal="right" vertical="center"/>
      <protection locked="0"/>
    </xf>
    <xf numFmtId="4" fontId="6" fillId="11" borderId="16" xfId="0" applyNumberFormat="1" applyFont="1" applyFill="1" applyBorder="1" applyAlignment="1">
      <alignment vertical="center"/>
    </xf>
    <xf numFmtId="4" fontId="6" fillId="11" borderId="16" xfId="0" applyNumberFormat="1" applyFont="1" applyFill="1" applyBorder="1">
      <alignment vertical="top"/>
    </xf>
    <xf numFmtId="167" fontId="6" fillId="11" borderId="60" xfId="0" applyNumberFormat="1" applyFont="1" applyFill="1" applyBorder="1" applyAlignment="1">
      <alignment horizontal="right" vertical="center"/>
    </xf>
    <xf numFmtId="0" fontId="15" fillId="2" borderId="14" xfId="0" applyFont="1" applyFill="1" applyBorder="1" applyAlignment="1">
      <alignment horizontal="right" vertical="center" wrapText="1"/>
    </xf>
    <xf numFmtId="4" fontId="15" fillId="2" borderId="14" xfId="0" applyNumberFormat="1" applyFont="1" applyFill="1" applyBorder="1" applyAlignment="1">
      <alignment horizontal="right" vertical="center" wrapText="1"/>
    </xf>
    <xf numFmtId="0" fontId="15" fillId="2" borderId="15" xfId="0" applyFont="1" applyFill="1" applyBorder="1" applyAlignment="1">
      <alignment horizontal="right" vertical="center" wrapText="1"/>
    </xf>
    <xf numFmtId="0" fontId="3" fillId="0" borderId="13" xfId="0" applyFont="1" applyBorder="1" applyAlignment="1">
      <alignment vertical="center" wrapText="1"/>
    </xf>
    <xf numFmtId="0" fontId="4" fillId="0" borderId="12" xfId="0" applyFont="1" applyBorder="1" applyAlignment="1">
      <alignment horizontal="center" vertical="top"/>
    </xf>
    <xf numFmtId="0" fontId="3" fillId="0" borderId="15" xfId="0" applyFont="1" applyBorder="1" applyAlignment="1">
      <alignment horizontal="center" vertical="center" wrapText="1"/>
    </xf>
    <xf numFmtId="165" fontId="3" fillId="2" borderId="13" xfId="0" applyNumberFormat="1" applyFont="1" applyFill="1" applyBorder="1" applyAlignment="1">
      <alignment horizontal="right" vertical="center"/>
    </xf>
    <xf numFmtId="165" fontId="3" fillId="0" borderId="12" xfId="0" applyNumberFormat="1" applyFont="1" applyBorder="1" applyAlignment="1">
      <alignment horizontal="right" vertical="center"/>
    </xf>
    <xf numFmtId="165" fontId="3" fillId="2" borderId="15" xfId="0" applyNumberFormat="1" applyFont="1" applyFill="1" applyBorder="1" applyAlignment="1">
      <alignment horizontal="right" vertical="center"/>
    </xf>
    <xf numFmtId="165" fontId="3" fillId="2" borderId="12" xfId="0" applyNumberFormat="1" applyFont="1" applyFill="1" applyBorder="1" applyAlignment="1">
      <alignment horizontal="right" vertical="center"/>
    </xf>
    <xf numFmtId="165" fontId="3" fillId="2" borderId="13" xfId="0" applyNumberFormat="1" applyFont="1" applyFill="1" applyBorder="1" applyAlignment="1">
      <alignment vertical="center"/>
    </xf>
    <xf numFmtId="165" fontId="3" fillId="2" borderId="12" xfId="0" applyNumberFormat="1" applyFont="1" applyFill="1" applyBorder="1" applyAlignment="1">
      <alignment vertical="center"/>
    </xf>
    <xf numFmtId="165" fontId="3" fillId="2" borderId="15" xfId="0" applyNumberFormat="1" applyFont="1" applyFill="1" applyBorder="1" applyAlignment="1">
      <alignment vertical="center"/>
    </xf>
    <xf numFmtId="165" fontId="4" fillId="0" borderId="12" xfId="0" applyNumberFormat="1" applyFont="1" applyBorder="1" applyAlignment="1">
      <alignment horizontal="right" vertical="center"/>
    </xf>
    <xf numFmtId="165" fontId="4" fillId="0" borderId="24" xfId="0" applyNumberFormat="1" applyFont="1" applyBorder="1" applyAlignment="1">
      <alignment horizontal="right" vertical="center"/>
    </xf>
    <xf numFmtId="167" fontId="3" fillId="2" borderId="0" xfId="0" applyNumberFormat="1" applyFont="1" applyFill="1">
      <alignment vertical="top"/>
    </xf>
    <xf numFmtId="4" fontId="3" fillId="20" borderId="0" xfId="0" applyNumberFormat="1" applyFont="1" applyFill="1">
      <alignment vertical="top"/>
    </xf>
    <xf numFmtId="174" fontId="4" fillId="2" borderId="18" xfId="0" applyNumberFormat="1" applyFont="1" applyFill="1" applyBorder="1" applyAlignment="1">
      <alignment horizontal="right" vertical="center"/>
    </xf>
    <xf numFmtId="0" fontId="6" fillId="2" borderId="51" xfId="0" applyFont="1" applyFill="1" applyBorder="1" applyAlignment="1">
      <alignment horizontal="center" vertical="center" wrapText="1"/>
    </xf>
    <xf numFmtId="164" fontId="6" fillId="2" borderId="51" xfId="0" applyNumberFormat="1" applyFont="1" applyFill="1" applyBorder="1" applyAlignment="1">
      <alignment horizontal="center" vertical="center" wrapText="1"/>
    </xf>
    <xf numFmtId="0" fontId="6" fillId="2" borderId="55" xfId="0" applyFont="1" applyFill="1" applyBorder="1" applyAlignment="1">
      <alignment horizontal="center" vertical="center" wrapText="1"/>
    </xf>
    <xf numFmtId="0" fontId="6" fillId="0" borderId="51" xfId="0" applyFont="1" applyBorder="1" applyAlignment="1">
      <alignment horizontal="center" vertical="center" wrapText="1"/>
    </xf>
    <xf numFmtId="0" fontId="3" fillId="2" borderId="54" xfId="0" applyFont="1" applyFill="1" applyBorder="1" applyAlignment="1">
      <alignment horizontal="center" vertical="center" wrapText="1"/>
    </xf>
    <xf numFmtId="0" fontId="6" fillId="13" borderId="50" xfId="0" applyFont="1" applyFill="1" applyBorder="1" applyAlignment="1">
      <alignment horizontal="center" vertical="center" wrapText="1"/>
    </xf>
    <xf numFmtId="0" fontId="6" fillId="13" borderId="1" xfId="0" applyFont="1" applyFill="1" applyBorder="1" applyAlignment="1">
      <alignment horizontal="center" vertical="center" wrapText="1"/>
    </xf>
    <xf numFmtId="164" fontId="6" fillId="13" borderId="51" xfId="0" applyNumberFormat="1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 vertical="center" wrapText="1"/>
    </xf>
    <xf numFmtId="0" fontId="5" fillId="2" borderId="12" xfId="0" applyFont="1" applyFill="1" applyBorder="1" applyAlignment="1">
      <alignment horizontal="center" vertical="center"/>
    </xf>
    <xf numFmtId="0" fontId="6" fillId="13" borderId="1" xfId="0" applyFont="1" applyFill="1" applyBorder="1" applyAlignment="1">
      <alignment horizontal="center" vertical="center"/>
    </xf>
    <xf numFmtId="0" fontId="9" fillId="11" borderId="34" xfId="0" applyFont="1" applyFill="1" applyBorder="1" applyAlignment="1">
      <alignment horizontal="center" vertical="center" wrapText="1"/>
    </xf>
    <xf numFmtId="0" fontId="9" fillId="11" borderId="1" xfId="0" applyFont="1" applyFill="1" applyBorder="1" applyAlignment="1">
      <alignment horizontal="center" vertical="center" wrapText="1"/>
    </xf>
    <xf numFmtId="0" fontId="4" fillId="2" borderId="47" xfId="0" applyFont="1" applyFill="1" applyBorder="1" applyAlignment="1">
      <alignment horizontal="center" vertical="center" wrapText="1"/>
    </xf>
    <xf numFmtId="0" fontId="4" fillId="2" borderId="48" xfId="0" applyFont="1" applyFill="1" applyBorder="1" applyAlignment="1">
      <alignment horizontal="center" vertical="center" wrapText="1"/>
    </xf>
    <xf numFmtId="0" fontId="4" fillId="2" borderId="49" xfId="0" applyFont="1" applyFill="1" applyBorder="1" applyAlignment="1">
      <alignment horizontal="center" vertical="center" wrapText="1"/>
    </xf>
    <xf numFmtId="0" fontId="9" fillId="6" borderId="1" xfId="0" applyFont="1" applyFill="1" applyBorder="1" applyAlignment="1">
      <alignment horizontal="center" vertical="center" wrapText="1"/>
    </xf>
    <xf numFmtId="0" fontId="9" fillId="6" borderId="3" xfId="0" applyFont="1" applyFill="1" applyBorder="1" applyAlignment="1">
      <alignment horizontal="center" vertical="center" wrapText="1"/>
    </xf>
    <xf numFmtId="164" fontId="6" fillId="6" borderId="1" xfId="0" applyNumberFormat="1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9" fillId="6" borderId="2" xfId="0" applyFont="1" applyFill="1" applyBorder="1" applyAlignment="1">
      <alignment horizontal="center" vertical="center" wrapText="1"/>
    </xf>
    <xf numFmtId="0" fontId="4" fillId="2" borderId="0" xfId="0" applyFont="1" applyFill="1">
      <alignment vertical="top"/>
    </xf>
    <xf numFmtId="0" fontId="9" fillId="6" borderId="1" xfId="0" applyFont="1" applyFill="1" applyBorder="1" applyAlignment="1">
      <alignment horizontal="center" vertical="center"/>
    </xf>
    <xf numFmtId="0" fontId="6" fillId="2" borderId="56" xfId="0" applyFont="1" applyFill="1" applyBorder="1" applyAlignment="1">
      <alignment horizontal="center" vertical="center" wrapText="1"/>
    </xf>
    <xf numFmtId="164" fontId="6" fillId="2" borderId="56" xfId="0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2" fontId="6" fillId="2" borderId="56" xfId="0" applyNumberFormat="1" applyFont="1" applyFill="1" applyBorder="1" applyAlignment="1">
      <alignment horizontal="center" vertical="center" wrapText="1"/>
    </xf>
    <xf numFmtId="0" fontId="6" fillId="2" borderId="50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2" fontId="6" fillId="2" borderId="2" xfId="0" applyNumberFormat="1" applyFont="1" applyFill="1" applyBorder="1" applyAlignment="1">
      <alignment horizontal="center" vertical="center" wrapText="1"/>
    </xf>
    <xf numFmtId="164" fontId="6" fillId="2" borderId="1" xfId="0" applyNumberFormat="1" applyFont="1" applyFill="1" applyBorder="1" applyAlignment="1">
      <alignment horizontal="center" vertical="center" wrapText="1"/>
    </xf>
    <xf numFmtId="0" fontId="6" fillId="13" borderId="56" xfId="0" applyFont="1" applyFill="1" applyBorder="1" applyAlignment="1">
      <alignment horizontal="center" vertical="center" wrapText="1"/>
    </xf>
    <xf numFmtId="0" fontId="6" fillId="13" borderId="57" xfId="0" applyFont="1" applyFill="1" applyBorder="1" applyAlignment="1">
      <alignment horizontal="center" vertical="center" wrapText="1"/>
    </xf>
    <xf numFmtId="0" fontId="9" fillId="11" borderId="56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left" vertical="center" wrapText="1"/>
    </xf>
    <xf numFmtId="0" fontId="6" fillId="11" borderId="1" xfId="0" applyFont="1" applyFill="1" applyBorder="1" applyAlignment="1">
      <alignment horizontal="left" vertical="center" wrapText="1"/>
    </xf>
    <xf numFmtId="164" fontId="6" fillId="13" borderId="56" xfId="0" applyNumberFormat="1" applyFont="1" applyFill="1" applyBorder="1" applyAlignment="1">
      <alignment horizontal="center" vertical="center" wrapText="1"/>
    </xf>
    <xf numFmtId="0" fontId="13" fillId="6" borderId="1" xfId="0" applyFont="1" applyFill="1" applyBorder="1" applyAlignment="1">
      <alignment wrapText="1"/>
    </xf>
    <xf numFmtId="0" fontId="13" fillId="6" borderId="70" xfId="0" applyFont="1" applyFill="1" applyBorder="1" applyAlignment="1">
      <alignment wrapText="1"/>
    </xf>
    <xf numFmtId="0" fontId="9" fillId="11" borderId="57" xfId="0" applyFont="1" applyFill="1" applyBorder="1" applyAlignment="1">
      <alignment horizontal="center" vertical="center" wrapText="1"/>
    </xf>
    <xf numFmtId="0" fontId="9" fillId="11" borderId="77" xfId="0" applyFont="1" applyFill="1" applyBorder="1" applyAlignment="1">
      <alignment horizontal="center" vertical="center" wrapText="1"/>
    </xf>
    <xf numFmtId="165" fontId="3" fillId="2" borderId="15" xfId="0" applyNumberFormat="1" applyFont="1" applyFill="1" applyBorder="1" applyAlignment="1">
      <alignment horizontal="right" vertical="center"/>
    </xf>
    <xf numFmtId="165" fontId="3" fillId="2" borderId="37" xfId="0" applyNumberFormat="1" applyFont="1" applyFill="1" applyBorder="1" applyAlignment="1">
      <alignment horizontal="right" vertical="center"/>
    </xf>
    <xf numFmtId="165" fontId="3" fillId="2" borderId="13" xfId="0" applyNumberFormat="1" applyFont="1" applyFill="1" applyBorder="1" applyAlignment="1">
      <alignment vertical="center"/>
    </xf>
    <xf numFmtId="0" fontId="0" fillId="0" borderId="25" xfId="0" applyBorder="1" applyAlignment="1">
      <alignment vertical="center"/>
    </xf>
    <xf numFmtId="0" fontId="9" fillId="6" borderId="56" xfId="0" applyFont="1" applyFill="1" applyBorder="1" applyAlignment="1">
      <alignment horizontal="center" vertical="center" wrapText="1"/>
    </xf>
    <xf numFmtId="164" fontId="6" fillId="6" borderId="56" xfId="0" applyNumberFormat="1" applyFont="1" applyFill="1" applyBorder="1" applyAlignment="1">
      <alignment horizontal="center" vertical="center" wrapText="1"/>
    </xf>
    <xf numFmtId="0" fontId="6" fillId="2" borderId="62" xfId="0" applyFont="1" applyFill="1" applyBorder="1" applyAlignment="1">
      <alignment horizontal="left" vertical="center" wrapText="1"/>
    </xf>
    <xf numFmtId="0" fontId="9" fillId="6" borderId="57" xfId="0" applyFont="1" applyFill="1" applyBorder="1" applyAlignment="1">
      <alignment horizontal="center" vertical="center" wrapText="1"/>
    </xf>
    <xf numFmtId="0" fontId="9" fillId="6" borderId="82" xfId="0" applyFont="1" applyFill="1" applyBorder="1" applyAlignment="1">
      <alignment horizontal="center" vertical="center" wrapText="1"/>
    </xf>
    <xf numFmtId="0" fontId="9" fillId="6" borderId="77" xfId="0" applyFont="1" applyFill="1" applyBorder="1" applyAlignment="1">
      <alignment horizontal="center" vertical="center" wrapText="1"/>
    </xf>
    <xf numFmtId="0" fontId="9" fillId="6" borderId="2" xfId="0" applyFont="1" applyFill="1" applyBorder="1" applyAlignment="1">
      <alignment horizontal="center" vertical="center"/>
    </xf>
    <xf numFmtId="0" fontId="9" fillId="6" borderId="3" xfId="0" applyFont="1" applyFill="1" applyBorder="1" applyAlignment="1">
      <alignment horizontal="center" vertical="center"/>
    </xf>
    <xf numFmtId="0" fontId="9" fillId="6" borderId="50" xfId="0" applyFont="1" applyFill="1" applyBorder="1" applyAlignment="1">
      <alignment horizontal="center" vertical="center"/>
    </xf>
  </cellXfs>
  <cellStyles count="2">
    <cellStyle name="Обычный" xfId="0" builtinId="0"/>
    <cellStyle name="Обычный 2" xfId="1" xr:uid="{00000000-0005-0000-0000-000001000000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548235"/>
      <rgbColor rgb="FF800080"/>
      <rgbColor rgb="FF008080"/>
      <rgbColor rgb="FFC0C0C0"/>
      <rgbColor rgb="FF808080"/>
      <rgbColor rgb="FFBFBFBF"/>
      <rgbColor rgb="FF993366"/>
      <rgbColor rgb="FFFFF2CC"/>
      <rgbColor rgb="FFDBEDF1"/>
      <rgbColor rgb="FF660066"/>
      <rgbColor rgb="FFFF8080"/>
      <rgbColor rgb="FF0066CC"/>
      <rgbColor rgb="FFD3DBDB"/>
      <rgbColor rgb="FF000080"/>
      <rgbColor rgb="FFFF00FF"/>
      <rgbColor rgb="FFD7EAD3"/>
      <rgbColor rgb="FF00FFFF"/>
      <rgbColor rgb="FF800080"/>
      <rgbColor rgb="FF800000"/>
      <rgbColor rgb="FF008080"/>
      <rgbColor rgb="FF0000FF"/>
      <rgbColor rgb="FF00CCFF"/>
      <rgbColor rgb="FFDEEBF7"/>
      <rgbColor rgb="FFE2F0D9"/>
      <rgbColor rgb="FFF2F2F2"/>
      <rgbColor rgb="FF9DC3E6"/>
      <rgbColor rgb="FFF4B183"/>
      <rgbColor rgb="FFBCBCBC"/>
      <rgbColor rgb="FFFFCC99"/>
      <rgbColor rgb="FF3366FF"/>
      <rgbColor rgb="FF33CCCC"/>
      <rgbColor rgb="FF99CC00"/>
      <rgbColor rgb="FFFFCC00"/>
      <rgbColor rgb="FFFF9900"/>
      <rgbColor rgb="FFFF6600"/>
      <rgbColor rgb="FF44546A"/>
      <rgbColor rgb="FF70AD47"/>
      <rgbColor rgb="FF003366"/>
      <rgbColor rgb="FF339966"/>
      <rgbColor rgb="FF003300"/>
      <rgbColor rgb="FF333300"/>
      <rgbColor rgb="FFC9211E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1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3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2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NR-BA~1/AppData/Local/Temp/pid-12752/CALC.TARIFF.WATER.2026.EIAS%20(1.1.2)%20&#1050;&#1072;&#1083;&#1080;&#1085;&#1080;&#1085;&#1075;&#1088;&#1072;&#1076;%20&#1042;&#1057;%20%20&#1086;&#1090;%202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NR-BA~1/AppData/Local/Temp/pid-14572/&#1064;&#1040;&#1041;&#1051;&#1054;&#1053;&#1067;%202026/&#1050;&#1072;&#1083;&#1080;&#1085;&#1080;&#1085;&#1075;&#1088;&#1072;&#1076;%20&#1088;&#1072;&#1073;&#1086;&#1095;&#1080;&#1077;%20&#1096;&#1072;&#1073;&#1083;&#1086;&#1085;&#1099;/&#1054;&#1090;&#1087;&#1088;&#1072;&#1074;&#1082;&#1072;/&#1050;&#1072;&#1083;&#1080;&#1085;&#1080;&#1085;&#1075;&#1088;&#1072;&#1076;%20&#1096;&#1072;&#1073;&#1083;&#1086;&#1085;%20&#1042;&#1057;/&#1056;&#1077;&#1077;&#1089;&#1090;&#1088;%20&#1042;&#1057;%202026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NR-BA~1/AppData/Local/Temp/pid-4200/CALC.TARIFF.WATER.2026.EIAS%20(1.1.2)%20&#1050;&#1072;&#1083;&#1080;&#1085;&#1080;&#1085;&#1075;&#1088;&#1072;&#1076;%20&#1042;&#1057;%20%20&#1086;&#1090;%2028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nr-base-buh-03/Desktop/&#1054;&#1090;&#1095;&#1077;&#1090;&#1085;&#1072;&#1103;%20&#1092;&#1086;&#1088;&#1084;&#1072;%20&#1056;&#1057;&#1054;/&#1057;&#1074;&#1086;&#1076;%20&#1079;&#1072;&#1090;&#1088;&#1072;&#1090;%20&#1074;%20&#1090;&#1072;&#1088;&#1080;&#1092;&#1077;%20&#1060;&#1072;&#1082;&#1090;%202024,%20&#1059;&#1090;&#1074;&#1077;&#1088;&#1078;&#1076;%20&#1057;&#1083;&#1091;&#1078;&#1073;&#1099;%202025,%20&#1087;&#1088;&#1077;&#1076;&#1083;&#1086;&#1078;&#1077;&#1085;&#1080;&#1077;%202026%20&#1086;&#1090;%2019.05.2025%20&#1075;%20&#1042;&#1054;%20&#1050;&#1072;&#1083;&#1080;&#1085;&#1080;&#1085;&#1075;&#1088;&#1072;&#1076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NR-BA~1/AppData/Local/Temp/pid-12752/&#1057;&#1074;&#1086;&#1076;%20&#1079;&#1072;&#1090;&#1088;&#1072;&#1090;%20&#1074;%20&#1090;&#1072;&#1088;&#1080;&#1092;&#1077;%20&#1060;&#1072;&#1082;&#1090;%202024,%20&#1059;&#1090;&#1074;&#1077;&#1088;&#1078;&#1076;%20&#1057;&#1083;&#1091;&#1078;&#1073;&#1099;%202025,%20&#1087;&#1088;&#1077;&#1076;&#1083;&#1086;&#1078;&#1077;&#1085;&#1080;&#1077;%202026%20&#1086;&#1090;%2019.05.2025%20&#1075;%20&#1042;&#1054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Тест предзагрузки"/>
      <sheetName val="Настройка списков"/>
      <sheetName val="Общие настройки"/>
      <sheetName val="Настройки для формул"/>
      <sheetName val="fmls_translate_result"/>
      <sheetName val="Список листов"/>
      <sheetName val="История изменений столбцов ВО"/>
      <sheetName val="Инструкция"/>
      <sheetName val="Титульный"/>
      <sheetName val="Тарифы"/>
      <sheetName val="testPreloadResult"/>
      <sheetName val="Лист1"/>
      <sheetName val="Заявление"/>
      <sheetName val="Справочники"/>
      <sheetName val="Индексы"/>
      <sheetName val="Список объектов"/>
      <sheetName val="ПО_нас"/>
      <sheetName val="Реестр потребителей"/>
      <sheetName val="Потери"/>
      <sheetName val="Объемы ВО"/>
      <sheetName val="Баланс ПП"/>
      <sheetName val="Баланс ПП МО"/>
      <sheetName val="Оборудование"/>
      <sheetName val="Сети"/>
      <sheetName val="Объемы по методике"/>
      <sheetName val="Отпуск воды"/>
      <sheetName val="Условные метры"/>
      <sheetName val="Показатели"/>
      <sheetName val="ИТОГ"/>
      <sheetName val="Тарифы по периодам"/>
      <sheetName val="СиМ (детально)"/>
      <sheetName val="Сырье и материалы"/>
      <sheetName val="Check"/>
      <sheetName val="Формулы"/>
      <sheetName val="ЭЭ"/>
      <sheetName val="tech"/>
      <sheetName val="Оборудование - ЭЭ"/>
      <sheetName val="ТЭ"/>
      <sheetName val="ТН"/>
      <sheetName val="Топливо"/>
      <sheetName val="Оплата услуг ВО"/>
      <sheetName val="Покупка воды"/>
      <sheetName val="Транспортировка"/>
      <sheetName val="Земел. уч."/>
      <sheetName val="Аренда"/>
      <sheetName val="Амортизация"/>
      <sheetName val="Общие показатели"/>
      <sheetName val="Тарифная сетка"/>
      <sheetName val="Коэффициент невыходов"/>
      <sheetName val="Персонал"/>
      <sheetName val="Сбыт"/>
      <sheetName val="Счет 23"/>
      <sheetName val="Счет 25"/>
      <sheetName val="Адм.расходы"/>
      <sheetName val="ФОТ (по ВД)"/>
      <sheetName val="ФОТ"/>
      <sheetName val="Бесхоз"/>
      <sheetName val="Лист4"/>
      <sheetName val="Капремонт"/>
      <sheetName val="Текремонт"/>
      <sheetName val="Столбцы"/>
      <sheetName val="preloadProcs"/>
      <sheetName val="Налоги"/>
      <sheetName val="Прочие прямые"/>
      <sheetName val="Экон. проч"/>
      <sheetName val="Экон. ОР"/>
      <sheetName val="Экон. ЭЭ"/>
      <sheetName val="Общая экономия"/>
      <sheetName val="Плата за негативное возд"/>
      <sheetName val="Корр по факту"/>
      <sheetName val="Корр по периодам"/>
      <sheetName val="ДПР"/>
      <sheetName val="Анализ ФХД"/>
      <sheetName val="План ПП"/>
      <sheetName val="Факт ПП"/>
      <sheetName val="Концессия"/>
      <sheetName val="Амортизация (аналог)"/>
      <sheetName val="Расчет тарифа (аналог)"/>
      <sheetName val="Смета"/>
      <sheetName val="Расчет МЭОР"/>
      <sheetName val="ОР (базовый)"/>
      <sheetName val="ИИКА"/>
      <sheetName val="НР"/>
      <sheetName val="Расчет тарифа(корректировка) МИ"/>
      <sheetName val="ПП исх"/>
      <sheetName val="ПП вход"/>
      <sheetName val="БПр_ВС_ФАС"/>
      <sheetName val="БТр_ВС_ФАС"/>
      <sheetName val="БПр_ВО_ФАС"/>
      <sheetName val="БТр_ВО_ФАС"/>
      <sheetName val="Р_ФАС"/>
      <sheetName val="К_ФАС"/>
      <sheetName val="TECHSHEET"/>
      <sheetName val="ТМ1"/>
      <sheetName val="ТМ2"/>
      <sheetName val="ТН ФАС"/>
      <sheetName val="ATTACH_DOC"/>
      <sheetName val="Столбцы отображение"/>
      <sheetName val="TECH_VERTICAL"/>
      <sheetName val="REESTR_ORG"/>
      <sheetName val="Справочник ВД"/>
      <sheetName val="Списки"/>
      <sheetName val="Новые списки"/>
      <sheetName val="REESTR_AREA"/>
      <sheetName val="LIST_DPR"/>
      <sheetName val="REESTR_OBJ_VS"/>
      <sheetName val="REESTR_OBJ_VO"/>
      <sheetName val="REESTR_TARIFF"/>
      <sheetName val="REESTR_MO"/>
      <sheetName val="SheetInfo"/>
      <sheetName val="Информация"/>
      <sheetName val="Лист3"/>
      <sheetName val="autocheck"/>
      <sheetName val="Черновик 1"/>
      <sheetName val="Черновик 2"/>
      <sheetName val="Черновик 3"/>
      <sheetName val="Черновик 4"/>
      <sheetName val="Черновик 5"/>
      <sheetName val="Черновик 6"/>
      <sheetName val="Черновик 7"/>
      <sheetName val="Черновик 8"/>
      <sheetName val="Черновик 9"/>
      <sheetName val="Черновик 10"/>
      <sheetName val="Черновик 11"/>
      <sheetName val="Черновик 12"/>
      <sheetName val="Черновик 13"/>
      <sheetName val="Черновик 14"/>
      <sheetName val="Черновик 15"/>
    </sheetNames>
    <sheetDataSet>
      <sheetData sheetId="0" refreshError="1"/>
      <sheetData sheetId="1" refreshError="1">
        <row r="7">
          <cell r="F7">
            <v>3</v>
          </cell>
        </row>
        <row r="8">
          <cell r="F8">
            <v>4</v>
          </cell>
        </row>
        <row r="9">
          <cell r="F9">
            <v>5</v>
          </cell>
        </row>
        <row r="10">
          <cell r="F10">
            <v>6</v>
          </cell>
        </row>
        <row r="21">
          <cell r="F21" t="str">
            <v>Метод индексации</v>
          </cell>
        </row>
        <row r="22">
          <cell r="F22" t="str">
            <v>МЭОР</v>
          </cell>
        </row>
        <row r="23">
          <cell r="F23" t="str">
            <v>Метод сравнения аналогов</v>
          </cell>
        </row>
        <row r="30">
          <cell r="F30" t="str">
            <v>Газ природный</v>
          </cell>
        </row>
        <row r="31">
          <cell r="F31" t="str">
            <v>Газ лимитный</v>
          </cell>
        </row>
        <row r="32">
          <cell r="F32" t="str">
            <v>Газ сверхлимитный</v>
          </cell>
        </row>
        <row r="33">
          <cell r="F33" t="str">
            <v>Газ коммерческий</v>
          </cell>
        </row>
        <row r="34">
          <cell r="F34" t="str">
            <v>Газ доменный</v>
          </cell>
        </row>
        <row r="35">
          <cell r="F35" t="str">
            <v>Газ коксовый</v>
          </cell>
        </row>
        <row r="36">
          <cell r="F36" t="str">
            <v>Газ нефтяной (попутный)</v>
          </cell>
        </row>
        <row r="37">
          <cell r="F37" t="str">
            <v>Газ сухой отбензиненный</v>
          </cell>
        </row>
        <row r="38">
          <cell r="F38" t="str">
            <v>Газовый конденсат</v>
          </cell>
        </row>
        <row r="39">
          <cell r="F39" t="str">
            <v>Газ сжиженный</v>
          </cell>
        </row>
        <row r="40">
          <cell r="F40" t="str">
            <v>Дизельное топливо</v>
          </cell>
        </row>
        <row r="41">
          <cell r="F41" t="str">
            <v>А (арктическое)</v>
          </cell>
        </row>
        <row r="42">
          <cell r="F42" t="str">
            <v>З (зимнее)</v>
          </cell>
        </row>
        <row r="43">
          <cell r="F43" t="str">
            <v>Л (летнее)</v>
          </cell>
        </row>
        <row r="44">
          <cell r="F44" t="str">
            <v>Е (межсезонное)</v>
          </cell>
        </row>
        <row r="45">
          <cell r="F45" t="str">
            <v>Мазут</v>
          </cell>
        </row>
        <row r="46">
          <cell r="F46" t="str">
            <v>М-40</v>
          </cell>
        </row>
        <row r="47">
          <cell r="F47" t="str">
            <v>М-100</v>
          </cell>
        </row>
        <row r="48">
          <cell r="F48" t="str">
            <v>М-200</v>
          </cell>
        </row>
        <row r="49">
          <cell r="F49" t="str">
            <v>мазут марки "Т"</v>
          </cell>
        </row>
        <row r="50">
          <cell r="F50" t="str">
            <v>Ф-5</v>
          </cell>
        </row>
        <row r="51">
          <cell r="F51" t="str">
            <v>Ф-12</v>
          </cell>
        </row>
        <row r="52">
          <cell r="F52" t="str">
            <v>Нефть</v>
          </cell>
        </row>
        <row r="53">
          <cell r="F53" t="str">
            <v>Уголь</v>
          </cell>
        </row>
        <row r="54">
          <cell r="F54" t="str">
            <v>Уголь антрацит</v>
          </cell>
        </row>
        <row r="55">
          <cell r="F55" t="str">
            <v>Уголь бурый</v>
          </cell>
        </row>
        <row r="56">
          <cell r="F56" t="str">
            <v>Уголь газовый</v>
          </cell>
        </row>
        <row r="57">
          <cell r="F57" t="str">
            <v>Уголь длиннопламенный</v>
          </cell>
        </row>
        <row r="58">
          <cell r="F58" t="str">
            <v>Уголь жирный</v>
          </cell>
        </row>
        <row r="59">
          <cell r="F59" t="str">
            <v>Уголь коксовый</v>
          </cell>
        </row>
        <row r="60">
          <cell r="F60" t="str">
            <v>Уголь отощённо-спекающийся</v>
          </cell>
        </row>
        <row r="61">
          <cell r="F61" t="str">
            <v>Уголь слабоспекающийся</v>
          </cell>
        </row>
        <row r="62">
          <cell r="F62" t="str">
            <v>Уголь тощий</v>
          </cell>
        </row>
        <row r="63">
          <cell r="F63" t="str">
            <v>Энергия</v>
          </cell>
        </row>
        <row r="64">
          <cell r="F64" t="str">
            <v>Заявленная мощность</v>
          </cell>
        </row>
        <row r="65">
          <cell r="F65" t="str">
            <v>Уголь древесный</v>
          </cell>
        </row>
        <row r="66">
          <cell r="F66" t="str">
            <v>Дрова</v>
          </cell>
        </row>
        <row r="67">
          <cell r="F67" t="str">
            <v>Пеллеты</v>
          </cell>
        </row>
        <row r="68">
          <cell r="F68" t="str">
            <v>Опилки</v>
          </cell>
        </row>
        <row r="69">
          <cell r="F69" t="str">
            <v>Торф</v>
          </cell>
        </row>
        <row r="70">
          <cell r="F70" t="str">
            <v>Сланцы</v>
          </cell>
        </row>
        <row r="71">
          <cell r="F71" t="str">
            <v>Печное бытовое топливо</v>
          </cell>
        </row>
        <row r="72">
          <cell r="F72" t="str">
            <v>Прочие виды топлива</v>
          </cell>
        </row>
      </sheetData>
      <sheetData sheetId="2" refreshError="1">
        <row r="12">
          <cell r="G12">
            <v>2026</v>
          </cell>
        </row>
        <row r="13">
          <cell r="M13" t="str">
            <v>Postgre</v>
          </cell>
        </row>
        <row r="33">
          <cell r="G33" t="str">
            <v>да</v>
          </cell>
        </row>
        <row r="34">
          <cell r="G34" t="str">
            <v>да</v>
          </cell>
        </row>
        <row r="42">
          <cell r="G42" t="str">
            <v>нет</v>
          </cell>
        </row>
        <row r="43">
          <cell r="G43" t="str">
            <v>да</v>
          </cell>
        </row>
        <row r="54">
          <cell r="G54" t="str">
            <v>да</v>
          </cell>
        </row>
        <row r="60">
          <cell r="G60" t="str">
            <v>полугодовой</v>
          </cell>
        </row>
        <row r="61">
          <cell r="G61" t="str">
            <v>годовой (расширенное)</v>
          </cell>
        </row>
        <row r="64">
          <cell r="G64" t="str">
            <v>нет</v>
          </cell>
        </row>
        <row r="65">
          <cell r="G65" t="str">
            <v>нет</v>
          </cell>
        </row>
        <row r="66">
          <cell r="G66" t="str">
            <v>да</v>
          </cell>
        </row>
        <row r="68">
          <cell r="G68" t="str">
            <v>да</v>
          </cell>
        </row>
        <row r="69">
          <cell r="G69" t="str">
            <v>да</v>
          </cell>
        </row>
        <row r="70">
          <cell r="G70" t="str">
            <v>да</v>
          </cell>
        </row>
        <row r="71">
          <cell r="G71" t="str">
            <v>да</v>
          </cell>
        </row>
        <row r="73">
          <cell r="G73" t="str">
            <v>нет</v>
          </cell>
        </row>
        <row r="77">
          <cell r="G77" t="str">
            <v>да</v>
          </cell>
        </row>
        <row r="78">
          <cell r="G78" t="str">
            <v>да</v>
          </cell>
        </row>
        <row r="79">
          <cell r="G79" t="str">
            <v>да</v>
          </cell>
        </row>
        <row r="80">
          <cell r="G80" t="str">
            <v>нет</v>
          </cell>
        </row>
        <row r="85">
          <cell r="G85" t="str">
            <v>нет</v>
          </cell>
        </row>
        <row r="86">
          <cell r="G86" t="str">
            <v>да</v>
          </cell>
        </row>
        <row r="90">
          <cell r="G90" t="str">
            <v>да</v>
          </cell>
        </row>
        <row r="107">
          <cell r="G107" t="str">
            <v>один год</v>
          </cell>
        </row>
        <row r="123">
          <cell r="G123" t="str">
            <v>нет</v>
          </cell>
        </row>
        <row r="127">
          <cell r="G127" t="str">
            <v>да</v>
          </cell>
        </row>
        <row r="130">
          <cell r="G130" t="str">
            <v>нет</v>
          </cell>
        </row>
        <row r="134">
          <cell r="G134" t="str">
            <v>Подано воды в сеть</v>
          </cell>
        </row>
        <row r="135">
          <cell r="G135" t="str">
            <v>Подано воды в сеть</v>
          </cell>
        </row>
        <row r="136">
          <cell r="G136" t="str">
            <v>Подано воды в сеть</v>
          </cell>
        </row>
        <row r="138">
          <cell r="G138" t="str">
            <v>нет</v>
          </cell>
        </row>
        <row r="142">
          <cell r="G142" t="str">
            <v>нет</v>
          </cell>
        </row>
        <row r="148">
          <cell r="G148" t="str">
            <v>нет</v>
          </cell>
        </row>
        <row r="149">
          <cell r="G149" t="str">
            <v>нет</v>
          </cell>
        </row>
        <row r="156">
          <cell r="G156" t="str">
            <v>нет</v>
          </cell>
        </row>
        <row r="157">
          <cell r="G157" t="str">
            <v>ФАС</v>
          </cell>
        </row>
        <row r="160">
          <cell r="G160" t="str">
            <v>нет</v>
          </cell>
        </row>
        <row r="162">
          <cell r="G162" t="str">
            <v>нет</v>
          </cell>
        </row>
        <row r="179">
          <cell r="G179" t="str">
            <v>товарные вода/стоки</v>
          </cell>
        </row>
        <row r="180">
          <cell r="G180" t="str">
            <v>отпущено воды абонентам/принято от абонентов</v>
          </cell>
        </row>
        <row r="185">
          <cell r="G185" t="str">
            <v>один год</v>
          </cell>
        </row>
        <row r="186">
          <cell r="G186" t="str">
            <v>последний год</v>
          </cell>
        </row>
        <row r="188">
          <cell r="G188" t="str">
            <v>Назначение</v>
          </cell>
        </row>
        <row r="189">
          <cell r="G189" t="str">
            <v>Срок действия договора</v>
          </cell>
        </row>
      </sheetData>
      <sheetData sheetId="3" refreshError="1"/>
      <sheetData sheetId="4" refreshError="1"/>
      <sheetData sheetId="5" refreshError="1">
        <row r="26">
          <cell r="A26">
            <v>1</v>
          </cell>
        </row>
        <row r="31">
          <cell r="A31">
            <v>1</v>
          </cell>
        </row>
        <row r="41">
          <cell r="A41">
            <v>1</v>
          </cell>
        </row>
        <row r="42">
          <cell r="A42">
            <v>1</v>
          </cell>
        </row>
        <row r="43">
          <cell r="A43">
            <v>1</v>
          </cell>
        </row>
        <row r="44">
          <cell r="A44">
            <v>0</v>
          </cell>
        </row>
        <row r="45">
          <cell r="A45">
            <v>1</v>
          </cell>
        </row>
        <row r="46">
          <cell r="A46">
            <v>1</v>
          </cell>
        </row>
        <row r="47">
          <cell r="A47">
            <v>1</v>
          </cell>
        </row>
        <row r="48">
          <cell r="A48">
            <v>1</v>
          </cell>
        </row>
        <row r="49">
          <cell r="A49">
            <v>1</v>
          </cell>
        </row>
        <row r="51">
          <cell r="A51">
            <v>1</v>
          </cell>
        </row>
      </sheetData>
      <sheetData sheetId="6" refreshError="1"/>
      <sheetData sheetId="7" refreshError="1"/>
      <sheetData sheetId="8" refreshError="1">
        <row r="11">
          <cell r="AD11" t="str">
            <v>Калининградская область</v>
          </cell>
        </row>
        <row r="12">
          <cell r="AD12" t="str">
            <v>План</v>
          </cell>
        </row>
        <row r="13">
          <cell r="AD13" t="str">
            <v>Версия организации</v>
          </cell>
        </row>
        <row r="14">
          <cell r="AD14">
            <v>2026</v>
          </cell>
        </row>
        <row r="15">
          <cell r="AD15" t="str">
            <v>Водоснабжение</v>
          </cell>
        </row>
        <row r="18">
          <cell r="AD18" t="str">
            <v>Государственное предприятие Калининградской области «Водоканал»</v>
          </cell>
        </row>
        <row r="19">
          <cell r="AD19" t="str">
            <v>ГП КО "Водоканал"</v>
          </cell>
        </row>
        <row r="22">
          <cell r="AD22" t="str">
            <v>1023900591626</v>
          </cell>
        </row>
        <row r="25">
          <cell r="AD25" t="str">
            <v>3903009923</v>
          </cell>
        </row>
        <row r="26">
          <cell r="AD26" t="str">
            <v>390601001</v>
          </cell>
        </row>
        <row r="27">
          <cell r="AD27" t="str">
            <v>03269197</v>
          </cell>
        </row>
        <row r="28">
          <cell r="AD28" t="str">
            <v>27401385000</v>
          </cell>
        </row>
        <row r="29">
          <cell r="AD29" t="str">
            <v>КАЛИНИНГРАД ВОДОСНАБЖЕНИЕ</v>
          </cell>
        </row>
        <row r="37">
          <cell r="AD37" t="str">
            <v>Мурадянц Армен Сергеевич</v>
          </cell>
        </row>
        <row r="38">
          <cell r="AD38" t="str">
            <v>директор</v>
          </cell>
        </row>
        <row r="44">
          <cell r="AD44" t="str">
            <v>да, 20%</v>
          </cell>
        </row>
        <row r="62">
          <cell r="AD62" t="str">
            <v>нет</v>
          </cell>
        </row>
        <row r="63">
          <cell r="AD63" t="str">
            <v>Метод индексации</v>
          </cell>
        </row>
        <row r="64">
          <cell r="AD64">
            <v>2024</v>
          </cell>
        </row>
        <row r="67">
          <cell r="AD67">
            <v>5</v>
          </cell>
        </row>
        <row r="72">
          <cell r="AD72" t="str">
            <v>Корректировка</v>
          </cell>
        </row>
        <row r="73">
          <cell r="AD73">
            <v>1</v>
          </cell>
        </row>
        <row r="74">
          <cell r="AD74" t="str">
            <v>Метод индексации</v>
          </cell>
        </row>
        <row r="75">
          <cell r="AD75">
            <v>5</v>
          </cell>
        </row>
        <row r="76">
          <cell r="AD76">
            <v>45292</v>
          </cell>
        </row>
        <row r="78">
          <cell r="AD78">
            <v>0</v>
          </cell>
        </row>
        <row r="79">
          <cell r="AD79" t="str">
            <v/>
          </cell>
        </row>
        <row r="93">
          <cell r="AD93">
            <v>0</v>
          </cell>
        </row>
      </sheetData>
      <sheetData sheetId="9" refreshError="1">
        <row r="86">
          <cell r="AB86">
            <v>0</v>
          </cell>
          <cell r="AC86">
            <v>0</v>
          </cell>
          <cell r="AD86">
            <v>0</v>
          </cell>
        </row>
        <row r="87">
          <cell r="O87" t="str">
            <v>воды</v>
          </cell>
          <cell r="P87" t="str">
            <v>COLDVSNA</v>
          </cell>
          <cell r="Q87" t="str">
            <v>водоснабжения</v>
          </cell>
          <cell r="U87" t="str">
            <v>1ХВС - Тариф на питьевую воду</v>
          </cell>
          <cell r="X87" t="str">
            <v>1ХВС::1.1</v>
          </cell>
          <cell r="Y87" t="str">
            <v>1ХВС</v>
          </cell>
          <cell r="AB87" t="str">
            <v>Водоснабжение</v>
          </cell>
          <cell r="AC87" t="str">
            <v>Тариф на питьевую воду</v>
          </cell>
          <cell r="AD87" t="str">
            <v>одноставочный</v>
          </cell>
          <cell r="AE87" t="str">
            <v>Производство (подъём / добыча) воды :: Очистка воды :: Транспортировка воды :: Сбыт (распределение) воды</v>
          </cell>
          <cell r="AK87" t="str">
            <v>без дифференциации</v>
          </cell>
          <cell r="AL87" t="str">
            <v>нет</v>
          </cell>
          <cell r="AM87" t="str">
            <v>да</v>
          </cell>
        </row>
        <row r="88">
          <cell r="Y88" t="str">
            <v>1ХВС</v>
          </cell>
          <cell r="AB88">
            <v>0</v>
          </cell>
          <cell r="AC88">
            <v>0</v>
          </cell>
          <cell r="AD88">
            <v>0</v>
          </cell>
          <cell r="AK88">
            <v>0</v>
          </cell>
          <cell r="AM88">
            <v>0</v>
          </cell>
        </row>
        <row r="89">
          <cell r="Y89" t="str">
            <v>1ХВС</v>
          </cell>
          <cell r="AB89">
            <v>0</v>
          </cell>
          <cell r="AC89">
            <v>0</v>
          </cell>
          <cell r="AD89">
            <v>0</v>
          </cell>
          <cell r="AK89">
            <v>0</v>
          </cell>
          <cell r="AM89">
            <v>0</v>
          </cell>
        </row>
        <row r="90">
          <cell r="AB90" t="str">
            <v/>
          </cell>
          <cell r="AC90">
            <v>0</v>
          </cell>
          <cell r="AD90">
            <v>0</v>
          </cell>
          <cell r="AK90">
            <v>0</v>
          </cell>
          <cell r="AM90">
            <v>0</v>
          </cell>
        </row>
        <row r="91">
          <cell r="AB91">
            <v>0</v>
          </cell>
          <cell r="AC91">
            <v>0</v>
          </cell>
          <cell r="AD91">
            <v>0</v>
          </cell>
          <cell r="AK91">
            <v>0</v>
          </cell>
          <cell r="AM91">
            <v>0</v>
          </cell>
        </row>
        <row r="93">
          <cell r="X93" t="str">
            <v>Обратить внимание, что при удалении блока может быть ССЫЛКА</v>
          </cell>
          <cell r="Y93" t="str">
            <v>Обратить внимание, что при удалении блока может быть ССЫЛКА</v>
          </cell>
        </row>
        <row r="95">
          <cell r="AK95" t="str">
            <v>Если все без диференциации скрыть BR-CB</v>
          </cell>
        </row>
        <row r="98">
          <cell r="AK98" t="str">
            <v>При выборе "без дифференциации", то нельзя добавить субтариф, все ячейки по субтарифу становятся белыми</v>
          </cell>
        </row>
        <row r="99">
          <cell r="AK99" t="str">
            <v>При выборе "с дифференциацией (одна смета)"  столбцы BU-CB становятся недоступными (белыми), но должна сохраниться возможность добавть субтариф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>
        <row r="92">
          <cell r="AH92">
            <v>12</v>
          </cell>
          <cell r="AI92">
            <v>12</v>
          </cell>
          <cell r="AK92">
            <v>12</v>
          </cell>
        </row>
        <row r="93">
          <cell r="AH93">
            <v>1.0580000000000001</v>
          </cell>
          <cell r="AI93">
            <v>1.042</v>
          </cell>
          <cell r="AJ93">
            <v>1.0720000000000001</v>
          </cell>
          <cell r="AK93">
            <v>1.042</v>
          </cell>
          <cell r="AU93">
            <v>1.0580000000000001</v>
          </cell>
          <cell r="AW93">
            <v>1.0720000000000001</v>
          </cell>
          <cell r="AX93">
            <v>1.042</v>
          </cell>
          <cell r="AY93">
            <v>1.04</v>
          </cell>
          <cell r="AZ93">
            <v>1.04</v>
          </cell>
          <cell r="BA93">
            <v>1.04</v>
          </cell>
          <cell r="BB93">
            <v>1.04</v>
          </cell>
        </row>
        <row r="95">
          <cell r="AH95">
            <v>1.0900000000000001</v>
          </cell>
          <cell r="AI95">
            <v>1.06</v>
          </cell>
          <cell r="AJ95">
            <v>1.091</v>
          </cell>
          <cell r="AK95">
            <v>1.06</v>
          </cell>
          <cell r="AW95">
            <v>1.091</v>
          </cell>
          <cell r="AX95">
            <v>1.06</v>
          </cell>
          <cell r="AY95">
            <v>1.05</v>
          </cell>
          <cell r="AZ95">
            <v>1.05</v>
          </cell>
          <cell r="BA95">
            <v>1.05</v>
          </cell>
          <cell r="BB95">
            <v>1.05</v>
          </cell>
        </row>
      </sheetData>
      <sheetData sheetId="15" refreshError="1"/>
      <sheetData sheetId="16" refreshError="1"/>
      <sheetData sheetId="17" refreshError="1">
        <row r="1">
          <cell r="AF1" t="b">
            <v>0</v>
          </cell>
        </row>
        <row r="92">
          <cell r="AB92" t="str">
            <v>Объемы реализации всего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I92">
            <v>0</v>
          </cell>
        </row>
        <row r="93">
          <cell r="AB93" t="str">
            <v>по приборам учета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I93" t="str">
            <v>да</v>
          </cell>
        </row>
        <row r="94">
          <cell r="AB94" t="str">
            <v>по нормативу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I94" t="str">
            <v>нет</v>
          </cell>
        </row>
        <row r="95">
          <cell r="AB95" t="str">
            <v>Бюджетные потребители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I95">
            <v>0</v>
          </cell>
        </row>
        <row r="96">
          <cell r="AB96" t="str">
            <v>бюджетные потребители - по приборам учета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I96" t="str">
            <v>да</v>
          </cell>
        </row>
        <row r="97">
          <cell r="AB97" t="str">
            <v>бюджетные потребители - по нормативам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I97" t="str">
            <v>нет</v>
          </cell>
        </row>
        <row r="98"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I98">
            <v>0</v>
          </cell>
        </row>
        <row r="99">
          <cell r="AB99" t="str">
            <v>Бюджетные потребители #2</v>
          </cell>
          <cell r="AC99">
            <v>0</v>
          </cell>
          <cell r="AD99">
            <v>0</v>
          </cell>
          <cell r="AE99" t="str">
            <v>Городской округ город Калининград</v>
          </cell>
          <cell r="AF99">
            <v>0</v>
          </cell>
          <cell r="AG99">
            <v>0</v>
          </cell>
          <cell r="AI99" t="str">
            <v>да</v>
          </cell>
        </row>
        <row r="100"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I100" t="str">
            <v>нет</v>
          </cell>
        </row>
        <row r="101">
          <cell r="AB101" t="str">
            <v>Добавить|REESTR_CONSUMER_ADD_RANGE_CONSUMER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I101">
            <v>0</v>
          </cell>
        </row>
        <row r="102">
          <cell r="AB102" t="str">
            <v>Население и приравненные к ним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I102">
            <v>0</v>
          </cell>
        </row>
        <row r="103">
          <cell r="AB103" t="str">
            <v>население, исполнители коммунальных услуг - по приборам учета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I103" t="str">
            <v>да</v>
          </cell>
        </row>
        <row r="104">
          <cell r="AB104" t="str">
            <v>население, исполнители коммунальных услуг - по нормативам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I104" t="str">
            <v>нет</v>
          </cell>
        </row>
        <row r="105">
          <cell r="AB105" t="str">
            <v>Управляющие компании, ТСЖ и др. (по населению)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I105">
            <v>0</v>
          </cell>
        </row>
        <row r="106"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I106">
            <v>0</v>
          </cell>
        </row>
        <row r="107">
          <cell r="AB107" t="str">
            <v>Добавить|REESTR_CONSUMER_ADD_RANGE_COMP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I107">
            <v>0</v>
          </cell>
        </row>
        <row r="108">
          <cell r="AB108" t="str">
            <v>Население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I108">
            <v>0</v>
          </cell>
        </row>
        <row r="109">
          <cell r="AB109" t="str">
            <v>население (по приборам учета)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I109" t="str">
            <v>да</v>
          </cell>
        </row>
        <row r="110">
          <cell r="AB110" t="str">
            <v>население (по нормативу)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I110" t="str">
            <v>нет</v>
          </cell>
        </row>
        <row r="111">
          <cell r="AB111" t="str">
            <v>Прочие потребители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I111">
            <v>0</v>
          </cell>
        </row>
        <row r="112">
          <cell r="AB112" t="str">
            <v>прочие потребители - по приборам учета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I112" t="str">
            <v>да</v>
          </cell>
        </row>
        <row r="113">
          <cell r="AB113" t="str">
            <v>прочие потребители - по нормативам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I113" t="str">
            <v>нет</v>
          </cell>
        </row>
        <row r="114"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I114">
            <v>0</v>
          </cell>
        </row>
        <row r="115">
          <cell r="AB115" t="str">
            <v>Юридические лица и физ.лица, собственники нежилых помещений</v>
          </cell>
          <cell r="AC115">
            <v>0</v>
          </cell>
          <cell r="AD115">
            <v>0</v>
          </cell>
          <cell r="AE115" t="str">
            <v>Городской округ город Калининград</v>
          </cell>
          <cell r="AF115">
            <v>0</v>
          </cell>
          <cell r="AG115">
            <v>0</v>
          </cell>
          <cell r="AI115" t="str">
            <v>да</v>
          </cell>
        </row>
        <row r="116"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I116" t="str">
            <v>нет</v>
          </cell>
        </row>
        <row r="117">
          <cell r="AB117" t="str">
            <v>Добавить|REESTR_CONSUMER_ADD_RANGE_OTHER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I117">
            <v>0</v>
          </cell>
        </row>
        <row r="118">
          <cell r="AB118" t="str">
            <v>Организации водоснабжения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I118">
            <v>0</v>
          </cell>
        </row>
        <row r="119">
          <cell r="AB119" t="str">
            <v>Организации водоснабжения - по приборам учета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I119" t="str">
            <v>да</v>
          </cell>
        </row>
        <row r="120">
          <cell r="AB120" t="str">
            <v>Организации водоснабжения - по нормативам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I120" t="str">
            <v>нет</v>
          </cell>
        </row>
        <row r="121"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I121">
            <v>0</v>
          </cell>
        </row>
        <row r="122">
          <cell r="AB122" t="str">
            <v>МУП ЖКХ "Гурьевский водоканал"::3917501998::391701001</v>
          </cell>
          <cell r="AC122" t="str">
            <v>бн</v>
          </cell>
          <cell r="AD122" t="str">
            <v>01.01.2000</v>
          </cell>
          <cell r="AE122" t="str">
            <v>Городской округ город Калининград</v>
          </cell>
          <cell r="AF122">
            <v>0</v>
          </cell>
          <cell r="AG122">
            <v>0</v>
          </cell>
          <cell r="AI122" t="str">
            <v>да</v>
          </cell>
        </row>
        <row r="123">
          <cell r="AB123">
            <v>0</v>
          </cell>
          <cell r="AC123">
            <v>0</v>
          </cell>
          <cell r="AD123">
            <v>0</v>
          </cell>
          <cell r="AE123" t="str">
            <v/>
          </cell>
          <cell r="AF123">
            <v>0</v>
          </cell>
          <cell r="AG123">
            <v>0</v>
          </cell>
          <cell r="AI123" t="str">
            <v>нет</v>
          </cell>
        </row>
        <row r="124">
          <cell r="AB124" t="str">
            <v>МУП МО "Гвардейский городской округ" "Комсервис"::3916016614::391601001</v>
          </cell>
          <cell r="AC124" t="str">
            <v>бн</v>
          </cell>
          <cell r="AD124" t="str">
            <v>01.01.2000</v>
          </cell>
          <cell r="AE124" t="str">
            <v>Городской округ город Калининград</v>
          </cell>
          <cell r="AF124">
            <v>0</v>
          </cell>
          <cell r="AG124">
            <v>0</v>
          </cell>
          <cell r="AI124" t="str">
            <v>да</v>
          </cell>
        </row>
        <row r="125">
          <cell r="AB125">
            <v>0</v>
          </cell>
          <cell r="AC125">
            <v>0</v>
          </cell>
          <cell r="AD125">
            <v>0</v>
          </cell>
          <cell r="AE125" t="str">
            <v/>
          </cell>
          <cell r="AF125">
            <v>0</v>
          </cell>
          <cell r="AG125">
            <v>0</v>
          </cell>
          <cell r="AI125" t="str">
            <v>нет</v>
          </cell>
        </row>
        <row r="126">
          <cell r="AB126" t="str">
            <v>ФГБУ «ЦЖКУ» МО РФ::7729314745::784343001</v>
          </cell>
          <cell r="AC126" t="str">
            <v>бн</v>
          </cell>
          <cell r="AD126" t="str">
            <v>01.01.2000</v>
          </cell>
          <cell r="AE126" t="str">
            <v>Городской округ город Калининград</v>
          </cell>
          <cell r="AF126">
            <v>0</v>
          </cell>
          <cell r="AG126">
            <v>0</v>
          </cell>
          <cell r="AI126" t="str">
            <v>да</v>
          </cell>
        </row>
        <row r="127">
          <cell r="AB127">
            <v>0</v>
          </cell>
          <cell r="AC127">
            <v>0</v>
          </cell>
          <cell r="AD127">
            <v>0</v>
          </cell>
          <cell r="AE127" t="str">
            <v/>
          </cell>
          <cell r="AF127">
            <v>0</v>
          </cell>
          <cell r="AG127">
            <v>0</v>
          </cell>
          <cell r="AI127" t="str">
            <v>нет</v>
          </cell>
        </row>
        <row r="128">
          <cell r="AB128" t="str">
            <v>Добавить|REESTR_CONSUMER_ADD_RANGE_VO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I128">
            <v>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92">
          <cell r="AU92">
            <v>0</v>
          </cell>
          <cell r="BE92">
            <v>0</v>
          </cell>
        </row>
        <row r="93">
          <cell r="BB93">
            <v>1114.3880000000001</v>
          </cell>
          <cell r="BC93">
            <v>0</v>
          </cell>
          <cell r="BF93">
            <v>1114.3880000000001</v>
          </cell>
          <cell r="BG93">
            <v>0</v>
          </cell>
          <cell r="BJ93">
            <v>1114.3880000000001</v>
          </cell>
          <cell r="BK93">
            <v>0</v>
          </cell>
          <cell r="BN93">
            <v>1114.3880000000001</v>
          </cell>
          <cell r="BO93">
            <v>0</v>
          </cell>
          <cell r="BR93">
            <v>1114.3880000000001</v>
          </cell>
          <cell r="BS93">
            <v>0</v>
          </cell>
          <cell r="BV93">
            <v>1114.3880000000001</v>
          </cell>
          <cell r="BW93">
            <v>0</v>
          </cell>
        </row>
        <row r="94">
          <cell r="BB94">
            <v>0</v>
          </cell>
          <cell r="BC94">
            <v>0</v>
          </cell>
          <cell r="BF94">
            <v>0</v>
          </cell>
          <cell r="BG94">
            <v>0</v>
          </cell>
          <cell r="BJ94">
            <v>0</v>
          </cell>
          <cell r="BK94">
            <v>0</v>
          </cell>
          <cell r="BN94">
            <v>0</v>
          </cell>
          <cell r="BO94">
            <v>0</v>
          </cell>
          <cell r="BR94">
            <v>0</v>
          </cell>
          <cell r="BS94">
            <v>0</v>
          </cell>
          <cell r="BV94">
            <v>0</v>
          </cell>
          <cell r="BW94">
            <v>0</v>
          </cell>
        </row>
        <row r="95">
          <cell r="BB95">
            <v>1.7410000000000001</v>
          </cell>
          <cell r="BC95">
            <v>0</v>
          </cell>
          <cell r="BF95">
            <v>1.7410000000000001</v>
          </cell>
          <cell r="BG95">
            <v>0</v>
          </cell>
          <cell r="BJ95">
            <v>1.7410000000000001</v>
          </cell>
          <cell r="BK95">
            <v>0</v>
          </cell>
          <cell r="BN95">
            <v>1.7410000000000001</v>
          </cell>
          <cell r="BO95">
            <v>0</v>
          </cell>
          <cell r="BR95">
            <v>1.7410000000000001</v>
          </cell>
          <cell r="BS95">
            <v>0</v>
          </cell>
          <cell r="BV95">
            <v>1.7410000000000001</v>
          </cell>
          <cell r="BW95">
            <v>0</v>
          </cell>
        </row>
        <row r="96">
          <cell r="BB96">
            <v>1.86</v>
          </cell>
          <cell r="BC96">
            <v>0</v>
          </cell>
          <cell r="BF96">
            <v>1.86</v>
          </cell>
          <cell r="BG96">
            <v>0</v>
          </cell>
          <cell r="BJ96">
            <v>1.86</v>
          </cell>
          <cell r="BK96">
            <v>0</v>
          </cell>
          <cell r="BN96">
            <v>1.86</v>
          </cell>
          <cell r="BO96">
            <v>0</v>
          </cell>
          <cell r="BR96">
            <v>1.86</v>
          </cell>
          <cell r="BS96">
            <v>0</v>
          </cell>
          <cell r="BV96">
            <v>1.86</v>
          </cell>
          <cell r="BW96">
            <v>0</v>
          </cell>
        </row>
        <row r="97">
          <cell r="BB97">
            <v>0.05</v>
          </cell>
          <cell r="BC97">
            <v>0</v>
          </cell>
          <cell r="BF97">
            <v>0.05</v>
          </cell>
          <cell r="BG97">
            <v>0</v>
          </cell>
          <cell r="BJ97">
            <v>0.05</v>
          </cell>
          <cell r="BK97">
            <v>0</v>
          </cell>
          <cell r="BN97">
            <v>0.05</v>
          </cell>
          <cell r="BO97">
            <v>0</v>
          </cell>
          <cell r="BR97">
            <v>0.05</v>
          </cell>
          <cell r="BS97">
            <v>0</v>
          </cell>
          <cell r="BV97">
            <v>0.05</v>
          </cell>
          <cell r="BW97">
            <v>0</v>
          </cell>
        </row>
        <row r="98">
          <cell r="BB98">
            <v>2.306</v>
          </cell>
          <cell r="BC98">
            <v>0</v>
          </cell>
          <cell r="BF98">
            <v>2.306</v>
          </cell>
          <cell r="BG98">
            <v>0</v>
          </cell>
          <cell r="BJ98">
            <v>2.306</v>
          </cell>
          <cell r="BK98">
            <v>0</v>
          </cell>
          <cell r="BN98">
            <v>2.306</v>
          </cell>
          <cell r="BO98">
            <v>0</v>
          </cell>
          <cell r="BR98">
            <v>2.306</v>
          </cell>
          <cell r="BS98">
            <v>0</v>
          </cell>
          <cell r="BV98">
            <v>2.306</v>
          </cell>
          <cell r="BW98">
            <v>0</v>
          </cell>
        </row>
        <row r="99">
          <cell r="BB99">
            <v>5.6390000000000002</v>
          </cell>
          <cell r="BC99">
            <v>0</v>
          </cell>
          <cell r="BF99">
            <v>5.6390000000000002</v>
          </cell>
          <cell r="BG99">
            <v>0</v>
          </cell>
          <cell r="BJ99">
            <v>5.6390000000000002</v>
          </cell>
          <cell r="BK99">
            <v>0</v>
          </cell>
          <cell r="BN99">
            <v>5.6390000000000002</v>
          </cell>
          <cell r="BO99">
            <v>0</v>
          </cell>
          <cell r="BR99">
            <v>5.6390000000000002</v>
          </cell>
          <cell r="BS99">
            <v>0</v>
          </cell>
          <cell r="BV99">
            <v>5.6390000000000002</v>
          </cell>
          <cell r="BW99">
            <v>0</v>
          </cell>
        </row>
        <row r="100">
          <cell r="BB100">
            <v>1.6020000000000001</v>
          </cell>
          <cell r="BC100">
            <v>0</v>
          </cell>
          <cell r="BF100">
            <v>1.6020000000000001</v>
          </cell>
          <cell r="BG100">
            <v>0</v>
          </cell>
          <cell r="BJ100">
            <v>1.6020000000000001</v>
          </cell>
          <cell r="BK100">
            <v>0</v>
          </cell>
          <cell r="BN100">
            <v>1.6020000000000001</v>
          </cell>
          <cell r="BO100">
            <v>0</v>
          </cell>
          <cell r="BR100">
            <v>1.6020000000000001</v>
          </cell>
          <cell r="BS100">
            <v>0</v>
          </cell>
          <cell r="BV100">
            <v>1.6020000000000001</v>
          </cell>
          <cell r="BW100">
            <v>0</v>
          </cell>
        </row>
        <row r="101">
          <cell r="BB101">
            <v>1.3740000000000001</v>
          </cell>
          <cell r="BC101">
            <v>0</v>
          </cell>
          <cell r="BF101">
            <v>1.3740000000000001</v>
          </cell>
          <cell r="BG101">
            <v>0</v>
          </cell>
          <cell r="BJ101">
            <v>1.3740000000000001</v>
          </cell>
          <cell r="BK101">
            <v>0</v>
          </cell>
          <cell r="BN101">
            <v>1.3740000000000001</v>
          </cell>
          <cell r="BO101">
            <v>0</v>
          </cell>
          <cell r="BR101">
            <v>1.3740000000000001</v>
          </cell>
          <cell r="BS101">
            <v>0</v>
          </cell>
          <cell r="BV101">
            <v>1.3740000000000001</v>
          </cell>
          <cell r="BW101">
            <v>0</v>
          </cell>
        </row>
        <row r="102">
          <cell r="BB102">
            <v>2.8580000000000001</v>
          </cell>
          <cell r="BC102">
            <v>0</v>
          </cell>
          <cell r="BF102">
            <v>2.8580000000000001</v>
          </cell>
          <cell r="BG102">
            <v>0</v>
          </cell>
          <cell r="BJ102">
            <v>2.8580000000000001</v>
          </cell>
          <cell r="BK102">
            <v>0</v>
          </cell>
          <cell r="BN102">
            <v>2.8580000000000001</v>
          </cell>
          <cell r="BO102">
            <v>0</v>
          </cell>
          <cell r="BR102">
            <v>2.8580000000000001</v>
          </cell>
          <cell r="BS102">
            <v>0</v>
          </cell>
          <cell r="BV102">
            <v>2.8580000000000001</v>
          </cell>
          <cell r="BW102">
            <v>0</v>
          </cell>
        </row>
        <row r="103">
          <cell r="BB103">
            <v>6.6660000000000004</v>
          </cell>
          <cell r="BC103">
            <v>0</v>
          </cell>
          <cell r="BF103">
            <v>6.6660000000000004</v>
          </cell>
          <cell r="BG103">
            <v>0</v>
          </cell>
          <cell r="BJ103">
            <v>6.6660000000000004</v>
          </cell>
          <cell r="BK103">
            <v>0</v>
          </cell>
          <cell r="BN103">
            <v>6.6660000000000004</v>
          </cell>
          <cell r="BO103">
            <v>0</v>
          </cell>
          <cell r="BR103">
            <v>6.6660000000000004</v>
          </cell>
          <cell r="BS103">
            <v>0</v>
          </cell>
          <cell r="BV103">
            <v>6.6660000000000004</v>
          </cell>
          <cell r="BW103">
            <v>0</v>
          </cell>
        </row>
        <row r="104">
          <cell r="BB104">
            <v>0.89400000000000002</v>
          </cell>
          <cell r="BC104">
            <v>0</v>
          </cell>
          <cell r="BF104">
            <v>0.89400000000000002</v>
          </cell>
          <cell r="BG104">
            <v>0</v>
          </cell>
          <cell r="BJ104">
            <v>0.89400000000000002</v>
          </cell>
          <cell r="BK104">
            <v>0</v>
          </cell>
          <cell r="BN104">
            <v>0.89400000000000002</v>
          </cell>
          <cell r="BO104">
            <v>0</v>
          </cell>
          <cell r="BR104">
            <v>0.89400000000000002</v>
          </cell>
          <cell r="BS104">
            <v>0</v>
          </cell>
          <cell r="BV104">
            <v>0.89400000000000002</v>
          </cell>
          <cell r="BW104">
            <v>0</v>
          </cell>
        </row>
        <row r="105">
          <cell r="BB105">
            <v>2.1629999999999998</v>
          </cell>
          <cell r="BC105">
            <v>0</v>
          </cell>
          <cell r="BF105">
            <v>2.1629999999999998</v>
          </cell>
          <cell r="BG105">
            <v>0</v>
          </cell>
          <cell r="BJ105">
            <v>2.1629999999999998</v>
          </cell>
          <cell r="BK105">
            <v>0</v>
          </cell>
          <cell r="BN105">
            <v>2.1629999999999998</v>
          </cell>
          <cell r="BO105">
            <v>0</v>
          </cell>
          <cell r="BR105">
            <v>2.1629999999999998</v>
          </cell>
          <cell r="BS105">
            <v>0</v>
          </cell>
          <cell r="BV105">
            <v>2.1629999999999998</v>
          </cell>
          <cell r="BW105">
            <v>0</v>
          </cell>
        </row>
        <row r="106">
          <cell r="BB106">
            <v>11.089</v>
          </cell>
          <cell r="BC106">
            <v>0</v>
          </cell>
          <cell r="BF106">
            <v>11.089</v>
          </cell>
          <cell r="BG106">
            <v>0</v>
          </cell>
          <cell r="BJ106">
            <v>11.089</v>
          </cell>
          <cell r="BK106">
            <v>0</v>
          </cell>
          <cell r="BN106">
            <v>11.089</v>
          </cell>
          <cell r="BO106">
            <v>0</v>
          </cell>
          <cell r="BR106">
            <v>11.089</v>
          </cell>
          <cell r="BS106">
            <v>0</v>
          </cell>
          <cell r="BV106">
            <v>11.089</v>
          </cell>
          <cell r="BW106">
            <v>0</v>
          </cell>
        </row>
        <row r="107">
          <cell r="BB107">
            <v>0.28499999999999998</v>
          </cell>
          <cell r="BC107">
            <v>0</v>
          </cell>
          <cell r="BF107">
            <v>0.28499999999999998</v>
          </cell>
          <cell r="BG107">
            <v>0</v>
          </cell>
          <cell r="BJ107">
            <v>0.28499999999999998</v>
          </cell>
          <cell r="BK107">
            <v>0</v>
          </cell>
          <cell r="BN107">
            <v>0.28499999999999998</v>
          </cell>
          <cell r="BO107">
            <v>0</v>
          </cell>
          <cell r="BR107">
            <v>0.28499999999999998</v>
          </cell>
          <cell r="BS107">
            <v>0</v>
          </cell>
          <cell r="BV107">
            <v>0.28499999999999998</v>
          </cell>
          <cell r="BW107">
            <v>0</v>
          </cell>
        </row>
        <row r="108">
          <cell r="BB108">
            <v>9.7449999999999992</v>
          </cell>
          <cell r="BC108">
            <v>0</v>
          </cell>
          <cell r="BF108">
            <v>9.7449999999999992</v>
          </cell>
          <cell r="BG108">
            <v>0</v>
          </cell>
          <cell r="BJ108">
            <v>9.7449999999999992</v>
          </cell>
          <cell r="BK108">
            <v>0</v>
          </cell>
          <cell r="BN108">
            <v>9.7449999999999992</v>
          </cell>
          <cell r="BO108">
            <v>0</v>
          </cell>
          <cell r="BR108">
            <v>9.7449999999999992</v>
          </cell>
          <cell r="BS108">
            <v>0</v>
          </cell>
          <cell r="BV108">
            <v>9.7449999999999992</v>
          </cell>
          <cell r="BW108">
            <v>0</v>
          </cell>
        </row>
        <row r="109">
          <cell r="BB109">
            <v>14.34</v>
          </cell>
          <cell r="BC109">
            <v>0</v>
          </cell>
          <cell r="BF109">
            <v>14.34</v>
          </cell>
          <cell r="BG109">
            <v>0</v>
          </cell>
          <cell r="BJ109">
            <v>14.34</v>
          </cell>
          <cell r="BK109">
            <v>0</v>
          </cell>
          <cell r="BN109">
            <v>14.34</v>
          </cell>
          <cell r="BO109">
            <v>0</v>
          </cell>
          <cell r="BR109">
            <v>14.34</v>
          </cell>
          <cell r="BS109">
            <v>0</v>
          </cell>
          <cell r="BV109">
            <v>14.34</v>
          </cell>
          <cell r="BW109">
            <v>0</v>
          </cell>
        </row>
        <row r="110">
          <cell r="BB110">
            <v>1.7689999999999999</v>
          </cell>
          <cell r="BC110">
            <v>0</v>
          </cell>
          <cell r="BF110">
            <v>1.7689999999999999</v>
          </cell>
          <cell r="BG110">
            <v>0</v>
          </cell>
          <cell r="BJ110">
            <v>1.7689999999999999</v>
          </cell>
          <cell r="BK110">
            <v>0</v>
          </cell>
          <cell r="BN110">
            <v>1.7689999999999999</v>
          </cell>
          <cell r="BO110">
            <v>0</v>
          </cell>
          <cell r="BR110">
            <v>1.7689999999999999</v>
          </cell>
          <cell r="BS110">
            <v>0</v>
          </cell>
          <cell r="BV110">
            <v>1.7689999999999999</v>
          </cell>
          <cell r="BW110">
            <v>0</v>
          </cell>
        </row>
        <row r="111">
          <cell r="BB111">
            <v>0.33400000000000002</v>
          </cell>
          <cell r="BC111">
            <v>0</v>
          </cell>
          <cell r="BF111">
            <v>0.33400000000000002</v>
          </cell>
          <cell r="BG111">
            <v>0</v>
          </cell>
          <cell r="BJ111">
            <v>0.33400000000000002</v>
          </cell>
          <cell r="BK111">
            <v>0</v>
          </cell>
          <cell r="BN111">
            <v>0.33400000000000002</v>
          </cell>
          <cell r="BO111">
            <v>0</v>
          </cell>
          <cell r="BR111">
            <v>0.33400000000000002</v>
          </cell>
          <cell r="BS111">
            <v>0</v>
          </cell>
          <cell r="BV111">
            <v>0.33400000000000002</v>
          </cell>
          <cell r="BW111">
            <v>0</v>
          </cell>
        </row>
        <row r="112">
          <cell r="BB112">
            <v>11.952999999999999</v>
          </cell>
          <cell r="BC112">
            <v>0</v>
          </cell>
          <cell r="BF112">
            <v>11.952999999999999</v>
          </cell>
          <cell r="BG112">
            <v>0</v>
          </cell>
          <cell r="BJ112">
            <v>11.952999999999999</v>
          </cell>
          <cell r="BK112">
            <v>0</v>
          </cell>
          <cell r="BN112">
            <v>11.952999999999999</v>
          </cell>
          <cell r="BO112">
            <v>0</v>
          </cell>
          <cell r="BR112">
            <v>11.952999999999999</v>
          </cell>
          <cell r="BS112">
            <v>0</v>
          </cell>
          <cell r="BV112">
            <v>11.952999999999999</v>
          </cell>
          <cell r="BW112">
            <v>0</v>
          </cell>
        </row>
        <row r="113">
          <cell r="BB113">
            <v>4.2720000000000002</v>
          </cell>
          <cell r="BC113">
            <v>0</v>
          </cell>
          <cell r="BF113">
            <v>4.2720000000000002</v>
          </cell>
          <cell r="BG113">
            <v>0</v>
          </cell>
          <cell r="BJ113">
            <v>4.2720000000000002</v>
          </cell>
          <cell r="BK113">
            <v>0</v>
          </cell>
          <cell r="BN113">
            <v>4.2720000000000002</v>
          </cell>
          <cell r="BO113">
            <v>0</v>
          </cell>
          <cell r="BR113">
            <v>4.2720000000000002</v>
          </cell>
          <cell r="BS113">
            <v>0</v>
          </cell>
          <cell r="BV113">
            <v>4.2720000000000002</v>
          </cell>
          <cell r="BW113">
            <v>0</v>
          </cell>
        </row>
        <row r="114">
          <cell r="BB114">
            <v>0.79100000000000004</v>
          </cell>
          <cell r="BC114">
            <v>0</v>
          </cell>
          <cell r="BF114">
            <v>0.79100000000000004</v>
          </cell>
          <cell r="BG114">
            <v>0</v>
          </cell>
          <cell r="BJ114">
            <v>0.79100000000000004</v>
          </cell>
          <cell r="BK114">
            <v>0</v>
          </cell>
          <cell r="BN114">
            <v>0.79100000000000004</v>
          </cell>
          <cell r="BO114">
            <v>0</v>
          </cell>
          <cell r="BR114">
            <v>0.79100000000000004</v>
          </cell>
          <cell r="BS114">
            <v>0</v>
          </cell>
          <cell r="BV114">
            <v>0.79100000000000004</v>
          </cell>
          <cell r="BW114">
            <v>0</v>
          </cell>
        </row>
        <row r="115">
          <cell r="BB115">
            <v>8.5399999999999991</v>
          </cell>
          <cell r="BC115">
            <v>0</v>
          </cell>
          <cell r="BF115">
            <v>8.5399999999999991</v>
          </cell>
          <cell r="BG115">
            <v>0</v>
          </cell>
          <cell r="BJ115">
            <v>8.5399999999999991</v>
          </cell>
          <cell r="BK115">
            <v>0</v>
          </cell>
          <cell r="BN115">
            <v>8.5399999999999991</v>
          </cell>
          <cell r="BO115">
            <v>0</v>
          </cell>
          <cell r="BR115">
            <v>8.5399999999999991</v>
          </cell>
          <cell r="BS115">
            <v>0</v>
          </cell>
          <cell r="BV115">
            <v>8.5399999999999991</v>
          </cell>
          <cell r="BW115">
            <v>0</v>
          </cell>
        </row>
        <row r="116">
          <cell r="BB116">
            <v>0.372</v>
          </cell>
          <cell r="BC116">
            <v>0</v>
          </cell>
          <cell r="BF116">
            <v>0.372</v>
          </cell>
          <cell r="BG116">
            <v>0</v>
          </cell>
          <cell r="BJ116">
            <v>0.372</v>
          </cell>
          <cell r="BK116">
            <v>0</v>
          </cell>
          <cell r="BN116">
            <v>0.372</v>
          </cell>
          <cell r="BO116">
            <v>0</v>
          </cell>
          <cell r="BR116">
            <v>0.372</v>
          </cell>
          <cell r="BS116">
            <v>0</v>
          </cell>
          <cell r="BV116">
            <v>0.372</v>
          </cell>
          <cell r="BW116">
            <v>0</v>
          </cell>
        </row>
        <row r="117">
          <cell r="BB117">
            <v>4.2949999999999999</v>
          </cell>
          <cell r="BC117">
            <v>0</v>
          </cell>
          <cell r="BF117">
            <v>4.2949999999999999</v>
          </cell>
          <cell r="BG117">
            <v>0</v>
          </cell>
          <cell r="BJ117">
            <v>4.2949999999999999</v>
          </cell>
          <cell r="BK117">
            <v>0</v>
          </cell>
          <cell r="BN117">
            <v>4.2949999999999999</v>
          </cell>
          <cell r="BO117">
            <v>0</v>
          </cell>
          <cell r="BR117">
            <v>4.2949999999999999</v>
          </cell>
          <cell r="BS117">
            <v>0</v>
          </cell>
          <cell r="BV117">
            <v>4.2949999999999999</v>
          </cell>
          <cell r="BW117">
            <v>0</v>
          </cell>
        </row>
        <row r="118">
          <cell r="BB118">
            <v>4.9580000000000002</v>
          </cell>
          <cell r="BC118">
            <v>0</v>
          </cell>
          <cell r="BF118">
            <v>4.9580000000000002</v>
          </cell>
          <cell r="BG118">
            <v>0</v>
          </cell>
          <cell r="BJ118">
            <v>4.9580000000000002</v>
          </cell>
          <cell r="BK118">
            <v>0</v>
          </cell>
          <cell r="BN118">
            <v>4.9580000000000002</v>
          </cell>
          <cell r="BO118">
            <v>0</v>
          </cell>
          <cell r="BR118">
            <v>4.9580000000000002</v>
          </cell>
          <cell r="BS118">
            <v>0</v>
          </cell>
          <cell r="BV118">
            <v>4.9580000000000002</v>
          </cell>
          <cell r="BW118">
            <v>0</v>
          </cell>
        </row>
        <row r="119">
          <cell r="BB119">
            <v>32.881</v>
          </cell>
          <cell r="BC119">
            <v>0</v>
          </cell>
          <cell r="BF119">
            <v>32.881</v>
          </cell>
          <cell r="BG119">
            <v>0</v>
          </cell>
          <cell r="BJ119">
            <v>32.881</v>
          </cell>
          <cell r="BK119">
            <v>0</v>
          </cell>
          <cell r="BN119">
            <v>32.881</v>
          </cell>
          <cell r="BO119">
            <v>0</v>
          </cell>
          <cell r="BR119">
            <v>32.881</v>
          </cell>
          <cell r="BS119">
            <v>0</v>
          </cell>
          <cell r="BV119">
            <v>32.881</v>
          </cell>
          <cell r="BW119">
            <v>0</v>
          </cell>
        </row>
        <row r="120">
          <cell r="BB120">
            <v>2.7E-2</v>
          </cell>
          <cell r="BC120">
            <v>0</v>
          </cell>
          <cell r="BF120">
            <v>2.7E-2</v>
          </cell>
          <cell r="BG120">
            <v>0</v>
          </cell>
          <cell r="BJ120">
            <v>2.7E-2</v>
          </cell>
          <cell r="BK120">
            <v>0</v>
          </cell>
          <cell r="BN120">
            <v>2.7E-2</v>
          </cell>
          <cell r="BO120">
            <v>0</v>
          </cell>
          <cell r="BR120">
            <v>2.7E-2</v>
          </cell>
          <cell r="BS120">
            <v>0</v>
          </cell>
          <cell r="BV120">
            <v>2.7E-2</v>
          </cell>
          <cell r="BW120">
            <v>0</v>
          </cell>
        </row>
        <row r="121">
          <cell r="BB121">
            <v>7.2050000000000001</v>
          </cell>
          <cell r="BC121">
            <v>0</v>
          </cell>
          <cell r="BF121">
            <v>7.2050000000000001</v>
          </cell>
          <cell r="BG121">
            <v>0</v>
          </cell>
          <cell r="BJ121">
            <v>7.2050000000000001</v>
          </cell>
          <cell r="BK121">
            <v>0</v>
          </cell>
          <cell r="BN121">
            <v>7.2050000000000001</v>
          </cell>
          <cell r="BO121">
            <v>0</v>
          </cell>
          <cell r="BR121">
            <v>7.2050000000000001</v>
          </cell>
          <cell r="BS121">
            <v>0</v>
          </cell>
          <cell r="BV121">
            <v>7.2050000000000001</v>
          </cell>
          <cell r="BW121">
            <v>0</v>
          </cell>
        </row>
        <row r="122">
          <cell r="BB122">
            <v>22.847999999999999</v>
          </cell>
          <cell r="BC122">
            <v>0</v>
          </cell>
          <cell r="BF122">
            <v>22.847999999999999</v>
          </cell>
          <cell r="BG122">
            <v>0</v>
          </cell>
          <cell r="BJ122">
            <v>22.847999999999999</v>
          </cell>
          <cell r="BK122">
            <v>0</v>
          </cell>
          <cell r="BN122">
            <v>22.847999999999999</v>
          </cell>
          <cell r="BO122">
            <v>0</v>
          </cell>
          <cell r="BR122">
            <v>22.847999999999999</v>
          </cell>
          <cell r="BS122">
            <v>0</v>
          </cell>
          <cell r="BV122">
            <v>22.847999999999999</v>
          </cell>
          <cell r="BW122">
            <v>0</v>
          </cell>
        </row>
        <row r="123">
          <cell r="BB123">
            <v>94.977000000000004</v>
          </cell>
          <cell r="BC123">
            <v>0</v>
          </cell>
          <cell r="BF123">
            <v>94.977000000000004</v>
          </cell>
          <cell r="BG123">
            <v>0</v>
          </cell>
          <cell r="BJ123">
            <v>94.977000000000004</v>
          </cell>
          <cell r="BK123">
            <v>0</v>
          </cell>
          <cell r="BN123">
            <v>94.977000000000004</v>
          </cell>
          <cell r="BO123">
            <v>0</v>
          </cell>
          <cell r="BR123">
            <v>94.977000000000004</v>
          </cell>
          <cell r="BS123">
            <v>0</v>
          </cell>
          <cell r="BV123">
            <v>94.977000000000004</v>
          </cell>
          <cell r="BW123">
            <v>0</v>
          </cell>
        </row>
        <row r="124">
          <cell r="BB124">
            <v>162.91499999999999</v>
          </cell>
          <cell r="BC124">
            <v>0</v>
          </cell>
          <cell r="BF124">
            <v>162.91499999999999</v>
          </cell>
          <cell r="BG124">
            <v>0</v>
          </cell>
          <cell r="BJ124">
            <v>162.91499999999999</v>
          </cell>
          <cell r="BK124">
            <v>0</v>
          </cell>
          <cell r="BN124">
            <v>162.91499999999999</v>
          </cell>
          <cell r="BO124">
            <v>0</v>
          </cell>
          <cell r="BR124">
            <v>162.91499999999999</v>
          </cell>
          <cell r="BS124">
            <v>0</v>
          </cell>
          <cell r="BV124">
            <v>162.91499999999999</v>
          </cell>
          <cell r="BW124">
            <v>0</v>
          </cell>
        </row>
        <row r="125">
          <cell r="BB125">
            <v>0.14599999999999999</v>
          </cell>
          <cell r="BC125">
            <v>0</v>
          </cell>
          <cell r="BF125">
            <v>0.14599999999999999</v>
          </cell>
          <cell r="BG125">
            <v>0</v>
          </cell>
          <cell r="BJ125">
            <v>0.14599999999999999</v>
          </cell>
          <cell r="BK125">
            <v>0</v>
          </cell>
          <cell r="BN125">
            <v>0.14599999999999999</v>
          </cell>
          <cell r="BO125">
            <v>0</v>
          </cell>
          <cell r="BR125">
            <v>0.14599999999999999</v>
          </cell>
          <cell r="BS125">
            <v>0</v>
          </cell>
          <cell r="BV125">
            <v>0.14599999999999999</v>
          </cell>
          <cell r="BW125">
            <v>0</v>
          </cell>
        </row>
        <row r="126">
          <cell r="BB126">
            <v>4.0949999999999998</v>
          </cell>
          <cell r="BC126">
            <v>0</v>
          </cell>
          <cell r="BF126">
            <v>4.0949999999999998</v>
          </cell>
          <cell r="BG126">
            <v>0</v>
          </cell>
          <cell r="BJ126">
            <v>4.0949999999999998</v>
          </cell>
          <cell r="BK126">
            <v>0</v>
          </cell>
          <cell r="BN126">
            <v>4.0949999999999998</v>
          </cell>
          <cell r="BO126">
            <v>0</v>
          </cell>
          <cell r="BR126">
            <v>4.0949999999999998</v>
          </cell>
          <cell r="BS126">
            <v>0</v>
          </cell>
          <cell r="BV126">
            <v>4.0949999999999998</v>
          </cell>
          <cell r="BW126">
            <v>0</v>
          </cell>
        </row>
        <row r="127">
          <cell r="BB127">
            <v>0.41899999999999998</v>
          </cell>
          <cell r="BC127">
            <v>0</v>
          </cell>
          <cell r="BF127">
            <v>0.41899999999999998</v>
          </cell>
          <cell r="BG127">
            <v>0</v>
          </cell>
          <cell r="BJ127">
            <v>0.41899999999999998</v>
          </cell>
          <cell r="BK127">
            <v>0</v>
          </cell>
          <cell r="BN127">
            <v>0.41899999999999998</v>
          </cell>
          <cell r="BO127">
            <v>0</v>
          </cell>
          <cell r="BR127">
            <v>0.41899999999999998</v>
          </cell>
          <cell r="BS127">
            <v>0</v>
          </cell>
          <cell r="BV127">
            <v>0.41899999999999998</v>
          </cell>
          <cell r="BW127">
            <v>0</v>
          </cell>
        </row>
        <row r="128">
          <cell r="BB128">
            <v>53.372</v>
          </cell>
          <cell r="BC128">
            <v>0</v>
          </cell>
          <cell r="BF128">
            <v>53.372</v>
          </cell>
          <cell r="BG128">
            <v>0</v>
          </cell>
          <cell r="BJ128">
            <v>53.372</v>
          </cell>
          <cell r="BK128">
            <v>0</v>
          </cell>
          <cell r="BN128">
            <v>53.372</v>
          </cell>
          <cell r="BO128">
            <v>0</v>
          </cell>
          <cell r="BR128">
            <v>53.372</v>
          </cell>
          <cell r="BS128">
            <v>0</v>
          </cell>
          <cell r="BV128">
            <v>53.372</v>
          </cell>
          <cell r="BW128">
            <v>0</v>
          </cell>
        </row>
        <row r="129">
          <cell r="BB129">
            <v>0.51</v>
          </cell>
          <cell r="BC129">
            <v>0</v>
          </cell>
          <cell r="BF129">
            <v>0.51</v>
          </cell>
          <cell r="BG129">
            <v>0</v>
          </cell>
          <cell r="BJ129">
            <v>0.51</v>
          </cell>
          <cell r="BK129">
            <v>0</v>
          </cell>
          <cell r="BN129">
            <v>0.51</v>
          </cell>
          <cell r="BO129">
            <v>0</v>
          </cell>
          <cell r="BR129">
            <v>0.51</v>
          </cell>
          <cell r="BS129">
            <v>0</v>
          </cell>
          <cell r="BV129">
            <v>0.51</v>
          </cell>
          <cell r="BW129">
            <v>0</v>
          </cell>
        </row>
        <row r="130">
          <cell r="BB130">
            <v>41.473999999999997</v>
          </cell>
          <cell r="BC130">
            <v>0</v>
          </cell>
          <cell r="BF130">
            <v>41.473999999999997</v>
          </cell>
          <cell r="BG130">
            <v>0</v>
          </cell>
          <cell r="BJ130">
            <v>41.473999999999997</v>
          </cell>
          <cell r="BK130">
            <v>0</v>
          </cell>
          <cell r="BN130">
            <v>41.473999999999997</v>
          </cell>
          <cell r="BO130">
            <v>0</v>
          </cell>
          <cell r="BR130">
            <v>41.473999999999997</v>
          </cell>
          <cell r="BS130">
            <v>0</v>
          </cell>
          <cell r="BV130">
            <v>41.473999999999997</v>
          </cell>
          <cell r="BW130">
            <v>0</v>
          </cell>
        </row>
        <row r="131">
          <cell r="BB131">
            <v>89.671000000000006</v>
          </cell>
          <cell r="BC131">
            <v>0</v>
          </cell>
          <cell r="BF131">
            <v>89.671000000000006</v>
          </cell>
          <cell r="BG131">
            <v>0</v>
          </cell>
          <cell r="BJ131">
            <v>89.671000000000006</v>
          </cell>
          <cell r="BK131">
            <v>0</v>
          </cell>
          <cell r="BN131">
            <v>89.671000000000006</v>
          </cell>
          <cell r="BO131">
            <v>0</v>
          </cell>
          <cell r="BR131">
            <v>89.671000000000006</v>
          </cell>
          <cell r="BS131">
            <v>0</v>
          </cell>
          <cell r="BV131">
            <v>89.671000000000006</v>
          </cell>
          <cell r="BW131">
            <v>0</v>
          </cell>
        </row>
        <row r="132">
          <cell r="BB132">
            <v>2.964</v>
          </cell>
          <cell r="BC132">
            <v>0</v>
          </cell>
          <cell r="BF132">
            <v>2.964</v>
          </cell>
          <cell r="BG132">
            <v>0</v>
          </cell>
          <cell r="BJ132">
            <v>2.964</v>
          </cell>
          <cell r="BK132">
            <v>0</v>
          </cell>
          <cell r="BN132">
            <v>2.964</v>
          </cell>
          <cell r="BO132">
            <v>0</v>
          </cell>
          <cell r="BR132">
            <v>2.964</v>
          </cell>
          <cell r="BS132">
            <v>0</v>
          </cell>
          <cell r="BV132">
            <v>2.964</v>
          </cell>
          <cell r="BW132">
            <v>0</v>
          </cell>
        </row>
        <row r="133">
          <cell r="BB133">
            <v>6.08</v>
          </cell>
          <cell r="BC133">
            <v>0</v>
          </cell>
          <cell r="BF133">
            <v>6.08</v>
          </cell>
          <cell r="BG133">
            <v>0</v>
          </cell>
          <cell r="BJ133">
            <v>6.08</v>
          </cell>
          <cell r="BK133">
            <v>0</v>
          </cell>
          <cell r="BN133">
            <v>6.08</v>
          </cell>
          <cell r="BO133">
            <v>0</v>
          </cell>
          <cell r="BR133">
            <v>6.08</v>
          </cell>
          <cell r="BS133">
            <v>0</v>
          </cell>
          <cell r="BV133">
            <v>6.08</v>
          </cell>
          <cell r="BW133">
            <v>0</v>
          </cell>
        </row>
        <row r="134">
          <cell r="BB134">
            <v>45.515000000000001</v>
          </cell>
          <cell r="BC134">
            <v>0</v>
          </cell>
          <cell r="BF134">
            <v>45.515000000000001</v>
          </cell>
          <cell r="BG134">
            <v>0</v>
          </cell>
          <cell r="BJ134">
            <v>45.515000000000001</v>
          </cell>
          <cell r="BK134">
            <v>0</v>
          </cell>
          <cell r="BN134">
            <v>45.515000000000001</v>
          </cell>
          <cell r="BO134">
            <v>0</v>
          </cell>
          <cell r="BR134">
            <v>45.515000000000001</v>
          </cell>
          <cell r="BS134">
            <v>0</v>
          </cell>
          <cell r="BV134">
            <v>45.515000000000001</v>
          </cell>
          <cell r="BW134">
            <v>0</v>
          </cell>
        </row>
        <row r="135">
          <cell r="BB135">
            <v>95.120999999999995</v>
          </cell>
          <cell r="BC135">
            <v>0</v>
          </cell>
          <cell r="BF135">
            <v>95.120999999999995</v>
          </cell>
          <cell r="BG135">
            <v>0</v>
          </cell>
          <cell r="BJ135">
            <v>95.120999999999995</v>
          </cell>
          <cell r="BK135">
            <v>0</v>
          </cell>
          <cell r="BN135">
            <v>95.120999999999995</v>
          </cell>
          <cell r="BO135">
            <v>0</v>
          </cell>
          <cell r="BR135">
            <v>95.120999999999995</v>
          </cell>
          <cell r="BS135">
            <v>0</v>
          </cell>
          <cell r="BV135">
            <v>95.120999999999995</v>
          </cell>
          <cell r="BW135">
            <v>0</v>
          </cell>
        </row>
        <row r="136">
          <cell r="BB136">
            <v>2.625</v>
          </cell>
          <cell r="BC136">
            <v>0</v>
          </cell>
          <cell r="BF136">
            <v>2.625</v>
          </cell>
          <cell r="BG136">
            <v>0</v>
          </cell>
          <cell r="BJ136">
            <v>2.625</v>
          </cell>
          <cell r="BK136">
            <v>0</v>
          </cell>
          <cell r="BN136">
            <v>2.625</v>
          </cell>
          <cell r="BO136">
            <v>0</v>
          </cell>
          <cell r="BR136">
            <v>2.625</v>
          </cell>
          <cell r="BS136">
            <v>0</v>
          </cell>
          <cell r="BV136">
            <v>2.625</v>
          </cell>
          <cell r="BW136">
            <v>0</v>
          </cell>
        </row>
        <row r="137">
          <cell r="BB137">
            <v>4.5789999999999997</v>
          </cell>
          <cell r="BC137">
            <v>0</v>
          </cell>
          <cell r="BF137">
            <v>4.5789999999999997</v>
          </cell>
          <cell r="BG137">
            <v>0</v>
          </cell>
          <cell r="BJ137">
            <v>4.5789999999999997</v>
          </cell>
          <cell r="BK137">
            <v>0</v>
          </cell>
          <cell r="BN137">
            <v>4.5789999999999997</v>
          </cell>
          <cell r="BO137">
            <v>0</v>
          </cell>
          <cell r="BR137">
            <v>4.5789999999999997</v>
          </cell>
          <cell r="BS137">
            <v>0</v>
          </cell>
          <cell r="BV137">
            <v>4.5789999999999997</v>
          </cell>
          <cell r="BW137">
            <v>0</v>
          </cell>
        </row>
        <row r="138">
          <cell r="BB138">
            <v>17.559000000000001</v>
          </cell>
          <cell r="BC138">
            <v>0</v>
          </cell>
          <cell r="BF138">
            <v>17.559000000000001</v>
          </cell>
          <cell r="BG138">
            <v>0</v>
          </cell>
          <cell r="BJ138">
            <v>17.559000000000001</v>
          </cell>
          <cell r="BK138">
            <v>0</v>
          </cell>
          <cell r="BN138">
            <v>17.559000000000001</v>
          </cell>
          <cell r="BO138">
            <v>0</v>
          </cell>
          <cell r="BR138">
            <v>17.559000000000001</v>
          </cell>
          <cell r="BS138">
            <v>0</v>
          </cell>
          <cell r="BV138">
            <v>17.559000000000001</v>
          </cell>
          <cell r="BW138">
            <v>0</v>
          </cell>
        </row>
        <row r="139">
          <cell r="BB139">
            <v>3.9E-2</v>
          </cell>
          <cell r="BC139">
            <v>0</v>
          </cell>
          <cell r="BF139">
            <v>3.9E-2</v>
          </cell>
          <cell r="BG139">
            <v>0</v>
          </cell>
          <cell r="BJ139">
            <v>3.9E-2</v>
          </cell>
          <cell r="BK139">
            <v>0</v>
          </cell>
          <cell r="BN139">
            <v>3.9E-2</v>
          </cell>
          <cell r="BO139">
            <v>0</v>
          </cell>
          <cell r="BR139">
            <v>3.9E-2</v>
          </cell>
          <cell r="BS139">
            <v>0</v>
          </cell>
          <cell r="BV139">
            <v>3.9E-2</v>
          </cell>
          <cell r="BW139">
            <v>0</v>
          </cell>
        </row>
        <row r="140">
          <cell r="BB140">
            <v>23.021999999999998</v>
          </cell>
          <cell r="BC140">
            <v>0</v>
          </cell>
          <cell r="BF140">
            <v>23.021999999999998</v>
          </cell>
          <cell r="BG140">
            <v>0</v>
          </cell>
          <cell r="BJ140">
            <v>23.021999999999998</v>
          </cell>
          <cell r="BK140">
            <v>0</v>
          </cell>
          <cell r="BN140">
            <v>23.021999999999998</v>
          </cell>
          <cell r="BO140">
            <v>0</v>
          </cell>
          <cell r="BR140">
            <v>23.021999999999998</v>
          </cell>
          <cell r="BS140">
            <v>0</v>
          </cell>
          <cell r="BV140">
            <v>23.021999999999998</v>
          </cell>
          <cell r="BW140">
            <v>0</v>
          </cell>
        </row>
        <row r="141">
          <cell r="BB141">
            <v>70.061000000000007</v>
          </cell>
          <cell r="BC141">
            <v>0</v>
          </cell>
          <cell r="BF141">
            <v>70.061000000000007</v>
          </cell>
          <cell r="BG141">
            <v>0</v>
          </cell>
          <cell r="BJ141">
            <v>70.061000000000007</v>
          </cell>
          <cell r="BK141">
            <v>0</v>
          </cell>
          <cell r="BN141">
            <v>70.061000000000007</v>
          </cell>
          <cell r="BO141">
            <v>0</v>
          </cell>
          <cell r="BR141">
            <v>70.061000000000007</v>
          </cell>
          <cell r="BS141">
            <v>0</v>
          </cell>
          <cell r="BV141">
            <v>70.061000000000007</v>
          </cell>
          <cell r="BW141">
            <v>0</v>
          </cell>
        </row>
        <row r="142">
          <cell r="BB142">
            <v>1.246</v>
          </cell>
          <cell r="BC142">
            <v>0</v>
          </cell>
          <cell r="BF142">
            <v>1.246</v>
          </cell>
          <cell r="BG142">
            <v>0</v>
          </cell>
          <cell r="BJ142">
            <v>1.246</v>
          </cell>
          <cell r="BK142">
            <v>0</v>
          </cell>
          <cell r="BN142">
            <v>1.246</v>
          </cell>
          <cell r="BO142">
            <v>0</v>
          </cell>
          <cell r="BR142">
            <v>1.246</v>
          </cell>
          <cell r="BS142">
            <v>0</v>
          </cell>
          <cell r="BV142">
            <v>1.246</v>
          </cell>
          <cell r="BW142">
            <v>0</v>
          </cell>
        </row>
        <row r="143">
          <cell r="BB143">
            <v>0.83799999999999997</v>
          </cell>
          <cell r="BC143">
            <v>0</v>
          </cell>
          <cell r="BF143">
            <v>0.83799999999999997</v>
          </cell>
          <cell r="BG143">
            <v>0</v>
          </cell>
          <cell r="BJ143">
            <v>0.83799999999999997</v>
          </cell>
          <cell r="BK143">
            <v>0</v>
          </cell>
          <cell r="BN143">
            <v>0.83799999999999997</v>
          </cell>
          <cell r="BO143">
            <v>0</v>
          </cell>
          <cell r="BR143">
            <v>0.83799999999999997</v>
          </cell>
          <cell r="BS143">
            <v>0</v>
          </cell>
          <cell r="BV143">
            <v>0.83799999999999997</v>
          </cell>
          <cell r="BW143">
            <v>0</v>
          </cell>
        </row>
        <row r="144">
          <cell r="BB144">
            <v>0.497</v>
          </cell>
          <cell r="BC144">
            <v>0</v>
          </cell>
          <cell r="BF144">
            <v>0.497</v>
          </cell>
          <cell r="BG144">
            <v>0</v>
          </cell>
          <cell r="BJ144">
            <v>0.497</v>
          </cell>
          <cell r="BK144">
            <v>0</v>
          </cell>
          <cell r="BN144">
            <v>0.497</v>
          </cell>
          <cell r="BO144">
            <v>0</v>
          </cell>
          <cell r="BR144">
            <v>0.497</v>
          </cell>
          <cell r="BS144">
            <v>0</v>
          </cell>
          <cell r="BV144">
            <v>0.497</v>
          </cell>
          <cell r="BW144">
            <v>0</v>
          </cell>
        </row>
        <row r="145">
          <cell r="BB145">
            <v>7.1150000000000002</v>
          </cell>
          <cell r="BC145">
            <v>0</v>
          </cell>
          <cell r="BF145">
            <v>7.1150000000000002</v>
          </cell>
          <cell r="BG145">
            <v>0</v>
          </cell>
          <cell r="BJ145">
            <v>7.1150000000000002</v>
          </cell>
          <cell r="BK145">
            <v>0</v>
          </cell>
          <cell r="BN145">
            <v>7.1150000000000002</v>
          </cell>
          <cell r="BO145">
            <v>0</v>
          </cell>
          <cell r="BR145">
            <v>7.1150000000000002</v>
          </cell>
          <cell r="BS145">
            <v>0</v>
          </cell>
          <cell r="BV145">
            <v>7.1150000000000002</v>
          </cell>
          <cell r="BW145">
            <v>0</v>
          </cell>
        </row>
        <row r="146">
          <cell r="BB146">
            <v>41.945</v>
          </cell>
          <cell r="BC146">
            <v>0</v>
          </cell>
          <cell r="BF146">
            <v>41.945</v>
          </cell>
          <cell r="BG146">
            <v>0</v>
          </cell>
          <cell r="BJ146">
            <v>41.945</v>
          </cell>
          <cell r="BK146">
            <v>0</v>
          </cell>
          <cell r="BN146">
            <v>41.945</v>
          </cell>
          <cell r="BO146">
            <v>0</v>
          </cell>
          <cell r="BR146">
            <v>41.945</v>
          </cell>
          <cell r="BS146">
            <v>0</v>
          </cell>
          <cell r="BV146">
            <v>41.945</v>
          </cell>
          <cell r="BW146">
            <v>0</v>
          </cell>
        </row>
        <row r="147">
          <cell r="BB147">
            <v>3.2389999999999999</v>
          </cell>
          <cell r="BC147">
            <v>0</v>
          </cell>
          <cell r="BF147">
            <v>3.2389999999999999</v>
          </cell>
          <cell r="BG147">
            <v>0</v>
          </cell>
          <cell r="BJ147">
            <v>3.2389999999999999</v>
          </cell>
          <cell r="BK147">
            <v>0</v>
          </cell>
          <cell r="BN147">
            <v>3.2389999999999999</v>
          </cell>
          <cell r="BO147">
            <v>0</v>
          </cell>
          <cell r="BR147">
            <v>3.2389999999999999</v>
          </cell>
          <cell r="BS147">
            <v>0</v>
          </cell>
          <cell r="BV147">
            <v>3.2389999999999999</v>
          </cell>
          <cell r="BW147">
            <v>0</v>
          </cell>
        </row>
        <row r="148">
          <cell r="BB148">
            <v>1.179</v>
          </cell>
          <cell r="BC148">
            <v>0</v>
          </cell>
          <cell r="BF148">
            <v>1.179</v>
          </cell>
          <cell r="BG148">
            <v>0</v>
          </cell>
          <cell r="BJ148">
            <v>1.179</v>
          </cell>
          <cell r="BK148">
            <v>0</v>
          </cell>
          <cell r="BN148">
            <v>1.179</v>
          </cell>
          <cell r="BO148">
            <v>0</v>
          </cell>
          <cell r="BR148">
            <v>1.179</v>
          </cell>
          <cell r="BS148">
            <v>0</v>
          </cell>
          <cell r="BV148">
            <v>1.179</v>
          </cell>
          <cell r="BW148">
            <v>0</v>
          </cell>
        </row>
        <row r="149">
          <cell r="BB149">
            <v>2.323</v>
          </cell>
          <cell r="BC149">
            <v>0</v>
          </cell>
          <cell r="BF149">
            <v>2.323</v>
          </cell>
          <cell r="BG149">
            <v>0</v>
          </cell>
          <cell r="BJ149">
            <v>2.323</v>
          </cell>
          <cell r="BK149">
            <v>0</v>
          </cell>
          <cell r="BN149">
            <v>2.323</v>
          </cell>
          <cell r="BO149">
            <v>0</v>
          </cell>
          <cell r="BR149">
            <v>2.323</v>
          </cell>
          <cell r="BS149">
            <v>0</v>
          </cell>
          <cell r="BV149">
            <v>2.323</v>
          </cell>
          <cell r="BW149">
            <v>0</v>
          </cell>
        </row>
        <row r="150">
          <cell r="BB150">
            <v>1.0680000000000001</v>
          </cell>
          <cell r="BC150">
            <v>0</v>
          </cell>
          <cell r="BF150">
            <v>1.0680000000000001</v>
          </cell>
          <cell r="BG150">
            <v>0</v>
          </cell>
          <cell r="BJ150">
            <v>1.0680000000000001</v>
          </cell>
          <cell r="BK150">
            <v>0</v>
          </cell>
          <cell r="BN150">
            <v>1.0680000000000001</v>
          </cell>
          <cell r="BO150">
            <v>0</v>
          </cell>
          <cell r="BR150">
            <v>1.0680000000000001</v>
          </cell>
          <cell r="BS150">
            <v>0</v>
          </cell>
          <cell r="BV150">
            <v>1.0680000000000001</v>
          </cell>
          <cell r="BW150">
            <v>0</v>
          </cell>
        </row>
        <row r="151">
          <cell r="BB151">
            <v>4.1340000000000003</v>
          </cell>
          <cell r="BC151">
            <v>0</v>
          </cell>
          <cell r="BF151">
            <v>4.1340000000000003</v>
          </cell>
          <cell r="BG151">
            <v>0</v>
          </cell>
          <cell r="BJ151">
            <v>4.1340000000000003</v>
          </cell>
          <cell r="BK151">
            <v>0</v>
          </cell>
          <cell r="BN151">
            <v>4.1340000000000003</v>
          </cell>
          <cell r="BO151">
            <v>0</v>
          </cell>
          <cell r="BR151">
            <v>4.1340000000000003</v>
          </cell>
          <cell r="BS151">
            <v>0</v>
          </cell>
          <cell r="BV151">
            <v>4.1340000000000003</v>
          </cell>
          <cell r="BW151">
            <v>0</v>
          </cell>
        </row>
        <row r="152">
          <cell r="BB152">
            <v>24.395</v>
          </cell>
          <cell r="BC152">
            <v>0</v>
          </cell>
          <cell r="BF152">
            <v>24.395</v>
          </cell>
          <cell r="BG152">
            <v>0</v>
          </cell>
          <cell r="BJ152">
            <v>24.395</v>
          </cell>
          <cell r="BK152">
            <v>0</v>
          </cell>
          <cell r="BN152">
            <v>24.395</v>
          </cell>
          <cell r="BO152">
            <v>0</v>
          </cell>
          <cell r="BR152">
            <v>24.395</v>
          </cell>
          <cell r="BS152">
            <v>0</v>
          </cell>
          <cell r="BV152">
            <v>24.395</v>
          </cell>
          <cell r="BW152">
            <v>0</v>
          </cell>
        </row>
        <row r="153">
          <cell r="BB153">
            <v>3.6960000000000002</v>
          </cell>
          <cell r="BC153">
            <v>0</v>
          </cell>
          <cell r="BF153">
            <v>3.6960000000000002</v>
          </cell>
          <cell r="BG153">
            <v>0</v>
          </cell>
          <cell r="BJ153">
            <v>3.6960000000000002</v>
          </cell>
          <cell r="BK153">
            <v>0</v>
          </cell>
          <cell r="BN153">
            <v>3.6960000000000002</v>
          </cell>
          <cell r="BO153">
            <v>0</v>
          </cell>
          <cell r="BR153">
            <v>3.6960000000000002</v>
          </cell>
          <cell r="BS153">
            <v>0</v>
          </cell>
          <cell r="BV153">
            <v>3.6960000000000002</v>
          </cell>
          <cell r="BW153">
            <v>0</v>
          </cell>
        </row>
        <row r="154">
          <cell r="BB154">
            <v>4.2240000000000002</v>
          </cell>
          <cell r="BC154">
            <v>0</v>
          </cell>
          <cell r="BF154">
            <v>4.2240000000000002</v>
          </cell>
          <cell r="BG154">
            <v>0</v>
          </cell>
          <cell r="BJ154">
            <v>4.2240000000000002</v>
          </cell>
          <cell r="BK154">
            <v>0</v>
          </cell>
          <cell r="BN154">
            <v>4.2240000000000002</v>
          </cell>
          <cell r="BO154">
            <v>0</v>
          </cell>
          <cell r="BR154">
            <v>4.2240000000000002</v>
          </cell>
          <cell r="BS154">
            <v>0</v>
          </cell>
          <cell r="BV154">
            <v>4.2240000000000002</v>
          </cell>
          <cell r="BW154">
            <v>0</v>
          </cell>
        </row>
        <row r="155">
          <cell r="BB155">
            <v>0.27200000000000002</v>
          </cell>
          <cell r="BC155">
            <v>0</v>
          </cell>
          <cell r="BF155">
            <v>0.27200000000000002</v>
          </cell>
          <cell r="BG155">
            <v>0</v>
          </cell>
          <cell r="BJ155">
            <v>0.27200000000000002</v>
          </cell>
          <cell r="BK155">
            <v>0</v>
          </cell>
          <cell r="BN155">
            <v>0.27200000000000002</v>
          </cell>
          <cell r="BO155">
            <v>0</v>
          </cell>
          <cell r="BR155">
            <v>0.27200000000000002</v>
          </cell>
          <cell r="BS155">
            <v>0</v>
          </cell>
          <cell r="BV155">
            <v>0.27200000000000002</v>
          </cell>
          <cell r="BW155">
            <v>0</v>
          </cell>
        </row>
        <row r="156">
          <cell r="BB156">
            <v>43.335999999999999</v>
          </cell>
          <cell r="BC156">
            <v>0</v>
          </cell>
          <cell r="BF156">
            <v>43.335999999999999</v>
          </cell>
          <cell r="BG156">
            <v>0</v>
          </cell>
          <cell r="BJ156">
            <v>43.335999999999999</v>
          </cell>
          <cell r="BK156">
            <v>0</v>
          </cell>
          <cell r="BN156">
            <v>43.335999999999999</v>
          </cell>
          <cell r="BO156">
            <v>0</v>
          </cell>
          <cell r="BR156">
            <v>43.335999999999999</v>
          </cell>
          <cell r="BS156">
            <v>0</v>
          </cell>
          <cell r="BV156">
            <v>43.335999999999999</v>
          </cell>
          <cell r="BW156">
            <v>0</v>
          </cell>
        </row>
        <row r="157">
          <cell r="BB157">
            <v>5.1029999999999998</v>
          </cell>
          <cell r="BC157">
            <v>0</v>
          </cell>
          <cell r="BF157">
            <v>5.1029999999999998</v>
          </cell>
          <cell r="BG157">
            <v>0</v>
          </cell>
          <cell r="BJ157">
            <v>5.1029999999999998</v>
          </cell>
          <cell r="BK157">
            <v>0</v>
          </cell>
          <cell r="BN157">
            <v>5.1029999999999998</v>
          </cell>
          <cell r="BO157">
            <v>0</v>
          </cell>
          <cell r="BR157">
            <v>5.1029999999999998</v>
          </cell>
          <cell r="BS157">
            <v>0</v>
          </cell>
          <cell r="BV157">
            <v>5.1029999999999998</v>
          </cell>
          <cell r="BW157">
            <v>0</v>
          </cell>
        </row>
        <row r="158">
          <cell r="BB158">
            <v>0.11899999999999999</v>
          </cell>
          <cell r="BC158">
            <v>0</v>
          </cell>
          <cell r="BF158">
            <v>0.11899999999999999</v>
          </cell>
          <cell r="BG158">
            <v>0</v>
          </cell>
          <cell r="BJ158">
            <v>0.11899999999999999</v>
          </cell>
          <cell r="BK158">
            <v>0</v>
          </cell>
          <cell r="BN158">
            <v>0.11899999999999999</v>
          </cell>
          <cell r="BO158">
            <v>0</v>
          </cell>
          <cell r="BR158">
            <v>0.11899999999999999</v>
          </cell>
          <cell r="BS158">
            <v>0</v>
          </cell>
          <cell r="BV158">
            <v>0.11899999999999999</v>
          </cell>
          <cell r="BW158">
            <v>0</v>
          </cell>
        </row>
        <row r="159">
          <cell r="BB159">
            <v>22.042000000000002</v>
          </cell>
          <cell r="BC159">
            <v>0</v>
          </cell>
          <cell r="BF159">
            <v>22.042000000000002</v>
          </cell>
          <cell r="BG159">
            <v>0</v>
          </cell>
          <cell r="BJ159">
            <v>22.042000000000002</v>
          </cell>
          <cell r="BK159">
            <v>0</v>
          </cell>
          <cell r="BN159">
            <v>22.042000000000002</v>
          </cell>
          <cell r="BO159">
            <v>0</v>
          </cell>
          <cell r="BR159">
            <v>22.042000000000002</v>
          </cell>
          <cell r="BS159">
            <v>0</v>
          </cell>
          <cell r="BV159">
            <v>22.042000000000002</v>
          </cell>
          <cell r="BW159">
            <v>0</v>
          </cell>
        </row>
        <row r="160">
          <cell r="BB160">
            <v>4.9139999999999997</v>
          </cell>
          <cell r="BC160">
            <v>0</v>
          </cell>
          <cell r="BF160">
            <v>4.9139999999999997</v>
          </cell>
          <cell r="BG160">
            <v>0</v>
          </cell>
          <cell r="BJ160">
            <v>4.9139999999999997</v>
          </cell>
          <cell r="BK160">
            <v>0</v>
          </cell>
          <cell r="BN160">
            <v>4.9139999999999997</v>
          </cell>
          <cell r="BO160">
            <v>0</v>
          </cell>
          <cell r="BR160">
            <v>4.9139999999999997</v>
          </cell>
          <cell r="BS160">
            <v>0</v>
          </cell>
          <cell r="BV160">
            <v>4.9139999999999997</v>
          </cell>
          <cell r="BW160">
            <v>0</v>
          </cell>
        </row>
        <row r="161">
          <cell r="BB161">
            <v>12.02</v>
          </cell>
          <cell r="BC161">
            <v>0</v>
          </cell>
          <cell r="BF161">
            <v>12.02</v>
          </cell>
          <cell r="BG161">
            <v>0</v>
          </cell>
          <cell r="BJ161">
            <v>12.02</v>
          </cell>
          <cell r="BK161">
            <v>0</v>
          </cell>
          <cell r="BN161">
            <v>12.02</v>
          </cell>
          <cell r="BO161">
            <v>0</v>
          </cell>
          <cell r="BR161">
            <v>12.02</v>
          </cell>
          <cell r="BS161">
            <v>0</v>
          </cell>
          <cell r="BV161">
            <v>12.02</v>
          </cell>
          <cell r="BW161">
            <v>0</v>
          </cell>
        </row>
        <row r="162">
          <cell r="BB162">
            <v>9.7000000000000003E-2</v>
          </cell>
          <cell r="BC162">
            <v>0</v>
          </cell>
          <cell r="BF162">
            <v>9.7000000000000003E-2</v>
          </cell>
          <cell r="BG162">
            <v>0</v>
          </cell>
          <cell r="BJ162">
            <v>9.7000000000000003E-2</v>
          </cell>
          <cell r="BK162">
            <v>0</v>
          </cell>
          <cell r="BN162">
            <v>9.7000000000000003E-2</v>
          </cell>
          <cell r="BO162">
            <v>0</v>
          </cell>
          <cell r="BR162">
            <v>9.7000000000000003E-2</v>
          </cell>
          <cell r="BS162">
            <v>0</v>
          </cell>
          <cell r="BV162">
            <v>9.7000000000000003E-2</v>
          </cell>
          <cell r="BW162">
            <v>0</v>
          </cell>
        </row>
        <row r="163">
          <cell r="BB163">
            <v>2.5510000000000002</v>
          </cell>
          <cell r="BC163">
            <v>0</v>
          </cell>
          <cell r="BF163">
            <v>2.5510000000000002</v>
          </cell>
          <cell r="BG163">
            <v>0</v>
          </cell>
          <cell r="BJ163">
            <v>2.5510000000000002</v>
          </cell>
          <cell r="BK163">
            <v>0</v>
          </cell>
          <cell r="BN163">
            <v>2.5510000000000002</v>
          </cell>
          <cell r="BO163">
            <v>0</v>
          </cell>
          <cell r="BR163">
            <v>2.5510000000000002</v>
          </cell>
          <cell r="BS163">
            <v>0</v>
          </cell>
          <cell r="BV163">
            <v>2.5510000000000002</v>
          </cell>
          <cell r="BW163">
            <v>0</v>
          </cell>
        </row>
        <row r="164">
          <cell r="BB164">
            <v>13.38</v>
          </cell>
          <cell r="BC164">
            <v>0</v>
          </cell>
          <cell r="BF164">
            <v>13.38</v>
          </cell>
          <cell r="BG164">
            <v>0</v>
          </cell>
          <cell r="BJ164">
            <v>13.38</v>
          </cell>
          <cell r="BK164">
            <v>0</v>
          </cell>
          <cell r="BN164">
            <v>13.38</v>
          </cell>
          <cell r="BO164">
            <v>0</v>
          </cell>
          <cell r="BR164">
            <v>13.38</v>
          </cell>
          <cell r="BS164">
            <v>0</v>
          </cell>
          <cell r="BV164">
            <v>13.38</v>
          </cell>
          <cell r="BW164">
            <v>0</v>
          </cell>
        </row>
        <row r="165">
          <cell r="BB165">
            <v>34.078000000000003</v>
          </cell>
          <cell r="BC165">
            <v>0</v>
          </cell>
          <cell r="BF165">
            <v>34.078000000000003</v>
          </cell>
          <cell r="BG165">
            <v>0</v>
          </cell>
          <cell r="BJ165">
            <v>34.078000000000003</v>
          </cell>
          <cell r="BK165">
            <v>0</v>
          </cell>
          <cell r="BN165">
            <v>34.078000000000003</v>
          </cell>
          <cell r="BO165">
            <v>0</v>
          </cell>
          <cell r="BR165">
            <v>34.078000000000003</v>
          </cell>
          <cell r="BS165">
            <v>0</v>
          </cell>
          <cell r="BV165">
            <v>34.078000000000003</v>
          </cell>
          <cell r="BW165">
            <v>0</v>
          </cell>
        </row>
        <row r="166">
          <cell r="BB166">
            <v>0.375</v>
          </cell>
          <cell r="BC166">
            <v>0</v>
          </cell>
          <cell r="BF166">
            <v>0.375</v>
          </cell>
          <cell r="BG166">
            <v>0</v>
          </cell>
          <cell r="BJ166">
            <v>0.375</v>
          </cell>
          <cell r="BK166">
            <v>0</v>
          </cell>
          <cell r="BN166">
            <v>0.375</v>
          </cell>
          <cell r="BO166">
            <v>0</v>
          </cell>
          <cell r="BR166">
            <v>0.375</v>
          </cell>
          <cell r="BS166">
            <v>0</v>
          </cell>
          <cell r="BV166">
            <v>0.375</v>
          </cell>
          <cell r="BW166">
            <v>0</v>
          </cell>
        </row>
        <row r="167">
          <cell r="BB167">
            <v>1.8280000000000001</v>
          </cell>
          <cell r="BC167">
            <v>0</v>
          </cell>
          <cell r="BF167">
            <v>1.8280000000000001</v>
          </cell>
          <cell r="BG167">
            <v>0</v>
          </cell>
          <cell r="BJ167">
            <v>1.8280000000000001</v>
          </cell>
          <cell r="BK167">
            <v>0</v>
          </cell>
          <cell r="BN167">
            <v>1.8280000000000001</v>
          </cell>
          <cell r="BO167">
            <v>0</v>
          </cell>
          <cell r="BR167">
            <v>1.8280000000000001</v>
          </cell>
          <cell r="BS167">
            <v>0</v>
          </cell>
          <cell r="BV167">
            <v>1.8280000000000001</v>
          </cell>
          <cell r="BW167">
            <v>0</v>
          </cell>
        </row>
        <row r="168">
          <cell r="BB168">
            <v>0.373</v>
          </cell>
          <cell r="BC168">
            <v>0</v>
          </cell>
          <cell r="BF168">
            <v>0.373</v>
          </cell>
          <cell r="BG168">
            <v>0</v>
          </cell>
          <cell r="BJ168">
            <v>0.373</v>
          </cell>
          <cell r="BK168">
            <v>0</v>
          </cell>
          <cell r="BN168">
            <v>0.373</v>
          </cell>
          <cell r="BO168">
            <v>0</v>
          </cell>
          <cell r="BR168">
            <v>0.373</v>
          </cell>
          <cell r="BS168">
            <v>0</v>
          </cell>
          <cell r="BV168">
            <v>0.373</v>
          </cell>
          <cell r="BW168">
            <v>0</v>
          </cell>
        </row>
        <row r="169">
          <cell r="BB169">
            <v>0</v>
          </cell>
          <cell r="BC169">
            <v>0</v>
          </cell>
          <cell r="BF169">
            <v>0</v>
          </cell>
          <cell r="BG169">
            <v>0</v>
          </cell>
          <cell r="BJ169">
            <v>0</v>
          </cell>
          <cell r="BK169">
            <v>0</v>
          </cell>
          <cell r="BN169">
            <v>0</v>
          </cell>
          <cell r="BO169">
            <v>0</v>
          </cell>
          <cell r="BR169">
            <v>0</v>
          </cell>
          <cell r="BS169">
            <v>0</v>
          </cell>
          <cell r="BV169">
            <v>0</v>
          </cell>
          <cell r="BW169">
            <v>0</v>
          </cell>
        </row>
        <row r="170">
          <cell r="BB170">
            <v>0</v>
          </cell>
          <cell r="BC170">
            <v>0</v>
          </cell>
          <cell r="BF170">
            <v>0</v>
          </cell>
          <cell r="BG170">
            <v>0</v>
          </cell>
          <cell r="BJ170">
            <v>0</v>
          </cell>
          <cell r="BK170">
            <v>0</v>
          </cell>
          <cell r="BN170">
            <v>0</v>
          </cell>
          <cell r="BO170">
            <v>0</v>
          </cell>
          <cell r="BR170">
            <v>0</v>
          </cell>
          <cell r="BS170">
            <v>0</v>
          </cell>
          <cell r="BV170">
            <v>0</v>
          </cell>
          <cell r="BW170">
            <v>0</v>
          </cell>
        </row>
        <row r="171">
          <cell r="BB171">
            <v>0</v>
          </cell>
          <cell r="BC171">
            <v>0</v>
          </cell>
          <cell r="BF171">
            <v>0</v>
          </cell>
          <cell r="BG171">
            <v>0</v>
          </cell>
          <cell r="BJ171">
            <v>0</v>
          </cell>
          <cell r="BK171">
            <v>0</v>
          </cell>
          <cell r="BN171">
            <v>0</v>
          </cell>
          <cell r="BO171">
            <v>0</v>
          </cell>
          <cell r="BR171">
            <v>0</v>
          </cell>
          <cell r="BS171">
            <v>0</v>
          </cell>
          <cell r="BV171">
            <v>0</v>
          </cell>
          <cell r="BW171">
            <v>0</v>
          </cell>
        </row>
      </sheetData>
      <sheetData sheetId="27" refreshError="1"/>
      <sheetData sheetId="28" refreshError="1"/>
      <sheetData sheetId="29" refreshError="1"/>
      <sheetData sheetId="30" refreshError="1">
        <row r="241">
          <cell r="A241">
            <v>0</v>
          </cell>
          <cell r="B241">
            <v>0</v>
          </cell>
        </row>
      </sheetData>
      <sheetData sheetId="31" refreshError="1"/>
      <sheetData sheetId="32" refreshError="1"/>
      <sheetData sheetId="33" refreshError="1"/>
      <sheetData sheetId="34" refreshError="1">
        <row r="99">
          <cell r="AO99">
            <v>0</v>
          </cell>
          <cell r="BJ99">
            <v>0</v>
          </cell>
        </row>
        <row r="100">
          <cell r="AO100">
            <v>0</v>
          </cell>
          <cell r="AU100">
            <v>0</v>
          </cell>
          <cell r="AX100">
            <v>0</v>
          </cell>
          <cell r="BA100">
            <v>0</v>
          </cell>
          <cell r="BD100">
            <v>0</v>
          </cell>
          <cell r="BJ100">
            <v>0</v>
          </cell>
          <cell r="BP100">
            <v>0</v>
          </cell>
          <cell r="BS100">
            <v>0</v>
          </cell>
          <cell r="BV100">
            <v>0</v>
          </cell>
          <cell r="BY100">
            <v>0</v>
          </cell>
        </row>
        <row r="102">
          <cell r="AO102">
            <v>50360.006999999998</v>
          </cell>
          <cell r="BJ102">
            <v>50977.704160246503</v>
          </cell>
        </row>
        <row r="103">
          <cell r="BJ103">
            <v>0.59717542210815799</v>
          </cell>
        </row>
        <row r="117">
          <cell r="BG117">
            <v>0</v>
          </cell>
          <cell r="BJ117">
            <v>10833.939764000001</v>
          </cell>
          <cell r="CB117">
            <v>0</v>
          </cell>
        </row>
        <row r="118">
          <cell r="AR118">
            <v>0</v>
          </cell>
          <cell r="BM118">
            <v>0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>
        <row r="23">
          <cell r="AF23" t="str">
            <v>да</v>
          </cell>
        </row>
        <row r="24">
          <cell r="AF24" t="str">
            <v>да</v>
          </cell>
        </row>
      </sheetData>
      <sheetData sheetId="46" refreshError="1"/>
      <sheetData sheetId="47" refreshError="1">
        <row r="85">
          <cell r="AA85">
            <v>1</v>
          </cell>
          <cell r="AB85">
            <v>0</v>
          </cell>
          <cell r="AC85">
            <v>0</v>
          </cell>
          <cell r="AD85">
            <v>0</v>
          </cell>
        </row>
        <row r="86">
          <cell r="AA86">
            <v>2</v>
          </cell>
          <cell r="AB86">
            <v>0</v>
          </cell>
          <cell r="AC86">
            <v>0</v>
          </cell>
          <cell r="AD86">
            <v>0</v>
          </cell>
        </row>
        <row r="87">
          <cell r="AA87">
            <v>3</v>
          </cell>
          <cell r="AB87">
            <v>0</v>
          </cell>
          <cell r="AC87">
            <v>0</v>
          </cell>
          <cell r="AD87">
            <v>0</v>
          </cell>
        </row>
        <row r="88">
          <cell r="AA88">
            <v>4</v>
          </cell>
          <cell r="AB88">
            <v>0</v>
          </cell>
          <cell r="AC88">
            <v>0</v>
          </cell>
          <cell r="AD88">
            <v>0</v>
          </cell>
        </row>
        <row r="89">
          <cell r="AA89">
            <v>5</v>
          </cell>
          <cell r="AB89">
            <v>0</v>
          </cell>
          <cell r="AC89">
            <v>0</v>
          </cell>
          <cell r="AD89">
            <v>0</v>
          </cell>
        </row>
        <row r="90">
          <cell r="AA90">
            <v>6</v>
          </cell>
          <cell r="AB90">
            <v>0</v>
          </cell>
          <cell r="AC90">
            <v>0</v>
          </cell>
          <cell r="AD90">
            <v>0</v>
          </cell>
        </row>
        <row r="91">
          <cell r="AA91">
            <v>7</v>
          </cell>
          <cell r="AB91">
            <v>0</v>
          </cell>
          <cell r="AC91">
            <v>0</v>
          </cell>
          <cell r="AD91">
            <v>0</v>
          </cell>
        </row>
        <row r="92">
          <cell r="AA92">
            <v>8</v>
          </cell>
          <cell r="AB92">
            <v>0</v>
          </cell>
          <cell r="AC92">
            <v>0</v>
          </cell>
          <cell r="AD92">
            <v>0</v>
          </cell>
        </row>
        <row r="93">
          <cell r="AA93">
            <v>9</v>
          </cell>
          <cell r="AB93">
            <v>0</v>
          </cell>
          <cell r="AC93">
            <v>0</v>
          </cell>
          <cell r="AD93">
            <v>0</v>
          </cell>
        </row>
        <row r="94">
          <cell r="AA94">
            <v>10</v>
          </cell>
          <cell r="AB94">
            <v>0</v>
          </cell>
          <cell r="AC94">
            <v>0</v>
          </cell>
          <cell r="AD94">
            <v>0</v>
          </cell>
        </row>
        <row r="95">
          <cell r="AA95">
            <v>11</v>
          </cell>
          <cell r="AB95">
            <v>0</v>
          </cell>
          <cell r="AC95">
            <v>0</v>
          </cell>
          <cell r="AD95">
            <v>0</v>
          </cell>
        </row>
        <row r="96">
          <cell r="AA96">
            <v>12</v>
          </cell>
          <cell r="AB96">
            <v>0</v>
          </cell>
          <cell r="AC96">
            <v>0</v>
          </cell>
          <cell r="AD96">
            <v>0</v>
          </cell>
        </row>
        <row r="97">
          <cell r="AA97">
            <v>13</v>
          </cell>
          <cell r="AB97">
            <v>0</v>
          </cell>
          <cell r="AC97">
            <v>0</v>
          </cell>
          <cell r="AD97">
            <v>0</v>
          </cell>
        </row>
        <row r="98">
          <cell r="AA98">
            <v>14</v>
          </cell>
          <cell r="AB98">
            <v>0</v>
          </cell>
          <cell r="AC98">
            <v>0</v>
          </cell>
          <cell r="AD98">
            <v>0</v>
          </cell>
        </row>
        <row r="99">
          <cell r="AA99">
            <v>15</v>
          </cell>
          <cell r="AB99">
            <v>0</v>
          </cell>
          <cell r="AC99">
            <v>0</v>
          </cell>
          <cell r="AD99">
            <v>0</v>
          </cell>
        </row>
        <row r="100">
          <cell r="AA100">
            <v>16</v>
          </cell>
          <cell r="AB100">
            <v>0</v>
          </cell>
          <cell r="AC100">
            <v>0</v>
          </cell>
          <cell r="AD100">
            <v>0</v>
          </cell>
        </row>
        <row r="101">
          <cell r="AA101">
            <v>17</v>
          </cell>
          <cell r="AB101">
            <v>0</v>
          </cell>
          <cell r="AC101">
            <v>0</v>
          </cell>
          <cell r="AD101">
            <v>0</v>
          </cell>
        </row>
        <row r="102">
          <cell r="AA102">
            <v>18</v>
          </cell>
          <cell r="AB102">
            <v>0</v>
          </cell>
          <cell r="AC102">
            <v>0</v>
          </cell>
          <cell r="AD102">
            <v>0</v>
          </cell>
        </row>
      </sheetData>
      <sheetData sheetId="48" refreshError="1"/>
      <sheetData sheetId="49" refreshError="1"/>
      <sheetData sheetId="50" refreshError="1"/>
      <sheetData sheetId="51" refreshError="1">
        <row r="92">
          <cell r="BY92">
            <v>0</v>
          </cell>
          <cell r="BZ92">
            <v>0</v>
          </cell>
          <cell r="CC92">
            <v>0</v>
          </cell>
        </row>
        <row r="93">
          <cell r="BY93">
            <v>0</v>
          </cell>
          <cell r="BZ93">
            <v>0</v>
          </cell>
          <cell r="CC93">
            <v>0</v>
          </cell>
          <cell r="CE93">
            <v>0</v>
          </cell>
          <cell r="CG93">
            <v>0</v>
          </cell>
          <cell r="CI93">
            <v>0</v>
          </cell>
          <cell r="CK93">
            <v>0</v>
          </cell>
        </row>
        <row r="94">
          <cell r="BY94">
            <v>0</v>
          </cell>
          <cell r="BZ94">
            <v>0</v>
          </cell>
          <cell r="CC94">
            <v>0</v>
          </cell>
          <cell r="CE94">
            <v>0</v>
          </cell>
          <cell r="CG94">
            <v>0</v>
          </cell>
          <cell r="CI94">
            <v>0</v>
          </cell>
          <cell r="CK94">
            <v>0</v>
          </cell>
        </row>
        <row r="95">
          <cell r="BY95">
            <v>0</v>
          </cell>
          <cell r="BZ95">
            <v>0</v>
          </cell>
          <cell r="CC95">
            <v>0</v>
          </cell>
          <cell r="CE95">
            <v>0</v>
          </cell>
          <cell r="CG95">
            <v>0</v>
          </cell>
          <cell r="CI95">
            <v>0</v>
          </cell>
          <cell r="CK95">
            <v>0</v>
          </cell>
        </row>
        <row r="96">
          <cell r="BY96">
            <v>0</v>
          </cell>
          <cell r="BZ96">
            <v>0</v>
          </cell>
          <cell r="CC96">
            <v>0</v>
          </cell>
          <cell r="CE96">
            <v>0</v>
          </cell>
          <cell r="CG96">
            <v>0</v>
          </cell>
          <cell r="CI96">
            <v>0</v>
          </cell>
          <cell r="CK96">
            <v>0</v>
          </cell>
        </row>
        <row r="97">
          <cell r="BY97">
            <v>0</v>
          </cell>
          <cell r="BZ97">
            <v>0</v>
          </cell>
          <cell r="CC97">
            <v>0</v>
          </cell>
          <cell r="CE97">
            <v>0</v>
          </cell>
          <cell r="CG97">
            <v>0</v>
          </cell>
          <cell r="CI97">
            <v>0</v>
          </cell>
          <cell r="CK97">
            <v>0</v>
          </cell>
        </row>
        <row r="98">
          <cell r="BY98">
            <v>0</v>
          </cell>
          <cell r="BZ98">
            <v>0</v>
          </cell>
          <cell r="CC98">
            <v>0</v>
          </cell>
          <cell r="CE98">
            <v>0</v>
          </cell>
          <cell r="CG98">
            <v>0</v>
          </cell>
          <cell r="CI98">
            <v>0</v>
          </cell>
          <cell r="CK98">
            <v>0</v>
          </cell>
        </row>
        <row r="99">
          <cell r="BY99">
            <v>0</v>
          </cell>
          <cell r="BZ99">
            <v>0</v>
          </cell>
          <cell r="CC99">
            <v>0</v>
          </cell>
          <cell r="CE99">
            <v>0</v>
          </cell>
          <cell r="CG99">
            <v>0</v>
          </cell>
          <cell r="CI99">
            <v>0</v>
          </cell>
          <cell r="CK99">
            <v>0</v>
          </cell>
        </row>
        <row r="100">
          <cell r="BY100">
            <v>0</v>
          </cell>
          <cell r="BZ100">
            <v>0</v>
          </cell>
          <cell r="CC100">
            <v>0</v>
          </cell>
          <cell r="CE100">
            <v>0</v>
          </cell>
          <cell r="CG100">
            <v>0</v>
          </cell>
          <cell r="CI100">
            <v>0</v>
          </cell>
          <cell r="CK100">
            <v>0</v>
          </cell>
        </row>
        <row r="101">
          <cell r="BY101">
            <v>0</v>
          </cell>
          <cell r="BZ101">
            <v>0</v>
          </cell>
          <cell r="CC101">
            <v>0</v>
          </cell>
          <cell r="CE101">
            <v>0</v>
          </cell>
          <cell r="CG101">
            <v>0</v>
          </cell>
          <cell r="CI101">
            <v>0</v>
          </cell>
          <cell r="CK101">
            <v>0</v>
          </cell>
        </row>
        <row r="102">
          <cell r="BY102">
            <v>0</v>
          </cell>
          <cell r="BZ102">
            <v>0</v>
          </cell>
          <cell r="CC102">
            <v>0</v>
          </cell>
          <cell r="CE102">
            <v>0</v>
          </cell>
          <cell r="CG102">
            <v>0</v>
          </cell>
          <cell r="CI102">
            <v>0</v>
          </cell>
          <cell r="CK102">
            <v>0</v>
          </cell>
        </row>
        <row r="103">
          <cell r="BY103">
            <v>0</v>
          </cell>
          <cell r="BZ103">
            <v>0</v>
          </cell>
          <cell r="CC103">
            <v>0</v>
          </cell>
          <cell r="CE103">
            <v>0</v>
          </cell>
          <cell r="CG103">
            <v>0</v>
          </cell>
          <cell r="CI103">
            <v>0</v>
          </cell>
          <cell r="CK103">
            <v>0</v>
          </cell>
        </row>
        <row r="104">
          <cell r="BY104">
            <v>0</v>
          </cell>
          <cell r="BZ104">
            <v>0</v>
          </cell>
          <cell r="CC104">
            <v>0</v>
          </cell>
          <cell r="CE104">
            <v>0</v>
          </cell>
          <cell r="CG104">
            <v>0</v>
          </cell>
          <cell r="CI104">
            <v>0</v>
          </cell>
          <cell r="CK104">
            <v>0</v>
          </cell>
        </row>
        <row r="105">
          <cell r="BY105">
            <v>0</v>
          </cell>
          <cell r="BZ105">
            <v>0</v>
          </cell>
          <cell r="CC105">
            <v>0</v>
          </cell>
          <cell r="CE105">
            <v>0</v>
          </cell>
          <cell r="CG105">
            <v>0</v>
          </cell>
          <cell r="CI105">
            <v>0</v>
          </cell>
          <cell r="CK105">
            <v>0</v>
          </cell>
        </row>
        <row r="106">
          <cell r="BY106">
            <v>0</v>
          </cell>
          <cell r="BZ106">
            <v>0</v>
          </cell>
          <cell r="CC106">
            <v>0</v>
          </cell>
          <cell r="CE106">
            <v>0</v>
          </cell>
          <cell r="CG106">
            <v>0</v>
          </cell>
          <cell r="CI106">
            <v>0</v>
          </cell>
          <cell r="CK106">
            <v>0</v>
          </cell>
        </row>
        <row r="107">
          <cell r="BY107">
            <v>0</v>
          </cell>
          <cell r="BZ107">
            <v>0</v>
          </cell>
          <cell r="CC107">
            <v>0</v>
          </cell>
          <cell r="CE107">
            <v>0</v>
          </cell>
          <cell r="CG107">
            <v>0</v>
          </cell>
          <cell r="CI107">
            <v>0</v>
          </cell>
          <cell r="CK107">
            <v>0</v>
          </cell>
        </row>
        <row r="108">
          <cell r="BY108">
            <v>0</v>
          </cell>
          <cell r="BZ108">
            <v>0</v>
          </cell>
          <cell r="CC108">
            <v>0</v>
          </cell>
          <cell r="CE108">
            <v>0</v>
          </cell>
          <cell r="CG108">
            <v>0</v>
          </cell>
          <cell r="CI108">
            <v>0</v>
          </cell>
          <cell r="CK108">
            <v>0</v>
          </cell>
        </row>
        <row r="109">
          <cell r="BY109">
            <v>0</v>
          </cell>
          <cell r="BZ109">
            <v>0</v>
          </cell>
          <cell r="CC109">
            <v>0</v>
          </cell>
          <cell r="CE109">
            <v>0</v>
          </cell>
          <cell r="CG109">
            <v>0</v>
          </cell>
          <cell r="CI109">
            <v>0</v>
          </cell>
          <cell r="CK109">
            <v>0</v>
          </cell>
        </row>
        <row r="110">
          <cell r="BY110">
            <v>0</v>
          </cell>
          <cell r="BZ110">
            <v>0</v>
          </cell>
          <cell r="CC110">
            <v>0</v>
          </cell>
          <cell r="CE110">
            <v>0</v>
          </cell>
          <cell r="CG110">
            <v>0</v>
          </cell>
          <cell r="CI110">
            <v>0</v>
          </cell>
          <cell r="CK110">
            <v>0</v>
          </cell>
        </row>
        <row r="111">
          <cell r="BY111">
            <v>0</v>
          </cell>
          <cell r="BZ111">
            <v>0</v>
          </cell>
          <cell r="CC111">
            <v>0</v>
          </cell>
          <cell r="CE111">
            <v>0</v>
          </cell>
          <cell r="CG111">
            <v>0</v>
          </cell>
          <cell r="CI111">
            <v>0</v>
          </cell>
          <cell r="CK111">
            <v>0</v>
          </cell>
        </row>
        <row r="112">
          <cell r="BY112">
            <v>0</v>
          </cell>
          <cell r="BZ112">
            <v>0</v>
          </cell>
          <cell r="CC112">
            <v>0</v>
          </cell>
          <cell r="CE112">
            <v>0</v>
          </cell>
          <cell r="CG112">
            <v>0</v>
          </cell>
          <cell r="CI112">
            <v>0</v>
          </cell>
          <cell r="CK112">
            <v>0</v>
          </cell>
        </row>
        <row r="113">
          <cell r="BY113">
            <v>0</v>
          </cell>
          <cell r="BZ113">
            <v>0</v>
          </cell>
          <cell r="CC113">
            <v>0</v>
          </cell>
          <cell r="CE113">
            <v>0</v>
          </cell>
          <cell r="CG113">
            <v>0</v>
          </cell>
          <cell r="CI113">
            <v>0</v>
          </cell>
          <cell r="CK113">
            <v>0</v>
          </cell>
        </row>
        <row r="114">
          <cell r="BY114">
            <v>0</v>
          </cell>
          <cell r="BZ114">
            <v>0</v>
          </cell>
          <cell r="CC114">
            <v>0</v>
          </cell>
          <cell r="CE114">
            <v>0</v>
          </cell>
          <cell r="CG114">
            <v>0</v>
          </cell>
          <cell r="CI114">
            <v>0</v>
          </cell>
          <cell r="CK114">
            <v>0</v>
          </cell>
        </row>
        <row r="115">
          <cell r="BY115">
            <v>0</v>
          </cell>
          <cell r="BZ115">
            <v>0</v>
          </cell>
          <cell r="CC115">
            <v>0</v>
          </cell>
          <cell r="CE115">
            <v>0</v>
          </cell>
          <cell r="CG115">
            <v>0</v>
          </cell>
          <cell r="CI115">
            <v>0</v>
          </cell>
          <cell r="CK115">
            <v>0</v>
          </cell>
        </row>
        <row r="116">
          <cell r="BY116">
            <v>0</v>
          </cell>
          <cell r="BZ116">
            <v>0</v>
          </cell>
          <cell r="CC116">
            <v>0</v>
          </cell>
          <cell r="CE116">
            <v>0</v>
          </cell>
          <cell r="CG116">
            <v>0</v>
          </cell>
          <cell r="CI116">
            <v>0</v>
          </cell>
          <cell r="CK116">
            <v>0</v>
          </cell>
        </row>
        <row r="117">
          <cell r="BY117">
            <v>0</v>
          </cell>
          <cell r="BZ117">
            <v>0</v>
          </cell>
          <cell r="CC117">
            <v>0</v>
          </cell>
          <cell r="CE117">
            <v>0</v>
          </cell>
          <cell r="CG117">
            <v>0</v>
          </cell>
          <cell r="CI117">
            <v>0</v>
          </cell>
          <cell r="CK117">
            <v>0</v>
          </cell>
        </row>
        <row r="118">
          <cell r="BY118">
            <v>0</v>
          </cell>
          <cell r="BZ118">
            <v>0</v>
          </cell>
          <cell r="CC118">
            <v>0</v>
          </cell>
          <cell r="CE118">
            <v>0</v>
          </cell>
          <cell r="CG118">
            <v>0</v>
          </cell>
          <cell r="CI118">
            <v>0</v>
          </cell>
          <cell r="CK118">
            <v>0</v>
          </cell>
        </row>
        <row r="119">
          <cell r="BY119">
            <v>0</v>
          </cell>
          <cell r="BZ119">
            <v>0</v>
          </cell>
          <cell r="CC119">
            <v>0</v>
          </cell>
          <cell r="CE119">
            <v>0</v>
          </cell>
          <cell r="CG119">
            <v>0</v>
          </cell>
          <cell r="CI119">
            <v>0</v>
          </cell>
          <cell r="CK119">
            <v>0</v>
          </cell>
        </row>
        <row r="120">
          <cell r="BY120">
            <v>0</v>
          </cell>
          <cell r="BZ120">
            <v>0</v>
          </cell>
          <cell r="CC120">
            <v>0</v>
          </cell>
          <cell r="CE120">
            <v>0</v>
          </cell>
          <cell r="CG120">
            <v>0</v>
          </cell>
          <cell r="CI120">
            <v>0</v>
          </cell>
          <cell r="CK120">
            <v>0</v>
          </cell>
        </row>
        <row r="121">
          <cell r="BY121">
            <v>0</v>
          </cell>
          <cell r="BZ121">
            <v>0</v>
          </cell>
          <cell r="CC121">
            <v>0</v>
          </cell>
          <cell r="CE121">
            <v>0</v>
          </cell>
          <cell r="CG121">
            <v>0</v>
          </cell>
          <cell r="CI121">
            <v>0</v>
          </cell>
          <cell r="CK121">
            <v>0</v>
          </cell>
        </row>
        <row r="122">
          <cell r="BY122">
            <v>0</v>
          </cell>
          <cell r="BZ122">
            <v>0</v>
          </cell>
          <cell r="CC122">
            <v>0</v>
          </cell>
          <cell r="CE122">
            <v>0</v>
          </cell>
          <cell r="CG122">
            <v>0</v>
          </cell>
          <cell r="CI122">
            <v>0</v>
          </cell>
          <cell r="CK122">
            <v>0</v>
          </cell>
        </row>
        <row r="123">
          <cell r="BY123">
            <v>0</v>
          </cell>
          <cell r="BZ123">
            <v>0</v>
          </cell>
          <cell r="CC123">
            <v>0</v>
          </cell>
          <cell r="CE123">
            <v>0</v>
          </cell>
          <cell r="CG123">
            <v>0</v>
          </cell>
          <cell r="CI123">
            <v>0</v>
          </cell>
          <cell r="CK123">
            <v>0</v>
          </cell>
        </row>
        <row r="124">
          <cell r="BY124">
            <v>0</v>
          </cell>
          <cell r="BZ124">
            <v>0</v>
          </cell>
          <cell r="CC124">
            <v>0</v>
          </cell>
          <cell r="CE124">
            <v>0</v>
          </cell>
          <cell r="CG124">
            <v>0</v>
          </cell>
          <cell r="CI124">
            <v>0</v>
          </cell>
          <cell r="CK124">
            <v>0</v>
          </cell>
        </row>
        <row r="125">
          <cell r="BY125">
            <v>0</v>
          </cell>
          <cell r="BZ125">
            <v>0</v>
          </cell>
          <cell r="CC125">
            <v>0</v>
          </cell>
          <cell r="CE125">
            <v>0</v>
          </cell>
          <cell r="CG125">
            <v>0</v>
          </cell>
          <cell r="CI125">
            <v>0</v>
          </cell>
          <cell r="CK125">
            <v>0</v>
          </cell>
        </row>
        <row r="126">
          <cell r="BY126">
            <v>0</v>
          </cell>
          <cell r="BZ126">
            <v>0</v>
          </cell>
          <cell r="CC126">
            <v>0</v>
          </cell>
          <cell r="CE126">
            <v>0</v>
          </cell>
          <cell r="CG126">
            <v>0</v>
          </cell>
          <cell r="CI126">
            <v>0</v>
          </cell>
          <cell r="CK126">
            <v>0</v>
          </cell>
        </row>
        <row r="127">
          <cell r="BY127">
            <v>0</v>
          </cell>
          <cell r="BZ127">
            <v>0</v>
          </cell>
          <cell r="CC127">
            <v>0</v>
          </cell>
          <cell r="CE127">
            <v>0</v>
          </cell>
          <cell r="CG127">
            <v>0</v>
          </cell>
          <cell r="CI127">
            <v>0</v>
          </cell>
          <cell r="CK127">
            <v>0</v>
          </cell>
        </row>
        <row r="128">
          <cell r="BY128">
            <v>0</v>
          </cell>
          <cell r="BZ128">
            <v>0</v>
          </cell>
          <cell r="CC128">
            <v>0</v>
          </cell>
          <cell r="CE128">
            <v>0</v>
          </cell>
          <cell r="CG128">
            <v>0</v>
          </cell>
          <cell r="CI128">
            <v>0</v>
          </cell>
          <cell r="CK128">
            <v>0</v>
          </cell>
        </row>
        <row r="129">
          <cell r="BY129">
            <v>0</v>
          </cell>
          <cell r="BZ129">
            <v>0</v>
          </cell>
          <cell r="CC129">
            <v>0</v>
          </cell>
          <cell r="CE129">
            <v>0</v>
          </cell>
          <cell r="CG129">
            <v>0</v>
          </cell>
          <cell r="CI129">
            <v>0</v>
          </cell>
          <cell r="CK129">
            <v>0</v>
          </cell>
        </row>
        <row r="130">
          <cell r="BY130">
            <v>0</v>
          </cell>
          <cell r="BZ130">
            <v>0</v>
          </cell>
          <cell r="CC130">
            <v>0</v>
          </cell>
          <cell r="CE130">
            <v>0</v>
          </cell>
          <cell r="CG130">
            <v>0</v>
          </cell>
          <cell r="CI130">
            <v>0</v>
          </cell>
          <cell r="CK130">
            <v>0</v>
          </cell>
        </row>
        <row r="131">
          <cell r="BY131">
            <v>0</v>
          </cell>
          <cell r="BZ131">
            <v>0</v>
          </cell>
          <cell r="CC131">
            <v>0</v>
          </cell>
          <cell r="CE131">
            <v>0</v>
          </cell>
          <cell r="CG131">
            <v>0</v>
          </cell>
          <cell r="CI131">
            <v>0</v>
          </cell>
          <cell r="CK131">
            <v>0</v>
          </cell>
        </row>
        <row r="132">
          <cell r="BY132">
            <v>0</v>
          </cell>
          <cell r="BZ132">
            <v>0</v>
          </cell>
          <cell r="CC132">
            <v>0</v>
          </cell>
          <cell r="CE132">
            <v>0</v>
          </cell>
          <cell r="CG132">
            <v>0</v>
          </cell>
          <cell r="CI132">
            <v>0</v>
          </cell>
          <cell r="CK132">
            <v>0</v>
          </cell>
        </row>
        <row r="133">
          <cell r="BY133">
            <v>0</v>
          </cell>
          <cell r="BZ133">
            <v>0</v>
          </cell>
          <cell r="CC133">
            <v>0</v>
          </cell>
          <cell r="CE133">
            <v>0</v>
          </cell>
          <cell r="CG133">
            <v>0</v>
          </cell>
          <cell r="CI133">
            <v>0</v>
          </cell>
          <cell r="CK133">
            <v>0</v>
          </cell>
        </row>
        <row r="134">
          <cell r="BY134">
            <v>0</v>
          </cell>
          <cell r="BZ134">
            <v>0</v>
          </cell>
          <cell r="CC134">
            <v>0</v>
          </cell>
          <cell r="CE134">
            <v>0</v>
          </cell>
          <cell r="CG134">
            <v>0</v>
          </cell>
          <cell r="CI134">
            <v>0</v>
          </cell>
          <cell r="CK134">
            <v>0</v>
          </cell>
        </row>
        <row r="135">
          <cell r="BY135">
            <v>0</v>
          </cell>
          <cell r="BZ135">
            <v>0</v>
          </cell>
          <cell r="CC135">
            <v>0</v>
          </cell>
          <cell r="CE135">
            <v>0</v>
          </cell>
          <cell r="CG135">
            <v>0</v>
          </cell>
          <cell r="CI135">
            <v>0</v>
          </cell>
          <cell r="CK135">
            <v>0</v>
          </cell>
        </row>
        <row r="136">
          <cell r="BY136">
            <v>0</v>
          </cell>
          <cell r="BZ136">
            <v>0</v>
          </cell>
          <cell r="CC136">
            <v>0</v>
          </cell>
          <cell r="CE136">
            <v>0</v>
          </cell>
          <cell r="CG136">
            <v>0</v>
          </cell>
          <cell r="CI136">
            <v>0</v>
          </cell>
          <cell r="CK136">
            <v>0</v>
          </cell>
        </row>
        <row r="137">
          <cell r="BY137">
            <v>0</v>
          </cell>
          <cell r="BZ137">
            <v>0</v>
          </cell>
          <cell r="CC137">
            <v>0</v>
          </cell>
          <cell r="CE137">
            <v>0</v>
          </cell>
          <cell r="CG137">
            <v>0</v>
          </cell>
          <cell r="CI137">
            <v>0</v>
          </cell>
          <cell r="CK137">
            <v>0</v>
          </cell>
        </row>
        <row r="138">
          <cell r="BY138">
            <v>0</v>
          </cell>
          <cell r="BZ138">
            <v>0</v>
          </cell>
          <cell r="CC138">
            <v>0</v>
          </cell>
          <cell r="CE138">
            <v>0</v>
          </cell>
          <cell r="CG138">
            <v>0</v>
          </cell>
          <cell r="CI138">
            <v>0</v>
          </cell>
          <cell r="CK138">
            <v>0</v>
          </cell>
        </row>
        <row r="139">
          <cell r="BY139">
            <v>0</v>
          </cell>
          <cell r="BZ139">
            <v>0</v>
          </cell>
          <cell r="CC139">
            <v>0</v>
          </cell>
          <cell r="CE139">
            <v>0</v>
          </cell>
          <cell r="CG139">
            <v>0</v>
          </cell>
          <cell r="CI139">
            <v>0</v>
          </cell>
          <cell r="CK139">
            <v>0</v>
          </cell>
        </row>
        <row r="140">
          <cell r="BY140">
            <v>0</v>
          </cell>
          <cell r="BZ140">
            <v>0</v>
          </cell>
          <cell r="CC140">
            <v>0</v>
          </cell>
          <cell r="CE140">
            <v>0</v>
          </cell>
          <cell r="CG140">
            <v>0</v>
          </cell>
          <cell r="CI140">
            <v>0</v>
          </cell>
          <cell r="CK140">
            <v>0</v>
          </cell>
        </row>
        <row r="141">
          <cell r="BY141">
            <v>0</v>
          </cell>
          <cell r="BZ141">
            <v>0</v>
          </cell>
          <cell r="CC141">
            <v>0</v>
          </cell>
          <cell r="CE141">
            <v>0</v>
          </cell>
          <cell r="CG141">
            <v>0</v>
          </cell>
          <cell r="CI141">
            <v>0</v>
          </cell>
          <cell r="CK141">
            <v>0</v>
          </cell>
        </row>
        <row r="142">
          <cell r="BY142">
            <v>0</v>
          </cell>
          <cell r="BZ142">
            <v>0</v>
          </cell>
          <cell r="CC142">
            <v>0</v>
          </cell>
          <cell r="CE142">
            <v>0</v>
          </cell>
          <cell r="CG142">
            <v>0</v>
          </cell>
          <cell r="CI142">
            <v>0</v>
          </cell>
          <cell r="CK142">
            <v>0</v>
          </cell>
        </row>
        <row r="143">
          <cell r="BY143">
            <v>0</v>
          </cell>
          <cell r="BZ143">
            <v>0</v>
          </cell>
          <cell r="CC143">
            <v>0</v>
          </cell>
          <cell r="CE143">
            <v>0</v>
          </cell>
          <cell r="CG143">
            <v>0</v>
          </cell>
          <cell r="CI143">
            <v>0</v>
          </cell>
          <cell r="CK143">
            <v>0</v>
          </cell>
        </row>
        <row r="144">
          <cell r="BY144">
            <v>0</v>
          </cell>
          <cell r="BZ144">
            <v>0</v>
          </cell>
          <cell r="CC144">
            <v>0</v>
          </cell>
          <cell r="CE144">
            <v>0</v>
          </cell>
          <cell r="CG144">
            <v>0</v>
          </cell>
          <cell r="CI144">
            <v>0</v>
          </cell>
          <cell r="CK144">
            <v>0</v>
          </cell>
        </row>
        <row r="145">
          <cell r="BY145">
            <v>0</v>
          </cell>
          <cell r="BZ145">
            <v>0</v>
          </cell>
          <cell r="CC145">
            <v>0</v>
          </cell>
          <cell r="CE145">
            <v>0</v>
          </cell>
          <cell r="CG145">
            <v>0</v>
          </cell>
          <cell r="CI145">
            <v>0</v>
          </cell>
          <cell r="CK145">
            <v>0</v>
          </cell>
        </row>
        <row r="146">
          <cell r="BY146">
            <v>0</v>
          </cell>
          <cell r="BZ146">
            <v>0</v>
          </cell>
          <cell r="CC146">
            <v>0</v>
          </cell>
          <cell r="CE146">
            <v>0</v>
          </cell>
          <cell r="CG146">
            <v>0</v>
          </cell>
          <cell r="CI146">
            <v>0</v>
          </cell>
          <cell r="CK146">
            <v>0</v>
          </cell>
        </row>
        <row r="147">
          <cell r="BY147">
            <v>0</v>
          </cell>
          <cell r="BZ147">
            <v>0</v>
          </cell>
          <cell r="CC147">
            <v>0</v>
          </cell>
          <cell r="CE147">
            <v>0</v>
          </cell>
          <cell r="CG147">
            <v>0</v>
          </cell>
          <cell r="CI147">
            <v>0</v>
          </cell>
          <cell r="CK147">
            <v>0</v>
          </cell>
        </row>
        <row r="148">
          <cell r="BY148">
            <v>0</v>
          </cell>
          <cell r="BZ148">
            <v>0</v>
          </cell>
          <cell r="CC148">
            <v>0</v>
          </cell>
          <cell r="CE148">
            <v>0</v>
          </cell>
          <cell r="CG148">
            <v>0</v>
          </cell>
          <cell r="CI148">
            <v>0</v>
          </cell>
          <cell r="CK148">
            <v>0</v>
          </cell>
        </row>
        <row r="149">
          <cell r="BY149">
            <v>0</v>
          </cell>
          <cell r="BZ149">
            <v>0</v>
          </cell>
          <cell r="CC149">
            <v>0</v>
          </cell>
          <cell r="CE149">
            <v>0</v>
          </cell>
          <cell r="CG149">
            <v>0</v>
          </cell>
          <cell r="CI149">
            <v>0</v>
          </cell>
          <cell r="CK149">
            <v>0</v>
          </cell>
        </row>
        <row r="150">
          <cell r="BY150">
            <v>0</v>
          </cell>
          <cell r="BZ150">
            <v>0</v>
          </cell>
          <cell r="CC150">
            <v>0</v>
          </cell>
          <cell r="CE150">
            <v>0</v>
          </cell>
          <cell r="CG150">
            <v>0</v>
          </cell>
          <cell r="CI150">
            <v>0</v>
          </cell>
          <cell r="CK150">
            <v>0</v>
          </cell>
        </row>
        <row r="151">
          <cell r="BY151">
            <v>0</v>
          </cell>
          <cell r="BZ151">
            <v>0</v>
          </cell>
          <cell r="CC151">
            <v>0</v>
          </cell>
          <cell r="CE151">
            <v>0</v>
          </cell>
          <cell r="CG151">
            <v>0</v>
          </cell>
          <cell r="CI151">
            <v>0</v>
          </cell>
          <cell r="CK151">
            <v>0</v>
          </cell>
        </row>
        <row r="152">
          <cell r="BY152">
            <v>0</v>
          </cell>
          <cell r="BZ152">
            <v>0</v>
          </cell>
          <cell r="CC152">
            <v>0</v>
          </cell>
          <cell r="CE152">
            <v>0</v>
          </cell>
          <cell r="CG152">
            <v>0</v>
          </cell>
          <cell r="CI152">
            <v>0</v>
          </cell>
          <cell r="CK152">
            <v>0</v>
          </cell>
        </row>
        <row r="153">
          <cell r="BY153">
            <v>0</v>
          </cell>
          <cell r="BZ153">
            <v>0</v>
          </cell>
          <cell r="CC153">
            <v>0</v>
          </cell>
          <cell r="CE153">
            <v>0</v>
          </cell>
          <cell r="CG153">
            <v>0</v>
          </cell>
          <cell r="CI153">
            <v>0</v>
          </cell>
          <cell r="CK153">
            <v>0</v>
          </cell>
        </row>
        <row r="154">
          <cell r="BY154">
            <v>0</v>
          </cell>
          <cell r="BZ154">
            <v>0</v>
          </cell>
          <cell r="CC154">
            <v>0</v>
          </cell>
          <cell r="CE154">
            <v>0</v>
          </cell>
          <cell r="CG154">
            <v>0</v>
          </cell>
          <cell r="CI154">
            <v>0</v>
          </cell>
          <cell r="CK154">
            <v>0</v>
          </cell>
        </row>
        <row r="155">
          <cell r="BY155">
            <v>0</v>
          </cell>
          <cell r="BZ155">
            <v>0</v>
          </cell>
          <cell r="CC155">
            <v>0</v>
          </cell>
          <cell r="CE155">
            <v>0</v>
          </cell>
          <cell r="CG155">
            <v>0</v>
          </cell>
          <cell r="CI155">
            <v>0</v>
          </cell>
          <cell r="CK155">
            <v>0</v>
          </cell>
        </row>
        <row r="156">
          <cell r="BY156">
            <v>0</v>
          </cell>
          <cell r="BZ156">
            <v>0</v>
          </cell>
          <cell r="CC156">
            <v>0</v>
          </cell>
          <cell r="CE156">
            <v>0</v>
          </cell>
          <cell r="CG156">
            <v>0</v>
          </cell>
          <cell r="CI156">
            <v>0</v>
          </cell>
          <cell r="CK156">
            <v>0</v>
          </cell>
        </row>
        <row r="157">
          <cell r="BY157">
            <v>0</v>
          </cell>
          <cell r="BZ157">
            <v>0</v>
          </cell>
          <cell r="CC157">
            <v>0</v>
          </cell>
          <cell r="CE157">
            <v>0</v>
          </cell>
          <cell r="CG157">
            <v>0</v>
          </cell>
          <cell r="CI157">
            <v>0</v>
          </cell>
          <cell r="CK157">
            <v>0</v>
          </cell>
        </row>
        <row r="158">
          <cell r="BY158">
            <v>0</v>
          </cell>
          <cell r="BZ158">
            <v>0</v>
          </cell>
          <cell r="CC158">
            <v>0</v>
          </cell>
          <cell r="CE158">
            <v>0</v>
          </cell>
          <cell r="CG158">
            <v>0</v>
          </cell>
          <cell r="CI158">
            <v>0</v>
          </cell>
          <cell r="CK158">
            <v>0</v>
          </cell>
        </row>
        <row r="159">
          <cell r="BY159">
            <v>0</v>
          </cell>
          <cell r="BZ159">
            <v>0</v>
          </cell>
          <cell r="CC159">
            <v>0</v>
          </cell>
          <cell r="CE159">
            <v>0</v>
          </cell>
          <cell r="CG159">
            <v>0</v>
          </cell>
          <cell r="CI159">
            <v>0</v>
          </cell>
          <cell r="CK159">
            <v>0</v>
          </cell>
        </row>
        <row r="160">
          <cell r="BY160">
            <v>0</v>
          </cell>
          <cell r="BZ160">
            <v>0</v>
          </cell>
          <cell r="CC160">
            <v>0</v>
          </cell>
          <cell r="CE160">
            <v>0</v>
          </cell>
          <cell r="CG160">
            <v>0</v>
          </cell>
          <cell r="CI160">
            <v>0</v>
          </cell>
          <cell r="CK160">
            <v>0</v>
          </cell>
        </row>
        <row r="161">
          <cell r="BY161">
            <v>0</v>
          </cell>
          <cell r="BZ161">
            <v>0</v>
          </cell>
          <cell r="CC161">
            <v>0</v>
          </cell>
          <cell r="CE161">
            <v>0</v>
          </cell>
          <cell r="CG161">
            <v>0</v>
          </cell>
          <cell r="CI161">
            <v>0</v>
          </cell>
          <cell r="CK161">
            <v>0</v>
          </cell>
        </row>
        <row r="162">
          <cell r="BY162">
            <v>0</v>
          </cell>
          <cell r="BZ162">
            <v>0</v>
          </cell>
          <cell r="CC162">
            <v>0</v>
          </cell>
          <cell r="CE162">
            <v>0</v>
          </cell>
          <cell r="CG162">
            <v>0</v>
          </cell>
          <cell r="CI162">
            <v>0</v>
          </cell>
          <cell r="CK162">
            <v>0</v>
          </cell>
        </row>
        <row r="163">
          <cell r="BY163">
            <v>0</v>
          </cell>
          <cell r="BZ163">
            <v>0</v>
          </cell>
          <cell r="CC163">
            <v>0</v>
          </cell>
          <cell r="CE163">
            <v>0</v>
          </cell>
          <cell r="CG163">
            <v>0</v>
          </cell>
          <cell r="CI163">
            <v>0</v>
          </cell>
          <cell r="CK163">
            <v>0</v>
          </cell>
        </row>
        <row r="164">
          <cell r="BY164">
            <v>0</v>
          </cell>
          <cell r="BZ164">
            <v>0</v>
          </cell>
          <cell r="CC164">
            <v>0</v>
          </cell>
          <cell r="CE164">
            <v>0</v>
          </cell>
          <cell r="CG164">
            <v>0</v>
          </cell>
          <cell r="CI164">
            <v>0</v>
          </cell>
          <cell r="CK164">
            <v>0</v>
          </cell>
        </row>
        <row r="165">
          <cell r="BY165">
            <v>0</v>
          </cell>
          <cell r="BZ165">
            <v>0</v>
          </cell>
          <cell r="CC165">
            <v>0</v>
          </cell>
          <cell r="CE165">
            <v>0</v>
          </cell>
          <cell r="CG165">
            <v>0</v>
          </cell>
          <cell r="CI165">
            <v>0</v>
          </cell>
          <cell r="CK165">
            <v>0</v>
          </cell>
        </row>
        <row r="166">
          <cell r="BY166">
            <v>0</v>
          </cell>
          <cell r="BZ166">
            <v>0</v>
          </cell>
          <cell r="CC166">
            <v>0</v>
          </cell>
          <cell r="CE166">
            <v>0</v>
          </cell>
          <cell r="CG166">
            <v>0</v>
          </cell>
          <cell r="CI166">
            <v>0</v>
          </cell>
          <cell r="CK166">
            <v>0</v>
          </cell>
        </row>
        <row r="167">
          <cell r="BY167">
            <v>0</v>
          </cell>
          <cell r="BZ167">
            <v>0</v>
          </cell>
          <cell r="CC167">
            <v>0</v>
          </cell>
          <cell r="CE167">
            <v>0</v>
          </cell>
          <cell r="CG167">
            <v>0</v>
          </cell>
          <cell r="CI167">
            <v>0</v>
          </cell>
          <cell r="CK167">
            <v>0</v>
          </cell>
        </row>
        <row r="169">
          <cell r="BY169">
            <v>0</v>
          </cell>
          <cell r="BZ169">
            <v>0</v>
          </cell>
          <cell r="CC169">
            <v>0</v>
          </cell>
          <cell r="CE169">
            <v>0</v>
          </cell>
          <cell r="CG169">
            <v>0</v>
          </cell>
          <cell r="CI169">
            <v>0</v>
          </cell>
          <cell r="CK169">
            <v>0</v>
          </cell>
        </row>
        <row r="170">
          <cell r="BY170">
            <v>0</v>
          </cell>
          <cell r="BZ170">
            <v>0</v>
          </cell>
          <cell r="CC170">
            <v>0</v>
          </cell>
          <cell r="CE170">
            <v>0</v>
          </cell>
          <cell r="CG170">
            <v>0</v>
          </cell>
          <cell r="CI170">
            <v>0</v>
          </cell>
          <cell r="CK170">
            <v>0</v>
          </cell>
        </row>
        <row r="171">
          <cell r="BY171">
            <v>0</v>
          </cell>
          <cell r="BZ171">
            <v>0</v>
          </cell>
          <cell r="CC171">
            <v>0</v>
          </cell>
          <cell r="CE171">
            <v>0</v>
          </cell>
          <cell r="CG171">
            <v>0</v>
          </cell>
          <cell r="CI171">
            <v>0</v>
          </cell>
          <cell r="CK171">
            <v>0</v>
          </cell>
        </row>
        <row r="172">
          <cell r="BY172">
            <v>0</v>
          </cell>
          <cell r="BZ172">
            <v>0</v>
          </cell>
          <cell r="CC172">
            <v>0</v>
          </cell>
          <cell r="CE172">
            <v>0</v>
          </cell>
          <cell r="CG172">
            <v>0</v>
          </cell>
          <cell r="CI172">
            <v>0</v>
          </cell>
          <cell r="CK172">
            <v>0</v>
          </cell>
        </row>
        <row r="173">
          <cell r="BY173">
            <v>0</v>
          </cell>
          <cell r="BZ173">
            <v>0</v>
          </cell>
          <cell r="CC173">
            <v>0</v>
          </cell>
          <cell r="CE173">
            <v>0</v>
          </cell>
          <cell r="CG173">
            <v>0</v>
          </cell>
          <cell r="CI173">
            <v>0</v>
          </cell>
          <cell r="CK173">
            <v>0</v>
          </cell>
        </row>
        <row r="174">
          <cell r="BY174">
            <v>0</v>
          </cell>
          <cell r="BZ174">
            <v>0</v>
          </cell>
          <cell r="CC174">
            <v>0</v>
          </cell>
          <cell r="CE174">
            <v>0</v>
          </cell>
          <cell r="CG174">
            <v>0</v>
          </cell>
          <cell r="CI174">
            <v>0</v>
          </cell>
          <cell r="CK174">
            <v>0</v>
          </cell>
        </row>
        <row r="175">
          <cell r="BY175">
            <v>0</v>
          </cell>
          <cell r="BZ175">
            <v>0</v>
          </cell>
          <cell r="CC175">
            <v>0</v>
          </cell>
          <cell r="CE175">
            <v>0</v>
          </cell>
          <cell r="CG175">
            <v>0</v>
          </cell>
          <cell r="CI175">
            <v>0</v>
          </cell>
          <cell r="CK175">
            <v>0</v>
          </cell>
        </row>
        <row r="176">
          <cell r="BY176">
            <v>0</v>
          </cell>
          <cell r="BZ176">
            <v>0</v>
          </cell>
          <cell r="CC176">
            <v>0</v>
          </cell>
          <cell r="CE176">
            <v>0</v>
          </cell>
          <cell r="CG176">
            <v>0</v>
          </cell>
          <cell r="CI176">
            <v>0</v>
          </cell>
          <cell r="CK176">
            <v>0</v>
          </cell>
        </row>
        <row r="177">
          <cell r="BY177">
            <v>0</v>
          </cell>
          <cell r="BZ177">
            <v>0</v>
          </cell>
          <cell r="CC177">
            <v>0</v>
          </cell>
          <cell r="CE177">
            <v>0</v>
          </cell>
          <cell r="CG177">
            <v>0</v>
          </cell>
          <cell r="CI177">
            <v>0</v>
          </cell>
          <cell r="CK177">
            <v>0</v>
          </cell>
        </row>
        <row r="178">
          <cell r="BY178">
            <v>0</v>
          </cell>
          <cell r="BZ178">
            <v>0</v>
          </cell>
          <cell r="CC178">
            <v>0</v>
          </cell>
          <cell r="CE178">
            <v>0</v>
          </cell>
          <cell r="CG178">
            <v>0</v>
          </cell>
          <cell r="CI178">
            <v>0</v>
          </cell>
          <cell r="CK178">
            <v>0</v>
          </cell>
        </row>
        <row r="179">
          <cell r="BY179">
            <v>0</v>
          </cell>
          <cell r="BZ179">
            <v>0</v>
          </cell>
          <cell r="CC179">
            <v>0</v>
          </cell>
          <cell r="CE179">
            <v>0</v>
          </cell>
          <cell r="CG179">
            <v>0</v>
          </cell>
          <cell r="CI179">
            <v>0</v>
          </cell>
          <cell r="CK179">
            <v>0</v>
          </cell>
        </row>
        <row r="180">
          <cell r="BY180">
            <v>0</v>
          </cell>
          <cell r="BZ180">
            <v>0</v>
          </cell>
          <cell r="CC180">
            <v>0</v>
          </cell>
          <cell r="CE180">
            <v>0</v>
          </cell>
          <cell r="CG180">
            <v>0</v>
          </cell>
          <cell r="CI180">
            <v>0</v>
          </cell>
          <cell r="CK180">
            <v>0</v>
          </cell>
        </row>
        <row r="181">
          <cell r="BY181">
            <v>0</v>
          </cell>
          <cell r="BZ181">
            <v>0</v>
          </cell>
          <cell r="CC181">
            <v>0</v>
          </cell>
          <cell r="CE181">
            <v>0</v>
          </cell>
          <cell r="CG181">
            <v>0</v>
          </cell>
          <cell r="CI181">
            <v>0</v>
          </cell>
          <cell r="CK181">
            <v>0</v>
          </cell>
        </row>
        <row r="182">
          <cell r="BY182">
            <v>0</v>
          </cell>
          <cell r="BZ182">
            <v>0</v>
          </cell>
          <cell r="CC182">
            <v>0</v>
          </cell>
          <cell r="CE182">
            <v>0</v>
          </cell>
          <cell r="CG182">
            <v>0</v>
          </cell>
          <cell r="CI182">
            <v>0</v>
          </cell>
          <cell r="CK182">
            <v>0</v>
          </cell>
        </row>
        <row r="183">
          <cell r="BY183">
            <v>0</v>
          </cell>
          <cell r="BZ183">
            <v>0</v>
          </cell>
          <cell r="CC183">
            <v>0</v>
          </cell>
          <cell r="CE183">
            <v>0</v>
          </cell>
          <cell r="CG183">
            <v>0</v>
          </cell>
          <cell r="CI183">
            <v>0</v>
          </cell>
          <cell r="CK183">
            <v>0</v>
          </cell>
        </row>
        <row r="184">
          <cell r="BY184">
            <v>0</v>
          </cell>
          <cell r="BZ184">
            <v>0</v>
          </cell>
          <cell r="CC184">
            <v>0</v>
          </cell>
          <cell r="CE184">
            <v>0</v>
          </cell>
          <cell r="CG184">
            <v>0</v>
          </cell>
          <cell r="CI184">
            <v>0</v>
          </cell>
          <cell r="CK184">
            <v>0</v>
          </cell>
        </row>
        <row r="185">
          <cell r="BY185">
            <v>0</v>
          </cell>
          <cell r="BZ185">
            <v>0</v>
          </cell>
          <cell r="CC185">
            <v>0</v>
          </cell>
          <cell r="CE185">
            <v>0</v>
          </cell>
          <cell r="CG185">
            <v>0</v>
          </cell>
          <cell r="CI185">
            <v>0</v>
          </cell>
          <cell r="CK185">
            <v>0</v>
          </cell>
        </row>
        <row r="186">
          <cell r="BY186">
            <v>0</v>
          </cell>
          <cell r="BZ186">
            <v>0</v>
          </cell>
          <cell r="CC186">
            <v>0</v>
          </cell>
          <cell r="CE186">
            <v>0</v>
          </cell>
          <cell r="CG186">
            <v>0</v>
          </cell>
          <cell r="CI186">
            <v>0</v>
          </cell>
          <cell r="CK186">
            <v>0</v>
          </cell>
        </row>
        <row r="187">
          <cell r="BY187">
            <v>0</v>
          </cell>
          <cell r="BZ187">
            <v>0</v>
          </cell>
          <cell r="CC187">
            <v>0</v>
          </cell>
          <cell r="CE187">
            <v>0</v>
          </cell>
          <cell r="CG187">
            <v>0</v>
          </cell>
          <cell r="CI187">
            <v>0</v>
          </cell>
          <cell r="CK187">
            <v>0</v>
          </cell>
        </row>
        <row r="188">
          <cell r="BY188">
            <v>0</v>
          </cell>
          <cell r="BZ188">
            <v>0</v>
          </cell>
          <cell r="CC188">
            <v>0</v>
          </cell>
          <cell r="CE188">
            <v>0</v>
          </cell>
          <cell r="CG188">
            <v>0</v>
          </cell>
          <cell r="CI188">
            <v>0</v>
          </cell>
          <cell r="CK188">
            <v>0</v>
          </cell>
        </row>
        <row r="189">
          <cell r="BY189">
            <v>0</v>
          </cell>
          <cell r="BZ189">
            <v>0</v>
          </cell>
          <cell r="CC189">
            <v>0</v>
          </cell>
          <cell r="CE189">
            <v>0</v>
          </cell>
          <cell r="CG189">
            <v>0</v>
          </cell>
          <cell r="CI189">
            <v>0</v>
          </cell>
          <cell r="CK189">
            <v>0</v>
          </cell>
        </row>
        <row r="190">
          <cell r="BY190">
            <v>0</v>
          </cell>
          <cell r="BZ190">
            <v>0</v>
          </cell>
          <cell r="CC190">
            <v>0</v>
          </cell>
          <cell r="CE190">
            <v>0</v>
          </cell>
          <cell r="CG190">
            <v>0</v>
          </cell>
          <cell r="CI190">
            <v>0</v>
          </cell>
          <cell r="CK190">
            <v>0</v>
          </cell>
        </row>
        <row r="191">
          <cell r="BY191">
            <v>0</v>
          </cell>
          <cell r="BZ191">
            <v>0</v>
          </cell>
          <cell r="CC191">
            <v>0</v>
          </cell>
          <cell r="CE191">
            <v>0</v>
          </cell>
          <cell r="CG191">
            <v>0</v>
          </cell>
          <cell r="CI191">
            <v>0</v>
          </cell>
          <cell r="CK191">
            <v>0</v>
          </cell>
        </row>
        <row r="192">
          <cell r="BY192">
            <v>0</v>
          </cell>
          <cell r="BZ192">
            <v>0</v>
          </cell>
          <cell r="CC192">
            <v>0</v>
          </cell>
          <cell r="CE192">
            <v>0</v>
          </cell>
          <cell r="CG192">
            <v>0</v>
          </cell>
          <cell r="CI192">
            <v>0</v>
          </cell>
          <cell r="CK192">
            <v>0</v>
          </cell>
        </row>
        <row r="193">
          <cell r="BY193">
            <v>0</v>
          </cell>
          <cell r="BZ193">
            <v>0</v>
          </cell>
          <cell r="CC193">
            <v>0</v>
          </cell>
          <cell r="CE193">
            <v>0</v>
          </cell>
          <cell r="CG193">
            <v>0</v>
          </cell>
          <cell r="CI193">
            <v>0</v>
          </cell>
          <cell r="CK193">
            <v>0</v>
          </cell>
        </row>
        <row r="194">
          <cell r="BY194">
            <v>0</v>
          </cell>
          <cell r="BZ194">
            <v>0</v>
          </cell>
          <cell r="CC194">
            <v>0</v>
          </cell>
          <cell r="CE194">
            <v>0</v>
          </cell>
          <cell r="CG194">
            <v>0</v>
          </cell>
          <cell r="CI194">
            <v>0</v>
          </cell>
          <cell r="CK194">
            <v>0</v>
          </cell>
        </row>
        <row r="195">
          <cell r="BY195">
            <v>0</v>
          </cell>
          <cell r="BZ195">
            <v>0</v>
          </cell>
          <cell r="CC195">
            <v>0</v>
          </cell>
          <cell r="CE195">
            <v>0</v>
          </cell>
          <cell r="CG195">
            <v>0</v>
          </cell>
          <cell r="CI195">
            <v>0</v>
          </cell>
          <cell r="CK195">
            <v>0</v>
          </cell>
        </row>
        <row r="196">
          <cell r="BY196">
            <v>0</v>
          </cell>
          <cell r="BZ196">
            <v>0</v>
          </cell>
          <cell r="CC196">
            <v>0</v>
          </cell>
          <cell r="CE196">
            <v>0</v>
          </cell>
          <cell r="CG196">
            <v>0</v>
          </cell>
          <cell r="CI196">
            <v>0</v>
          </cell>
          <cell r="CK196">
            <v>0</v>
          </cell>
        </row>
        <row r="197">
          <cell r="BY197">
            <v>0</v>
          </cell>
          <cell r="BZ197">
            <v>0</v>
          </cell>
          <cell r="CC197">
            <v>0</v>
          </cell>
          <cell r="CE197">
            <v>0</v>
          </cell>
          <cell r="CG197">
            <v>0</v>
          </cell>
          <cell r="CI197">
            <v>0</v>
          </cell>
          <cell r="CK197">
            <v>0</v>
          </cell>
        </row>
        <row r="198">
          <cell r="BY198">
            <v>0</v>
          </cell>
          <cell r="BZ198">
            <v>0</v>
          </cell>
          <cell r="CC198">
            <v>0</v>
          </cell>
          <cell r="CE198">
            <v>0</v>
          </cell>
          <cell r="CG198">
            <v>0</v>
          </cell>
          <cell r="CI198">
            <v>0</v>
          </cell>
          <cell r="CK198">
            <v>0</v>
          </cell>
        </row>
        <row r="199">
          <cell r="BY199">
            <v>0</v>
          </cell>
          <cell r="BZ199">
            <v>0</v>
          </cell>
          <cell r="CC199">
            <v>0</v>
          </cell>
          <cell r="CE199">
            <v>0</v>
          </cell>
          <cell r="CG199">
            <v>0</v>
          </cell>
          <cell r="CI199">
            <v>0</v>
          </cell>
          <cell r="CK199">
            <v>0</v>
          </cell>
        </row>
        <row r="200">
          <cell r="BY200">
            <v>0</v>
          </cell>
          <cell r="BZ200">
            <v>0</v>
          </cell>
          <cell r="CC200">
            <v>0</v>
          </cell>
          <cell r="CE200">
            <v>0</v>
          </cell>
          <cell r="CG200">
            <v>0</v>
          </cell>
          <cell r="CI200">
            <v>0</v>
          </cell>
          <cell r="CK200">
            <v>0</v>
          </cell>
        </row>
        <row r="201">
          <cell r="BY201">
            <v>0</v>
          </cell>
          <cell r="BZ201">
            <v>0</v>
          </cell>
          <cell r="CC201">
            <v>0</v>
          </cell>
          <cell r="CE201">
            <v>0</v>
          </cell>
          <cell r="CG201">
            <v>0</v>
          </cell>
          <cell r="CI201">
            <v>0</v>
          </cell>
          <cell r="CK201">
            <v>0</v>
          </cell>
        </row>
        <row r="202">
          <cell r="BY202">
            <v>0</v>
          </cell>
          <cell r="BZ202">
            <v>0</v>
          </cell>
          <cell r="CC202">
            <v>0</v>
          </cell>
          <cell r="CE202">
            <v>0</v>
          </cell>
          <cell r="CG202">
            <v>0</v>
          </cell>
          <cell r="CI202">
            <v>0</v>
          </cell>
          <cell r="CK202">
            <v>0</v>
          </cell>
        </row>
        <row r="203">
          <cell r="BY203">
            <v>0</v>
          </cell>
          <cell r="BZ203">
            <v>0</v>
          </cell>
          <cell r="CC203">
            <v>0</v>
          </cell>
          <cell r="CE203">
            <v>0</v>
          </cell>
          <cell r="CG203">
            <v>0</v>
          </cell>
          <cell r="CI203">
            <v>0</v>
          </cell>
          <cell r="CK203">
            <v>0</v>
          </cell>
        </row>
        <row r="204">
          <cell r="BY204">
            <v>0</v>
          </cell>
          <cell r="BZ204">
            <v>0</v>
          </cell>
          <cell r="CC204">
            <v>0</v>
          </cell>
          <cell r="CE204">
            <v>0</v>
          </cell>
          <cell r="CG204">
            <v>0</v>
          </cell>
          <cell r="CI204">
            <v>0</v>
          </cell>
          <cell r="CK204">
            <v>0</v>
          </cell>
        </row>
        <row r="205">
          <cell r="BY205">
            <v>0</v>
          </cell>
          <cell r="BZ205">
            <v>0</v>
          </cell>
          <cell r="CC205">
            <v>0</v>
          </cell>
          <cell r="CE205">
            <v>0</v>
          </cell>
          <cell r="CG205">
            <v>0</v>
          </cell>
          <cell r="CI205">
            <v>0</v>
          </cell>
          <cell r="CK205">
            <v>0</v>
          </cell>
        </row>
        <row r="206">
          <cell r="BY206">
            <v>0</v>
          </cell>
          <cell r="BZ206">
            <v>0</v>
          </cell>
          <cell r="CC206">
            <v>0</v>
          </cell>
          <cell r="CE206">
            <v>0</v>
          </cell>
          <cell r="CG206">
            <v>0</v>
          </cell>
          <cell r="CI206">
            <v>0</v>
          </cell>
          <cell r="CK206">
            <v>0</v>
          </cell>
        </row>
        <row r="207">
          <cell r="BY207">
            <v>0</v>
          </cell>
          <cell r="BZ207">
            <v>0</v>
          </cell>
          <cell r="CC207">
            <v>0</v>
          </cell>
          <cell r="CE207">
            <v>0</v>
          </cell>
          <cell r="CG207">
            <v>0</v>
          </cell>
          <cell r="CI207">
            <v>0</v>
          </cell>
          <cell r="CK207">
            <v>0</v>
          </cell>
        </row>
        <row r="208">
          <cell r="BY208">
            <v>0</v>
          </cell>
          <cell r="BZ208">
            <v>0</v>
          </cell>
          <cell r="CC208">
            <v>0</v>
          </cell>
          <cell r="CE208">
            <v>0</v>
          </cell>
          <cell r="CG208">
            <v>0</v>
          </cell>
          <cell r="CI208">
            <v>0</v>
          </cell>
          <cell r="CK208">
            <v>0</v>
          </cell>
        </row>
        <row r="209">
          <cell r="BY209">
            <v>0</v>
          </cell>
          <cell r="BZ209">
            <v>0</v>
          </cell>
          <cell r="CC209">
            <v>0</v>
          </cell>
          <cell r="CE209">
            <v>0</v>
          </cell>
          <cell r="CG209">
            <v>0</v>
          </cell>
          <cell r="CI209">
            <v>0</v>
          </cell>
          <cell r="CK209">
            <v>0</v>
          </cell>
        </row>
        <row r="210">
          <cell r="BY210">
            <v>0</v>
          </cell>
          <cell r="BZ210">
            <v>0</v>
          </cell>
          <cell r="CC210">
            <v>0</v>
          </cell>
          <cell r="CE210">
            <v>0</v>
          </cell>
          <cell r="CG210">
            <v>0</v>
          </cell>
          <cell r="CI210">
            <v>0</v>
          </cell>
          <cell r="CK210">
            <v>0</v>
          </cell>
        </row>
        <row r="211">
          <cell r="BY211">
            <v>0</v>
          </cell>
          <cell r="BZ211">
            <v>0</v>
          </cell>
          <cell r="CC211">
            <v>0</v>
          </cell>
          <cell r="CE211">
            <v>0</v>
          </cell>
          <cell r="CG211">
            <v>0</v>
          </cell>
          <cell r="CI211">
            <v>0</v>
          </cell>
          <cell r="CK211">
            <v>0</v>
          </cell>
        </row>
        <row r="212">
          <cell r="BY212">
            <v>0</v>
          </cell>
          <cell r="BZ212">
            <v>0</v>
          </cell>
          <cell r="CC212">
            <v>0</v>
          </cell>
          <cell r="CE212">
            <v>0</v>
          </cell>
          <cell r="CG212">
            <v>0</v>
          </cell>
          <cell r="CI212">
            <v>0</v>
          </cell>
          <cell r="CK212">
            <v>0</v>
          </cell>
        </row>
        <row r="213">
          <cell r="BY213">
            <v>0</v>
          </cell>
          <cell r="BZ213">
            <v>0</v>
          </cell>
          <cell r="CC213">
            <v>0</v>
          </cell>
          <cell r="CE213">
            <v>0</v>
          </cell>
          <cell r="CG213">
            <v>0</v>
          </cell>
          <cell r="CI213">
            <v>0</v>
          </cell>
          <cell r="CK213">
            <v>0</v>
          </cell>
        </row>
        <row r="214">
          <cell r="BY214">
            <v>0</v>
          </cell>
          <cell r="BZ214">
            <v>0</v>
          </cell>
          <cell r="CC214">
            <v>6291.0098854028111</v>
          </cell>
          <cell r="CE214">
            <v>6542.6502808189234</v>
          </cell>
          <cell r="CG214">
            <v>6804.3562920516806</v>
          </cell>
          <cell r="CI214">
            <v>7076.5305437337483</v>
          </cell>
          <cell r="CK214">
            <v>7359.5917654830982</v>
          </cell>
        </row>
        <row r="215">
          <cell r="BY215">
            <v>0</v>
          </cell>
          <cell r="BZ215">
            <v>0</v>
          </cell>
          <cell r="CC215">
            <v>0</v>
          </cell>
          <cell r="CE215">
            <v>0</v>
          </cell>
          <cell r="CG215">
            <v>0</v>
          </cell>
          <cell r="CI215">
            <v>0</v>
          </cell>
          <cell r="CK215">
            <v>0</v>
          </cell>
        </row>
        <row r="216">
          <cell r="BY216">
            <v>0</v>
          </cell>
          <cell r="BZ216">
            <v>0</v>
          </cell>
          <cell r="CC216">
            <v>0</v>
          </cell>
          <cell r="CE216">
            <v>0</v>
          </cell>
          <cell r="CG216">
            <v>0</v>
          </cell>
          <cell r="CI216">
            <v>0</v>
          </cell>
          <cell r="CK216">
            <v>0</v>
          </cell>
        </row>
        <row r="217">
          <cell r="BY217">
            <v>0</v>
          </cell>
          <cell r="BZ217">
            <v>0</v>
          </cell>
          <cell r="CC217">
            <v>0</v>
          </cell>
          <cell r="CE217">
            <v>0</v>
          </cell>
          <cell r="CG217">
            <v>0</v>
          </cell>
          <cell r="CI217">
            <v>0</v>
          </cell>
          <cell r="CK217">
            <v>0</v>
          </cell>
        </row>
        <row r="218">
          <cell r="BY218">
            <v>0</v>
          </cell>
          <cell r="BZ218">
            <v>0</v>
          </cell>
          <cell r="CC218">
            <v>0</v>
          </cell>
          <cell r="CE218">
            <v>0</v>
          </cell>
          <cell r="CG218">
            <v>0</v>
          </cell>
          <cell r="CI218">
            <v>0</v>
          </cell>
          <cell r="CK218">
            <v>0</v>
          </cell>
        </row>
        <row r="219">
          <cell r="BY219">
            <v>0</v>
          </cell>
          <cell r="BZ219">
            <v>0</v>
          </cell>
          <cell r="CC219">
            <v>0</v>
          </cell>
          <cell r="CE219">
            <v>0</v>
          </cell>
          <cell r="CG219">
            <v>0</v>
          </cell>
          <cell r="CI219">
            <v>0</v>
          </cell>
          <cell r="CK219">
            <v>0</v>
          </cell>
        </row>
        <row r="220">
          <cell r="BY220">
            <v>0</v>
          </cell>
          <cell r="BZ220">
            <v>0</v>
          </cell>
          <cell r="CC220">
            <v>0</v>
          </cell>
          <cell r="CE220">
            <v>0</v>
          </cell>
          <cell r="CG220">
            <v>0</v>
          </cell>
          <cell r="CI220">
            <v>0</v>
          </cell>
          <cell r="CK220">
            <v>0</v>
          </cell>
        </row>
        <row r="221">
          <cell r="BY221">
            <v>0</v>
          </cell>
          <cell r="BZ221">
            <v>0</v>
          </cell>
          <cell r="CC221">
            <v>0</v>
          </cell>
          <cell r="CE221">
            <v>0</v>
          </cell>
          <cell r="CG221">
            <v>0</v>
          </cell>
          <cell r="CI221">
            <v>0</v>
          </cell>
          <cell r="CK221">
            <v>0</v>
          </cell>
        </row>
        <row r="222">
          <cell r="BY222">
            <v>0</v>
          </cell>
          <cell r="BZ222">
            <v>0</v>
          </cell>
          <cell r="CC222">
            <v>0</v>
          </cell>
          <cell r="CE222">
            <v>0</v>
          </cell>
          <cell r="CG222">
            <v>0</v>
          </cell>
          <cell r="CI222">
            <v>0</v>
          </cell>
          <cell r="CK222">
            <v>0</v>
          </cell>
        </row>
        <row r="223">
          <cell r="BY223">
            <v>0</v>
          </cell>
          <cell r="BZ223">
            <v>0</v>
          </cell>
          <cell r="CC223">
            <v>0</v>
          </cell>
          <cell r="CE223">
            <v>0</v>
          </cell>
          <cell r="CG223">
            <v>0</v>
          </cell>
          <cell r="CI223">
            <v>0</v>
          </cell>
          <cell r="CK223">
            <v>0</v>
          </cell>
        </row>
        <row r="224">
          <cell r="BY224">
            <v>0</v>
          </cell>
          <cell r="BZ224">
            <v>0</v>
          </cell>
          <cell r="CC224">
            <v>0</v>
          </cell>
          <cell r="CE224">
            <v>0</v>
          </cell>
          <cell r="CG224">
            <v>0</v>
          </cell>
          <cell r="CI224">
            <v>0</v>
          </cell>
          <cell r="CK224">
            <v>0</v>
          </cell>
        </row>
        <row r="225">
          <cell r="BY225">
            <v>0</v>
          </cell>
          <cell r="BZ225">
            <v>0</v>
          </cell>
          <cell r="CC225">
            <v>0</v>
          </cell>
          <cell r="CE225">
            <v>0</v>
          </cell>
          <cell r="CG225">
            <v>0</v>
          </cell>
          <cell r="CI225">
            <v>0</v>
          </cell>
          <cell r="CK225">
            <v>0</v>
          </cell>
        </row>
        <row r="226">
          <cell r="BY226">
            <v>0</v>
          </cell>
          <cell r="BZ226">
            <v>0</v>
          </cell>
          <cell r="CC226">
            <v>0</v>
          </cell>
          <cell r="CE226">
            <v>0</v>
          </cell>
          <cell r="CG226">
            <v>0</v>
          </cell>
          <cell r="CI226">
            <v>0</v>
          </cell>
          <cell r="CK226">
            <v>0</v>
          </cell>
        </row>
        <row r="227">
          <cell r="BY227">
            <v>0</v>
          </cell>
          <cell r="BZ227">
            <v>0</v>
          </cell>
          <cell r="CC227">
            <v>0</v>
          </cell>
          <cell r="CE227">
            <v>0</v>
          </cell>
          <cell r="CG227">
            <v>0</v>
          </cell>
          <cell r="CI227">
            <v>0</v>
          </cell>
          <cell r="CK227">
            <v>0</v>
          </cell>
        </row>
        <row r="228">
          <cell r="BY228">
            <v>0</v>
          </cell>
          <cell r="BZ228">
            <v>0</v>
          </cell>
          <cell r="CC228">
            <v>0</v>
          </cell>
          <cell r="CE228">
            <v>0</v>
          </cell>
          <cell r="CG228">
            <v>0</v>
          </cell>
          <cell r="CI228">
            <v>0</v>
          </cell>
          <cell r="CK228">
            <v>0</v>
          </cell>
        </row>
        <row r="229">
          <cell r="BY229">
            <v>0</v>
          </cell>
          <cell r="BZ229">
            <v>0</v>
          </cell>
          <cell r="CC229">
            <v>6291.0098854028111</v>
          </cell>
          <cell r="CE229">
            <v>6542.6502808189234</v>
          </cell>
          <cell r="CG229">
            <v>6804.3562920516806</v>
          </cell>
          <cell r="CI229">
            <v>7076.5305437337483</v>
          </cell>
          <cell r="CK229">
            <v>7359.5917654830982</v>
          </cell>
        </row>
        <row r="230">
          <cell r="BY230">
            <v>0</v>
          </cell>
          <cell r="BZ230">
            <v>0</v>
          </cell>
          <cell r="CC230">
            <v>6291.0098854028111</v>
          </cell>
          <cell r="CE230">
            <v>6542.6502808189234</v>
          </cell>
          <cell r="CG230">
            <v>6804.3562920516806</v>
          </cell>
          <cell r="CI230">
            <v>7076.5305437337483</v>
          </cell>
          <cell r="CK230">
            <v>7359.5917654830982</v>
          </cell>
        </row>
        <row r="231">
          <cell r="BY231">
            <v>0</v>
          </cell>
          <cell r="BZ231">
            <v>0</v>
          </cell>
          <cell r="CC231">
            <v>0</v>
          </cell>
          <cell r="CE231">
            <v>0</v>
          </cell>
          <cell r="CG231">
            <v>0</v>
          </cell>
          <cell r="CI231">
            <v>0</v>
          </cell>
          <cell r="CK231">
            <v>0</v>
          </cell>
        </row>
        <row r="232">
          <cell r="BY232">
            <v>0</v>
          </cell>
          <cell r="BZ232">
            <v>0</v>
          </cell>
          <cell r="CC232">
            <v>0</v>
          </cell>
          <cell r="CE232">
            <v>0</v>
          </cell>
          <cell r="CG232">
            <v>0</v>
          </cell>
          <cell r="CI232">
            <v>0</v>
          </cell>
          <cell r="CK232">
            <v>0</v>
          </cell>
        </row>
        <row r="233">
          <cell r="BY233">
            <v>0</v>
          </cell>
          <cell r="BZ233">
            <v>0</v>
          </cell>
          <cell r="CC233">
            <v>0</v>
          </cell>
          <cell r="CE233">
            <v>0</v>
          </cell>
          <cell r="CG233">
            <v>0</v>
          </cell>
          <cell r="CI233">
            <v>0</v>
          </cell>
          <cell r="CK233">
            <v>0</v>
          </cell>
        </row>
        <row r="234">
          <cell r="BY234">
            <v>0</v>
          </cell>
          <cell r="BZ234">
            <v>0</v>
          </cell>
          <cell r="CC234">
            <v>6291.0098854028111</v>
          </cell>
          <cell r="CE234">
            <v>6542.6502808189234</v>
          </cell>
          <cell r="CG234">
            <v>6804.3562920516806</v>
          </cell>
          <cell r="CI234">
            <v>7076.5305437337483</v>
          </cell>
          <cell r="CK234">
            <v>7359.5917654830982</v>
          </cell>
        </row>
        <row r="235">
          <cell r="BY235">
            <v>0</v>
          </cell>
          <cell r="BZ235">
            <v>0</v>
          </cell>
          <cell r="CC235">
            <v>6291.0098854028111</v>
          </cell>
          <cell r="CE235">
            <v>6542.6502808189234</v>
          </cell>
          <cell r="CG235">
            <v>6804.3562920516806</v>
          </cell>
          <cell r="CI235">
            <v>7076.5305437337483</v>
          </cell>
          <cell r="CK235">
            <v>7359.5917654830982</v>
          </cell>
        </row>
        <row r="236">
          <cell r="BY236">
            <v>0</v>
          </cell>
          <cell r="BZ236">
            <v>0</v>
          </cell>
          <cell r="CC236">
            <v>0</v>
          </cell>
          <cell r="CE236">
            <v>0</v>
          </cell>
          <cell r="CG236">
            <v>0</v>
          </cell>
          <cell r="CI236">
            <v>0</v>
          </cell>
          <cell r="CK236">
            <v>0</v>
          </cell>
        </row>
        <row r="237">
          <cell r="BY237">
            <v>0</v>
          </cell>
          <cell r="BZ237">
            <v>0</v>
          </cell>
          <cell r="CC237">
            <v>0</v>
          </cell>
          <cell r="CE237">
            <v>0</v>
          </cell>
          <cell r="CG237">
            <v>0</v>
          </cell>
          <cell r="CI237">
            <v>0</v>
          </cell>
          <cell r="CK237">
            <v>0</v>
          </cell>
        </row>
        <row r="238">
          <cell r="BY238">
            <v>0</v>
          </cell>
          <cell r="BZ238">
            <v>0</v>
          </cell>
          <cell r="CC238">
            <v>0</v>
          </cell>
          <cell r="CE238">
            <v>0</v>
          </cell>
          <cell r="CG238">
            <v>0</v>
          </cell>
          <cell r="CI238">
            <v>0</v>
          </cell>
          <cell r="CK238">
            <v>0</v>
          </cell>
        </row>
        <row r="239">
          <cell r="BY239">
            <v>0</v>
          </cell>
          <cell r="BZ239">
            <v>0</v>
          </cell>
          <cell r="CC239">
            <v>1.0758679192467839</v>
          </cell>
          <cell r="CE239">
            <v>1.04</v>
          </cell>
          <cell r="CG239">
            <v>1.04</v>
          </cell>
          <cell r="CI239">
            <v>1.04</v>
          </cell>
          <cell r="CK239">
            <v>1.04</v>
          </cell>
        </row>
      </sheetData>
      <sheetData sheetId="52" refreshError="1">
        <row r="93">
          <cell r="BY93">
            <v>0</v>
          </cell>
          <cell r="CC93">
            <v>0</v>
          </cell>
          <cell r="CE93">
            <v>0</v>
          </cell>
          <cell r="CG93">
            <v>0</v>
          </cell>
          <cell r="CI93">
            <v>0</v>
          </cell>
          <cell r="CK93">
            <v>0</v>
          </cell>
        </row>
        <row r="94">
          <cell r="BY94">
            <v>0</v>
          </cell>
          <cell r="CC94">
            <v>0</v>
          </cell>
          <cell r="CE94">
            <v>0</v>
          </cell>
          <cell r="CG94">
            <v>0</v>
          </cell>
          <cell r="CI94">
            <v>0</v>
          </cell>
          <cell r="CK94">
            <v>0</v>
          </cell>
        </row>
        <row r="95">
          <cell r="BY95">
            <v>0</v>
          </cell>
          <cell r="CC95">
            <v>0</v>
          </cell>
          <cell r="CE95">
            <v>0</v>
          </cell>
          <cell r="CG95">
            <v>0</v>
          </cell>
          <cell r="CI95">
            <v>0</v>
          </cell>
          <cell r="CK95">
            <v>0</v>
          </cell>
        </row>
        <row r="96">
          <cell r="BY96">
            <v>0</v>
          </cell>
          <cell r="CC96">
            <v>0</v>
          </cell>
          <cell r="CE96">
            <v>0</v>
          </cell>
          <cell r="CG96">
            <v>0</v>
          </cell>
          <cell r="CI96">
            <v>0</v>
          </cell>
          <cell r="CK96">
            <v>0</v>
          </cell>
        </row>
        <row r="97">
          <cell r="BY97">
            <v>0</v>
          </cell>
          <cell r="CC97">
            <v>0</v>
          </cell>
          <cell r="CE97">
            <v>0</v>
          </cell>
          <cell r="CG97">
            <v>0</v>
          </cell>
          <cell r="CI97">
            <v>0</v>
          </cell>
          <cell r="CK97">
            <v>0</v>
          </cell>
        </row>
        <row r="98">
          <cell r="BY98">
            <v>0</v>
          </cell>
          <cell r="CC98">
            <v>0</v>
          </cell>
          <cell r="CE98">
            <v>0</v>
          </cell>
          <cell r="CG98">
            <v>0</v>
          </cell>
          <cell r="CI98">
            <v>0</v>
          </cell>
          <cell r="CK98">
            <v>0</v>
          </cell>
        </row>
        <row r="99">
          <cell r="BY99">
            <v>0</v>
          </cell>
          <cell r="CC99">
            <v>0</v>
          </cell>
          <cell r="CE99">
            <v>0</v>
          </cell>
          <cell r="CG99">
            <v>0</v>
          </cell>
          <cell r="CI99">
            <v>0</v>
          </cell>
          <cell r="CK99">
            <v>0</v>
          </cell>
        </row>
        <row r="100">
          <cell r="BY100">
            <v>0</v>
          </cell>
          <cell r="CC100">
            <v>0</v>
          </cell>
          <cell r="CE100">
            <v>0</v>
          </cell>
          <cell r="CG100">
            <v>0</v>
          </cell>
          <cell r="CI100">
            <v>0</v>
          </cell>
          <cell r="CK100">
            <v>0</v>
          </cell>
        </row>
        <row r="101">
          <cell r="BY101">
            <v>0</v>
          </cell>
          <cell r="CC101">
            <v>0</v>
          </cell>
          <cell r="CE101">
            <v>0</v>
          </cell>
          <cell r="CG101">
            <v>0</v>
          </cell>
          <cell r="CI101">
            <v>0</v>
          </cell>
          <cell r="CK101">
            <v>0</v>
          </cell>
        </row>
        <row r="102">
          <cell r="BY102">
            <v>0</v>
          </cell>
          <cell r="CC102">
            <v>0</v>
          </cell>
          <cell r="CE102">
            <v>0</v>
          </cell>
          <cell r="CG102">
            <v>0</v>
          </cell>
          <cell r="CI102">
            <v>0</v>
          </cell>
          <cell r="CK102">
            <v>0</v>
          </cell>
        </row>
        <row r="103">
          <cell r="BY103">
            <v>0</v>
          </cell>
          <cell r="CC103">
            <v>0</v>
          </cell>
          <cell r="CE103">
            <v>0</v>
          </cell>
          <cell r="CG103">
            <v>0</v>
          </cell>
          <cell r="CI103">
            <v>0</v>
          </cell>
          <cell r="CK103">
            <v>0</v>
          </cell>
        </row>
        <row r="104">
          <cell r="BY104">
            <v>0</v>
          </cell>
          <cell r="CC104">
            <v>0</v>
          </cell>
          <cell r="CE104">
            <v>0</v>
          </cell>
          <cell r="CG104">
            <v>0</v>
          </cell>
          <cell r="CI104">
            <v>0</v>
          </cell>
          <cell r="CK104">
            <v>0</v>
          </cell>
        </row>
        <row r="105">
          <cell r="BY105">
            <v>0</v>
          </cell>
          <cell r="CC105">
            <v>0</v>
          </cell>
          <cell r="CE105">
            <v>0</v>
          </cell>
          <cell r="CG105">
            <v>0</v>
          </cell>
          <cell r="CI105">
            <v>0</v>
          </cell>
          <cell r="CK105">
            <v>0</v>
          </cell>
        </row>
        <row r="106">
          <cell r="BY106">
            <v>0</v>
          </cell>
          <cell r="CC106">
            <v>0</v>
          </cell>
          <cell r="CE106">
            <v>0</v>
          </cell>
          <cell r="CG106">
            <v>0</v>
          </cell>
          <cell r="CI106">
            <v>0</v>
          </cell>
          <cell r="CK106">
            <v>0</v>
          </cell>
        </row>
        <row r="107">
          <cell r="BY107">
            <v>0</v>
          </cell>
          <cell r="CC107">
            <v>0</v>
          </cell>
          <cell r="CE107">
            <v>0</v>
          </cell>
          <cell r="CG107">
            <v>0</v>
          </cell>
          <cell r="CI107">
            <v>0</v>
          </cell>
          <cell r="CK107">
            <v>0</v>
          </cell>
        </row>
        <row r="108">
          <cell r="BY108">
            <v>0</v>
          </cell>
          <cell r="CC108">
            <v>0</v>
          </cell>
          <cell r="CE108">
            <v>0</v>
          </cell>
          <cell r="CG108">
            <v>0</v>
          </cell>
          <cell r="CI108">
            <v>0</v>
          </cell>
          <cell r="CK108">
            <v>0</v>
          </cell>
        </row>
        <row r="109">
          <cell r="BY109">
            <v>0</v>
          </cell>
          <cell r="CC109">
            <v>0</v>
          </cell>
          <cell r="CE109">
            <v>0</v>
          </cell>
          <cell r="CG109">
            <v>0</v>
          </cell>
          <cell r="CI109">
            <v>0</v>
          </cell>
          <cell r="CK109">
            <v>0</v>
          </cell>
        </row>
        <row r="110">
          <cell r="BY110">
            <v>0</v>
          </cell>
          <cell r="CC110">
            <v>0</v>
          </cell>
          <cell r="CE110">
            <v>0</v>
          </cell>
          <cell r="CG110">
            <v>0</v>
          </cell>
          <cell r="CI110">
            <v>0</v>
          </cell>
          <cell r="CK110">
            <v>0</v>
          </cell>
        </row>
        <row r="111">
          <cell r="BY111">
            <v>0</v>
          </cell>
          <cell r="CC111">
            <v>0</v>
          </cell>
          <cell r="CE111">
            <v>0</v>
          </cell>
          <cell r="CG111">
            <v>0</v>
          </cell>
          <cell r="CI111">
            <v>0</v>
          </cell>
          <cell r="CK111">
            <v>0</v>
          </cell>
        </row>
        <row r="112">
          <cell r="BY112">
            <v>0</v>
          </cell>
          <cell r="CC112">
            <v>0</v>
          </cell>
          <cell r="CE112">
            <v>0</v>
          </cell>
          <cell r="CG112">
            <v>0</v>
          </cell>
          <cell r="CI112">
            <v>0</v>
          </cell>
          <cell r="CK112">
            <v>0</v>
          </cell>
        </row>
        <row r="113">
          <cell r="BY113">
            <v>0</v>
          </cell>
          <cell r="CC113">
            <v>0</v>
          </cell>
          <cell r="CE113">
            <v>0</v>
          </cell>
          <cell r="CG113">
            <v>0</v>
          </cell>
          <cell r="CI113">
            <v>0</v>
          </cell>
          <cell r="CK113">
            <v>0</v>
          </cell>
        </row>
        <row r="114">
          <cell r="BY114">
            <v>0</v>
          </cell>
          <cell r="CC114">
            <v>0</v>
          </cell>
          <cell r="CE114">
            <v>0</v>
          </cell>
          <cell r="CG114">
            <v>0</v>
          </cell>
          <cell r="CI114">
            <v>0</v>
          </cell>
          <cell r="CK114">
            <v>0</v>
          </cell>
        </row>
        <row r="115">
          <cell r="BY115">
            <v>0</v>
          </cell>
          <cell r="CC115">
            <v>0</v>
          </cell>
          <cell r="CE115">
            <v>0</v>
          </cell>
          <cell r="CG115">
            <v>0</v>
          </cell>
          <cell r="CI115">
            <v>0</v>
          </cell>
          <cell r="CK115">
            <v>0</v>
          </cell>
        </row>
        <row r="116">
          <cell r="BY116">
            <v>0</v>
          </cell>
          <cell r="CC116">
            <v>0</v>
          </cell>
          <cell r="CE116">
            <v>0</v>
          </cell>
          <cell r="CG116">
            <v>0</v>
          </cell>
          <cell r="CI116">
            <v>0</v>
          </cell>
          <cell r="CK116">
            <v>0</v>
          </cell>
        </row>
        <row r="117">
          <cell r="BY117">
            <v>0</v>
          </cell>
          <cell r="CC117">
            <v>0</v>
          </cell>
          <cell r="CE117">
            <v>0</v>
          </cell>
          <cell r="CG117">
            <v>0</v>
          </cell>
          <cell r="CI117">
            <v>0</v>
          </cell>
          <cell r="CK117">
            <v>0</v>
          </cell>
        </row>
        <row r="118">
          <cell r="BY118">
            <v>0</v>
          </cell>
          <cell r="CC118">
            <v>0</v>
          </cell>
          <cell r="CE118">
            <v>0</v>
          </cell>
          <cell r="CG118">
            <v>0</v>
          </cell>
          <cell r="CI118">
            <v>0</v>
          </cell>
          <cell r="CK118">
            <v>0</v>
          </cell>
        </row>
        <row r="119">
          <cell r="BY119">
            <v>0</v>
          </cell>
          <cell r="CC119">
            <v>0</v>
          </cell>
          <cell r="CE119">
            <v>0</v>
          </cell>
          <cell r="CG119">
            <v>0</v>
          </cell>
          <cell r="CI119">
            <v>0</v>
          </cell>
          <cell r="CK119">
            <v>0</v>
          </cell>
        </row>
        <row r="120">
          <cell r="BY120">
            <v>0</v>
          </cell>
          <cell r="CC120">
            <v>0</v>
          </cell>
          <cell r="CE120">
            <v>0</v>
          </cell>
          <cell r="CG120">
            <v>0</v>
          </cell>
          <cell r="CI120">
            <v>0</v>
          </cell>
          <cell r="CK120">
            <v>0</v>
          </cell>
        </row>
        <row r="121">
          <cell r="BY121">
            <v>0</v>
          </cell>
          <cell r="CC121">
            <v>0</v>
          </cell>
          <cell r="CE121">
            <v>0</v>
          </cell>
          <cell r="CG121">
            <v>0</v>
          </cell>
          <cell r="CI121">
            <v>0</v>
          </cell>
          <cell r="CK121">
            <v>0</v>
          </cell>
        </row>
        <row r="122">
          <cell r="BY122">
            <v>0</v>
          </cell>
          <cell r="CC122">
            <v>0</v>
          </cell>
          <cell r="CE122">
            <v>0</v>
          </cell>
          <cell r="CG122">
            <v>0</v>
          </cell>
          <cell r="CI122">
            <v>0</v>
          </cell>
          <cell r="CK122">
            <v>0</v>
          </cell>
        </row>
        <row r="123">
          <cell r="BY123">
            <v>0</v>
          </cell>
          <cell r="CC123">
            <v>0</v>
          </cell>
          <cell r="CE123">
            <v>0</v>
          </cell>
          <cell r="CG123">
            <v>0</v>
          </cell>
          <cell r="CI123">
            <v>0</v>
          </cell>
          <cell r="CK123">
            <v>0</v>
          </cell>
        </row>
        <row r="124">
          <cell r="BY124">
            <v>0</v>
          </cell>
          <cell r="CC124">
            <v>0</v>
          </cell>
          <cell r="CE124">
            <v>0</v>
          </cell>
          <cell r="CG124">
            <v>0</v>
          </cell>
          <cell r="CI124">
            <v>0</v>
          </cell>
          <cell r="CK124">
            <v>0</v>
          </cell>
        </row>
        <row r="125">
          <cell r="BY125">
            <v>0</v>
          </cell>
          <cell r="CC125">
            <v>0</v>
          </cell>
          <cell r="CE125">
            <v>0</v>
          </cell>
          <cell r="CG125">
            <v>0</v>
          </cell>
          <cell r="CI125">
            <v>0</v>
          </cell>
          <cell r="CK125">
            <v>0</v>
          </cell>
        </row>
        <row r="126">
          <cell r="BY126">
            <v>0</v>
          </cell>
          <cell r="CC126">
            <v>0</v>
          </cell>
          <cell r="CE126">
            <v>0</v>
          </cell>
          <cell r="CG126">
            <v>0</v>
          </cell>
          <cell r="CI126">
            <v>0</v>
          </cell>
          <cell r="CK126">
            <v>0</v>
          </cell>
        </row>
        <row r="127">
          <cell r="BY127">
            <v>0</v>
          </cell>
          <cell r="CC127">
            <v>0</v>
          </cell>
          <cell r="CE127">
            <v>0</v>
          </cell>
          <cell r="CG127">
            <v>0</v>
          </cell>
          <cell r="CI127">
            <v>0</v>
          </cell>
          <cell r="CK127">
            <v>0</v>
          </cell>
        </row>
        <row r="129">
          <cell r="BY129">
            <v>0</v>
          </cell>
          <cell r="CC129">
            <v>0</v>
          </cell>
          <cell r="CE129">
            <v>0</v>
          </cell>
          <cell r="CG129">
            <v>0</v>
          </cell>
          <cell r="CI129">
            <v>0</v>
          </cell>
          <cell r="CK129">
            <v>0</v>
          </cell>
        </row>
        <row r="130">
          <cell r="BY130">
            <v>0</v>
          </cell>
          <cell r="CC130">
            <v>0</v>
          </cell>
          <cell r="CE130">
            <v>0</v>
          </cell>
          <cell r="CG130">
            <v>0</v>
          </cell>
          <cell r="CI130">
            <v>0</v>
          </cell>
          <cell r="CK130">
            <v>0</v>
          </cell>
        </row>
        <row r="131">
          <cell r="BY131">
            <v>0</v>
          </cell>
          <cell r="CC131">
            <v>0</v>
          </cell>
          <cell r="CE131">
            <v>0</v>
          </cell>
          <cell r="CG131">
            <v>0</v>
          </cell>
          <cell r="CI131">
            <v>0</v>
          </cell>
          <cell r="CK131">
            <v>0</v>
          </cell>
        </row>
        <row r="132">
          <cell r="BY132">
            <v>0</v>
          </cell>
          <cell r="CC132">
            <v>0</v>
          </cell>
          <cell r="CE132">
            <v>0</v>
          </cell>
          <cell r="CG132">
            <v>0</v>
          </cell>
          <cell r="CI132">
            <v>0</v>
          </cell>
          <cell r="CK132">
            <v>0</v>
          </cell>
        </row>
        <row r="133">
          <cell r="BY133">
            <v>0</v>
          </cell>
          <cell r="CC133">
            <v>0</v>
          </cell>
          <cell r="CE133">
            <v>0</v>
          </cell>
          <cell r="CG133">
            <v>0</v>
          </cell>
          <cell r="CI133">
            <v>0</v>
          </cell>
          <cell r="CK133">
            <v>0</v>
          </cell>
        </row>
        <row r="134">
          <cell r="BY134">
            <v>0</v>
          </cell>
          <cell r="CC134">
            <v>0</v>
          </cell>
          <cell r="CE134">
            <v>0</v>
          </cell>
          <cell r="CG134">
            <v>0</v>
          </cell>
          <cell r="CI134">
            <v>0</v>
          </cell>
          <cell r="CK134">
            <v>0</v>
          </cell>
        </row>
        <row r="135">
          <cell r="BY135">
            <v>0</v>
          </cell>
          <cell r="CC135">
            <v>0</v>
          </cell>
          <cell r="CE135">
            <v>0</v>
          </cell>
          <cell r="CG135">
            <v>0</v>
          </cell>
          <cell r="CI135">
            <v>0</v>
          </cell>
          <cell r="CK135">
            <v>0</v>
          </cell>
        </row>
        <row r="136">
          <cell r="BY136">
            <v>0</v>
          </cell>
          <cell r="CC136">
            <v>0</v>
          </cell>
          <cell r="CE136">
            <v>0</v>
          </cell>
          <cell r="CG136">
            <v>0</v>
          </cell>
          <cell r="CI136">
            <v>0</v>
          </cell>
          <cell r="CK136">
            <v>0</v>
          </cell>
        </row>
        <row r="137">
          <cell r="BY137">
            <v>0</v>
          </cell>
          <cell r="CC137">
            <v>0</v>
          </cell>
          <cell r="CE137">
            <v>0</v>
          </cell>
          <cell r="CG137">
            <v>0</v>
          </cell>
          <cell r="CI137">
            <v>0</v>
          </cell>
          <cell r="CK137">
            <v>0</v>
          </cell>
        </row>
        <row r="138">
          <cell r="BY138">
            <v>0</v>
          </cell>
          <cell r="CC138">
            <v>0</v>
          </cell>
          <cell r="CE138">
            <v>0</v>
          </cell>
          <cell r="CG138">
            <v>0</v>
          </cell>
          <cell r="CI138">
            <v>0</v>
          </cell>
          <cell r="CK138">
            <v>0</v>
          </cell>
        </row>
        <row r="139">
          <cell r="BY139">
            <v>0</v>
          </cell>
          <cell r="CC139">
            <v>0</v>
          </cell>
          <cell r="CE139">
            <v>0</v>
          </cell>
          <cell r="CG139">
            <v>0</v>
          </cell>
          <cell r="CI139">
            <v>0</v>
          </cell>
          <cell r="CK139">
            <v>0</v>
          </cell>
        </row>
        <row r="140">
          <cell r="BY140">
            <v>0</v>
          </cell>
          <cell r="CC140">
            <v>0</v>
          </cell>
          <cell r="CE140">
            <v>0</v>
          </cell>
          <cell r="CG140">
            <v>0</v>
          </cell>
          <cell r="CI140">
            <v>0</v>
          </cell>
          <cell r="CK140">
            <v>0</v>
          </cell>
        </row>
        <row r="141">
          <cell r="BY141">
            <v>0</v>
          </cell>
          <cell r="CC141">
            <v>0</v>
          </cell>
          <cell r="CE141">
            <v>0</v>
          </cell>
          <cell r="CG141">
            <v>0</v>
          </cell>
          <cell r="CI141">
            <v>0</v>
          </cell>
          <cell r="CK141">
            <v>0</v>
          </cell>
        </row>
        <row r="142">
          <cell r="BY142">
            <v>0</v>
          </cell>
          <cell r="CC142">
            <v>0</v>
          </cell>
          <cell r="CE142">
            <v>0</v>
          </cell>
          <cell r="CG142">
            <v>0</v>
          </cell>
          <cell r="CI142">
            <v>0</v>
          </cell>
          <cell r="CK142">
            <v>0</v>
          </cell>
        </row>
        <row r="143">
          <cell r="BY143">
            <v>0</v>
          </cell>
          <cell r="CC143">
            <v>0</v>
          </cell>
          <cell r="CE143">
            <v>0</v>
          </cell>
          <cell r="CG143">
            <v>0</v>
          </cell>
          <cell r="CI143">
            <v>0</v>
          </cell>
          <cell r="CK143">
            <v>0</v>
          </cell>
        </row>
        <row r="144">
          <cell r="BY144">
            <v>0</v>
          </cell>
          <cell r="CC144">
            <v>0</v>
          </cell>
          <cell r="CE144">
            <v>0</v>
          </cell>
          <cell r="CG144">
            <v>0</v>
          </cell>
          <cell r="CI144">
            <v>0</v>
          </cell>
          <cell r="CK144">
            <v>0</v>
          </cell>
        </row>
        <row r="145">
          <cell r="BY145">
            <v>0</v>
          </cell>
          <cell r="CC145">
            <v>0</v>
          </cell>
          <cell r="CE145">
            <v>0</v>
          </cell>
          <cell r="CG145">
            <v>0</v>
          </cell>
          <cell r="CI145">
            <v>0</v>
          </cell>
          <cell r="CK145">
            <v>0</v>
          </cell>
        </row>
        <row r="146">
          <cell r="BY146">
            <v>0</v>
          </cell>
          <cell r="CC146">
            <v>0</v>
          </cell>
          <cell r="CE146">
            <v>0</v>
          </cell>
          <cell r="CG146">
            <v>0</v>
          </cell>
          <cell r="CI146">
            <v>0</v>
          </cell>
          <cell r="CK146">
            <v>0</v>
          </cell>
        </row>
        <row r="147">
          <cell r="BY147">
            <v>0</v>
          </cell>
          <cell r="CC147">
            <v>0</v>
          </cell>
          <cell r="CE147">
            <v>0</v>
          </cell>
          <cell r="CG147">
            <v>0</v>
          </cell>
          <cell r="CI147">
            <v>0</v>
          </cell>
          <cell r="CK147">
            <v>0</v>
          </cell>
        </row>
        <row r="148">
          <cell r="BY148">
            <v>0</v>
          </cell>
          <cell r="CC148">
            <v>0</v>
          </cell>
          <cell r="CE148">
            <v>0</v>
          </cell>
          <cell r="CG148">
            <v>0</v>
          </cell>
          <cell r="CI148">
            <v>0</v>
          </cell>
          <cell r="CK148">
            <v>0</v>
          </cell>
        </row>
        <row r="149">
          <cell r="BY149">
            <v>0</v>
          </cell>
          <cell r="CC149">
            <v>0</v>
          </cell>
          <cell r="CE149">
            <v>0</v>
          </cell>
          <cell r="CG149">
            <v>0</v>
          </cell>
          <cell r="CI149">
            <v>0</v>
          </cell>
          <cell r="CK149">
            <v>0</v>
          </cell>
        </row>
        <row r="150">
          <cell r="BY150">
            <v>0</v>
          </cell>
          <cell r="CC150">
            <v>0</v>
          </cell>
          <cell r="CE150">
            <v>0</v>
          </cell>
          <cell r="CG150">
            <v>0</v>
          </cell>
          <cell r="CI150">
            <v>0</v>
          </cell>
          <cell r="CK150">
            <v>0</v>
          </cell>
        </row>
        <row r="151">
          <cell r="BY151">
            <v>0</v>
          </cell>
          <cell r="CC151">
            <v>0</v>
          </cell>
          <cell r="CE151">
            <v>0</v>
          </cell>
          <cell r="CG151">
            <v>0</v>
          </cell>
          <cell r="CI151">
            <v>0</v>
          </cell>
          <cell r="CK151">
            <v>0</v>
          </cell>
        </row>
        <row r="152">
          <cell r="BY152">
            <v>0</v>
          </cell>
          <cell r="CC152">
            <v>0</v>
          </cell>
          <cell r="CE152">
            <v>0</v>
          </cell>
          <cell r="CG152">
            <v>0</v>
          </cell>
          <cell r="CI152">
            <v>0</v>
          </cell>
          <cell r="CK152">
            <v>0</v>
          </cell>
        </row>
        <row r="153">
          <cell r="BY153">
            <v>0</v>
          </cell>
          <cell r="CC153">
            <v>0</v>
          </cell>
          <cell r="CE153">
            <v>0</v>
          </cell>
          <cell r="CG153">
            <v>0</v>
          </cell>
          <cell r="CI153">
            <v>0</v>
          </cell>
          <cell r="CK153">
            <v>0</v>
          </cell>
        </row>
        <row r="154">
          <cell r="BY154">
            <v>0</v>
          </cell>
          <cell r="CC154">
            <v>0</v>
          </cell>
          <cell r="CE154">
            <v>0</v>
          </cell>
          <cell r="CG154">
            <v>0</v>
          </cell>
          <cell r="CI154">
            <v>0</v>
          </cell>
          <cell r="CK154">
            <v>0</v>
          </cell>
        </row>
        <row r="155">
          <cell r="BY155">
            <v>0</v>
          </cell>
          <cell r="CC155">
            <v>0</v>
          </cell>
          <cell r="CE155">
            <v>0</v>
          </cell>
          <cell r="CG155">
            <v>0</v>
          </cell>
          <cell r="CI155">
            <v>0</v>
          </cell>
          <cell r="CK155">
            <v>0</v>
          </cell>
        </row>
        <row r="156">
          <cell r="BY156">
            <v>0</v>
          </cell>
          <cell r="CC156">
            <v>0</v>
          </cell>
          <cell r="CE156">
            <v>0</v>
          </cell>
          <cell r="CG156">
            <v>0</v>
          </cell>
          <cell r="CI156">
            <v>0</v>
          </cell>
          <cell r="CK156">
            <v>0</v>
          </cell>
        </row>
        <row r="157">
          <cell r="BY157">
            <v>0</v>
          </cell>
          <cell r="CC157">
            <v>0</v>
          </cell>
          <cell r="CE157">
            <v>0</v>
          </cell>
          <cell r="CG157">
            <v>0</v>
          </cell>
          <cell r="CI157">
            <v>0</v>
          </cell>
          <cell r="CK157">
            <v>0</v>
          </cell>
        </row>
        <row r="158">
          <cell r="BY158">
            <v>0</v>
          </cell>
          <cell r="CC158">
            <v>0</v>
          </cell>
          <cell r="CE158">
            <v>0</v>
          </cell>
          <cell r="CG158">
            <v>0</v>
          </cell>
          <cell r="CI158">
            <v>0</v>
          </cell>
          <cell r="CK158">
            <v>0</v>
          </cell>
        </row>
        <row r="159">
          <cell r="BY159">
            <v>0</v>
          </cell>
          <cell r="CC159">
            <v>0</v>
          </cell>
          <cell r="CE159">
            <v>0</v>
          </cell>
          <cell r="CG159">
            <v>0</v>
          </cell>
          <cell r="CI159">
            <v>0</v>
          </cell>
          <cell r="CK159">
            <v>0</v>
          </cell>
        </row>
        <row r="160">
          <cell r="BY160">
            <v>0</v>
          </cell>
          <cell r="CC160">
            <v>0</v>
          </cell>
          <cell r="CE160">
            <v>0</v>
          </cell>
          <cell r="CG160">
            <v>0</v>
          </cell>
          <cell r="CI160">
            <v>0</v>
          </cell>
          <cell r="CK160">
            <v>0</v>
          </cell>
        </row>
        <row r="161">
          <cell r="BY161">
            <v>0</v>
          </cell>
          <cell r="CC161">
            <v>0</v>
          </cell>
          <cell r="CE161">
            <v>0</v>
          </cell>
          <cell r="CG161">
            <v>0</v>
          </cell>
          <cell r="CI161">
            <v>0</v>
          </cell>
          <cell r="CK161">
            <v>0</v>
          </cell>
        </row>
        <row r="162">
          <cell r="BY162">
            <v>0</v>
          </cell>
          <cell r="CC162">
            <v>0</v>
          </cell>
          <cell r="CE162">
            <v>0</v>
          </cell>
          <cell r="CG162">
            <v>0</v>
          </cell>
          <cell r="CI162">
            <v>0</v>
          </cell>
          <cell r="CK162">
            <v>0</v>
          </cell>
        </row>
        <row r="163">
          <cell r="BY163">
            <v>0</v>
          </cell>
          <cell r="CC163">
            <v>0</v>
          </cell>
          <cell r="CE163">
            <v>0</v>
          </cell>
          <cell r="CG163">
            <v>0</v>
          </cell>
          <cell r="CI163">
            <v>0</v>
          </cell>
          <cell r="CK163">
            <v>0</v>
          </cell>
        </row>
        <row r="164">
          <cell r="BY164">
            <v>0</v>
          </cell>
          <cell r="CC164">
            <v>0</v>
          </cell>
          <cell r="CE164">
            <v>0</v>
          </cell>
          <cell r="CG164">
            <v>0</v>
          </cell>
          <cell r="CI164">
            <v>0</v>
          </cell>
          <cell r="CK164">
            <v>0</v>
          </cell>
        </row>
        <row r="165">
          <cell r="BY165">
            <v>0</v>
          </cell>
          <cell r="CC165">
            <v>0</v>
          </cell>
          <cell r="CE165">
            <v>0</v>
          </cell>
          <cell r="CG165">
            <v>0</v>
          </cell>
          <cell r="CI165">
            <v>0</v>
          </cell>
          <cell r="CK165">
            <v>0</v>
          </cell>
        </row>
        <row r="166">
          <cell r="BY166">
            <v>0</v>
          </cell>
          <cell r="CC166">
            <v>0</v>
          </cell>
          <cell r="CE166">
            <v>0</v>
          </cell>
          <cell r="CG166">
            <v>0</v>
          </cell>
          <cell r="CI166">
            <v>0</v>
          </cell>
          <cell r="CK166">
            <v>0</v>
          </cell>
        </row>
        <row r="167">
          <cell r="BY167">
            <v>0</v>
          </cell>
          <cell r="CC167">
            <v>0</v>
          </cell>
          <cell r="CE167">
            <v>0</v>
          </cell>
          <cell r="CG167">
            <v>0</v>
          </cell>
          <cell r="CI167">
            <v>0</v>
          </cell>
          <cell r="CK167">
            <v>0</v>
          </cell>
        </row>
        <row r="168">
          <cell r="BY168">
            <v>0</v>
          </cell>
          <cell r="CC168">
            <v>0</v>
          </cell>
          <cell r="CE168">
            <v>0</v>
          </cell>
          <cell r="CG168">
            <v>0</v>
          </cell>
          <cell r="CI168">
            <v>0</v>
          </cell>
          <cell r="CK168">
            <v>0</v>
          </cell>
        </row>
        <row r="169">
          <cell r="BY169">
            <v>0</v>
          </cell>
          <cell r="CC169">
            <v>0</v>
          </cell>
          <cell r="CE169">
            <v>0</v>
          </cell>
          <cell r="CG169">
            <v>0</v>
          </cell>
          <cell r="CI169">
            <v>0</v>
          </cell>
          <cell r="CK169">
            <v>0</v>
          </cell>
        </row>
        <row r="170">
          <cell r="BY170">
            <v>0</v>
          </cell>
          <cell r="CC170">
            <v>0</v>
          </cell>
          <cell r="CE170">
            <v>0</v>
          </cell>
          <cell r="CG170">
            <v>0</v>
          </cell>
          <cell r="CI170">
            <v>0</v>
          </cell>
          <cell r="CK170">
            <v>0</v>
          </cell>
        </row>
        <row r="171">
          <cell r="BY171">
            <v>0</v>
          </cell>
          <cell r="CC171">
            <v>0</v>
          </cell>
          <cell r="CE171">
            <v>0</v>
          </cell>
          <cell r="CG171">
            <v>0</v>
          </cell>
          <cell r="CI171">
            <v>0</v>
          </cell>
          <cell r="CK171">
            <v>0</v>
          </cell>
        </row>
        <row r="172">
          <cell r="BY172">
            <v>0</v>
          </cell>
          <cell r="CC172">
            <v>0</v>
          </cell>
          <cell r="CE172">
            <v>0</v>
          </cell>
          <cell r="CG172">
            <v>0</v>
          </cell>
          <cell r="CI172">
            <v>0</v>
          </cell>
          <cell r="CK172">
            <v>0</v>
          </cell>
        </row>
        <row r="173">
          <cell r="BY173">
            <v>0</v>
          </cell>
          <cell r="CC173">
            <v>0</v>
          </cell>
          <cell r="CE173">
            <v>0</v>
          </cell>
          <cell r="CG173">
            <v>0</v>
          </cell>
          <cell r="CI173">
            <v>0</v>
          </cell>
          <cell r="CK173">
            <v>0</v>
          </cell>
        </row>
        <row r="174">
          <cell r="BY174">
            <v>0</v>
          </cell>
          <cell r="CC174">
            <v>0</v>
          </cell>
          <cell r="CE174">
            <v>0</v>
          </cell>
          <cell r="CG174">
            <v>0</v>
          </cell>
          <cell r="CI174">
            <v>0</v>
          </cell>
          <cell r="CK174">
            <v>0</v>
          </cell>
        </row>
        <row r="175">
          <cell r="BY175">
            <v>0</v>
          </cell>
          <cell r="CC175">
            <v>0</v>
          </cell>
          <cell r="CE175">
            <v>0</v>
          </cell>
          <cell r="CG175">
            <v>0</v>
          </cell>
          <cell r="CI175">
            <v>0</v>
          </cell>
          <cell r="CK175">
            <v>0</v>
          </cell>
        </row>
        <row r="176">
          <cell r="BY176">
            <v>0</v>
          </cell>
          <cell r="CC176">
            <v>0</v>
          </cell>
          <cell r="CE176">
            <v>0</v>
          </cell>
          <cell r="CG176">
            <v>0</v>
          </cell>
          <cell r="CI176">
            <v>0</v>
          </cell>
          <cell r="CK176">
            <v>0</v>
          </cell>
        </row>
        <row r="177">
          <cell r="BY177">
            <v>0</v>
          </cell>
          <cell r="CC177">
            <v>0</v>
          </cell>
          <cell r="CE177">
            <v>0</v>
          </cell>
          <cell r="CG177">
            <v>0</v>
          </cell>
          <cell r="CI177">
            <v>0</v>
          </cell>
          <cell r="CK177">
            <v>0</v>
          </cell>
        </row>
      </sheetData>
      <sheetData sheetId="53" refreshError="1">
        <row r="92">
          <cell r="BY92">
            <v>0</v>
          </cell>
          <cell r="CE92">
            <v>0</v>
          </cell>
          <cell r="CG92">
            <v>0</v>
          </cell>
          <cell r="CI92">
            <v>0</v>
          </cell>
          <cell r="CK92">
            <v>0</v>
          </cell>
        </row>
        <row r="93">
          <cell r="BY93">
            <v>0</v>
          </cell>
          <cell r="CE93">
            <v>0</v>
          </cell>
          <cell r="CG93">
            <v>0</v>
          </cell>
          <cell r="CI93">
            <v>0</v>
          </cell>
          <cell r="CK93">
            <v>0</v>
          </cell>
        </row>
        <row r="94">
          <cell r="BY94">
            <v>0</v>
          </cell>
          <cell r="CE94">
            <v>0</v>
          </cell>
          <cell r="CG94">
            <v>0</v>
          </cell>
          <cell r="CI94">
            <v>0</v>
          </cell>
          <cell r="CK94">
            <v>0</v>
          </cell>
        </row>
        <row r="95">
          <cell r="BY95">
            <v>0</v>
          </cell>
          <cell r="CE95">
            <v>0</v>
          </cell>
          <cell r="CG95">
            <v>0</v>
          </cell>
          <cell r="CI95">
            <v>0</v>
          </cell>
          <cell r="CK95">
            <v>0</v>
          </cell>
        </row>
        <row r="96">
          <cell r="BY96">
            <v>0</v>
          </cell>
          <cell r="CE96">
            <v>0</v>
          </cell>
          <cell r="CG96">
            <v>0</v>
          </cell>
          <cell r="CI96">
            <v>0</v>
          </cell>
          <cell r="CK96">
            <v>0</v>
          </cell>
        </row>
        <row r="97">
          <cell r="BY97">
            <v>0</v>
          </cell>
          <cell r="CE97">
            <v>0</v>
          </cell>
          <cell r="CG97">
            <v>0</v>
          </cell>
          <cell r="CI97">
            <v>0</v>
          </cell>
          <cell r="CK97">
            <v>0</v>
          </cell>
        </row>
        <row r="98">
          <cell r="BY98">
            <v>0</v>
          </cell>
          <cell r="CE98">
            <v>0</v>
          </cell>
          <cell r="CG98">
            <v>0</v>
          </cell>
          <cell r="CI98">
            <v>0</v>
          </cell>
          <cell r="CK98">
            <v>0</v>
          </cell>
        </row>
        <row r="99">
          <cell r="BY99">
            <v>0</v>
          </cell>
          <cell r="CE99">
            <v>0</v>
          </cell>
          <cell r="CG99">
            <v>0</v>
          </cell>
          <cell r="CI99">
            <v>0</v>
          </cell>
          <cell r="CK99">
            <v>0</v>
          </cell>
        </row>
        <row r="100">
          <cell r="BY100">
            <v>0</v>
          </cell>
          <cell r="CE100">
            <v>0</v>
          </cell>
          <cell r="CG100">
            <v>0</v>
          </cell>
          <cell r="CI100">
            <v>0</v>
          </cell>
          <cell r="CK100">
            <v>0</v>
          </cell>
        </row>
        <row r="101">
          <cell r="BY101">
            <v>0</v>
          </cell>
          <cell r="CE101">
            <v>0</v>
          </cell>
          <cell r="CG101">
            <v>0</v>
          </cell>
          <cell r="CI101">
            <v>0</v>
          </cell>
          <cell r="CK101">
            <v>0</v>
          </cell>
        </row>
        <row r="102">
          <cell r="BY102">
            <v>0</v>
          </cell>
          <cell r="CE102">
            <v>0</v>
          </cell>
          <cell r="CG102">
            <v>0</v>
          </cell>
          <cell r="CI102">
            <v>0</v>
          </cell>
          <cell r="CK102">
            <v>0</v>
          </cell>
        </row>
        <row r="103">
          <cell r="BY103">
            <v>0</v>
          </cell>
          <cell r="CE103">
            <v>0</v>
          </cell>
          <cell r="CG103">
            <v>0</v>
          </cell>
          <cell r="CI103">
            <v>0</v>
          </cell>
          <cell r="CK103">
            <v>0</v>
          </cell>
        </row>
        <row r="104">
          <cell r="BY104">
            <v>0</v>
          </cell>
          <cell r="CE104">
            <v>0</v>
          </cell>
          <cell r="CG104">
            <v>0</v>
          </cell>
          <cell r="CI104">
            <v>0</v>
          </cell>
          <cell r="CK104">
            <v>0</v>
          </cell>
        </row>
        <row r="105">
          <cell r="BY105">
            <v>0</v>
          </cell>
          <cell r="CE105">
            <v>0</v>
          </cell>
          <cell r="CG105">
            <v>0</v>
          </cell>
          <cell r="CI105">
            <v>0</v>
          </cell>
          <cell r="CK105">
            <v>0</v>
          </cell>
        </row>
        <row r="106">
          <cell r="BY106">
            <v>0</v>
          </cell>
          <cell r="CE106">
            <v>0</v>
          </cell>
          <cell r="CG106">
            <v>0</v>
          </cell>
          <cell r="CI106">
            <v>0</v>
          </cell>
          <cell r="CK106">
            <v>0</v>
          </cell>
        </row>
        <row r="107">
          <cell r="BY107">
            <v>0</v>
          </cell>
          <cell r="CE107">
            <v>0</v>
          </cell>
          <cell r="CG107">
            <v>0</v>
          </cell>
          <cell r="CI107">
            <v>0</v>
          </cell>
          <cell r="CK107">
            <v>0</v>
          </cell>
        </row>
        <row r="108">
          <cell r="BY108">
            <v>0</v>
          </cell>
          <cell r="CE108">
            <v>0</v>
          </cell>
          <cell r="CG108">
            <v>0</v>
          </cell>
          <cell r="CI108">
            <v>0</v>
          </cell>
          <cell r="CK108">
            <v>0</v>
          </cell>
        </row>
        <row r="109">
          <cell r="BY109">
            <v>0</v>
          </cell>
          <cell r="CE109">
            <v>0</v>
          </cell>
          <cell r="CG109">
            <v>0</v>
          </cell>
          <cell r="CI109">
            <v>0</v>
          </cell>
          <cell r="CK109">
            <v>0</v>
          </cell>
        </row>
        <row r="110">
          <cell r="BY110">
            <v>0</v>
          </cell>
          <cell r="CE110">
            <v>0</v>
          </cell>
          <cell r="CG110">
            <v>0</v>
          </cell>
          <cell r="CI110">
            <v>0</v>
          </cell>
          <cell r="CK110">
            <v>0</v>
          </cell>
        </row>
        <row r="111">
          <cell r="BY111">
            <v>0</v>
          </cell>
          <cell r="CE111">
            <v>0</v>
          </cell>
          <cell r="CG111">
            <v>0</v>
          </cell>
          <cell r="CI111">
            <v>0</v>
          </cell>
          <cell r="CK111">
            <v>0</v>
          </cell>
        </row>
        <row r="112">
          <cell r="BY112">
            <v>0</v>
          </cell>
          <cell r="CE112">
            <v>0</v>
          </cell>
          <cell r="CG112">
            <v>0</v>
          </cell>
          <cell r="CI112">
            <v>0</v>
          </cell>
          <cell r="CK112">
            <v>0</v>
          </cell>
        </row>
        <row r="113">
          <cell r="BY113">
            <v>0</v>
          </cell>
          <cell r="CE113">
            <v>0</v>
          </cell>
          <cell r="CG113">
            <v>0</v>
          </cell>
          <cell r="CI113">
            <v>0</v>
          </cell>
          <cell r="CK113">
            <v>0</v>
          </cell>
        </row>
        <row r="114">
          <cell r="BY114">
            <v>0</v>
          </cell>
          <cell r="CE114">
            <v>0</v>
          </cell>
          <cell r="CG114">
            <v>0</v>
          </cell>
          <cell r="CI114">
            <v>0</v>
          </cell>
          <cell r="CK114">
            <v>0</v>
          </cell>
        </row>
        <row r="115">
          <cell r="BY115">
            <v>0</v>
          </cell>
          <cell r="CE115">
            <v>0</v>
          </cell>
          <cell r="CG115">
            <v>0</v>
          </cell>
          <cell r="CI115">
            <v>0</v>
          </cell>
          <cell r="CK115">
            <v>0</v>
          </cell>
        </row>
        <row r="116">
          <cell r="BY116">
            <v>0</v>
          </cell>
          <cell r="CE116">
            <v>0</v>
          </cell>
          <cell r="CG116">
            <v>0</v>
          </cell>
          <cell r="CI116">
            <v>0</v>
          </cell>
          <cell r="CK116">
            <v>0</v>
          </cell>
        </row>
        <row r="117">
          <cell r="BY117">
            <v>0</v>
          </cell>
          <cell r="CE117">
            <v>0</v>
          </cell>
          <cell r="CG117">
            <v>0</v>
          </cell>
          <cell r="CI117">
            <v>0</v>
          </cell>
          <cell r="CK117">
            <v>0</v>
          </cell>
        </row>
        <row r="118">
          <cell r="BY118">
            <v>0</v>
          </cell>
          <cell r="CE118">
            <v>0</v>
          </cell>
          <cell r="CG118">
            <v>0</v>
          </cell>
          <cell r="CI118">
            <v>0</v>
          </cell>
          <cell r="CK118">
            <v>0</v>
          </cell>
        </row>
        <row r="119">
          <cell r="BY119">
            <v>0</v>
          </cell>
          <cell r="CE119">
            <v>0</v>
          </cell>
          <cell r="CG119">
            <v>0</v>
          </cell>
          <cell r="CI119">
            <v>0</v>
          </cell>
          <cell r="CK119">
            <v>0</v>
          </cell>
        </row>
        <row r="120">
          <cell r="BY120">
            <v>0</v>
          </cell>
          <cell r="CE120">
            <v>0</v>
          </cell>
          <cell r="CG120">
            <v>0</v>
          </cell>
          <cell r="CI120">
            <v>0</v>
          </cell>
          <cell r="CK120">
            <v>0</v>
          </cell>
        </row>
        <row r="121">
          <cell r="BY121">
            <v>0</v>
          </cell>
          <cell r="CE121">
            <v>0</v>
          </cell>
          <cell r="CG121">
            <v>0</v>
          </cell>
          <cell r="CI121">
            <v>0</v>
          </cell>
          <cell r="CK121">
            <v>0</v>
          </cell>
        </row>
        <row r="122">
          <cell r="BY122">
            <v>0</v>
          </cell>
          <cell r="CE122">
            <v>0</v>
          </cell>
          <cell r="CG122">
            <v>0</v>
          </cell>
          <cell r="CI122">
            <v>0</v>
          </cell>
          <cell r="CK122">
            <v>0</v>
          </cell>
        </row>
        <row r="123">
          <cell r="BY123">
            <v>0</v>
          </cell>
          <cell r="CE123">
            <v>0</v>
          </cell>
          <cell r="CG123">
            <v>0</v>
          </cell>
          <cell r="CI123">
            <v>0</v>
          </cell>
          <cell r="CK123">
            <v>0</v>
          </cell>
        </row>
        <row r="124">
          <cell r="BY124">
            <v>0</v>
          </cell>
          <cell r="CE124">
            <v>0</v>
          </cell>
          <cell r="CG124">
            <v>0</v>
          </cell>
          <cell r="CI124">
            <v>0</v>
          </cell>
          <cell r="CK124">
            <v>0</v>
          </cell>
        </row>
        <row r="125">
          <cell r="BY125">
            <v>0</v>
          </cell>
          <cell r="CE125">
            <v>0</v>
          </cell>
          <cell r="CG125">
            <v>0</v>
          </cell>
          <cell r="CI125">
            <v>0</v>
          </cell>
          <cell r="CK125">
            <v>0</v>
          </cell>
        </row>
        <row r="126">
          <cell r="BY126">
            <v>0</v>
          </cell>
          <cell r="CE126">
            <v>0</v>
          </cell>
          <cell r="CG126">
            <v>0</v>
          </cell>
          <cell r="CI126">
            <v>0</v>
          </cell>
          <cell r="CK126">
            <v>0</v>
          </cell>
        </row>
        <row r="127">
          <cell r="BY127">
            <v>0</v>
          </cell>
          <cell r="CE127">
            <v>0</v>
          </cell>
          <cell r="CG127">
            <v>0</v>
          </cell>
          <cell r="CI127">
            <v>0</v>
          </cell>
          <cell r="CK127">
            <v>0</v>
          </cell>
        </row>
        <row r="128">
          <cell r="BY128">
            <v>0</v>
          </cell>
          <cell r="CE128">
            <v>0</v>
          </cell>
          <cell r="CG128">
            <v>0</v>
          </cell>
          <cell r="CI128">
            <v>0</v>
          </cell>
          <cell r="CK128">
            <v>0</v>
          </cell>
        </row>
        <row r="129">
          <cell r="BY129">
            <v>0</v>
          </cell>
          <cell r="CE129">
            <v>0</v>
          </cell>
          <cell r="CG129">
            <v>0</v>
          </cell>
          <cell r="CI129">
            <v>0</v>
          </cell>
          <cell r="CK129">
            <v>0</v>
          </cell>
        </row>
        <row r="130">
          <cell r="BY130">
            <v>0</v>
          </cell>
          <cell r="CE130">
            <v>0</v>
          </cell>
          <cell r="CG130">
            <v>0</v>
          </cell>
          <cell r="CI130">
            <v>0</v>
          </cell>
          <cell r="CK130">
            <v>0</v>
          </cell>
        </row>
        <row r="131">
          <cell r="BY131">
            <v>0</v>
          </cell>
          <cell r="CE131">
            <v>0</v>
          </cell>
          <cell r="CG131">
            <v>0</v>
          </cell>
          <cell r="CI131">
            <v>0</v>
          </cell>
          <cell r="CK131">
            <v>0</v>
          </cell>
        </row>
        <row r="132">
          <cell r="BY132">
            <v>0</v>
          </cell>
          <cell r="CE132">
            <v>0</v>
          </cell>
          <cell r="CG132">
            <v>0</v>
          </cell>
          <cell r="CI132">
            <v>0</v>
          </cell>
          <cell r="CK132">
            <v>0</v>
          </cell>
        </row>
        <row r="133">
          <cell r="BY133">
            <v>0</v>
          </cell>
          <cell r="CE133">
            <v>0</v>
          </cell>
          <cell r="CG133">
            <v>0</v>
          </cell>
          <cell r="CI133">
            <v>0</v>
          </cell>
          <cell r="CK133">
            <v>0</v>
          </cell>
        </row>
        <row r="134">
          <cell r="BY134">
            <v>0</v>
          </cell>
          <cell r="CE134">
            <v>0</v>
          </cell>
          <cell r="CG134">
            <v>0</v>
          </cell>
          <cell r="CI134">
            <v>0</v>
          </cell>
          <cell r="CK134">
            <v>0</v>
          </cell>
        </row>
        <row r="135">
          <cell r="BY135">
            <v>0</v>
          </cell>
          <cell r="CE135">
            <v>0</v>
          </cell>
          <cell r="CG135">
            <v>0</v>
          </cell>
          <cell r="CI135">
            <v>0</v>
          </cell>
          <cell r="CK135">
            <v>0</v>
          </cell>
        </row>
        <row r="136">
          <cell r="BY136">
            <v>0</v>
          </cell>
          <cell r="CE136">
            <v>0</v>
          </cell>
          <cell r="CG136">
            <v>0</v>
          </cell>
          <cell r="CI136">
            <v>0</v>
          </cell>
          <cell r="CK136">
            <v>0</v>
          </cell>
        </row>
        <row r="137">
          <cell r="BY137">
            <v>0</v>
          </cell>
          <cell r="CE137">
            <v>0</v>
          </cell>
          <cell r="CG137">
            <v>0</v>
          </cell>
          <cell r="CI137">
            <v>0</v>
          </cell>
          <cell r="CK137">
            <v>0</v>
          </cell>
        </row>
        <row r="138">
          <cell r="BY138">
            <v>0</v>
          </cell>
          <cell r="CE138">
            <v>0</v>
          </cell>
          <cell r="CG138">
            <v>0</v>
          </cell>
          <cell r="CI138">
            <v>0</v>
          </cell>
          <cell r="CK138">
            <v>0</v>
          </cell>
        </row>
        <row r="139">
          <cell r="BY139">
            <v>0</v>
          </cell>
          <cell r="CE139">
            <v>0</v>
          </cell>
          <cell r="CG139">
            <v>0</v>
          </cell>
          <cell r="CI139">
            <v>0</v>
          </cell>
          <cell r="CK139">
            <v>0</v>
          </cell>
        </row>
        <row r="140">
          <cell r="BY140">
            <v>0</v>
          </cell>
          <cell r="CE140">
            <v>0</v>
          </cell>
          <cell r="CG140">
            <v>0</v>
          </cell>
          <cell r="CI140">
            <v>0</v>
          </cell>
          <cell r="CK140">
            <v>0</v>
          </cell>
        </row>
        <row r="141">
          <cell r="BY141">
            <v>0</v>
          </cell>
          <cell r="CE141">
            <v>0</v>
          </cell>
          <cell r="CG141">
            <v>0</v>
          </cell>
          <cell r="CI141">
            <v>0</v>
          </cell>
          <cell r="CK141">
            <v>0</v>
          </cell>
        </row>
        <row r="142">
          <cell r="BY142">
            <v>0</v>
          </cell>
          <cell r="CE142">
            <v>0</v>
          </cell>
          <cell r="CG142">
            <v>0</v>
          </cell>
          <cell r="CI142">
            <v>0</v>
          </cell>
          <cell r="CK142">
            <v>0</v>
          </cell>
        </row>
        <row r="143">
          <cell r="BY143">
            <v>0</v>
          </cell>
          <cell r="CE143">
            <v>0</v>
          </cell>
          <cell r="CG143">
            <v>0</v>
          </cell>
          <cell r="CI143">
            <v>0</v>
          </cell>
          <cell r="CK143">
            <v>0</v>
          </cell>
        </row>
        <row r="144">
          <cell r="BY144">
            <v>0</v>
          </cell>
          <cell r="CE144">
            <v>0</v>
          </cell>
          <cell r="CG144">
            <v>0</v>
          </cell>
          <cell r="CI144">
            <v>0</v>
          </cell>
          <cell r="CK144">
            <v>0</v>
          </cell>
        </row>
        <row r="145">
          <cell r="BY145">
            <v>0</v>
          </cell>
          <cell r="CE145">
            <v>0</v>
          </cell>
          <cell r="CG145">
            <v>0</v>
          </cell>
          <cell r="CI145">
            <v>0</v>
          </cell>
          <cell r="CK145">
            <v>0</v>
          </cell>
        </row>
        <row r="146">
          <cell r="BY146">
            <v>0</v>
          </cell>
          <cell r="CE146">
            <v>0</v>
          </cell>
          <cell r="CG146">
            <v>0</v>
          </cell>
          <cell r="CI146">
            <v>0</v>
          </cell>
          <cell r="CK146">
            <v>0</v>
          </cell>
        </row>
        <row r="147">
          <cell r="BY147">
            <v>0</v>
          </cell>
          <cell r="CE147">
            <v>0</v>
          </cell>
          <cell r="CG147">
            <v>0</v>
          </cell>
          <cell r="CI147">
            <v>0</v>
          </cell>
          <cell r="CK147">
            <v>0</v>
          </cell>
        </row>
        <row r="148">
          <cell r="BY148">
            <v>0</v>
          </cell>
          <cell r="CE148">
            <v>0</v>
          </cell>
          <cell r="CG148">
            <v>0</v>
          </cell>
          <cell r="CI148">
            <v>0</v>
          </cell>
          <cell r="CK148">
            <v>0</v>
          </cell>
        </row>
        <row r="149">
          <cell r="BY149">
            <v>0</v>
          </cell>
          <cell r="CE149">
            <v>0</v>
          </cell>
          <cell r="CG149">
            <v>0</v>
          </cell>
          <cell r="CI149">
            <v>0</v>
          </cell>
          <cell r="CK149">
            <v>0</v>
          </cell>
        </row>
        <row r="150">
          <cell r="BY150">
            <v>0</v>
          </cell>
          <cell r="CE150">
            <v>0</v>
          </cell>
          <cell r="CG150">
            <v>0</v>
          </cell>
          <cell r="CI150">
            <v>0</v>
          </cell>
          <cell r="CK150">
            <v>0</v>
          </cell>
        </row>
        <row r="151">
          <cell r="BY151">
            <v>0</v>
          </cell>
          <cell r="CE151">
            <v>0</v>
          </cell>
          <cell r="CG151">
            <v>0</v>
          </cell>
          <cell r="CI151">
            <v>0</v>
          </cell>
          <cell r="CK151">
            <v>0</v>
          </cell>
        </row>
        <row r="152">
          <cell r="BY152">
            <v>0</v>
          </cell>
          <cell r="CE152">
            <v>0</v>
          </cell>
          <cell r="CG152">
            <v>0</v>
          </cell>
          <cell r="CI152">
            <v>0</v>
          </cell>
          <cell r="CK152">
            <v>0</v>
          </cell>
        </row>
        <row r="153">
          <cell r="BY153">
            <v>0</v>
          </cell>
          <cell r="CE153">
            <v>0</v>
          </cell>
          <cell r="CG153">
            <v>0</v>
          </cell>
          <cell r="CI153">
            <v>0</v>
          </cell>
          <cell r="CK153">
            <v>0</v>
          </cell>
        </row>
        <row r="154">
          <cell r="BY154">
            <v>0</v>
          </cell>
          <cell r="CE154">
            <v>0</v>
          </cell>
          <cell r="CG154">
            <v>0</v>
          </cell>
          <cell r="CI154">
            <v>0</v>
          </cell>
          <cell r="CK154">
            <v>0</v>
          </cell>
        </row>
        <row r="155">
          <cell r="BY155">
            <v>0</v>
          </cell>
          <cell r="CE155">
            <v>0</v>
          </cell>
          <cell r="CG155">
            <v>0</v>
          </cell>
          <cell r="CI155">
            <v>0</v>
          </cell>
          <cell r="CK155">
            <v>0</v>
          </cell>
        </row>
        <row r="156">
          <cell r="BY156">
            <v>0</v>
          </cell>
          <cell r="CE156">
            <v>0</v>
          </cell>
          <cell r="CG156">
            <v>0</v>
          </cell>
          <cell r="CI156">
            <v>0</v>
          </cell>
          <cell r="CK156">
            <v>0</v>
          </cell>
        </row>
        <row r="157">
          <cell r="BY157">
            <v>0</v>
          </cell>
          <cell r="CE157">
            <v>0</v>
          </cell>
          <cell r="CG157">
            <v>0</v>
          </cell>
          <cell r="CI157">
            <v>0</v>
          </cell>
          <cell r="CK157">
            <v>0</v>
          </cell>
        </row>
        <row r="158">
          <cell r="BY158">
            <v>0</v>
          </cell>
          <cell r="CE158">
            <v>0</v>
          </cell>
          <cell r="CG158">
            <v>0</v>
          </cell>
          <cell r="CI158">
            <v>0</v>
          </cell>
          <cell r="CK158">
            <v>0</v>
          </cell>
        </row>
        <row r="159">
          <cell r="BY159">
            <v>0</v>
          </cell>
          <cell r="CE159">
            <v>0</v>
          </cell>
          <cell r="CG159">
            <v>0</v>
          </cell>
          <cell r="CI159">
            <v>0</v>
          </cell>
          <cell r="CK159">
            <v>0</v>
          </cell>
        </row>
        <row r="160">
          <cell r="BY160">
            <v>0</v>
          </cell>
          <cell r="CE160">
            <v>76660.526522094151</v>
          </cell>
          <cell r="CG160">
            <v>79726.947582977911</v>
          </cell>
          <cell r="CI160">
            <v>82916.025486297032</v>
          </cell>
          <cell r="CK160">
            <v>86232.666505748915</v>
          </cell>
        </row>
        <row r="161">
          <cell r="BY161">
            <v>0</v>
          </cell>
          <cell r="CE161">
            <v>58879.052628336518</v>
          </cell>
          <cell r="CG161">
            <v>61234.214733469984</v>
          </cell>
          <cell r="CI161">
            <v>63683.583322808787</v>
          </cell>
          <cell r="CK161">
            <v>66230.926655721138</v>
          </cell>
        </row>
        <row r="162">
          <cell r="BY162">
            <v>0</v>
          </cell>
          <cell r="CE162">
            <v>81721.980663358481</v>
          </cell>
          <cell r="CG162">
            <v>84990.859889892818</v>
          </cell>
          <cell r="CI162">
            <v>88390.494285488559</v>
          </cell>
          <cell r="CK162">
            <v>91926.114056908089</v>
          </cell>
        </row>
        <row r="163">
          <cell r="BY163">
            <v>0</v>
          </cell>
          <cell r="CE163">
            <v>60.04</v>
          </cell>
          <cell r="CG163">
            <v>60.04</v>
          </cell>
          <cell r="CI163">
            <v>60.04</v>
          </cell>
          <cell r="CK163">
            <v>60.04</v>
          </cell>
        </row>
        <row r="164">
          <cell r="BY164">
            <v>0</v>
          </cell>
          <cell r="CE164">
            <v>17781.473893757626</v>
          </cell>
          <cell r="CG164">
            <v>18492.732849507931</v>
          </cell>
          <cell r="CI164">
            <v>19232.442163488249</v>
          </cell>
          <cell r="CK164">
            <v>20001.739850027781</v>
          </cell>
        </row>
        <row r="165">
          <cell r="BY165">
            <v>0</v>
          </cell>
          <cell r="CE165">
            <v>11687.818239255223</v>
          </cell>
          <cell r="CG165">
            <v>12155.33096882543</v>
          </cell>
          <cell r="CI165">
            <v>12641.544207578449</v>
          </cell>
          <cell r="CK165">
            <v>13147.205975881587</v>
          </cell>
        </row>
        <row r="166">
          <cell r="BY166">
            <v>0</v>
          </cell>
          <cell r="CE166">
            <v>1388.6719066394189</v>
          </cell>
          <cell r="CG166">
            <v>1444.2187829049958</v>
          </cell>
          <cell r="CI166">
            <v>1501.9875342211958</v>
          </cell>
          <cell r="CK166">
            <v>1562.0670355900436</v>
          </cell>
        </row>
        <row r="167">
          <cell r="BY167">
            <v>0</v>
          </cell>
          <cell r="CE167">
            <v>0</v>
          </cell>
          <cell r="CG167">
            <v>0</v>
          </cell>
          <cell r="CI167">
            <v>0</v>
          </cell>
          <cell r="CK167">
            <v>0</v>
          </cell>
        </row>
        <row r="168">
          <cell r="BY168">
            <v>0</v>
          </cell>
          <cell r="CE168">
            <v>2507.6860536636268</v>
          </cell>
          <cell r="CG168">
            <v>2607.9934958101721</v>
          </cell>
          <cell r="CI168">
            <v>2712.313235642579</v>
          </cell>
          <cell r="CK168">
            <v>2820.8057650682822</v>
          </cell>
        </row>
        <row r="169">
          <cell r="BY169">
            <v>0</v>
          </cell>
          <cell r="CE169">
            <v>1563.1163870636262</v>
          </cell>
          <cell r="CG169">
            <v>1625.6410425461713</v>
          </cell>
          <cell r="CI169">
            <v>1690.6666842480183</v>
          </cell>
          <cell r="CK169">
            <v>1758.2933516179392</v>
          </cell>
        </row>
        <row r="170">
          <cell r="BY170">
            <v>0</v>
          </cell>
          <cell r="CE170">
            <v>1925.5244344037428</v>
          </cell>
          <cell r="CG170">
            <v>2002.5454117798927</v>
          </cell>
          <cell r="CI170">
            <v>2082.6472282510886</v>
          </cell>
          <cell r="CK170">
            <v>2165.953117381132</v>
          </cell>
        </row>
        <row r="171">
          <cell r="BY171">
            <v>0</v>
          </cell>
          <cell r="CE171">
            <v>3254.7623666700465</v>
          </cell>
          <cell r="CG171">
            <v>3384.9528613368484</v>
          </cell>
          <cell r="CI171">
            <v>3520.3509757903225</v>
          </cell>
          <cell r="CK171">
            <v>3661.1650148219355</v>
          </cell>
        </row>
        <row r="172">
          <cell r="BY172">
            <v>0</v>
          </cell>
          <cell r="CE172">
            <v>1048.0570908147599</v>
          </cell>
          <cell r="CG172">
            <v>1089.9793744473504</v>
          </cell>
          <cell r="CI172">
            <v>1133.5785494252445</v>
          </cell>
          <cell r="CK172">
            <v>1178.9216914022543</v>
          </cell>
        </row>
        <row r="173">
          <cell r="BY173">
            <v>0</v>
          </cell>
          <cell r="CE173">
            <v>0</v>
          </cell>
          <cell r="CG173">
            <v>0</v>
          </cell>
          <cell r="CI173">
            <v>0</v>
          </cell>
          <cell r="CK173">
            <v>0</v>
          </cell>
        </row>
        <row r="174">
          <cell r="BY174">
            <v>0</v>
          </cell>
          <cell r="CE174">
            <v>0</v>
          </cell>
          <cell r="CG174">
            <v>0</v>
          </cell>
          <cell r="CI174">
            <v>0</v>
          </cell>
          <cell r="CK174">
            <v>0</v>
          </cell>
        </row>
        <row r="175">
          <cell r="BY175">
            <v>0</v>
          </cell>
          <cell r="CE175">
            <v>0</v>
          </cell>
          <cell r="CG175">
            <v>0</v>
          </cell>
          <cell r="CI175">
            <v>0</v>
          </cell>
          <cell r="CK175">
            <v>0</v>
          </cell>
        </row>
        <row r="176">
          <cell r="BY176">
            <v>0</v>
          </cell>
          <cell r="CE176">
            <v>0</v>
          </cell>
          <cell r="CG176">
            <v>0</v>
          </cell>
          <cell r="CI176">
            <v>0</v>
          </cell>
          <cell r="CK176">
            <v>0</v>
          </cell>
        </row>
        <row r="177">
          <cell r="BY177">
            <v>0</v>
          </cell>
          <cell r="CE177">
            <v>0</v>
          </cell>
          <cell r="CG177">
            <v>0</v>
          </cell>
          <cell r="CI177">
            <v>0</v>
          </cell>
          <cell r="CK177">
            <v>0</v>
          </cell>
        </row>
        <row r="178">
          <cell r="BY178">
            <v>0</v>
          </cell>
          <cell r="CE178">
            <v>486.30273776034107</v>
          </cell>
          <cell r="CG178">
            <v>505.75484727075474</v>
          </cell>
          <cell r="CI178">
            <v>525.98504116158495</v>
          </cell>
          <cell r="CK178">
            <v>547.02444280804832</v>
          </cell>
        </row>
        <row r="179">
          <cell r="BY179">
            <v>0</v>
          </cell>
          <cell r="CE179">
            <v>0</v>
          </cell>
          <cell r="CG179">
            <v>0</v>
          </cell>
          <cell r="CI179">
            <v>0</v>
          </cell>
          <cell r="CK179">
            <v>0</v>
          </cell>
        </row>
        <row r="180">
          <cell r="BY180">
            <v>0</v>
          </cell>
          <cell r="CE180">
            <v>0</v>
          </cell>
          <cell r="CG180">
            <v>0</v>
          </cell>
          <cell r="CI180">
            <v>0</v>
          </cell>
          <cell r="CK180">
            <v>0</v>
          </cell>
        </row>
        <row r="181">
          <cell r="BY181">
            <v>0</v>
          </cell>
          <cell r="CE181">
            <v>4911.0264306902091</v>
          </cell>
          <cell r="CG181">
            <v>5107.4674879178174</v>
          </cell>
          <cell r="CI181">
            <v>5311.7661874345304</v>
          </cell>
          <cell r="CK181">
            <v>5524.2368349319122</v>
          </cell>
        </row>
        <row r="182">
          <cell r="BY182">
            <v>0</v>
          </cell>
          <cell r="CE182">
            <v>709.18560871741442</v>
          </cell>
          <cell r="CG182">
            <v>737.55303306611108</v>
          </cell>
          <cell r="CI182">
            <v>767.05515438875557</v>
          </cell>
          <cell r="CK182">
            <v>797.73736056430585</v>
          </cell>
        </row>
        <row r="183">
          <cell r="BY183">
            <v>0</v>
          </cell>
          <cell r="CE183">
            <v>0</v>
          </cell>
          <cell r="CG183">
            <v>0</v>
          </cell>
          <cell r="CI183">
            <v>0</v>
          </cell>
          <cell r="CK183">
            <v>0</v>
          </cell>
        </row>
        <row r="184">
          <cell r="BY184">
            <v>0</v>
          </cell>
          <cell r="CE184">
            <v>137.41377691192642</v>
          </cell>
          <cell r="CG184">
            <v>142.91032798840348</v>
          </cell>
          <cell r="CI184">
            <v>148.62674110793964</v>
          </cell>
          <cell r="CK184">
            <v>154.57181075225722</v>
          </cell>
        </row>
        <row r="185">
          <cell r="BY185">
            <v>0</v>
          </cell>
          <cell r="CE185">
            <v>0</v>
          </cell>
          <cell r="CG185">
            <v>0</v>
          </cell>
          <cell r="CI185">
            <v>0</v>
          </cell>
          <cell r="CK185">
            <v>0</v>
          </cell>
        </row>
        <row r="186">
          <cell r="BY186">
            <v>0</v>
          </cell>
          <cell r="CE186">
            <v>0</v>
          </cell>
          <cell r="CG186">
            <v>0</v>
          </cell>
          <cell r="CI186">
            <v>0</v>
          </cell>
          <cell r="CK186">
            <v>0</v>
          </cell>
        </row>
        <row r="187">
          <cell r="BY187">
            <v>0</v>
          </cell>
          <cell r="CE187">
            <v>0</v>
          </cell>
          <cell r="CG187">
            <v>0</v>
          </cell>
          <cell r="CI187">
            <v>0</v>
          </cell>
          <cell r="CK187">
            <v>0</v>
          </cell>
        </row>
        <row r="188">
          <cell r="BY188">
            <v>0</v>
          </cell>
          <cell r="CE188">
            <v>0</v>
          </cell>
          <cell r="CG188">
            <v>0</v>
          </cell>
          <cell r="CI188">
            <v>0</v>
          </cell>
          <cell r="CK188">
            <v>0</v>
          </cell>
        </row>
        <row r="189">
          <cell r="BY189">
            <v>0</v>
          </cell>
          <cell r="CE189">
            <v>0</v>
          </cell>
          <cell r="CG189">
            <v>0</v>
          </cell>
          <cell r="CI189">
            <v>0</v>
          </cell>
          <cell r="CK189">
            <v>0</v>
          </cell>
        </row>
        <row r="190">
          <cell r="BY190">
            <v>0</v>
          </cell>
          <cell r="CE190">
            <v>0</v>
          </cell>
          <cell r="CG190">
            <v>0</v>
          </cell>
          <cell r="CI190">
            <v>0</v>
          </cell>
          <cell r="CK190">
            <v>0</v>
          </cell>
        </row>
        <row r="191">
          <cell r="BY191">
            <v>0</v>
          </cell>
          <cell r="CE191">
            <v>0</v>
          </cell>
          <cell r="CG191">
            <v>0</v>
          </cell>
          <cell r="CI191">
            <v>0</v>
          </cell>
          <cell r="CK191">
            <v>0</v>
          </cell>
        </row>
        <row r="192">
          <cell r="BY192">
            <v>0</v>
          </cell>
          <cell r="CE192">
            <v>0</v>
          </cell>
          <cell r="CG192">
            <v>0</v>
          </cell>
          <cell r="CI192">
            <v>0</v>
          </cell>
          <cell r="CK192">
            <v>0</v>
          </cell>
        </row>
        <row r="193">
          <cell r="BY193">
            <v>0</v>
          </cell>
          <cell r="CE193">
            <v>4064.4270450608683</v>
          </cell>
          <cell r="CG193">
            <v>4227.0041268633031</v>
          </cell>
          <cell r="CI193">
            <v>4396.0842919378356</v>
          </cell>
          <cell r="CK193">
            <v>4571.927663615349</v>
          </cell>
        </row>
        <row r="194">
          <cell r="BY194">
            <v>0</v>
          </cell>
          <cell r="CE194">
            <v>4064.4270450608683</v>
          </cell>
          <cell r="CG194">
            <v>4227.0041268633031</v>
          </cell>
          <cell r="CI194">
            <v>4396.0842919378356</v>
          </cell>
          <cell r="CK194">
            <v>4571.927663615349</v>
          </cell>
        </row>
        <row r="195">
          <cell r="BY195">
            <v>0</v>
          </cell>
          <cell r="CE195">
            <v>0</v>
          </cell>
          <cell r="CG195">
            <v>0</v>
          </cell>
          <cell r="CI195">
            <v>0</v>
          </cell>
          <cell r="CK195">
            <v>0</v>
          </cell>
        </row>
        <row r="196">
          <cell r="BY196">
            <v>0</v>
          </cell>
          <cell r="CE196">
            <v>0</v>
          </cell>
          <cell r="CG196">
            <v>0</v>
          </cell>
          <cell r="CI196">
            <v>0</v>
          </cell>
          <cell r="CK196">
            <v>0</v>
          </cell>
        </row>
        <row r="197">
          <cell r="BY197">
            <v>0</v>
          </cell>
          <cell r="CE197">
            <v>0</v>
          </cell>
          <cell r="CG197">
            <v>0</v>
          </cell>
          <cell r="CI197">
            <v>0</v>
          </cell>
          <cell r="CK197">
            <v>0</v>
          </cell>
        </row>
        <row r="198">
          <cell r="BY198">
            <v>0</v>
          </cell>
          <cell r="CE198">
            <v>93745.67392979993</v>
          </cell>
          <cell r="CG198">
            <v>97495.500886991911</v>
          </cell>
          <cell r="CI198">
            <v>101395.32092247161</v>
          </cell>
          <cell r="CK198">
            <v>105451.13375937045</v>
          </cell>
        </row>
        <row r="199">
          <cell r="BY199">
            <v>0</v>
          </cell>
          <cell r="CE199">
            <v>93745.67392979993</v>
          </cell>
          <cell r="CG199">
            <v>97495.500886991911</v>
          </cell>
          <cell r="CI199">
            <v>101395.32092247161</v>
          </cell>
          <cell r="CK199">
            <v>105451.13375937045</v>
          </cell>
        </row>
        <row r="200">
          <cell r="BY200">
            <v>0</v>
          </cell>
          <cell r="CE200">
            <v>0</v>
          </cell>
          <cell r="CG200">
            <v>0</v>
          </cell>
          <cell r="CI200">
            <v>0</v>
          </cell>
          <cell r="CK200">
            <v>0</v>
          </cell>
        </row>
        <row r="201">
          <cell r="BY201">
            <v>0</v>
          </cell>
          <cell r="CE201">
            <v>0</v>
          </cell>
          <cell r="CG201">
            <v>0</v>
          </cell>
          <cell r="CI201">
            <v>0</v>
          </cell>
          <cell r="CK201">
            <v>0</v>
          </cell>
        </row>
        <row r="202">
          <cell r="BY202">
            <v>0</v>
          </cell>
          <cell r="CE202">
            <v>0</v>
          </cell>
          <cell r="CG202">
            <v>0</v>
          </cell>
          <cell r="CI202">
            <v>0</v>
          </cell>
          <cell r="CK202">
            <v>0</v>
          </cell>
        </row>
        <row r="203">
          <cell r="BY203">
            <v>0</v>
          </cell>
          <cell r="CE203">
            <v>1.0400000000000003</v>
          </cell>
          <cell r="CG203">
            <v>1.0399999999999998</v>
          </cell>
          <cell r="CI203">
            <v>1.0400000000000003</v>
          </cell>
          <cell r="CK203">
            <v>1.0399999999999998</v>
          </cell>
        </row>
      </sheetData>
      <sheetData sheetId="54" refreshError="1"/>
      <sheetData sheetId="55" refreshError="1"/>
      <sheetData sheetId="56" refreshError="1"/>
      <sheetData sheetId="57" refreshError="1"/>
      <sheetData sheetId="58" refreshError="1">
        <row r="182">
          <cell r="BA182">
            <v>0</v>
          </cell>
        </row>
        <row r="212">
          <cell r="BA212">
            <v>0</v>
          </cell>
        </row>
      </sheetData>
      <sheetData sheetId="59" refreshError="1"/>
      <sheetData sheetId="60" refreshError="1">
        <row r="2">
          <cell r="K2" t="str">
            <v>D0528 Версия данных</v>
          </cell>
          <cell r="L2" t="str">
            <v>D0041 Год</v>
          </cell>
          <cell r="M2" t="str">
            <v>D0004 План / факт</v>
          </cell>
          <cell r="N2" t="str">
            <v>D0462 Период</v>
          </cell>
          <cell r="P2" t="str">
            <v>D0528 Версия данных</v>
          </cell>
          <cell r="Q2" t="str">
            <v>D0041 Год</v>
          </cell>
          <cell r="R2" t="str">
            <v>D0004 План / факт</v>
          </cell>
          <cell r="S2" t="str">
            <v>D0462 Период</v>
          </cell>
        </row>
        <row r="3">
          <cell r="A3" t="str">
            <v>Версия организации2021фактгод</v>
          </cell>
          <cell r="H3">
            <v>1</v>
          </cell>
          <cell r="I3">
            <v>1</v>
          </cell>
          <cell r="K3" t="str">
            <v>Версия организации</v>
          </cell>
          <cell r="L3">
            <v>2021</v>
          </cell>
          <cell r="M3" t="str">
            <v>Факт</v>
          </cell>
          <cell r="N3" t="str">
            <v>Год</v>
          </cell>
          <cell r="P3" t="str">
            <v>Версия организации</v>
          </cell>
          <cell r="Q3">
            <v>2021</v>
          </cell>
          <cell r="R3" t="str">
            <v>Факт</v>
          </cell>
          <cell r="S3" t="str">
            <v>Год</v>
          </cell>
        </row>
        <row r="4">
          <cell r="A4" t="str">
            <v>Версия организации2021фактI полугодие</v>
          </cell>
          <cell r="H4">
            <v>1</v>
          </cell>
          <cell r="I4">
            <v>1</v>
          </cell>
          <cell r="K4" t="str">
            <v>Версия организации</v>
          </cell>
          <cell r="L4">
            <v>2021</v>
          </cell>
          <cell r="M4" t="str">
            <v>Факт</v>
          </cell>
          <cell r="N4" t="str">
            <v>I</v>
          </cell>
          <cell r="P4" t="str">
            <v>Версия организации</v>
          </cell>
          <cell r="Q4">
            <v>2021</v>
          </cell>
          <cell r="R4" t="str">
            <v>Факт</v>
          </cell>
          <cell r="S4" t="str">
            <v>I</v>
          </cell>
        </row>
        <row r="5">
          <cell r="A5" t="str">
            <v>Версия организации2021фактII полугодие</v>
          </cell>
          <cell r="H5">
            <v>1</v>
          </cell>
          <cell r="I5">
            <v>1</v>
          </cell>
          <cell r="K5" t="str">
            <v>Версия организации</v>
          </cell>
          <cell r="L5">
            <v>2021</v>
          </cell>
          <cell r="M5" t="str">
            <v>Факт</v>
          </cell>
          <cell r="N5" t="str">
            <v>II</v>
          </cell>
          <cell r="P5" t="str">
            <v>Версия организации</v>
          </cell>
          <cell r="Q5">
            <v>2021</v>
          </cell>
          <cell r="R5" t="str">
            <v>Факт</v>
          </cell>
          <cell r="S5" t="str">
            <v>II</v>
          </cell>
        </row>
        <row r="6">
          <cell r="A6" t="str">
            <v>Версия регулятора2021фактгод</v>
          </cell>
          <cell r="H6">
            <v>1</v>
          </cell>
          <cell r="I6">
            <v>0</v>
          </cell>
          <cell r="K6" t="str">
            <v>Версия регулятора</v>
          </cell>
          <cell r="L6">
            <v>2021</v>
          </cell>
          <cell r="M6" t="str">
            <v>Факт</v>
          </cell>
          <cell r="N6" t="str">
            <v>Год</v>
          </cell>
          <cell r="P6" t="str">
            <v>Не определено</v>
          </cell>
          <cell r="Q6" t="str">
            <v>Не определено</v>
          </cell>
          <cell r="R6" t="str">
            <v>Не определено</v>
          </cell>
          <cell r="S6" t="str">
            <v>Не определено</v>
          </cell>
        </row>
        <row r="7">
          <cell r="A7" t="str">
            <v>Версия регулятора2021фактI полугодие</v>
          </cell>
          <cell r="H7">
            <v>1</v>
          </cell>
          <cell r="I7">
            <v>0</v>
          </cell>
          <cell r="K7" t="str">
            <v>Версия регулятора</v>
          </cell>
          <cell r="L7">
            <v>2021</v>
          </cell>
          <cell r="M7" t="str">
            <v>Факт</v>
          </cell>
          <cell r="N7" t="str">
            <v>I</v>
          </cell>
          <cell r="P7" t="str">
            <v>Не определено</v>
          </cell>
          <cell r="Q7" t="str">
            <v>Не определено</v>
          </cell>
          <cell r="R7" t="str">
            <v>Не определено</v>
          </cell>
          <cell r="S7" t="str">
            <v>Не определено</v>
          </cell>
        </row>
        <row r="8">
          <cell r="A8" t="str">
            <v>Версия регулятора2021фактII полугодие</v>
          </cell>
          <cell r="H8">
            <v>1</v>
          </cell>
          <cell r="I8">
            <v>0</v>
          </cell>
          <cell r="K8" t="str">
            <v>Версия регулятора</v>
          </cell>
          <cell r="L8">
            <v>2021</v>
          </cell>
          <cell r="M8" t="str">
            <v>Факт</v>
          </cell>
          <cell r="N8" t="str">
            <v>II</v>
          </cell>
          <cell r="P8" t="str">
            <v>Не определено</v>
          </cell>
          <cell r="Q8" t="str">
            <v>Не определено</v>
          </cell>
          <cell r="R8" t="str">
            <v>Не определено</v>
          </cell>
          <cell r="S8" t="str">
            <v>Не определено</v>
          </cell>
        </row>
        <row r="9">
          <cell r="A9" t="str">
            <v>Версия организации2022план Органа регулированиягод</v>
          </cell>
          <cell r="H9">
            <v>1</v>
          </cell>
          <cell r="I9">
            <v>0</v>
          </cell>
          <cell r="K9" t="str">
            <v>Версия организации</v>
          </cell>
          <cell r="L9">
            <v>2022</v>
          </cell>
          <cell r="M9" t="str">
            <v>План</v>
          </cell>
          <cell r="N9" t="str">
            <v>Год</v>
          </cell>
          <cell r="P9" t="str">
            <v>Версия организации</v>
          </cell>
          <cell r="Q9">
            <v>2022</v>
          </cell>
          <cell r="R9" t="str">
            <v>План</v>
          </cell>
          <cell r="S9" t="str">
            <v>Год</v>
          </cell>
        </row>
        <row r="10">
          <cell r="A10" t="str">
            <v>Версия организации2022план Органа регулированияI полугодие</v>
          </cell>
          <cell r="H10">
            <v>1</v>
          </cell>
          <cell r="I10">
            <v>0</v>
          </cell>
          <cell r="K10" t="str">
            <v>Версия организации</v>
          </cell>
          <cell r="L10">
            <v>2022</v>
          </cell>
          <cell r="M10" t="str">
            <v>План</v>
          </cell>
          <cell r="N10" t="str">
            <v>I</v>
          </cell>
          <cell r="P10" t="str">
            <v>Версия организации</v>
          </cell>
          <cell r="Q10">
            <v>2022</v>
          </cell>
          <cell r="R10" t="str">
            <v>План</v>
          </cell>
          <cell r="S10" t="str">
            <v>I</v>
          </cell>
        </row>
        <row r="11">
          <cell r="A11" t="str">
            <v>Версия организации2022план Органа регулированияII полугодие</v>
          </cell>
          <cell r="H11">
            <v>1</v>
          </cell>
          <cell r="I11">
            <v>0</v>
          </cell>
          <cell r="K11" t="str">
            <v>Версия организации</v>
          </cell>
          <cell r="L11">
            <v>2022</v>
          </cell>
          <cell r="M11" t="str">
            <v>План</v>
          </cell>
          <cell r="N11" t="str">
            <v>II</v>
          </cell>
          <cell r="P11" t="str">
            <v>Версия организации</v>
          </cell>
          <cell r="Q11">
            <v>2022</v>
          </cell>
          <cell r="R11" t="str">
            <v>План</v>
          </cell>
          <cell r="S11" t="str">
            <v>II</v>
          </cell>
        </row>
        <row r="12">
          <cell r="A12" t="str">
            <v>Версия регулятора2022план Органа регулированиягод</v>
          </cell>
          <cell r="H12">
            <v>1</v>
          </cell>
          <cell r="I12">
            <v>0</v>
          </cell>
          <cell r="K12" t="str">
            <v>Версия регулятора</v>
          </cell>
          <cell r="L12">
            <v>2022</v>
          </cell>
          <cell r="M12" t="str">
            <v>План</v>
          </cell>
          <cell r="N12" t="str">
            <v>Год</v>
          </cell>
          <cell r="P12" t="str">
            <v>Не определено</v>
          </cell>
          <cell r="Q12" t="str">
            <v>Не определено</v>
          </cell>
          <cell r="R12" t="str">
            <v>Не определено</v>
          </cell>
          <cell r="S12" t="str">
            <v>Не определено</v>
          </cell>
        </row>
        <row r="13">
          <cell r="A13" t="str">
            <v>Версия регулятора2022план Органа регулированияI полугодие</v>
          </cell>
          <cell r="H13">
            <v>1</v>
          </cell>
          <cell r="I13">
            <v>0</v>
          </cell>
          <cell r="K13" t="str">
            <v>Версия регулятора</v>
          </cell>
          <cell r="L13">
            <v>2022</v>
          </cell>
          <cell r="M13" t="str">
            <v>План</v>
          </cell>
          <cell r="N13" t="str">
            <v>I</v>
          </cell>
          <cell r="P13" t="str">
            <v>Не определено</v>
          </cell>
          <cell r="Q13" t="str">
            <v>Не определено</v>
          </cell>
          <cell r="R13" t="str">
            <v>Не определено</v>
          </cell>
          <cell r="S13" t="str">
            <v>Не определено</v>
          </cell>
        </row>
        <row r="14">
          <cell r="A14" t="str">
            <v>Версия регулятора2022план Органа регулированияII полугодие</v>
          </cell>
          <cell r="H14">
            <v>1</v>
          </cell>
          <cell r="I14">
            <v>0</v>
          </cell>
          <cell r="K14" t="str">
            <v>Версия регулятора</v>
          </cell>
          <cell r="L14">
            <v>2022</v>
          </cell>
          <cell r="M14" t="str">
            <v>План</v>
          </cell>
          <cell r="N14" t="str">
            <v>II</v>
          </cell>
          <cell r="P14" t="str">
            <v>Не определено</v>
          </cell>
          <cell r="Q14" t="str">
            <v>Не определено</v>
          </cell>
          <cell r="R14" t="str">
            <v>Не определено</v>
          </cell>
          <cell r="S14" t="str">
            <v>Не определено</v>
          </cell>
        </row>
        <row r="15">
          <cell r="A15" t="str">
            <v>Версия организации2022фактгод</v>
          </cell>
          <cell r="H15">
            <v>1</v>
          </cell>
          <cell r="I15">
            <v>1</v>
          </cell>
          <cell r="K15" t="str">
            <v>Версия организации</v>
          </cell>
          <cell r="L15">
            <v>2022</v>
          </cell>
          <cell r="M15" t="str">
            <v>Факт</v>
          </cell>
          <cell r="N15" t="str">
            <v>Год</v>
          </cell>
          <cell r="P15" t="str">
            <v>Версия организации</v>
          </cell>
          <cell r="Q15">
            <v>2022</v>
          </cell>
          <cell r="R15" t="str">
            <v>Факт</v>
          </cell>
          <cell r="S15" t="str">
            <v>Год</v>
          </cell>
        </row>
        <row r="16">
          <cell r="A16" t="str">
            <v>Версия организации2022фактI полугодие</v>
          </cell>
          <cell r="H16">
            <v>1</v>
          </cell>
          <cell r="I16">
            <v>1</v>
          </cell>
          <cell r="K16" t="str">
            <v>Версия организации</v>
          </cell>
          <cell r="L16">
            <v>2022</v>
          </cell>
          <cell r="M16" t="str">
            <v>Факт</v>
          </cell>
          <cell r="N16" t="str">
            <v>I</v>
          </cell>
          <cell r="P16" t="str">
            <v>Версия организации</v>
          </cell>
          <cell r="Q16">
            <v>2022</v>
          </cell>
          <cell r="R16" t="str">
            <v>Факт</v>
          </cell>
          <cell r="S16" t="str">
            <v>I</v>
          </cell>
        </row>
        <row r="17">
          <cell r="A17" t="str">
            <v>Версия организации2022фактII полугодие</v>
          </cell>
          <cell r="H17">
            <v>1</v>
          </cell>
          <cell r="I17">
            <v>1</v>
          </cell>
          <cell r="K17" t="str">
            <v>Версия организации</v>
          </cell>
          <cell r="L17">
            <v>2022</v>
          </cell>
          <cell r="M17" t="str">
            <v>Факт</v>
          </cell>
          <cell r="N17" t="str">
            <v>II</v>
          </cell>
          <cell r="P17" t="str">
            <v>Версия организации</v>
          </cell>
          <cell r="Q17">
            <v>2022</v>
          </cell>
          <cell r="R17" t="str">
            <v>Факт</v>
          </cell>
          <cell r="S17" t="str">
            <v>II</v>
          </cell>
        </row>
        <row r="18">
          <cell r="A18" t="str">
            <v>Версия регулятора2022фактгод</v>
          </cell>
          <cell r="H18">
            <v>1</v>
          </cell>
          <cell r="I18">
            <v>0</v>
          </cell>
          <cell r="K18" t="str">
            <v>Версия регулятора</v>
          </cell>
          <cell r="L18">
            <v>2022</v>
          </cell>
          <cell r="M18" t="str">
            <v>Факт</v>
          </cell>
          <cell r="N18" t="str">
            <v>Год</v>
          </cell>
          <cell r="P18" t="str">
            <v>Не определено</v>
          </cell>
          <cell r="Q18" t="str">
            <v>Не определено</v>
          </cell>
          <cell r="R18" t="str">
            <v>Не определено</v>
          </cell>
          <cell r="S18" t="str">
            <v>Не определено</v>
          </cell>
        </row>
        <row r="19">
          <cell r="A19" t="str">
            <v>Версия регулятора2022фактI полугодие</v>
          </cell>
          <cell r="H19">
            <v>1</v>
          </cell>
          <cell r="I19">
            <v>0</v>
          </cell>
          <cell r="K19" t="str">
            <v>Версия регулятора</v>
          </cell>
          <cell r="L19">
            <v>2022</v>
          </cell>
          <cell r="M19" t="str">
            <v>Факт</v>
          </cell>
          <cell r="N19" t="str">
            <v>I</v>
          </cell>
          <cell r="P19" t="str">
            <v>Не определено</v>
          </cell>
          <cell r="Q19" t="str">
            <v>Не определено</v>
          </cell>
          <cell r="R19" t="str">
            <v>Не определено</v>
          </cell>
          <cell r="S19" t="str">
            <v>Не определено</v>
          </cell>
        </row>
        <row r="20">
          <cell r="A20" t="str">
            <v>Версия регулятора2022фактII полугодие</v>
          </cell>
          <cell r="H20">
            <v>1</v>
          </cell>
          <cell r="I20">
            <v>0</v>
          </cell>
          <cell r="K20" t="str">
            <v>Версия регулятора</v>
          </cell>
          <cell r="L20">
            <v>2022</v>
          </cell>
          <cell r="M20" t="str">
            <v>Факт</v>
          </cell>
          <cell r="N20" t="str">
            <v>II</v>
          </cell>
          <cell r="P20" t="str">
            <v>Не определено</v>
          </cell>
          <cell r="Q20" t="str">
            <v>Не определено</v>
          </cell>
          <cell r="R20" t="str">
            <v>Не определено</v>
          </cell>
          <cell r="S20" t="str">
            <v>Не определено</v>
          </cell>
        </row>
        <row r="21">
          <cell r="A21" t="str">
            <v>Версия организации2023план Органа регулированиягод</v>
          </cell>
          <cell r="H21">
            <v>1</v>
          </cell>
          <cell r="I21">
            <v>0</v>
          </cell>
          <cell r="K21" t="str">
            <v>Версия организации</v>
          </cell>
          <cell r="L21">
            <v>2023</v>
          </cell>
          <cell r="M21" t="str">
            <v>План</v>
          </cell>
          <cell r="N21" t="str">
            <v>Год</v>
          </cell>
          <cell r="P21" t="str">
            <v>Версия организации</v>
          </cell>
          <cell r="Q21">
            <v>2023</v>
          </cell>
          <cell r="R21" t="str">
            <v>План</v>
          </cell>
          <cell r="S21" t="str">
            <v>Год</v>
          </cell>
        </row>
        <row r="22">
          <cell r="A22" t="str">
            <v>Версия организации2023план Органа регулированияI полугодие</v>
          </cell>
          <cell r="H22">
            <v>1</v>
          </cell>
          <cell r="I22">
            <v>0</v>
          </cell>
          <cell r="K22" t="str">
            <v>Версия организации</v>
          </cell>
          <cell r="L22">
            <v>2023</v>
          </cell>
          <cell r="M22" t="str">
            <v>План</v>
          </cell>
          <cell r="N22" t="str">
            <v>I</v>
          </cell>
          <cell r="P22" t="str">
            <v>Версия организации</v>
          </cell>
          <cell r="Q22">
            <v>2023</v>
          </cell>
          <cell r="R22" t="str">
            <v>План</v>
          </cell>
          <cell r="S22" t="str">
            <v>I</v>
          </cell>
        </row>
        <row r="23">
          <cell r="A23" t="str">
            <v>Версия организации2023план Органа регулированияII полугодие</v>
          </cell>
          <cell r="H23">
            <v>1</v>
          </cell>
          <cell r="I23">
            <v>0</v>
          </cell>
          <cell r="K23" t="str">
            <v>Версия организации</v>
          </cell>
          <cell r="L23">
            <v>2023</v>
          </cell>
          <cell r="M23" t="str">
            <v>План</v>
          </cell>
          <cell r="N23" t="str">
            <v>II</v>
          </cell>
          <cell r="P23" t="str">
            <v>Версия организации</v>
          </cell>
          <cell r="Q23">
            <v>2023</v>
          </cell>
          <cell r="R23" t="str">
            <v>План</v>
          </cell>
          <cell r="S23" t="str">
            <v>II</v>
          </cell>
        </row>
        <row r="24">
          <cell r="A24" t="str">
            <v>Версия регулятора2023план Органа регулированиягод</v>
          </cell>
          <cell r="H24">
            <v>1</v>
          </cell>
          <cell r="I24">
            <v>0</v>
          </cell>
          <cell r="K24" t="str">
            <v>Версия регулятора</v>
          </cell>
          <cell r="L24">
            <v>2023</v>
          </cell>
          <cell r="M24" t="str">
            <v>План</v>
          </cell>
          <cell r="N24" t="str">
            <v>Год</v>
          </cell>
          <cell r="P24" t="str">
            <v>Не определено</v>
          </cell>
          <cell r="Q24" t="str">
            <v>Не определено</v>
          </cell>
          <cell r="R24" t="str">
            <v>Не определено</v>
          </cell>
          <cell r="S24" t="str">
            <v>Не определено</v>
          </cell>
        </row>
        <row r="25">
          <cell r="A25" t="str">
            <v>Версия регулятора2023план Органа регулированияI полугодие</v>
          </cell>
          <cell r="H25">
            <v>1</v>
          </cell>
          <cell r="I25">
            <v>0</v>
          </cell>
          <cell r="K25" t="str">
            <v>Версия регулятора</v>
          </cell>
          <cell r="L25">
            <v>2023</v>
          </cell>
          <cell r="M25" t="str">
            <v>План</v>
          </cell>
          <cell r="N25" t="str">
            <v>I</v>
          </cell>
          <cell r="P25" t="str">
            <v>Не определено</v>
          </cell>
          <cell r="Q25" t="str">
            <v>Не определено</v>
          </cell>
          <cell r="R25" t="str">
            <v>Не определено</v>
          </cell>
          <cell r="S25" t="str">
            <v>Не определено</v>
          </cell>
        </row>
        <row r="26">
          <cell r="A26" t="str">
            <v>Версия регулятора2023план Органа регулированияII полугодие</v>
          </cell>
          <cell r="H26">
            <v>1</v>
          </cell>
          <cell r="I26">
            <v>0</v>
          </cell>
          <cell r="K26" t="str">
            <v>Версия регулятора</v>
          </cell>
          <cell r="L26">
            <v>2023</v>
          </cell>
          <cell r="M26" t="str">
            <v>План</v>
          </cell>
          <cell r="N26" t="str">
            <v>II</v>
          </cell>
          <cell r="P26" t="str">
            <v>Не определено</v>
          </cell>
          <cell r="Q26" t="str">
            <v>Не определено</v>
          </cell>
          <cell r="R26" t="str">
            <v>Не определено</v>
          </cell>
          <cell r="S26" t="str">
            <v>Не определено</v>
          </cell>
        </row>
        <row r="27">
          <cell r="A27" t="str">
            <v>Версия организации2023фактгод</v>
          </cell>
          <cell r="H27">
            <v>1</v>
          </cell>
          <cell r="I27">
            <v>1</v>
          </cell>
          <cell r="K27" t="str">
            <v>Версия организации</v>
          </cell>
          <cell r="L27">
            <v>2023</v>
          </cell>
          <cell r="M27" t="str">
            <v>Факт</v>
          </cell>
          <cell r="N27" t="str">
            <v>Год</v>
          </cell>
          <cell r="P27" t="str">
            <v>Версия организации</v>
          </cell>
          <cell r="Q27">
            <v>2023</v>
          </cell>
          <cell r="R27" t="str">
            <v>Факт</v>
          </cell>
          <cell r="S27" t="str">
            <v>Год</v>
          </cell>
        </row>
        <row r="28">
          <cell r="A28" t="str">
            <v>Версия организации2023фактI полугодие</v>
          </cell>
          <cell r="H28">
            <v>1</v>
          </cell>
          <cell r="I28">
            <v>1</v>
          </cell>
          <cell r="K28" t="str">
            <v>Версия организации</v>
          </cell>
          <cell r="L28">
            <v>2023</v>
          </cell>
          <cell r="M28" t="str">
            <v>Факт</v>
          </cell>
          <cell r="N28" t="str">
            <v>I</v>
          </cell>
          <cell r="P28" t="str">
            <v>Версия организации</v>
          </cell>
          <cell r="Q28">
            <v>2023</v>
          </cell>
          <cell r="R28" t="str">
            <v>Факт</v>
          </cell>
          <cell r="S28" t="str">
            <v>I</v>
          </cell>
        </row>
        <row r="29">
          <cell r="A29" t="str">
            <v>Версия организации2023фактII полугодие</v>
          </cell>
          <cell r="H29">
            <v>1</v>
          </cell>
          <cell r="I29">
            <v>1</v>
          </cell>
          <cell r="K29" t="str">
            <v>Версия организации</v>
          </cell>
          <cell r="L29">
            <v>2023</v>
          </cell>
          <cell r="M29" t="str">
            <v>Факт</v>
          </cell>
          <cell r="N29" t="str">
            <v>II</v>
          </cell>
          <cell r="P29" t="str">
            <v>Версия организации</v>
          </cell>
          <cell r="Q29">
            <v>2023</v>
          </cell>
          <cell r="R29" t="str">
            <v>Факт</v>
          </cell>
          <cell r="S29" t="str">
            <v>II</v>
          </cell>
        </row>
        <row r="30">
          <cell r="A30" t="str">
            <v>Версия регулятора2023фактгод</v>
          </cell>
          <cell r="H30">
            <v>1</v>
          </cell>
          <cell r="I30">
            <v>0</v>
          </cell>
          <cell r="K30" t="str">
            <v>Версия регулятора</v>
          </cell>
          <cell r="L30">
            <v>2023</v>
          </cell>
          <cell r="M30" t="str">
            <v>Факт</v>
          </cell>
          <cell r="N30" t="str">
            <v>Год</v>
          </cell>
          <cell r="P30" t="str">
            <v>Не определено</v>
          </cell>
          <cell r="Q30" t="str">
            <v>Не определено</v>
          </cell>
          <cell r="R30" t="str">
            <v>Не определено</v>
          </cell>
          <cell r="S30" t="str">
            <v>Не определено</v>
          </cell>
        </row>
        <row r="31">
          <cell r="A31" t="str">
            <v>Версия регулятора2023фактI полугодие</v>
          </cell>
          <cell r="H31">
            <v>1</v>
          </cell>
          <cell r="I31">
            <v>0</v>
          </cell>
          <cell r="K31" t="str">
            <v>Версия регулятора</v>
          </cell>
          <cell r="L31">
            <v>2023</v>
          </cell>
          <cell r="M31" t="str">
            <v>Факт</v>
          </cell>
          <cell r="N31" t="str">
            <v>I</v>
          </cell>
          <cell r="P31" t="str">
            <v>Не определено</v>
          </cell>
          <cell r="Q31" t="str">
            <v>Не определено</v>
          </cell>
          <cell r="R31" t="str">
            <v>Не определено</v>
          </cell>
          <cell r="S31" t="str">
            <v>Не определено</v>
          </cell>
        </row>
        <row r="32">
          <cell r="A32" t="str">
            <v>Версия регулятора2023фактII полугодие</v>
          </cell>
          <cell r="H32">
            <v>1</v>
          </cell>
          <cell r="I32">
            <v>0</v>
          </cell>
          <cell r="K32" t="str">
            <v>Версия регулятора</v>
          </cell>
          <cell r="L32">
            <v>2023</v>
          </cell>
          <cell r="M32" t="str">
            <v>Факт</v>
          </cell>
          <cell r="N32" t="str">
            <v>II</v>
          </cell>
          <cell r="P32" t="str">
            <v>Не определено</v>
          </cell>
          <cell r="Q32" t="str">
            <v>Не определено</v>
          </cell>
          <cell r="R32" t="str">
            <v>Не определено</v>
          </cell>
          <cell r="S32" t="str">
            <v>Не определено</v>
          </cell>
        </row>
        <row r="33">
          <cell r="A33" t="str">
            <v>Версия организации2024план Органа регулированиягод</v>
          </cell>
          <cell r="H33">
            <v>1</v>
          </cell>
          <cell r="I33">
            <v>1</v>
          </cell>
          <cell r="K33" t="str">
            <v>Версия организации</v>
          </cell>
          <cell r="L33">
            <v>2024</v>
          </cell>
          <cell r="M33" t="str">
            <v>План</v>
          </cell>
          <cell r="N33" t="str">
            <v>Год</v>
          </cell>
          <cell r="P33" t="str">
            <v>Версия организации</v>
          </cell>
          <cell r="Q33">
            <v>2024</v>
          </cell>
          <cell r="R33" t="str">
            <v>План</v>
          </cell>
          <cell r="S33" t="str">
            <v>Год</v>
          </cell>
        </row>
        <row r="34">
          <cell r="A34" t="str">
            <v>Версия организации2024план Органа регулированияI полугодие</v>
          </cell>
          <cell r="H34">
            <v>1</v>
          </cell>
          <cell r="I34">
            <v>1</v>
          </cell>
          <cell r="K34" t="str">
            <v>Версия организации</v>
          </cell>
          <cell r="L34">
            <v>2024</v>
          </cell>
          <cell r="M34" t="str">
            <v>План</v>
          </cell>
          <cell r="N34" t="str">
            <v>I</v>
          </cell>
          <cell r="P34" t="str">
            <v>Версия организации</v>
          </cell>
          <cell r="Q34">
            <v>2024</v>
          </cell>
          <cell r="R34" t="str">
            <v>План</v>
          </cell>
          <cell r="S34" t="str">
            <v>I</v>
          </cell>
        </row>
        <row r="35">
          <cell r="A35" t="str">
            <v>Версия организации2024план Органа регулированияII полугодие</v>
          </cell>
          <cell r="H35">
            <v>1</v>
          </cell>
          <cell r="I35">
            <v>1</v>
          </cell>
          <cell r="K35" t="str">
            <v>Версия организации</v>
          </cell>
          <cell r="L35">
            <v>2024</v>
          </cell>
          <cell r="M35" t="str">
            <v>План</v>
          </cell>
          <cell r="N35" t="str">
            <v>II</v>
          </cell>
          <cell r="P35" t="str">
            <v>Версия организации</v>
          </cell>
          <cell r="Q35">
            <v>2024</v>
          </cell>
          <cell r="R35" t="str">
            <v>План</v>
          </cell>
          <cell r="S35" t="str">
            <v>II</v>
          </cell>
        </row>
        <row r="36">
          <cell r="A36" t="str">
            <v>Версия регулятора2024план Органа регулированиягод</v>
          </cell>
          <cell r="H36">
            <v>1</v>
          </cell>
          <cell r="I36">
            <v>0</v>
          </cell>
          <cell r="K36" t="str">
            <v>Версия регулятора</v>
          </cell>
          <cell r="L36">
            <v>2024</v>
          </cell>
          <cell r="M36" t="str">
            <v>План</v>
          </cell>
          <cell r="N36" t="str">
            <v>Год</v>
          </cell>
          <cell r="P36" t="str">
            <v>Не определено</v>
          </cell>
          <cell r="Q36" t="str">
            <v>Не определено</v>
          </cell>
          <cell r="R36" t="str">
            <v>Не определено</v>
          </cell>
          <cell r="S36" t="str">
            <v>Не определено</v>
          </cell>
        </row>
        <row r="37">
          <cell r="A37" t="str">
            <v>Версия регулятора2024план Органа регулированияI полугодие</v>
          </cell>
          <cell r="H37">
            <v>1</v>
          </cell>
          <cell r="I37">
            <v>0</v>
          </cell>
          <cell r="K37" t="str">
            <v>Версия регулятора</v>
          </cell>
          <cell r="L37">
            <v>2024</v>
          </cell>
          <cell r="M37" t="str">
            <v>План</v>
          </cell>
          <cell r="N37" t="str">
            <v>I</v>
          </cell>
          <cell r="P37" t="str">
            <v>Не определено</v>
          </cell>
          <cell r="Q37" t="str">
            <v>Не определено</v>
          </cell>
          <cell r="R37" t="str">
            <v>Не определено</v>
          </cell>
          <cell r="S37" t="str">
            <v>Не определено</v>
          </cell>
        </row>
        <row r="38">
          <cell r="A38" t="str">
            <v>Версия регулятора2024план Органа регулированияII полугодие</v>
          </cell>
          <cell r="H38">
            <v>1</v>
          </cell>
          <cell r="I38">
            <v>0</v>
          </cell>
          <cell r="K38" t="str">
            <v>Версия регулятора</v>
          </cell>
          <cell r="L38">
            <v>2024</v>
          </cell>
          <cell r="M38" t="str">
            <v>План</v>
          </cell>
          <cell r="N38" t="str">
            <v>II</v>
          </cell>
          <cell r="P38" t="str">
            <v>Не определено</v>
          </cell>
          <cell r="Q38" t="str">
            <v>Не определено</v>
          </cell>
          <cell r="R38" t="str">
            <v>Не определено</v>
          </cell>
          <cell r="S38" t="str">
            <v>Не определено</v>
          </cell>
        </row>
        <row r="39">
          <cell r="A39" t="str">
            <v>Версия организации2024фактгод</v>
          </cell>
          <cell r="H39">
            <v>1</v>
          </cell>
          <cell r="I39">
            <v>1</v>
          </cell>
          <cell r="K39" t="str">
            <v>Версия организации</v>
          </cell>
          <cell r="L39">
            <v>2024</v>
          </cell>
          <cell r="M39" t="str">
            <v>Факт</v>
          </cell>
          <cell r="N39" t="str">
            <v>Год</v>
          </cell>
          <cell r="P39" t="str">
            <v>Не определено</v>
          </cell>
          <cell r="Q39" t="str">
            <v>Не определено</v>
          </cell>
          <cell r="R39" t="str">
            <v>Не определено</v>
          </cell>
          <cell r="S39" t="str">
            <v>Не определено</v>
          </cell>
        </row>
        <row r="40">
          <cell r="A40" t="str">
            <v>Версия организации2024фактI полугодие</v>
          </cell>
          <cell r="H40">
            <v>1</v>
          </cell>
          <cell r="I40">
            <v>1</v>
          </cell>
          <cell r="K40" t="str">
            <v>Версия организации</v>
          </cell>
          <cell r="L40">
            <v>2024</v>
          </cell>
          <cell r="M40" t="str">
            <v>Факт</v>
          </cell>
          <cell r="N40" t="str">
            <v>I</v>
          </cell>
          <cell r="P40" t="str">
            <v>Не определено</v>
          </cell>
          <cell r="Q40" t="str">
            <v>Не определено</v>
          </cell>
          <cell r="R40" t="str">
            <v>Не определено</v>
          </cell>
          <cell r="S40" t="str">
            <v>Не определено</v>
          </cell>
        </row>
        <row r="41">
          <cell r="A41" t="str">
            <v>Версия организации2024фактII полугодие</v>
          </cell>
          <cell r="H41">
            <v>1</v>
          </cell>
          <cell r="I41">
            <v>1</v>
          </cell>
          <cell r="K41" t="str">
            <v>Версия организации</v>
          </cell>
          <cell r="L41">
            <v>2024</v>
          </cell>
          <cell r="M41" t="str">
            <v>Факт</v>
          </cell>
          <cell r="N41" t="str">
            <v>II</v>
          </cell>
          <cell r="P41" t="str">
            <v>Не определено</v>
          </cell>
          <cell r="Q41" t="str">
            <v>Не определено</v>
          </cell>
          <cell r="R41" t="str">
            <v>Не определено</v>
          </cell>
          <cell r="S41" t="str">
            <v>Не определено</v>
          </cell>
        </row>
        <row r="42">
          <cell r="A42" t="str">
            <v>Версия регулятора2024фактгод</v>
          </cell>
          <cell r="H42">
            <v>1</v>
          </cell>
          <cell r="I42">
            <v>0</v>
          </cell>
          <cell r="K42" t="str">
            <v>Версия регулятора</v>
          </cell>
          <cell r="L42">
            <v>2024</v>
          </cell>
          <cell r="M42" t="str">
            <v>Факт</v>
          </cell>
          <cell r="N42" t="str">
            <v>Год</v>
          </cell>
          <cell r="P42" t="str">
            <v>Не определено</v>
          </cell>
          <cell r="Q42" t="str">
            <v>Не определено</v>
          </cell>
          <cell r="R42" t="str">
            <v>Не определено</v>
          </cell>
          <cell r="S42" t="str">
            <v>Не определено</v>
          </cell>
        </row>
        <row r="43">
          <cell r="A43" t="str">
            <v>Версия регулятора2024фактI полугодие</v>
          </cell>
          <cell r="H43">
            <v>1</v>
          </cell>
          <cell r="I43">
            <v>0</v>
          </cell>
          <cell r="K43" t="str">
            <v>Версия регулятора</v>
          </cell>
          <cell r="L43">
            <v>2024</v>
          </cell>
          <cell r="M43" t="str">
            <v>Факт</v>
          </cell>
          <cell r="N43" t="str">
            <v>I</v>
          </cell>
          <cell r="P43" t="str">
            <v>Не определено</v>
          </cell>
          <cell r="Q43" t="str">
            <v>Не определено</v>
          </cell>
          <cell r="R43" t="str">
            <v>Не определено</v>
          </cell>
          <cell r="S43" t="str">
            <v>Не определено</v>
          </cell>
        </row>
        <row r="44">
          <cell r="A44" t="str">
            <v>Версия регулятора2024фактII полугодие</v>
          </cell>
          <cell r="H44">
            <v>1</v>
          </cell>
          <cell r="I44">
            <v>0</v>
          </cell>
          <cell r="K44" t="str">
            <v>Версия регулятора</v>
          </cell>
          <cell r="L44">
            <v>2024</v>
          </cell>
          <cell r="M44" t="str">
            <v>Факт</v>
          </cell>
          <cell r="N44" t="str">
            <v>II</v>
          </cell>
          <cell r="P44" t="str">
            <v>Не определено</v>
          </cell>
          <cell r="Q44" t="str">
            <v>Не определено</v>
          </cell>
          <cell r="R44" t="str">
            <v>Не определено</v>
          </cell>
          <cell r="S44" t="str">
            <v>Не определено</v>
          </cell>
        </row>
        <row r="45">
          <cell r="A45" t="str">
            <v>Версия организации2025план Органа регулирования скорректированныйгод</v>
          </cell>
          <cell r="H45">
            <v>1</v>
          </cell>
          <cell r="I45">
            <v>1</v>
          </cell>
          <cell r="K45" t="str">
            <v>Версия организации</v>
          </cell>
          <cell r="L45">
            <v>2025</v>
          </cell>
          <cell r="M45" t="str">
            <v>План</v>
          </cell>
          <cell r="N45" t="str">
            <v>Год</v>
          </cell>
          <cell r="P45" t="str">
            <v>Версия организации</v>
          </cell>
          <cell r="Q45">
            <v>2025</v>
          </cell>
          <cell r="R45" t="str">
            <v>План</v>
          </cell>
          <cell r="S45" t="str">
            <v>Год</v>
          </cell>
        </row>
        <row r="46">
          <cell r="A46" t="str">
            <v>Версия организации2025план Органа регулирования скорректированныйI полугодие</v>
          </cell>
          <cell r="H46">
            <v>1</v>
          </cell>
          <cell r="I46">
            <v>1</v>
          </cell>
          <cell r="K46" t="str">
            <v>Версия организации</v>
          </cell>
          <cell r="L46">
            <v>2025</v>
          </cell>
          <cell r="M46" t="str">
            <v>План</v>
          </cell>
          <cell r="N46" t="str">
            <v>I</v>
          </cell>
          <cell r="P46" t="str">
            <v>Версия организации</v>
          </cell>
          <cell r="Q46">
            <v>2025</v>
          </cell>
          <cell r="R46" t="str">
            <v>План</v>
          </cell>
          <cell r="S46" t="str">
            <v>I</v>
          </cell>
        </row>
        <row r="47">
          <cell r="A47" t="str">
            <v>Версия организации2025план Органа регулирования скорректированныйII полугодие</v>
          </cell>
          <cell r="H47">
            <v>1</v>
          </cell>
          <cell r="I47">
            <v>1</v>
          </cell>
          <cell r="K47" t="str">
            <v>Версия организации</v>
          </cell>
          <cell r="L47">
            <v>2025</v>
          </cell>
          <cell r="M47" t="str">
            <v>План</v>
          </cell>
          <cell r="N47" t="str">
            <v>II</v>
          </cell>
          <cell r="P47" t="str">
            <v>Версия организации</v>
          </cell>
          <cell r="Q47">
            <v>2025</v>
          </cell>
          <cell r="R47" t="str">
            <v>План</v>
          </cell>
          <cell r="S47" t="str">
            <v>II</v>
          </cell>
        </row>
        <row r="48">
          <cell r="A48" t="str">
            <v>Версия регулятора2025план Органа регулирования скорректированныйгод</v>
          </cell>
          <cell r="H48">
            <v>1</v>
          </cell>
          <cell r="I48">
            <v>0</v>
          </cell>
          <cell r="K48" t="str">
            <v>Версия регулятора</v>
          </cell>
          <cell r="L48">
            <v>2025</v>
          </cell>
          <cell r="M48" t="str">
            <v>План</v>
          </cell>
          <cell r="N48" t="str">
            <v>Год</v>
          </cell>
          <cell r="P48" t="str">
            <v>Не определено</v>
          </cell>
          <cell r="Q48" t="str">
            <v>Не определено</v>
          </cell>
          <cell r="R48" t="str">
            <v>Не определено</v>
          </cell>
          <cell r="S48" t="str">
            <v>Не определено</v>
          </cell>
        </row>
        <row r="49">
          <cell r="A49" t="str">
            <v>Версия регулятора2025план Органа регулирования скорректированныйI полугодие</v>
          </cell>
          <cell r="H49">
            <v>1</v>
          </cell>
          <cell r="I49">
            <v>0</v>
          </cell>
          <cell r="K49" t="str">
            <v>Версия регулятора</v>
          </cell>
          <cell r="L49">
            <v>2025</v>
          </cell>
          <cell r="M49" t="str">
            <v>План</v>
          </cell>
          <cell r="N49" t="str">
            <v>I</v>
          </cell>
          <cell r="P49" t="str">
            <v>Не определено</v>
          </cell>
          <cell r="Q49" t="str">
            <v>Не определено</v>
          </cell>
          <cell r="R49" t="str">
            <v>Не определено</v>
          </cell>
          <cell r="S49" t="str">
            <v>Не определено</v>
          </cell>
        </row>
        <row r="50">
          <cell r="A50" t="str">
            <v>Версия регулятора2025план Органа регулирования скорректированныйII полугодие</v>
          </cell>
          <cell r="H50">
            <v>1</v>
          </cell>
          <cell r="I50">
            <v>0</v>
          </cell>
          <cell r="K50" t="str">
            <v>Версия регулятора</v>
          </cell>
          <cell r="L50">
            <v>2025</v>
          </cell>
          <cell r="M50" t="str">
            <v>План</v>
          </cell>
          <cell r="N50" t="str">
            <v>II</v>
          </cell>
          <cell r="P50" t="str">
            <v>Не определено</v>
          </cell>
          <cell r="Q50" t="str">
            <v>Не определено</v>
          </cell>
          <cell r="R50" t="str">
            <v>Не определено</v>
          </cell>
          <cell r="S50" t="str">
            <v>Не определено</v>
          </cell>
        </row>
        <row r="51">
          <cell r="A51" t="str">
            <v>Версия организации2025факт за  месяцев</v>
          </cell>
          <cell r="H51">
            <v>1</v>
          </cell>
          <cell r="I51">
            <v>1</v>
          </cell>
          <cell r="K51" t="str">
            <v>Версия организации</v>
          </cell>
          <cell r="L51">
            <v>2025</v>
          </cell>
          <cell r="M51" t="str">
            <v>Факт</v>
          </cell>
          <cell r="N51" t="str">
            <v>Год</v>
          </cell>
          <cell r="P51" t="str">
            <v>Не определено</v>
          </cell>
          <cell r="Q51" t="str">
            <v>Не определено</v>
          </cell>
          <cell r="R51" t="str">
            <v>Не определено</v>
          </cell>
          <cell r="S51" t="str">
            <v>Не определено</v>
          </cell>
        </row>
        <row r="52">
          <cell r="A52" t="str">
            <v>Версия организации2025ожидаемоегод</v>
          </cell>
          <cell r="H52">
            <v>1</v>
          </cell>
          <cell r="I52">
            <v>1</v>
          </cell>
          <cell r="K52" t="str">
            <v>Версия организации</v>
          </cell>
          <cell r="L52">
            <v>2025</v>
          </cell>
          <cell r="M52" t="str">
            <v>Ожидаемо</v>
          </cell>
          <cell r="N52" t="str">
            <v>Год</v>
          </cell>
          <cell r="P52" t="str">
            <v>Не определено</v>
          </cell>
          <cell r="Q52" t="str">
            <v>Не определено</v>
          </cell>
          <cell r="R52" t="str">
            <v>Не определено</v>
          </cell>
          <cell r="S52" t="str">
            <v>Не определено</v>
          </cell>
        </row>
        <row r="53">
          <cell r="A53" t="str">
            <v>Версия организации2025ожидаемоеI полугодие</v>
          </cell>
          <cell r="H53">
            <v>1</v>
          </cell>
          <cell r="I53">
            <v>1</v>
          </cell>
          <cell r="K53" t="str">
            <v>Версия организации</v>
          </cell>
          <cell r="L53">
            <v>2025</v>
          </cell>
          <cell r="M53" t="str">
            <v>Ожидаемо</v>
          </cell>
          <cell r="N53" t="str">
            <v>I</v>
          </cell>
          <cell r="P53" t="str">
            <v>Не определено</v>
          </cell>
          <cell r="Q53" t="str">
            <v>Не определено</v>
          </cell>
          <cell r="R53" t="str">
            <v>Не определено</v>
          </cell>
          <cell r="S53" t="str">
            <v>Не определено</v>
          </cell>
        </row>
        <row r="54">
          <cell r="A54" t="str">
            <v>Версия организации2025ожидаемоеII полугодие</v>
          </cell>
          <cell r="H54">
            <v>1</v>
          </cell>
          <cell r="I54">
            <v>1</v>
          </cell>
          <cell r="K54" t="str">
            <v>Версия организации</v>
          </cell>
          <cell r="L54">
            <v>2025</v>
          </cell>
          <cell r="M54" t="str">
            <v>Ожидаемо</v>
          </cell>
          <cell r="N54" t="str">
            <v>II</v>
          </cell>
          <cell r="P54" t="str">
            <v>Не определено</v>
          </cell>
          <cell r="Q54" t="str">
            <v>Не определено</v>
          </cell>
          <cell r="R54" t="str">
            <v>Не определено</v>
          </cell>
          <cell r="S54" t="str">
            <v>Не определено</v>
          </cell>
        </row>
        <row r="55">
          <cell r="A55" t="str">
            <v>Версия регулятора2025ожидаемоегод</v>
          </cell>
          <cell r="H55">
            <v>1</v>
          </cell>
          <cell r="I55">
            <v>0</v>
          </cell>
          <cell r="K55" t="str">
            <v>Версия регулятора</v>
          </cell>
          <cell r="L55">
            <v>2025</v>
          </cell>
          <cell r="M55" t="str">
            <v>Ожидаемо</v>
          </cell>
          <cell r="N55" t="str">
            <v>Год</v>
          </cell>
          <cell r="P55" t="str">
            <v>Не определено</v>
          </cell>
          <cell r="Q55" t="str">
            <v>Не определено</v>
          </cell>
          <cell r="R55" t="str">
            <v>Не определено</v>
          </cell>
          <cell r="S55" t="str">
            <v>Не определено</v>
          </cell>
        </row>
        <row r="56">
          <cell r="A56" t="str">
            <v>Версия регулятора2025ожидаемоеI полугодие</v>
          </cell>
          <cell r="H56">
            <v>1</v>
          </cell>
          <cell r="I56">
            <v>0</v>
          </cell>
          <cell r="K56" t="str">
            <v>Версия регулятора</v>
          </cell>
          <cell r="L56">
            <v>2025</v>
          </cell>
          <cell r="M56" t="str">
            <v>Ожидаемо</v>
          </cell>
          <cell r="N56" t="str">
            <v>I</v>
          </cell>
          <cell r="P56" t="str">
            <v>Не определено</v>
          </cell>
          <cell r="Q56" t="str">
            <v>Не определено</v>
          </cell>
          <cell r="R56" t="str">
            <v>Не определено</v>
          </cell>
          <cell r="S56" t="str">
            <v>Не определено</v>
          </cell>
        </row>
        <row r="57">
          <cell r="A57" t="str">
            <v>Версия регулятора2025ожидаемоеII полугодие</v>
          </cell>
          <cell r="H57">
            <v>1</v>
          </cell>
          <cell r="I57">
            <v>0</v>
          </cell>
          <cell r="K57" t="str">
            <v>Версия регулятора</v>
          </cell>
          <cell r="L57">
            <v>2025</v>
          </cell>
          <cell r="M57" t="str">
            <v>Ожидаемо</v>
          </cell>
          <cell r="N57" t="str">
            <v>II</v>
          </cell>
          <cell r="P57" t="str">
            <v>Не определено</v>
          </cell>
          <cell r="Q57" t="str">
            <v>Не определено</v>
          </cell>
          <cell r="R57" t="str">
            <v>Не определено</v>
          </cell>
          <cell r="S57" t="str">
            <v>Не определено</v>
          </cell>
        </row>
        <row r="58">
          <cell r="A58" t="str">
            <v>Версия организации2026утвержденный план Органа регулированиягод</v>
          </cell>
          <cell r="H58">
            <v>1</v>
          </cell>
          <cell r="I58">
            <v>1</v>
          </cell>
          <cell r="K58" t="str">
            <v>Версия организации</v>
          </cell>
          <cell r="L58">
            <v>2026</v>
          </cell>
          <cell r="M58" t="str">
            <v>Утверждено</v>
          </cell>
          <cell r="N58" t="str">
            <v>Год</v>
          </cell>
          <cell r="P58" t="str">
            <v>Не определено</v>
          </cell>
          <cell r="Q58" t="str">
            <v>Не определено</v>
          </cell>
          <cell r="R58" t="str">
            <v>Не определено</v>
          </cell>
          <cell r="S58" t="str">
            <v>Не определено</v>
          </cell>
        </row>
        <row r="59">
          <cell r="A59" t="str">
            <v>Версия организации2026утвержденный план Органа регулированияI полугодие</v>
          </cell>
          <cell r="H59">
            <v>1</v>
          </cell>
          <cell r="I59">
            <v>1</v>
          </cell>
          <cell r="K59" t="str">
            <v>Версия организации</v>
          </cell>
          <cell r="L59">
            <v>2026</v>
          </cell>
          <cell r="M59" t="str">
            <v>Утверждено</v>
          </cell>
          <cell r="N59" t="str">
            <v>I</v>
          </cell>
          <cell r="P59" t="str">
            <v>Не определено</v>
          </cell>
          <cell r="Q59" t="str">
            <v>Не определено</v>
          </cell>
          <cell r="R59" t="str">
            <v>Не определено</v>
          </cell>
          <cell r="S59" t="str">
            <v>Не определено</v>
          </cell>
        </row>
        <row r="60">
          <cell r="A60" t="str">
            <v>Версия организации2026утвержденный план Органа регулированияII полугодие</v>
          </cell>
          <cell r="H60">
            <v>1</v>
          </cell>
          <cell r="I60">
            <v>1</v>
          </cell>
          <cell r="K60" t="str">
            <v>Версия организации</v>
          </cell>
          <cell r="L60">
            <v>2026</v>
          </cell>
          <cell r="M60" t="str">
            <v>Утверждено</v>
          </cell>
          <cell r="N60" t="str">
            <v>II</v>
          </cell>
          <cell r="P60" t="str">
            <v>Не определено</v>
          </cell>
          <cell r="Q60" t="str">
            <v>Не определено</v>
          </cell>
          <cell r="R60" t="str">
            <v>Не определено</v>
          </cell>
          <cell r="S60" t="str">
            <v>Не определено</v>
          </cell>
        </row>
        <row r="61">
          <cell r="A61" t="str">
            <v>Версия регулятора2026утвержденный план Органа регулированиягод</v>
          </cell>
          <cell r="H61">
            <v>1</v>
          </cell>
          <cell r="I61">
            <v>0</v>
          </cell>
          <cell r="K61" t="str">
            <v>Версия регулятора</v>
          </cell>
          <cell r="L61">
            <v>2026</v>
          </cell>
          <cell r="M61" t="str">
            <v>Утверждено</v>
          </cell>
          <cell r="N61" t="str">
            <v>Год</v>
          </cell>
          <cell r="P61" t="str">
            <v>Не определено</v>
          </cell>
          <cell r="Q61" t="str">
            <v>Не определено</v>
          </cell>
          <cell r="R61" t="str">
            <v>Не определено</v>
          </cell>
          <cell r="S61" t="str">
            <v>Не определено</v>
          </cell>
        </row>
        <row r="62">
          <cell r="A62" t="str">
            <v>Версия регулятора2026утвержденный план Органа регулированияI полугодие</v>
          </cell>
          <cell r="H62">
            <v>1</v>
          </cell>
          <cell r="I62">
            <v>0</v>
          </cell>
          <cell r="K62" t="str">
            <v>Версия регулятора</v>
          </cell>
          <cell r="L62">
            <v>2026</v>
          </cell>
          <cell r="M62" t="str">
            <v>Утверждено</v>
          </cell>
          <cell r="N62" t="str">
            <v>I</v>
          </cell>
          <cell r="P62" t="str">
            <v>Не определено</v>
          </cell>
          <cell r="Q62" t="str">
            <v>Не определено</v>
          </cell>
          <cell r="R62" t="str">
            <v>Не определено</v>
          </cell>
          <cell r="S62" t="str">
            <v>Не определено</v>
          </cell>
        </row>
        <row r="63">
          <cell r="A63" t="str">
            <v>Версия регулятора2026утвержденный план Органа регулированияII полугодие</v>
          </cell>
          <cell r="H63">
            <v>1</v>
          </cell>
          <cell r="I63">
            <v>0</v>
          </cell>
          <cell r="K63" t="str">
            <v>Версия регулятора</v>
          </cell>
          <cell r="L63">
            <v>2026</v>
          </cell>
          <cell r="M63" t="str">
            <v>Утверждено</v>
          </cell>
          <cell r="N63" t="str">
            <v>II</v>
          </cell>
          <cell r="P63" t="str">
            <v>Не определено</v>
          </cell>
          <cell r="Q63" t="str">
            <v>Не определено</v>
          </cell>
          <cell r="R63" t="str">
            <v>Не определено</v>
          </cell>
          <cell r="S63" t="str">
            <v>Не определено</v>
          </cell>
        </row>
        <row r="64">
          <cell r="A64" t="str">
            <v>Версия организации2026план организации (корректировка)год</v>
          </cell>
          <cell r="H64">
            <v>1</v>
          </cell>
          <cell r="I64">
            <v>1</v>
          </cell>
          <cell r="K64" t="str">
            <v>Версия организации</v>
          </cell>
          <cell r="L64">
            <v>2026</v>
          </cell>
          <cell r="M64" t="str">
            <v>План</v>
          </cell>
          <cell r="N64" t="str">
            <v>Год</v>
          </cell>
          <cell r="P64" t="str">
            <v>Не определено</v>
          </cell>
          <cell r="Q64" t="str">
            <v>Не определено</v>
          </cell>
          <cell r="R64" t="str">
            <v>Не определено</v>
          </cell>
          <cell r="S64" t="str">
            <v>Не определено</v>
          </cell>
        </row>
        <row r="65">
          <cell r="A65" t="str">
            <v>Версия организации2026план организации (корректировка)I полугодие</v>
          </cell>
          <cell r="H65">
            <v>1</v>
          </cell>
          <cell r="I65">
            <v>1</v>
          </cell>
          <cell r="K65" t="str">
            <v>Версия организации</v>
          </cell>
          <cell r="L65">
            <v>2026</v>
          </cell>
          <cell r="M65" t="str">
            <v>План</v>
          </cell>
          <cell r="N65" t="str">
            <v>I</v>
          </cell>
          <cell r="P65" t="str">
            <v>Не определено</v>
          </cell>
          <cell r="Q65" t="str">
            <v>Не определено</v>
          </cell>
          <cell r="R65" t="str">
            <v>Не определено</v>
          </cell>
          <cell r="S65" t="str">
            <v>Не определено</v>
          </cell>
        </row>
        <row r="66">
          <cell r="A66" t="str">
            <v>Версия организации2026план организации (корректировка)II полугодие</v>
          </cell>
          <cell r="H66">
            <v>1</v>
          </cell>
          <cell r="I66">
            <v>1</v>
          </cell>
          <cell r="K66" t="str">
            <v>Версия организации</v>
          </cell>
          <cell r="L66">
            <v>2026</v>
          </cell>
          <cell r="M66" t="str">
            <v>План</v>
          </cell>
          <cell r="N66" t="str">
            <v>II</v>
          </cell>
          <cell r="P66" t="str">
            <v>Не определено</v>
          </cell>
          <cell r="Q66" t="str">
            <v>Не определено</v>
          </cell>
          <cell r="R66" t="str">
            <v>Не определено</v>
          </cell>
          <cell r="S66" t="str">
            <v>Не определено</v>
          </cell>
        </row>
        <row r="67">
          <cell r="A67" t="str">
            <v>Версия организации2027план организации (корректировка)год</v>
          </cell>
          <cell r="H67">
            <v>1</v>
          </cell>
          <cell r="I67">
            <v>0</v>
          </cell>
          <cell r="K67" t="str">
            <v>Версия организации</v>
          </cell>
          <cell r="L67">
            <v>2027</v>
          </cell>
          <cell r="M67" t="str">
            <v>План</v>
          </cell>
          <cell r="N67" t="str">
            <v>Год</v>
          </cell>
          <cell r="P67" t="str">
            <v>Не определено</v>
          </cell>
          <cell r="Q67" t="str">
            <v>Не определено</v>
          </cell>
          <cell r="R67" t="str">
            <v>Не определено</v>
          </cell>
          <cell r="S67" t="str">
            <v>Не определено</v>
          </cell>
        </row>
        <row r="68">
          <cell r="A68" t="str">
            <v>Версия организации2027план организации (корректировка)I полугодие</v>
          </cell>
          <cell r="H68">
            <v>1</v>
          </cell>
          <cell r="I68">
            <v>0</v>
          </cell>
          <cell r="K68" t="str">
            <v>Версия организации</v>
          </cell>
          <cell r="L68">
            <v>2027</v>
          </cell>
          <cell r="M68" t="str">
            <v>План</v>
          </cell>
          <cell r="N68" t="str">
            <v>I</v>
          </cell>
          <cell r="P68" t="str">
            <v>Не определено</v>
          </cell>
          <cell r="Q68" t="str">
            <v>Не определено</v>
          </cell>
          <cell r="R68" t="str">
            <v>Не определено</v>
          </cell>
          <cell r="S68" t="str">
            <v>Не определено</v>
          </cell>
        </row>
        <row r="69">
          <cell r="A69" t="str">
            <v>Версия организации2027план организации (корректировка)II полугодие</v>
          </cell>
          <cell r="H69">
            <v>1</v>
          </cell>
          <cell r="I69">
            <v>0</v>
          </cell>
          <cell r="K69" t="str">
            <v>Версия организации</v>
          </cell>
          <cell r="L69">
            <v>2027</v>
          </cell>
          <cell r="M69" t="str">
            <v>План</v>
          </cell>
          <cell r="N69" t="str">
            <v>II</v>
          </cell>
          <cell r="P69" t="str">
            <v>Не определено</v>
          </cell>
          <cell r="Q69" t="str">
            <v>Не определено</v>
          </cell>
          <cell r="R69" t="str">
            <v>Не определено</v>
          </cell>
          <cell r="S69" t="str">
            <v>Не определено</v>
          </cell>
        </row>
        <row r="70">
          <cell r="A70" t="str">
            <v>Версия организации2028план организации (корректировка)год</v>
          </cell>
          <cell r="H70">
            <v>1</v>
          </cell>
          <cell r="I70">
            <v>0</v>
          </cell>
          <cell r="K70" t="str">
            <v>Версия организации</v>
          </cell>
          <cell r="L70">
            <v>2028</v>
          </cell>
          <cell r="M70" t="str">
            <v>План</v>
          </cell>
          <cell r="N70" t="str">
            <v>Год</v>
          </cell>
          <cell r="P70" t="str">
            <v>Не определено</v>
          </cell>
          <cell r="Q70" t="str">
            <v>Не определено</v>
          </cell>
          <cell r="R70" t="str">
            <v>Не определено</v>
          </cell>
          <cell r="S70" t="str">
            <v>Не определено</v>
          </cell>
        </row>
        <row r="71">
          <cell r="A71" t="str">
            <v>Версия организации2028план организации (корректировка)I полугодие</v>
          </cell>
          <cell r="H71">
            <v>1</v>
          </cell>
          <cell r="I71">
            <v>0</v>
          </cell>
          <cell r="K71" t="str">
            <v>Версия организации</v>
          </cell>
          <cell r="L71">
            <v>2028</v>
          </cell>
          <cell r="M71" t="str">
            <v>План</v>
          </cell>
          <cell r="N71" t="str">
            <v>I</v>
          </cell>
          <cell r="P71" t="str">
            <v>Не определено</v>
          </cell>
          <cell r="Q71" t="str">
            <v>Не определено</v>
          </cell>
          <cell r="R71" t="str">
            <v>Не определено</v>
          </cell>
          <cell r="S71" t="str">
            <v>Не определено</v>
          </cell>
        </row>
        <row r="72">
          <cell r="A72" t="str">
            <v>Версия организации2028план организации (корректировка)II полугодие</v>
          </cell>
          <cell r="H72">
            <v>1</v>
          </cell>
          <cell r="I72">
            <v>0</v>
          </cell>
          <cell r="K72" t="str">
            <v>Версия организации</v>
          </cell>
          <cell r="L72">
            <v>2028</v>
          </cell>
          <cell r="M72" t="str">
            <v>План</v>
          </cell>
          <cell r="N72" t="str">
            <v>II</v>
          </cell>
          <cell r="P72" t="str">
            <v>Не определено</v>
          </cell>
          <cell r="Q72" t="str">
            <v>Не определено</v>
          </cell>
          <cell r="R72" t="str">
            <v>Не определено</v>
          </cell>
          <cell r="S72" t="str">
            <v>Не определено</v>
          </cell>
        </row>
        <row r="73">
          <cell r="A73" t="str">
            <v>Версия организации2029план организации (корректировка)год</v>
          </cell>
          <cell r="H73">
            <v>1</v>
          </cell>
          <cell r="I73">
            <v>0</v>
          </cell>
          <cell r="K73" t="str">
            <v>Версия организации</v>
          </cell>
          <cell r="L73">
            <v>2029</v>
          </cell>
          <cell r="M73" t="str">
            <v>План</v>
          </cell>
          <cell r="N73" t="str">
            <v>Год</v>
          </cell>
          <cell r="P73" t="str">
            <v>Не определено</v>
          </cell>
          <cell r="Q73" t="str">
            <v>Не определено</v>
          </cell>
          <cell r="R73" t="str">
            <v>Не определено</v>
          </cell>
          <cell r="S73" t="str">
            <v>Не определено</v>
          </cell>
        </row>
        <row r="74">
          <cell r="A74" t="str">
            <v>Версия организации2029план организации (корректировка)I полугодие</v>
          </cell>
          <cell r="H74">
            <v>1</v>
          </cell>
          <cell r="I74">
            <v>0</v>
          </cell>
          <cell r="K74" t="str">
            <v>Версия организации</v>
          </cell>
          <cell r="L74">
            <v>2029</v>
          </cell>
          <cell r="M74" t="str">
            <v>План</v>
          </cell>
          <cell r="N74" t="str">
            <v>I</v>
          </cell>
          <cell r="P74" t="str">
            <v>Не определено</v>
          </cell>
          <cell r="Q74" t="str">
            <v>Не определено</v>
          </cell>
          <cell r="R74" t="str">
            <v>Не определено</v>
          </cell>
          <cell r="S74" t="str">
            <v>Не определено</v>
          </cell>
        </row>
        <row r="75">
          <cell r="A75" t="str">
            <v>Версия организации2029план организации (корректировка)II полугодие</v>
          </cell>
          <cell r="H75">
            <v>1</v>
          </cell>
          <cell r="I75">
            <v>0</v>
          </cell>
          <cell r="K75" t="str">
            <v>Версия организации</v>
          </cell>
          <cell r="L75">
            <v>2029</v>
          </cell>
          <cell r="M75" t="str">
            <v>План</v>
          </cell>
          <cell r="N75" t="str">
            <v>II</v>
          </cell>
          <cell r="P75" t="str">
            <v>Не определено</v>
          </cell>
          <cell r="Q75" t="str">
            <v>Не определено</v>
          </cell>
          <cell r="R75" t="str">
            <v>Не определено</v>
          </cell>
          <cell r="S75" t="str">
            <v>Не определено</v>
          </cell>
        </row>
        <row r="76">
          <cell r="A76" t="str">
            <v>Версия организации2030план организации (корректировка)год</v>
          </cell>
          <cell r="H76">
            <v>1</v>
          </cell>
          <cell r="I76">
            <v>0</v>
          </cell>
          <cell r="K76" t="str">
            <v>Версия организации</v>
          </cell>
          <cell r="L76">
            <v>2030</v>
          </cell>
          <cell r="M76" t="str">
            <v>План</v>
          </cell>
          <cell r="N76" t="str">
            <v>Год</v>
          </cell>
          <cell r="P76" t="str">
            <v>Не определено</v>
          </cell>
          <cell r="Q76" t="str">
            <v>Не определено</v>
          </cell>
          <cell r="R76" t="str">
            <v>Не определено</v>
          </cell>
          <cell r="S76" t="str">
            <v>Не определено</v>
          </cell>
        </row>
        <row r="77">
          <cell r="A77" t="str">
            <v>Версия организации2030план организации (корректировка)I полугодие</v>
          </cell>
          <cell r="H77">
            <v>1</v>
          </cell>
          <cell r="I77">
            <v>0</v>
          </cell>
          <cell r="K77" t="str">
            <v>Версия организации</v>
          </cell>
          <cell r="L77">
            <v>2030</v>
          </cell>
          <cell r="M77" t="str">
            <v>План</v>
          </cell>
          <cell r="N77" t="str">
            <v>I</v>
          </cell>
          <cell r="P77" t="str">
            <v>Не определено</v>
          </cell>
          <cell r="Q77" t="str">
            <v>Не определено</v>
          </cell>
          <cell r="R77" t="str">
            <v>Не определено</v>
          </cell>
          <cell r="S77" t="str">
            <v>Не определено</v>
          </cell>
        </row>
        <row r="78">
          <cell r="A78" t="str">
            <v>Версия организации2030план организации (корректировка)II полугодие</v>
          </cell>
          <cell r="H78">
            <v>1</v>
          </cell>
          <cell r="I78">
            <v>0</v>
          </cell>
          <cell r="K78" t="str">
            <v>Версия организации</v>
          </cell>
          <cell r="L78">
            <v>2030</v>
          </cell>
          <cell r="M78" t="str">
            <v>План</v>
          </cell>
          <cell r="N78" t="str">
            <v>II</v>
          </cell>
          <cell r="P78" t="str">
            <v>Не определено</v>
          </cell>
          <cell r="Q78" t="str">
            <v>Не определено</v>
          </cell>
          <cell r="R78" t="str">
            <v>Не определено</v>
          </cell>
          <cell r="S78" t="str">
            <v>Не определено</v>
          </cell>
        </row>
        <row r="79">
          <cell r="A79" t="str">
            <v>Комментарий</v>
          </cell>
          <cell r="H79">
            <v>1</v>
          </cell>
          <cell r="I79">
            <v>1</v>
          </cell>
          <cell r="K79" t="str">
            <v>Версия организации</v>
          </cell>
          <cell r="L79" t="str">
            <v>Не определено</v>
          </cell>
          <cell r="M79" t="str">
            <v>Не определено</v>
          </cell>
          <cell r="N79" t="str">
            <v>Не определено</v>
          </cell>
          <cell r="P79" t="str">
            <v>Не определено</v>
          </cell>
          <cell r="Q79" t="str">
            <v>Не определено</v>
          </cell>
          <cell r="R79" t="str">
            <v>Не определено</v>
          </cell>
          <cell r="S79" t="str">
            <v>Не определено</v>
          </cell>
        </row>
        <row r="80">
          <cell r="A80" t="str">
            <v>Версия регулятора2026план Органа регулирования (корректировка)год</v>
          </cell>
          <cell r="H80">
            <v>1</v>
          </cell>
          <cell r="I80">
            <v>0</v>
          </cell>
          <cell r="K80" t="str">
            <v>Версия регулятора</v>
          </cell>
          <cell r="L80">
            <v>2026</v>
          </cell>
          <cell r="M80" t="str">
            <v>План</v>
          </cell>
          <cell r="N80" t="str">
            <v>Год</v>
          </cell>
          <cell r="P80" t="str">
            <v>Не определено</v>
          </cell>
          <cell r="Q80" t="str">
            <v>Не определено</v>
          </cell>
          <cell r="R80" t="str">
            <v>Не определено</v>
          </cell>
          <cell r="S80" t="str">
            <v>Не определено</v>
          </cell>
        </row>
        <row r="81">
          <cell r="A81" t="str">
            <v>Версия регулятора2026план Органа регулирования (корректировка)I полугодие</v>
          </cell>
          <cell r="H81">
            <v>1</v>
          </cell>
          <cell r="I81">
            <v>0</v>
          </cell>
          <cell r="K81" t="str">
            <v>Версия регулятора</v>
          </cell>
          <cell r="L81">
            <v>2026</v>
          </cell>
          <cell r="M81" t="str">
            <v>План</v>
          </cell>
          <cell r="N81" t="str">
            <v>I</v>
          </cell>
          <cell r="P81" t="str">
            <v>Не определено</v>
          </cell>
          <cell r="Q81" t="str">
            <v>Не определено</v>
          </cell>
          <cell r="R81" t="str">
            <v>Не определено</v>
          </cell>
          <cell r="S81" t="str">
            <v>Не определено</v>
          </cell>
        </row>
        <row r="82">
          <cell r="A82" t="str">
            <v>Версия регулятора2026план Органа регулирования (корректировка)II полугодие</v>
          </cell>
          <cell r="H82">
            <v>1</v>
          </cell>
          <cell r="I82">
            <v>0</v>
          </cell>
          <cell r="K82" t="str">
            <v>Версия регулятора</v>
          </cell>
          <cell r="L82">
            <v>2026</v>
          </cell>
          <cell r="M82" t="str">
            <v>План</v>
          </cell>
          <cell r="N82" t="str">
            <v>II</v>
          </cell>
          <cell r="P82" t="str">
            <v>Не определено</v>
          </cell>
          <cell r="Q82" t="str">
            <v>Не определено</v>
          </cell>
          <cell r="R82" t="str">
            <v>Не определено</v>
          </cell>
          <cell r="S82" t="str">
            <v>Не определено</v>
          </cell>
        </row>
        <row r="83">
          <cell r="A83" t="str">
            <v>Версия регулятора2027план Органа регулирования (корректировка)год</v>
          </cell>
          <cell r="H83">
            <v>1</v>
          </cell>
          <cell r="I83">
            <v>0</v>
          </cell>
          <cell r="K83" t="str">
            <v>Версия регулятора</v>
          </cell>
          <cell r="L83">
            <v>2027</v>
          </cell>
          <cell r="M83" t="str">
            <v>План</v>
          </cell>
          <cell r="N83" t="str">
            <v>Год</v>
          </cell>
          <cell r="P83" t="str">
            <v>Не определено</v>
          </cell>
          <cell r="Q83" t="str">
            <v>Не определено</v>
          </cell>
          <cell r="R83" t="str">
            <v>Не определено</v>
          </cell>
          <cell r="S83" t="str">
            <v>Не определено</v>
          </cell>
        </row>
        <row r="84">
          <cell r="A84" t="str">
            <v>Версия регулятора2027план Органа регулирования (корректировка)I полугодие</v>
          </cell>
          <cell r="H84">
            <v>1</v>
          </cell>
          <cell r="I84">
            <v>0</v>
          </cell>
          <cell r="K84" t="str">
            <v>Версия регулятора</v>
          </cell>
          <cell r="L84">
            <v>2027</v>
          </cell>
          <cell r="M84" t="str">
            <v>План</v>
          </cell>
          <cell r="N84" t="str">
            <v>I</v>
          </cell>
          <cell r="P84" t="str">
            <v>Не определено</v>
          </cell>
          <cell r="Q84" t="str">
            <v>Не определено</v>
          </cell>
          <cell r="R84" t="str">
            <v>Не определено</v>
          </cell>
          <cell r="S84" t="str">
            <v>Не определено</v>
          </cell>
        </row>
        <row r="85">
          <cell r="A85" t="str">
            <v>Версия регулятора2027план Органа регулирования (корректировка)II полугодие</v>
          </cell>
          <cell r="H85">
            <v>1</v>
          </cell>
          <cell r="I85">
            <v>0</v>
          </cell>
          <cell r="K85" t="str">
            <v>Версия регулятора</v>
          </cell>
          <cell r="L85">
            <v>2027</v>
          </cell>
          <cell r="M85" t="str">
            <v>План</v>
          </cell>
          <cell r="N85" t="str">
            <v>II</v>
          </cell>
          <cell r="P85" t="str">
            <v>Не определено</v>
          </cell>
          <cell r="Q85" t="str">
            <v>Не определено</v>
          </cell>
          <cell r="R85" t="str">
            <v>Не определено</v>
          </cell>
          <cell r="S85" t="str">
            <v>Не определено</v>
          </cell>
        </row>
        <row r="86">
          <cell r="A86" t="str">
            <v>Версия регулятора2028план Органа регулирования (корректировка)год</v>
          </cell>
          <cell r="H86">
            <v>1</v>
          </cell>
          <cell r="I86">
            <v>0</v>
          </cell>
          <cell r="K86" t="str">
            <v>Версия регулятора</v>
          </cell>
          <cell r="L86">
            <v>2028</v>
          </cell>
          <cell r="M86" t="str">
            <v>План</v>
          </cell>
          <cell r="N86" t="str">
            <v>Год</v>
          </cell>
          <cell r="P86" t="str">
            <v>Не определено</v>
          </cell>
          <cell r="Q86" t="str">
            <v>Не определено</v>
          </cell>
          <cell r="R86" t="str">
            <v>Не определено</v>
          </cell>
          <cell r="S86" t="str">
            <v>Не определено</v>
          </cell>
        </row>
        <row r="87">
          <cell r="A87" t="str">
            <v>Версия регулятора2028план Органа регулирования (корректировка)I полугодие</v>
          </cell>
          <cell r="H87">
            <v>1</v>
          </cell>
          <cell r="I87">
            <v>0</v>
          </cell>
          <cell r="K87" t="str">
            <v>Версия регулятора</v>
          </cell>
          <cell r="L87">
            <v>2028</v>
          </cell>
          <cell r="M87" t="str">
            <v>План</v>
          </cell>
          <cell r="N87" t="str">
            <v>I</v>
          </cell>
          <cell r="P87" t="str">
            <v>Не определено</v>
          </cell>
          <cell r="Q87" t="str">
            <v>Не определено</v>
          </cell>
          <cell r="R87" t="str">
            <v>Не определено</v>
          </cell>
          <cell r="S87" t="str">
            <v>Не определено</v>
          </cell>
        </row>
        <row r="88">
          <cell r="A88" t="str">
            <v>Версия регулятора2028план Органа регулирования (корректировка)II полугодие</v>
          </cell>
          <cell r="H88">
            <v>1</v>
          </cell>
          <cell r="I88">
            <v>0</v>
          </cell>
          <cell r="K88" t="str">
            <v>Версия регулятора</v>
          </cell>
          <cell r="L88">
            <v>2028</v>
          </cell>
          <cell r="M88" t="str">
            <v>План</v>
          </cell>
          <cell r="N88" t="str">
            <v>II</v>
          </cell>
          <cell r="P88" t="str">
            <v>Не определено</v>
          </cell>
          <cell r="Q88" t="str">
            <v>Не определено</v>
          </cell>
          <cell r="R88" t="str">
            <v>Не определено</v>
          </cell>
          <cell r="S88" t="str">
            <v>Не определено</v>
          </cell>
        </row>
        <row r="89">
          <cell r="A89" t="str">
            <v>Версия регулятора2029план Органа регулирования (корректировка)год</v>
          </cell>
          <cell r="H89">
            <v>1</v>
          </cell>
          <cell r="I89">
            <v>0</v>
          </cell>
          <cell r="K89" t="str">
            <v>Версия регулятора</v>
          </cell>
          <cell r="L89">
            <v>2029</v>
          </cell>
          <cell r="M89" t="str">
            <v>План</v>
          </cell>
          <cell r="N89" t="str">
            <v>Год</v>
          </cell>
          <cell r="P89" t="str">
            <v>Не определено</v>
          </cell>
          <cell r="Q89" t="str">
            <v>Не определено</v>
          </cell>
          <cell r="R89" t="str">
            <v>Не определено</v>
          </cell>
          <cell r="S89" t="str">
            <v>Не определено</v>
          </cell>
        </row>
        <row r="90">
          <cell r="A90" t="str">
            <v>Версия регулятора2029план Органа регулирования (корректировка)I полугодие</v>
          </cell>
          <cell r="H90">
            <v>1</v>
          </cell>
          <cell r="I90">
            <v>0</v>
          </cell>
          <cell r="K90" t="str">
            <v>Версия регулятора</v>
          </cell>
          <cell r="L90">
            <v>2029</v>
          </cell>
          <cell r="M90" t="str">
            <v>План</v>
          </cell>
          <cell r="N90" t="str">
            <v>I</v>
          </cell>
          <cell r="P90" t="str">
            <v>Не определено</v>
          </cell>
          <cell r="Q90" t="str">
            <v>Не определено</v>
          </cell>
          <cell r="R90" t="str">
            <v>Не определено</v>
          </cell>
          <cell r="S90" t="str">
            <v>Не определено</v>
          </cell>
        </row>
        <row r="91">
          <cell r="A91" t="str">
            <v>Версия регулятора2029план Органа регулирования (корректировка)II полугодие</v>
          </cell>
          <cell r="H91">
            <v>1</v>
          </cell>
          <cell r="I91">
            <v>0</v>
          </cell>
          <cell r="K91" t="str">
            <v>Версия регулятора</v>
          </cell>
          <cell r="L91">
            <v>2029</v>
          </cell>
          <cell r="M91" t="str">
            <v>План</v>
          </cell>
          <cell r="N91" t="str">
            <v>II</v>
          </cell>
          <cell r="P91" t="str">
            <v>Не определено</v>
          </cell>
          <cell r="Q91" t="str">
            <v>Не определено</v>
          </cell>
          <cell r="R91" t="str">
            <v>Не определено</v>
          </cell>
          <cell r="S91" t="str">
            <v>Не определено</v>
          </cell>
        </row>
        <row r="92">
          <cell r="A92" t="str">
            <v>Версия регулятора2030план Органа регулирования (корректировка)год</v>
          </cell>
          <cell r="H92">
            <v>1</v>
          </cell>
          <cell r="I92">
            <v>0</v>
          </cell>
          <cell r="K92" t="str">
            <v>Версия регулятора</v>
          </cell>
          <cell r="L92">
            <v>2030</v>
          </cell>
          <cell r="M92" t="str">
            <v>План</v>
          </cell>
          <cell r="N92" t="str">
            <v>Год</v>
          </cell>
          <cell r="P92" t="str">
            <v>Не определено</v>
          </cell>
          <cell r="Q92" t="str">
            <v>Не определено</v>
          </cell>
          <cell r="R92" t="str">
            <v>Не определено</v>
          </cell>
          <cell r="S92" t="str">
            <v>Не определено</v>
          </cell>
        </row>
        <row r="93">
          <cell r="A93" t="str">
            <v>Версия регулятора2030план Органа регулирования (корректировка)I полугодие</v>
          </cell>
          <cell r="H93">
            <v>1</v>
          </cell>
          <cell r="I93">
            <v>0</v>
          </cell>
          <cell r="K93" t="str">
            <v>Версия регулятора</v>
          </cell>
          <cell r="L93">
            <v>2030</v>
          </cell>
          <cell r="M93" t="str">
            <v>План</v>
          </cell>
          <cell r="N93" t="str">
            <v>I</v>
          </cell>
          <cell r="P93" t="str">
            <v>Не определено</v>
          </cell>
          <cell r="Q93" t="str">
            <v>Не определено</v>
          </cell>
          <cell r="R93" t="str">
            <v>Не определено</v>
          </cell>
          <cell r="S93" t="str">
            <v>Не определено</v>
          </cell>
        </row>
        <row r="94">
          <cell r="A94" t="str">
            <v>Версия регулятора2030план Органа регулирования (корректировка)II полугодие</v>
          </cell>
          <cell r="H94">
            <v>1</v>
          </cell>
          <cell r="I94">
            <v>0</v>
          </cell>
          <cell r="K94" t="str">
            <v>Версия регулятора</v>
          </cell>
          <cell r="L94">
            <v>2030</v>
          </cell>
          <cell r="M94" t="str">
            <v>План</v>
          </cell>
          <cell r="N94" t="str">
            <v>II</v>
          </cell>
          <cell r="P94" t="str">
            <v>Не определено</v>
          </cell>
          <cell r="Q94" t="str">
            <v>Не определено</v>
          </cell>
          <cell r="R94" t="str">
            <v>Не определено</v>
          </cell>
          <cell r="S94" t="str">
            <v>Не определено</v>
          </cell>
        </row>
        <row r="95">
          <cell r="A95" t="str">
            <v>Обоснование причины отклонения (комментарий регулятора)</v>
          </cell>
          <cell r="H95">
            <v>1</v>
          </cell>
          <cell r="I95">
            <v>0</v>
          </cell>
          <cell r="K95" t="str">
            <v>Версия регулятора</v>
          </cell>
          <cell r="L95" t="str">
            <v>Не определено</v>
          </cell>
          <cell r="M95" t="str">
            <v>Не определено</v>
          </cell>
          <cell r="N95" t="str">
            <v>Не определено</v>
          </cell>
          <cell r="P95" t="str">
            <v>Не определено</v>
          </cell>
          <cell r="Q95" t="str">
            <v>Не определено</v>
          </cell>
          <cell r="R95" t="str">
            <v>Не определено</v>
          </cell>
          <cell r="S95" t="str">
            <v>Не определено</v>
          </cell>
        </row>
        <row r="96">
          <cell r="A96" t="str">
            <v>Рабочее пространство для комментариев и дополнительных расчетов (не будет загружено в БД)</v>
          </cell>
          <cell r="H96">
            <v>1</v>
          </cell>
          <cell r="I96">
            <v>0</v>
          </cell>
          <cell r="K96" t="str">
            <v>Не определено</v>
          </cell>
          <cell r="L96" t="str">
            <v>Не определено</v>
          </cell>
          <cell r="M96" t="str">
            <v>Не определено</v>
          </cell>
          <cell r="N96" t="str">
            <v>Не определено</v>
          </cell>
          <cell r="P96" t="str">
            <v>Не определено</v>
          </cell>
          <cell r="Q96" t="str">
            <v>Не определено</v>
          </cell>
          <cell r="R96" t="str">
            <v>Не определено</v>
          </cell>
          <cell r="S96" t="str">
            <v>Не определено</v>
          </cell>
        </row>
        <row r="97">
          <cell r="A97" t="str">
            <v>Рабочее пространство для комментариев и дополнительных расчетов (не будет загружено в БД)</v>
          </cell>
          <cell r="H97">
            <v>1</v>
          </cell>
          <cell r="I97">
            <v>0</v>
          </cell>
          <cell r="K97" t="str">
            <v>Не определено</v>
          </cell>
          <cell r="L97" t="str">
            <v>Не определено</v>
          </cell>
          <cell r="M97" t="str">
            <v>Не определено</v>
          </cell>
          <cell r="N97" t="str">
            <v>Не определено</v>
          </cell>
          <cell r="P97" t="str">
            <v>Не определено</v>
          </cell>
          <cell r="Q97" t="str">
            <v>Не определено</v>
          </cell>
          <cell r="R97" t="str">
            <v>Не определено</v>
          </cell>
          <cell r="S97" t="str">
            <v>Не определено</v>
          </cell>
        </row>
        <row r="98">
          <cell r="A98" t="str">
            <v>Рабочее пространство для комментариев и дополнительных расчетов (не будет загружено в БД)</v>
          </cell>
          <cell r="H98">
            <v>1</v>
          </cell>
          <cell r="I98">
            <v>0</v>
          </cell>
          <cell r="K98" t="str">
            <v>Не определено</v>
          </cell>
          <cell r="L98" t="str">
            <v>Не определено</v>
          </cell>
          <cell r="M98" t="str">
            <v>Не определено</v>
          </cell>
          <cell r="N98" t="str">
            <v>Не определено</v>
          </cell>
          <cell r="P98" t="str">
            <v>Не определено</v>
          </cell>
          <cell r="Q98" t="str">
            <v>Не определено</v>
          </cell>
          <cell r="R98" t="str">
            <v>Не определено</v>
          </cell>
          <cell r="S98" t="str">
            <v>Не определено</v>
          </cell>
        </row>
        <row r="99">
          <cell r="A99" t="str">
            <v>Рабочее пространство для комментариев и дополнительных расчетов (не будет загружено в БД)</v>
          </cell>
          <cell r="H99">
            <v>1</v>
          </cell>
          <cell r="I99">
            <v>0</v>
          </cell>
          <cell r="K99" t="str">
            <v>Не определено</v>
          </cell>
          <cell r="L99" t="str">
            <v>Не определено</v>
          </cell>
          <cell r="M99" t="str">
            <v>Не определено</v>
          </cell>
          <cell r="N99" t="str">
            <v>Не определено</v>
          </cell>
          <cell r="P99" t="str">
            <v>Не определено</v>
          </cell>
          <cell r="Q99" t="str">
            <v>Не определено</v>
          </cell>
          <cell r="R99" t="str">
            <v>Не определено</v>
          </cell>
          <cell r="S99" t="str">
            <v>Не определено</v>
          </cell>
        </row>
        <row r="100">
          <cell r="A100" t="str">
            <v>Рабочее пространство для комментариев и дополнительных расчетов (не будет загружено в БД)</v>
          </cell>
          <cell r="H100">
            <v>1</v>
          </cell>
          <cell r="I100">
            <v>0</v>
          </cell>
          <cell r="K100" t="str">
            <v>Не определено</v>
          </cell>
          <cell r="L100" t="str">
            <v>Не определено</v>
          </cell>
          <cell r="M100" t="str">
            <v>Не определено</v>
          </cell>
          <cell r="N100" t="str">
            <v>Не определено</v>
          </cell>
          <cell r="P100" t="str">
            <v>Не определено</v>
          </cell>
          <cell r="Q100" t="str">
            <v>Не определено</v>
          </cell>
          <cell r="R100" t="str">
            <v>Не определено</v>
          </cell>
          <cell r="S100" t="str">
            <v>Не определено</v>
          </cell>
        </row>
        <row r="101">
          <cell r="A101" t="str">
            <v>Рабочее пространство для комментариев и дополнительных расчетов (не будет загружено в БД)</v>
          </cell>
          <cell r="H101">
            <v>1</v>
          </cell>
          <cell r="I101">
            <v>0</v>
          </cell>
          <cell r="K101" t="str">
            <v>Не определено</v>
          </cell>
          <cell r="L101" t="str">
            <v>Не определено</v>
          </cell>
          <cell r="M101" t="str">
            <v>Не определено</v>
          </cell>
          <cell r="N101" t="str">
            <v>Не определено</v>
          </cell>
          <cell r="P101" t="str">
            <v>Не определено</v>
          </cell>
          <cell r="Q101" t="str">
            <v>Не определено</v>
          </cell>
          <cell r="R101" t="str">
            <v>Не определено</v>
          </cell>
          <cell r="S101" t="str">
            <v>Не определено</v>
          </cell>
        </row>
        <row r="102">
          <cell r="A102" t="str">
            <v>Рабочее пространство для комментариев и дополнительных расчетов (не будет загружено в БД)</v>
          </cell>
          <cell r="H102">
            <v>1</v>
          </cell>
          <cell r="I102">
            <v>0</v>
          </cell>
          <cell r="K102" t="str">
            <v>Не определено</v>
          </cell>
          <cell r="L102" t="str">
            <v>Не определено</v>
          </cell>
          <cell r="M102" t="str">
            <v>Не определено</v>
          </cell>
          <cell r="N102" t="str">
            <v>Не определено</v>
          </cell>
          <cell r="P102" t="str">
            <v>Не определено</v>
          </cell>
          <cell r="Q102" t="str">
            <v>Не определено</v>
          </cell>
          <cell r="R102" t="str">
            <v>Не определено</v>
          </cell>
          <cell r="S102" t="str">
            <v>Не определено</v>
          </cell>
        </row>
        <row r="103">
          <cell r="A103" t="str">
            <v>Рабочее пространство для комментариев и дополнительных расчетов (не будет загружено в БД)</v>
          </cell>
          <cell r="H103">
            <v>1</v>
          </cell>
          <cell r="I103">
            <v>0</v>
          </cell>
          <cell r="K103" t="str">
            <v>Не определено</v>
          </cell>
          <cell r="L103" t="str">
            <v>Не определено</v>
          </cell>
          <cell r="M103" t="str">
            <v>Не определено</v>
          </cell>
          <cell r="N103" t="str">
            <v>Не определено</v>
          </cell>
          <cell r="P103" t="str">
            <v>Не определено</v>
          </cell>
          <cell r="Q103" t="str">
            <v>Не определено</v>
          </cell>
          <cell r="R103" t="str">
            <v>Не определено</v>
          </cell>
          <cell r="S103" t="str">
            <v>Не определено</v>
          </cell>
        </row>
        <row r="104">
          <cell r="A104" t="str">
            <v>Рабочее пространство для комментариев и дополнительных расчетов (не будет загружено в БД)</v>
          </cell>
          <cell r="H104">
            <v>1</v>
          </cell>
          <cell r="I104">
            <v>0</v>
          </cell>
          <cell r="K104" t="str">
            <v>Не определено</v>
          </cell>
          <cell r="L104" t="str">
            <v>Не определено</v>
          </cell>
          <cell r="M104" t="str">
            <v>Не определено</v>
          </cell>
          <cell r="N104" t="str">
            <v>Не определено</v>
          </cell>
          <cell r="P104" t="str">
            <v>Не определено</v>
          </cell>
          <cell r="Q104" t="str">
            <v>Не определено</v>
          </cell>
          <cell r="R104" t="str">
            <v>Не определено</v>
          </cell>
          <cell r="S104" t="str">
            <v>Не определено</v>
          </cell>
        </row>
      </sheetData>
      <sheetData sheetId="61" refreshError="1"/>
      <sheetData sheetId="62" refreshError="1">
        <row r="95">
          <cell r="AU95" t="str">
            <v/>
          </cell>
        </row>
        <row r="96">
          <cell r="AU96">
            <v>0</v>
          </cell>
        </row>
        <row r="136">
          <cell r="AB136">
            <v>0</v>
          </cell>
        </row>
      </sheetData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>
        <row r="92">
          <cell r="AN92">
            <v>0</v>
          </cell>
          <cell r="AP92">
            <v>0</v>
          </cell>
          <cell r="AT92">
            <v>0</v>
          </cell>
          <cell r="AW92">
            <v>0</v>
          </cell>
        </row>
        <row r="93">
          <cell r="AN93">
            <v>0</v>
          </cell>
          <cell r="AP93">
            <v>0</v>
          </cell>
          <cell r="AT93">
            <v>0</v>
          </cell>
          <cell r="AW93">
            <v>0</v>
          </cell>
        </row>
        <row r="94">
          <cell r="AN94">
            <v>0</v>
          </cell>
          <cell r="AP94">
            <v>0</v>
          </cell>
          <cell r="AT94">
            <v>0</v>
          </cell>
          <cell r="AW94">
            <v>0</v>
          </cell>
        </row>
        <row r="95">
          <cell r="AN95">
            <v>0</v>
          </cell>
          <cell r="AP95">
            <v>0</v>
          </cell>
          <cell r="AT95">
            <v>0</v>
          </cell>
          <cell r="AW95">
            <v>0</v>
          </cell>
        </row>
        <row r="96">
          <cell r="AN96">
            <v>7.2000000000000064</v>
          </cell>
          <cell r="AP96">
            <v>4.2000000000000037</v>
          </cell>
          <cell r="AT96">
            <v>4.0000000000000036</v>
          </cell>
          <cell r="AW96">
            <v>4.0000000000000036</v>
          </cell>
        </row>
        <row r="97">
          <cell r="AN97">
            <v>0</v>
          </cell>
          <cell r="AP97">
            <v>0</v>
          </cell>
          <cell r="AT97">
            <v>0</v>
          </cell>
          <cell r="AW97">
            <v>0</v>
          </cell>
        </row>
        <row r="98">
          <cell r="AN98">
            <v>0</v>
          </cell>
          <cell r="AP98">
            <v>0</v>
          </cell>
          <cell r="AT98">
            <v>0</v>
          </cell>
          <cell r="AW98">
            <v>0</v>
          </cell>
        </row>
        <row r="99">
          <cell r="AN99">
            <v>1114.3880000000001</v>
          </cell>
          <cell r="AP99">
            <v>1114.3880000000001</v>
          </cell>
          <cell r="AT99">
            <v>1114.3880000000001</v>
          </cell>
          <cell r="AW99">
            <v>1114.3880000000001</v>
          </cell>
        </row>
        <row r="100">
          <cell r="AN100">
            <v>0</v>
          </cell>
          <cell r="AP100">
            <v>0</v>
          </cell>
          <cell r="AT100">
            <v>0</v>
          </cell>
          <cell r="AW100">
            <v>0</v>
          </cell>
        </row>
        <row r="101">
          <cell r="AN101">
            <v>0</v>
          </cell>
          <cell r="AP101">
            <v>0</v>
          </cell>
          <cell r="AT101">
            <v>0</v>
          </cell>
          <cell r="AW101">
            <v>0</v>
          </cell>
        </row>
        <row r="102">
          <cell r="AN102">
            <v>0</v>
          </cell>
          <cell r="AP102">
            <v>0</v>
          </cell>
          <cell r="AT102">
            <v>0</v>
          </cell>
          <cell r="AW102">
            <v>0</v>
          </cell>
        </row>
        <row r="103">
          <cell r="AN103">
            <v>30097.680999999997</v>
          </cell>
          <cell r="AP103">
            <v>305.12400000000002</v>
          </cell>
          <cell r="AT103">
            <v>305.12400000000002</v>
          </cell>
          <cell r="AW103">
            <v>305.12400000000002</v>
          </cell>
        </row>
        <row r="104">
          <cell r="AN104">
            <v>15048.840499999998</v>
          </cell>
          <cell r="AP104">
            <v>152.56200000000001</v>
          </cell>
          <cell r="AT104">
            <v>152.56200000000001</v>
          </cell>
          <cell r="AW104">
            <v>152.56200000000001</v>
          </cell>
        </row>
        <row r="105">
          <cell r="AN105">
            <v>15048.840499999998</v>
          </cell>
          <cell r="AP105">
            <v>152.56200000000001</v>
          </cell>
          <cell r="AT105">
            <v>152.56200000000001</v>
          </cell>
          <cell r="AW105">
            <v>152.56200000000001</v>
          </cell>
        </row>
        <row r="106">
          <cell r="AN106">
            <v>0</v>
          </cell>
          <cell r="AP106">
            <v>0</v>
          </cell>
          <cell r="AT106">
            <v>0</v>
          </cell>
          <cell r="AW106">
            <v>0</v>
          </cell>
        </row>
        <row r="107">
          <cell r="AN107">
            <v>0</v>
          </cell>
          <cell r="AP107">
            <v>0</v>
          </cell>
          <cell r="AT107">
            <v>0</v>
          </cell>
          <cell r="AW107">
            <v>0</v>
          </cell>
        </row>
        <row r="108">
          <cell r="AN108">
            <v>0</v>
          </cell>
          <cell r="AP108">
            <v>0</v>
          </cell>
          <cell r="AT108">
            <v>0</v>
          </cell>
          <cell r="AW108">
            <v>0</v>
          </cell>
        </row>
        <row r="109">
          <cell r="AN109">
            <v>0</v>
          </cell>
          <cell r="AP109">
            <v>0</v>
          </cell>
          <cell r="AT109">
            <v>0</v>
          </cell>
          <cell r="AW109">
            <v>0</v>
          </cell>
        </row>
        <row r="110">
          <cell r="AN110">
            <v>0</v>
          </cell>
          <cell r="AP110">
            <v>0</v>
          </cell>
          <cell r="AT110">
            <v>0</v>
          </cell>
          <cell r="AW110">
            <v>0</v>
          </cell>
        </row>
        <row r="111">
          <cell r="AN111">
            <v>0</v>
          </cell>
          <cell r="AP111">
            <v>0</v>
          </cell>
          <cell r="AT111">
            <v>0</v>
          </cell>
          <cell r="AW111">
            <v>0</v>
          </cell>
        </row>
        <row r="112">
          <cell r="AN112">
            <v>0</v>
          </cell>
          <cell r="AP112">
            <v>0</v>
          </cell>
          <cell r="AT112">
            <v>0</v>
          </cell>
          <cell r="AW112">
            <v>0</v>
          </cell>
        </row>
      </sheetData>
      <sheetData sheetId="78" refreshError="1">
        <row r="94">
          <cell r="K94">
            <v>191207.37217228732</v>
          </cell>
          <cell r="O94">
            <v>0</v>
          </cell>
          <cell r="P94">
            <v>0</v>
          </cell>
        </row>
        <row r="108">
          <cell r="K108">
            <v>0</v>
          </cell>
          <cell r="O108">
            <v>0</v>
          </cell>
          <cell r="P108">
            <v>0</v>
          </cell>
        </row>
        <row r="119">
          <cell r="K119">
            <v>322113.48100000003</v>
          </cell>
          <cell r="O119">
            <v>0</v>
          </cell>
          <cell r="P119">
            <v>0</v>
          </cell>
        </row>
        <row r="120">
          <cell r="K120">
            <v>54315.641609334954</v>
          </cell>
          <cell r="O120">
            <v>0</v>
          </cell>
          <cell r="P120">
            <v>0</v>
          </cell>
        </row>
        <row r="121">
          <cell r="K121">
            <v>494.2</v>
          </cell>
          <cell r="O121">
            <v>0</v>
          </cell>
          <cell r="P121">
            <v>0</v>
          </cell>
        </row>
        <row r="122">
          <cell r="K122">
            <v>98824.788800000009</v>
          </cell>
          <cell r="O122">
            <v>0</v>
          </cell>
          <cell r="P122">
            <v>0</v>
          </cell>
        </row>
        <row r="125">
          <cell r="K125">
            <v>0</v>
          </cell>
          <cell r="O125">
            <v>0</v>
          </cell>
          <cell r="P125">
            <v>0</v>
          </cell>
        </row>
        <row r="131">
          <cell r="K131">
            <v>4648.5200000000004</v>
          </cell>
          <cell r="O131">
            <v>0</v>
          </cell>
          <cell r="P131">
            <v>0</v>
          </cell>
        </row>
        <row r="132">
          <cell r="K132">
            <v>0</v>
          </cell>
          <cell r="O132">
            <v>0</v>
          </cell>
          <cell r="P132">
            <v>0</v>
          </cell>
        </row>
        <row r="137">
          <cell r="K137">
            <v>10712.634999999998</v>
          </cell>
          <cell r="O137">
            <v>0</v>
          </cell>
          <cell r="P137">
            <v>0</v>
          </cell>
        </row>
        <row r="138">
          <cell r="K138">
            <v>38974.979999999996</v>
          </cell>
          <cell r="O138">
            <v>0</v>
          </cell>
          <cell r="P138">
            <v>0</v>
          </cell>
        </row>
        <row r="139">
          <cell r="K139">
            <v>38536.280660000004</v>
          </cell>
          <cell r="O139">
            <v>0</v>
          </cell>
          <cell r="P139">
            <v>0</v>
          </cell>
        </row>
        <row r="140">
          <cell r="K140">
            <v>28409.97</v>
          </cell>
          <cell r="O140">
            <v>0</v>
          </cell>
          <cell r="P140">
            <v>0</v>
          </cell>
        </row>
        <row r="141">
          <cell r="K141">
            <v>58456.728395061727</v>
          </cell>
          <cell r="O141">
            <v>0</v>
          </cell>
          <cell r="P141">
            <v>0</v>
          </cell>
        </row>
        <row r="142">
          <cell r="K142">
            <v>40.5</v>
          </cell>
          <cell r="O142">
            <v>0</v>
          </cell>
          <cell r="P142">
            <v>0</v>
          </cell>
        </row>
        <row r="143">
          <cell r="K143">
            <v>10126.310660000001</v>
          </cell>
          <cell r="O143">
            <v>0</v>
          </cell>
          <cell r="P143">
            <v>0</v>
          </cell>
        </row>
        <row r="144">
          <cell r="K144">
            <v>35.643510570408907</v>
          </cell>
          <cell r="O144">
            <v>0</v>
          </cell>
          <cell r="P144">
            <v>0</v>
          </cell>
        </row>
        <row r="145">
          <cell r="K145">
            <v>122975.09441200001</v>
          </cell>
          <cell r="O145">
            <v>0</v>
          </cell>
          <cell r="P145">
            <v>0</v>
          </cell>
        </row>
        <row r="146">
          <cell r="K146">
            <v>14368.259</v>
          </cell>
          <cell r="O146">
            <v>0</v>
          </cell>
          <cell r="P146">
            <v>0</v>
          </cell>
        </row>
        <row r="147">
          <cell r="K147">
            <v>2073.7040000000002</v>
          </cell>
          <cell r="O147">
            <v>0</v>
          </cell>
          <cell r="P147">
            <v>0</v>
          </cell>
        </row>
        <row r="148">
          <cell r="K148">
            <v>26.22</v>
          </cell>
          <cell r="O148">
            <v>0</v>
          </cell>
          <cell r="P148">
            <v>0</v>
          </cell>
        </row>
        <row r="149">
          <cell r="K149">
            <v>792.68299999999999</v>
          </cell>
          <cell r="O149">
            <v>0</v>
          </cell>
          <cell r="P149">
            <v>0</v>
          </cell>
        </row>
        <row r="150">
          <cell r="K150">
            <v>1460.3030000000001</v>
          </cell>
          <cell r="O150">
            <v>0</v>
          </cell>
          <cell r="P150">
            <v>0</v>
          </cell>
        </row>
        <row r="151">
          <cell r="K151">
            <v>0</v>
          </cell>
          <cell r="O151">
            <v>0</v>
          </cell>
          <cell r="P151">
            <v>0</v>
          </cell>
        </row>
        <row r="152">
          <cell r="K152">
            <v>10015.349</v>
          </cell>
          <cell r="O152">
            <v>0</v>
          </cell>
          <cell r="P152">
            <v>0</v>
          </cell>
        </row>
        <row r="153">
          <cell r="K153">
            <v>0</v>
          </cell>
          <cell r="O153">
            <v>0</v>
          </cell>
          <cell r="P153">
            <v>0</v>
          </cell>
        </row>
        <row r="154">
          <cell r="K154">
            <v>87152.372411999997</v>
          </cell>
          <cell r="O154">
            <v>0</v>
          </cell>
          <cell r="P154">
            <v>0</v>
          </cell>
        </row>
        <row r="155">
          <cell r="K155">
            <v>66937.305999999997</v>
          </cell>
          <cell r="O155">
            <v>0</v>
          </cell>
          <cell r="P155">
            <v>0</v>
          </cell>
        </row>
        <row r="156">
          <cell r="K156">
            <v>79710.043345717815</v>
          </cell>
          <cell r="O156">
            <v>0</v>
          </cell>
          <cell r="P156">
            <v>0</v>
          </cell>
        </row>
        <row r="157">
          <cell r="K157">
            <v>69.98</v>
          </cell>
          <cell r="O157">
            <v>0</v>
          </cell>
          <cell r="P157">
            <v>0</v>
          </cell>
        </row>
        <row r="158">
          <cell r="K158">
            <v>20215.066412</v>
          </cell>
          <cell r="O158">
            <v>0</v>
          </cell>
          <cell r="P158">
            <v>0</v>
          </cell>
        </row>
        <row r="159">
          <cell r="K159">
            <v>30.2</v>
          </cell>
          <cell r="O159">
            <v>0</v>
          </cell>
          <cell r="P159">
            <v>0</v>
          </cell>
        </row>
        <row r="160">
          <cell r="K160">
            <v>0</v>
          </cell>
          <cell r="O160">
            <v>0</v>
          </cell>
          <cell r="P160">
            <v>0</v>
          </cell>
        </row>
        <row r="161">
          <cell r="K161">
            <v>830.47</v>
          </cell>
          <cell r="O161">
            <v>0</v>
          </cell>
          <cell r="P161">
            <v>0</v>
          </cell>
        </row>
        <row r="162">
          <cell r="K162">
            <v>801.41499999999996</v>
          </cell>
          <cell r="O162">
            <v>0</v>
          </cell>
          <cell r="P162">
            <v>0</v>
          </cell>
        </row>
        <row r="163">
          <cell r="K163">
            <v>0</v>
          </cell>
          <cell r="O163">
            <v>0</v>
          </cell>
          <cell r="P163">
            <v>0</v>
          </cell>
        </row>
        <row r="164">
          <cell r="K164">
            <v>19822.578000000001</v>
          </cell>
          <cell r="O164">
            <v>0</v>
          </cell>
          <cell r="P164">
            <v>0</v>
          </cell>
        </row>
        <row r="165">
          <cell r="K165">
            <v>89.165999999999997</v>
          </cell>
          <cell r="O165">
            <v>0</v>
          </cell>
          <cell r="P165">
            <v>0</v>
          </cell>
        </row>
        <row r="166">
          <cell r="K166">
            <v>61.27</v>
          </cell>
          <cell r="O166">
            <v>0</v>
          </cell>
          <cell r="P166">
            <v>0</v>
          </cell>
        </row>
        <row r="167">
          <cell r="K167">
            <v>19672.142</v>
          </cell>
          <cell r="O167">
            <v>0</v>
          </cell>
          <cell r="P167">
            <v>0</v>
          </cell>
        </row>
        <row r="168">
          <cell r="K168">
            <v>92064.871960000004</v>
          </cell>
          <cell r="O168">
            <v>0</v>
          </cell>
          <cell r="P168">
            <v>0</v>
          </cell>
        </row>
        <row r="169">
          <cell r="K169">
            <v>618.02</v>
          </cell>
          <cell r="O169">
            <v>0</v>
          </cell>
          <cell r="P169">
            <v>0</v>
          </cell>
        </row>
        <row r="170">
          <cell r="K170">
            <v>198019.21970000002</v>
          </cell>
          <cell r="O170">
            <v>0</v>
          </cell>
          <cell r="P170">
            <v>0</v>
          </cell>
        </row>
      </sheetData>
      <sheetData sheetId="79" refreshError="1"/>
      <sheetData sheetId="80" refreshError="1"/>
      <sheetData sheetId="81" refreshError="1">
        <row r="92">
          <cell r="W92">
            <v>0</v>
          </cell>
          <cell r="AA92">
            <v>0</v>
          </cell>
          <cell r="AC92">
            <v>0</v>
          </cell>
          <cell r="AE92">
            <v>0</v>
          </cell>
          <cell r="AG92">
            <v>0</v>
          </cell>
          <cell r="AI92">
            <v>0</v>
          </cell>
        </row>
        <row r="93">
          <cell r="W93">
            <v>0</v>
          </cell>
          <cell r="AA93">
            <v>0</v>
          </cell>
          <cell r="AC93">
            <v>0</v>
          </cell>
          <cell r="AE93">
            <v>0</v>
          </cell>
          <cell r="AG93">
            <v>0</v>
          </cell>
          <cell r="AI93">
            <v>0</v>
          </cell>
        </row>
        <row r="94">
          <cell r="W94">
            <v>0</v>
          </cell>
          <cell r="AA94">
            <v>0</v>
          </cell>
          <cell r="AC94">
            <v>0</v>
          </cell>
          <cell r="AE94">
            <v>0</v>
          </cell>
          <cell r="AG94">
            <v>0</v>
          </cell>
          <cell r="AI94">
            <v>0</v>
          </cell>
        </row>
        <row r="95">
          <cell r="W95">
            <v>0.01</v>
          </cell>
          <cell r="AA95">
            <v>0</v>
          </cell>
          <cell r="AC95">
            <v>0</v>
          </cell>
          <cell r="AE95">
            <v>0</v>
          </cell>
          <cell r="AG95">
            <v>0</v>
          </cell>
          <cell r="AI95">
            <v>0</v>
          </cell>
        </row>
        <row r="96">
          <cell r="W96">
            <v>7.2000000000000064E-2</v>
          </cell>
          <cell r="AA96">
            <v>4.2000000000000037E-2</v>
          </cell>
          <cell r="AC96">
            <v>4.0000000000000036E-2</v>
          </cell>
          <cell r="AE96">
            <v>4.0000000000000036E-2</v>
          </cell>
          <cell r="AG96">
            <v>4.0000000000000036E-2</v>
          </cell>
          <cell r="AI96">
            <v>4.0000000000000036E-2</v>
          </cell>
        </row>
        <row r="97">
          <cell r="W97">
            <v>0</v>
          </cell>
          <cell r="AA97">
            <v>934305.84243568522</v>
          </cell>
          <cell r="AC97">
            <v>971678.07613311266</v>
          </cell>
          <cell r="AE97">
            <v>1010545.1991784372</v>
          </cell>
          <cell r="AG97">
            <v>1050967.0071455748</v>
          </cell>
          <cell r="AI97">
            <v>1093005.6874313978</v>
          </cell>
        </row>
        <row r="98">
          <cell r="W98">
            <v>0</v>
          </cell>
          <cell r="AA98">
            <v>0</v>
          </cell>
          <cell r="AC98">
            <v>0</v>
          </cell>
          <cell r="AE98">
            <v>0</v>
          </cell>
          <cell r="AG98">
            <v>0</v>
          </cell>
          <cell r="AI98">
            <v>0</v>
          </cell>
        </row>
      </sheetData>
      <sheetData sheetId="82" refreshError="1">
        <row r="92">
          <cell r="Z92">
            <v>0</v>
          </cell>
          <cell r="AD92">
            <v>0</v>
          </cell>
          <cell r="AH92">
            <v>0</v>
          </cell>
          <cell r="AL92">
            <v>0</v>
          </cell>
        </row>
        <row r="93">
          <cell r="Z93">
            <v>0</v>
          </cell>
          <cell r="AD93">
            <v>0</v>
          </cell>
          <cell r="AH93">
            <v>0</v>
          </cell>
          <cell r="AL93">
            <v>0</v>
          </cell>
        </row>
        <row r="94">
          <cell r="Z94">
            <v>0</v>
          </cell>
          <cell r="AD94">
            <v>0</v>
          </cell>
          <cell r="AH94">
            <v>0</v>
          </cell>
          <cell r="AL94">
            <v>0</v>
          </cell>
        </row>
        <row r="95">
          <cell r="Z95">
            <v>0</v>
          </cell>
          <cell r="AD95">
            <v>0</v>
          </cell>
          <cell r="AH95">
            <v>0</v>
          </cell>
          <cell r="AL95">
            <v>0</v>
          </cell>
        </row>
        <row r="96">
          <cell r="Z96">
            <v>0</v>
          </cell>
          <cell r="AD96">
            <v>0</v>
          </cell>
          <cell r="AH96">
            <v>0</v>
          </cell>
          <cell r="AL96">
            <v>0</v>
          </cell>
        </row>
        <row r="97">
          <cell r="Z97">
            <v>0</v>
          </cell>
          <cell r="AD97">
            <v>0</v>
          </cell>
          <cell r="AH97">
            <v>0</v>
          </cell>
          <cell r="AL97">
            <v>0</v>
          </cell>
        </row>
        <row r="98">
          <cell r="Z98">
            <v>0</v>
          </cell>
          <cell r="AD98">
            <v>0</v>
          </cell>
          <cell r="AH98">
            <v>0</v>
          </cell>
          <cell r="AL98">
            <v>0</v>
          </cell>
        </row>
        <row r="99">
          <cell r="Z99">
            <v>0</v>
          </cell>
          <cell r="AD99">
            <v>0</v>
          </cell>
          <cell r="AH99">
            <v>0</v>
          </cell>
          <cell r="AL99">
            <v>0</v>
          </cell>
        </row>
        <row r="100">
          <cell r="Z100">
            <v>0</v>
          </cell>
          <cell r="AD100">
            <v>0</v>
          </cell>
          <cell r="AH100">
            <v>0</v>
          </cell>
          <cell r="AL100">
            <v>0</v>
          </cell>
        </row>
        <row r="101">
          <cell r="Z101">
            <v>0</v>
          </cell>
          <cell r="AD101">
            <v>0</v>
          </cell>
          <cell r="AH101">
            <v>0</v>
          </cell>
          <cell r="AL101">
            <v>0</v>
          </cell>
        </row>
        <row r="102">
          <cell r="Z102">
            <v>0</v>
          </cell>
          <cell r="AD102">
            <v>0</v>
          </cell>
          <cell r="AH102">
            <v>0</v>
          </cell>
          <cell r="AL102">
            <v>0</v>
          </cell>
        </row>
        <row r="103">
          <cell r="Z103">
            <v>0</v>
          </cell>
          <cell r="AD103">
            <v>0</v>
          </cell>
          <cell r="AH103">
            <v>0</v>
          </cell>
          <cell r="AL103">
            <v>0</v>
          </cell>
        </row>
        <row r="104">
          <cell r="Z104">
            <v>0</v>
          </cell>
          <cell r="AD104">
            <v>0</v>
          </cell>
          <cell r="AH104">
            <v>0</v>
          </cell>
          <cell r="AL104">
            <v>0</v>
          </cell>
        </row>
        <row r="105">
          <cell r="Z105">
            <v>0</v>
          </cell>
          <cell r="AD105">
            <v>0</v>
          </cell>
          <cell r="AH105">
            <v>0</v>
          </cell>
          <cell r="AL105">
            <v>0</v>
          </cell>
        </row>
        <row r="106">
          <cell r="Z106">
            <v>0</v>
          </cell>
          <cell r="AD106">
            <v>0</v>
          </cell>
          <cell r="AH106">
            <v>0</v>
          </cell>
          <cell r="AL106">
            <v>0</v>
          </cell>
        </row>
        <row r="107">
          <cell r="Z107">
            <v>0</v>
          </cell>
          <cell r="AD107">
            <v>0</v>
          </cell>
          <cell r="AH107">
            <v>0</v>
          </cell>
          <cell r="AL107">
            <v>0</v>
          </cell>
        </row>
        <row r="108">
          <cell r="Z108">
            <v>0</v>
          </cell>
          <cell r="AD108">
            <v>0</v>
          </cell>
          <cell r="AH108">
            <v>0</v>
          </cell>
          <cell r="AL108">
            <v>0</v>
          </cell>
        </row>
        <row r="109">
          <cell r="Z109">
            <v>0</v>
          </cell>
          <cell r="AD109">
            <v>0</v>
          </cell>
          <cell r="AH109">
            <v>0</v>
          </cell>
          <cell r="AL109">
            <v>0</v>
          </cell>
        </row>
        <row r="110">
          <cell r="Z110">
            <v>0</v>
          </cell>
          <cell r="AD110">
            <v>0</v>
          </cell>
          <cell r="AH110">
            <v>0</v>
          </cell>
          <cell r="AL110">
            <v>0</v>
          </cell>
        </row>
        <row r="111">
          <cell r="Z111">
            <v>0</v>
          </cell>
          <cell r="AD111">
            <v>0</v>
          </cell>
          <cell r="AH111">
            <v>0</v>
          </cell>
          <cell r="AL111">
            <v>0</v>
          </cell>
        </row>
        <row r="112">
          <cell r="Z112">
            <v>0</v>
          </cell>
          <cell r="AD112">
            <v>0</v>
          </cell>
          <cell r="AH112">
            <v>0</v>
          </cell>
          <cell r="AL112">
            <v>0</v>
          </cell>
        </row>
        <row r="113">
          <cell r="Z113">
            <v>0</v>
          </cell>
          <cell r="AD113">
            <v>0</v>
          </cell>
          <cell r="AH113">
            <v>0</v>
          </cell>
          <cell r="AL113">
            <v>0</v>
          </cell>
        </row>
        <row r="114">
          <cell r="Z114">
            <v>0</v>
          </cell>
          <cell r="AD114">
            <v>0</v>
          </cell>
          <cell r="AH114">
            <v>0</v>
          </cell>
          <cell r="AL114">
            <v>0</v>
          </cell>
        </row>
        <row r="115">
          <cell r="Z115">
            <v>0</v>
          </cell>
          <cell r="AD115">
            <v>0</v>
          </cell>
          <cell r="AH115">
            <v>0</v>
          </cell>
          <cell r="AL115">
            <v>0</v>
          </cell>
        </row>
        <row r="116">
          <cell r="Z116">
            <v>0</v>
          </cell>
          <cell r="AD116">
            <v>0</v>
          </cell>
          <cell r="AH116">
            <v>0</v>
          </cell>
          <cell r="AL116">
            <v>0</v>
          </cell>
        </row>
        <row r="117">
          <cell r="Z117">
            <v>0</v>
          </cell>
          <cell r="AD117">
            <v>0</v>
          </cell>
          <cell r="AH117">
            <v>0</v>
          </cell>
          <cell r="AL117">
            <v>0</v>
          </cell>
        </row>
        <row r="118">
          <cell r="Z118">
            <v>0</v>
          </cell>
          <cell r="AD118">
            <v>0</v>
          </cell>
          <cell r="AH118">
            <v>0</v>
          </cell>
          <cell r="AL118">
            <v>0</v>
          </cell>
        </row>
        <row r="119">
          <cell r="Z119">
            <v>0</v>
          </cell>
          <cell r="AD119">
            <v>0</v>
          </cell>
          <cell r="AH119">
            <v>0</v>
          </cell>
          <cell r="AL119">
            <v>0</v>
          </cell>
        </row>
        <row r="120">
          <cell r="Z120">
            <v>0</v>
          </cell>
          <cell r="AD120">
            <v>0</v>
          </cell>
          <cell r="AH120">
            <v>0</v>
          </cell>
          <cell r="AL120">
            <v>0</v>
          </cell>
        </row>
        <row r="121">
          <cell r="Z121">
            <v>0</v>
          </cell>
          <cell r="AD121">
            <v>0</v>
          </cell>
          <cell r="AH121">
            <v>0</v>
          </cell>
          <cell r="AL121">
            <v>0</v>
          </cell>
        </row>
        <row r="122">
          <cell r="Z122">
            <v>0</v>
          </cell>
          <cell r="AD122">
            <v>0</v>
          </cell>
          <cell r="AH122">
            <v>0</v>
          </cell>
          <cell r="AL122">
            <v>0</v>
          </cell>
        </row>
        <row r="123">
          <cell r="Z123">
            <v>0</v>
          </cell>
          <cell r="AD123">
            <v>0</v>
          </cell>
          <cell r="AH123">
            <v>0</v>
          </cell>
          <cell r="AL123">
            <v>0</v>
          </cell>
        </row>
        <row r="124">
          <cell r="Z124">
            <v>0</v>
          </cell>
          <cell r="AD124">
            <v>0</v>
          </cell>
          <cell r="AH124">
            <v>0</v>
          </cell>
          <cell r="AL124">
            <v>0</v>
          </cell>
        </row>
        <row r="125">
          <cell r="Z125">
            <v>0</v>
          </cell>
          <cell r="AD125">
            <v>0</v>
          </cell>
          <cell r="AH125">
            <v>0</v>
          </cell>
          <cell r="AL125">
            <v>0</v>
          </cell>
        </row>
        <row r="126">
          <cell r="Z126">
            <v>0</v>
          </cell>
          <cell r="AD126">
            <v>0</v>
          </cell>
          <cell r="AH126">
            <v>0</v>
          </cell>
          <cell r="AL126">
            <v>0</v>
          </cell>
        </row>
        <row r="127">
          <cell r="Z127">
            <v>0</v>
          </cell>
          <cell r="AD127">
            <v>0</v>
          </cell>
          <cell r="AH127">
            <v>0</v>
          </cell>
          <cell r="AL127">
            <v>0</v>
          </cell>
        </row>
        <row r="128">
          <cell r="Z128">
            <v>0</v>
          </cell>
          <cell r="AD128">
            <v>0</v>
          </cell>
          <cell r="AH128">
            <v>0</v>
          </cell>
          <cell r="AL128">
            <v>0</v>
          </cell>
        </row>
        <row r="129">
          <cell r="Z129">
            <v>0</v>
          </cell>
          <cell r="AD129">
            <v>0</v>
          </cell>
          <cell r="AH129">
            <v>0</v>
          </cell>
          <cell r="AL129">
            <v>0</v>
          </cell>
        </row>
        <row r="130">
          <cell r="Z130">
            <v>0</v>
          </cell>
          <cell r="AD130">
            <v>0</v>
          </cell>
          <cell r="AH130">
            <v>0</v>
          </cell>
          <cell r="AL130">
            <v>0</v>
          </cell>
        </row>
        <row r="131">
          <cell r="Z131">
            <v>0</v>
          </cell>
          <cell r="AD131">
            <v>0</v>
          </cell>
          <cell r="AH131">
            <v>0</v>
          </cell>
          <cell r="AL131">
            <v>0</v>
          </cell>
        </row>
        <row r="132">
          <cell r="AH132">
            <v>0</v>
          </cell>
        </row>
      </sheetData>
      <sheetData sheetId="83" refreshError="1">
        <row r="92">
          <cell r="U92">
            <v>1</v>
          </cell>
          <cell r="Y92">
            <v>1</v>
          </cell>
          <cell r="AD92">
            <v>0</v>
          </cell>
          <cell r="AH92">
            <v>0</v>
          </cell>
          <cell r="AL92">
            <v>0</v>
          </cell>
          <cell r="AP92">
            <v>0</v>
          </cell>
          <cell r="AT92">
            <v>0</v>
          </cell>
        </row>
        <row r="93">
          <cell r="U93">
            <v>14345.811170514253</v>
          </cell>
          <cell r="Y93">
            <v>934305.84243568522</v>
          </cell>
          <cell r="AD93">
            <v>971678.07613311266</v>
          </cell>
          <cell r="AH93">
            <v>1010545.1991784372</v>
          </cell>
          <cell r="AL93">
            <v>1050967.0071455748</v>
          </cell>
          <cell r="AP93">
            <v>1093005.6874313978</v>
          </cell>
          <cell r="AT93">
            <v>0</v>
          </cell>
        </row>
        <row r="94">
          <cell r="U94">
            <v>14345.811170514253</v>
          </cell>
          <cell r="Y94">
            <v>934305.84243568522</v>
          </cell>
          <cell r="AD94">
            <v>971678.07613311266</v>
          </cell>
          <cell r="AH94">
            <v>1010545.1991784372</v>
          </cell>
          <cell r="AL94">
            <v>1050967.0071455748</v>
          </cell>
          <cell r="AP94">
            <v>1093005.6874313978</v>
          </cell>
          <cell r="AT94">
            <v>0</v>
          </cell>
        </row>
        <row r="95">
          <cell r="U95">
            <v>0</v>
          </cell>
          <cell r="Y95">
            <v>934305.84243568522</v>
          </cell>
          <cell r="AD95">
            <v>971678.07613311266</v>
          </cell>
          <cell r="AH95">
            <v>1010545.1991784372</v>
          </cell>
          <cell r="AL95">
            <v>1050967.0071455748</v>
          </cell>
          <cell r="AP95">
            <v>1093005.6874313978</v>
          </cell>
          <cell r="AT95">
            <v>0</v>
          </cell>
        </row>
        <row r="96">
          <cell r="U96">
            <v>0.01</v>
          </cell>
          <cell r="Y96">
            <v>0</v>
          </cell>
          <cell r="AD96">
            <v>0</v>
          </cell>
          <cell r="AH96">
            <v>0</v>
          </cell>
          <cell r="AL96">
            <v>0</v>
          </cell>
          <cell r="AP96">
            <v>0</v>
          </cell>
          <cell r="AT96">
            <v>0</v>
          </cell>
        </row>
        <row r="97">
          <cell r="U97">
            <v>7.2000000000000064E-2</v>
          </cell>
          <cell r="Y97">
            <v>4.2000000000000037E-2</v>
          </cell>
          <cell r="AD97">
            <v>4.0000000000000036E-2</v>
          </cell>
          <cell r="AH97">
            <v>4.0000000000000036E-2</v>
          </cell>
          <cell r="AL97">
            <v>4.0000000000000036E-2</v>
          </cell>
          <cell r="AP97">
            <v>4.0000000000000036E-2</v>
          </cell>
          <cell r="AT97">
            <v>0</v>
          </cell>
        </row>
        <row r="98">
          <cell r="U98">
            <v>0</v>
          </cell>
          <cell r="Y98">
            <v>0</v>
          </cell>
          <cell r="AD98">
            <v>0</v>
          </cell>
          <cell r="AH98">
            <v>0</v>
          </cell>
          <cell r="AL98">
            <v>0</v>
          </cell>
          <cell r="AP98">
            <v>0</v>
          </cell>
          <cell r="AT98">
            <v>0</v>
          </cell>
        </row>
        <row r="99">
          <cell r="U99">
            <v>1</v>
          </cell>
          <cell r="Y99">
            <v>1</v>
          </cell>
          <cell r="AD99">
            <v>0</v>
          </cell>
          <cell r="AH99">
            <v>0</v>
          </cell>
          <cell r="AL99">
            <v>0</v>
          </cell>
          <cell r="AP99">
            <v>0</v>
          </cell>
          <cell r="AT99">
            <v>0</v>
          </cell>
        </row>
        <row r="100">
          <cell r="U100">
            <v>0</v>
          </cell>
          <cell r="Y100">
            <v>0</v>
          </cell>
          <cell r="AD100">
            <v>0</v>
          </cell>
          <cell r="AH100">
            <v>0</v>
          </cell>
          <cell r="AL100">
            <v>0</v>
          </cell>
          <cell r="AP100">
            <v>0</v>
          </cell>
          <cell r="AT100">
            <v>0</v>
          </cell>
        </row>
        <row r="101">
          <cell r="U101">
            <v>14345.811170514253</v>
          </cell>
          <cell r="Y101">
            <v>0</v>
          </cell>
          <cell r="AD101">
            <v>0</v>
          </cell>
          <cell r="AH101">
            <v>0</v>
          </cell>
          <cell r="AL101">
            <v>0</v>
          </cell>
          <cell r="AP101">
            <v>0</v>
          </cell>
          <cell r="AT101">
            <v>0</v>
          </cell>
        </row>
        <row r="102">
          <cell r="U102">
            <v>0</v>
          </cell>
          <cell r="Y102">
            <v>0</v>
          </cell>
          <cell r="AD102">
            <v>0</v>
          </cell>
          <cell r="AH102">
            <v>0</v>
          </cell>
          <cell r="AL102">
            <v>0</v>
          </cell>
          <cell r="AP102">
            <v>0</v>
          </cell>
          <cell r="AT102">
            <v>0</v>
          </cell>
        </row>
        <row r="103">
          <cell r="U103">
            <v>0</v>
          </cell>
          <cell r="Y103">
            <v>0</v>
          </cell>
          <cell r="AD103">
            <v>0</v>
          </cell>
          <cell r="AH103">
            <v>0</v>
          </cell>
          <cell r="AL103">
            <v>0</v>
          </cell>
          <cell r="AP103">
            <v>0</v>
          </cell>
          <cell r="AT103">
            <v>0</v>
          </cell>
        </row>
        <row r="104">
          <cell r="U104">
            <v>0</v>
          </cell>
          <cell r="Y104">
            <v>0</v>
          </cell>
          <cell r="AD104">
            <v>0</v>
          </cell>
          <cell r="AH104">
            <v>0</v>
          </cell>
          <cell r="AL104">
            <v>0</v>
          </cell>
          <cell r="AP104">
            <v>0</v>
          </cell>
          <cell r="AT104">
            <v>0</v>
          </cell>
        </row>
        <row r="105">
          <cell r="U105">
            <v>0</v>
          </cell>
          <cell r="Y105">
            <v>0</v>
          </cell>
          <cell r="AD105">
            <v>0</v>
          </cell>
          <cell r="AH105">
            <v>0</v>
          </cell>
          <cell r="AL105">
            <v>0</v>
          </cell>
          <cell r="AP105">
            <v>0</v>
          </cell>
          <cell r="AT105">
            <v>0</v>
          </cell>
        </row>
        <row r="106">
          <cell r="U106">
            <v>0</v>
          </cell>
          <cell r="Y106">
            <v>0</v>
          </cell>
          <cell r="AD106">
            <v>0</v>
          </cell>
          <cell r="AH106">
            <v>0</v>
          </cell>
          <cell r="AL106">
            <v>0</v>
          </cell>
          <cell r="AP106">
            <v>0</v>
          </cell>
          <cell r="AT106">
            <v>0</v>
          </cell>
        </row>
        <row r="107">
          <cell r="U107">
            <v>0</v>
          </cell>
          <cell r="Y107">
            <v>0</v>
          </cell>
          <cell r="AD107">
            <v>0</v>
          </cell>
          <cell r="AH107">
            <v>0</v>
          </cell>
          <cell r="AL107">
            <v>0</v>
          </cell>
          <cell r="AP107">
            <v>0</v>
          </cell>
          <cell r="AT107">
            <v>0</v>
          </cell>
        </row>
        <row r="108">
          <cell r="U108">
            <v>0</v>
          </cell>
          <cell r="Y108">
            <v>0</v>
          </cell>
          <cell r="AD108">
            <v>0</v>
          </cell>
          <cell r="AH108">
            <v>0</v>
          </cell>
          <cell r="AL108">
            <v>0</v>
          </cell>
          <cell r="AP108">
            <v>0</v>
          </cell>
          <cell r="AT108">
            <v>0</v>
          </cell>
        </row>
        <row r="109">
          <cell r="U109">
            <v>0</v>
          </cell>
          <cell r="Y109">
            <v>0</v>
          </cell>
          <cell r="AD109">
            <v>0</v>
          </cell>
          <cell r="AH109">
            <v>0</v>
          </cell>
          <cell r="AL109">
            <v>0</v>
          </cell>
          <cell r="AP109">
            <v>0</v>
          </cell>
          <cell r="AT109">
            <v>0</v>
          </cell>
        </row>
        <row r="110">
          <cell r="U110">
            <v>0</v>
          </cell>
          <cell r="Y110">
            <v>0</v>
          </cell>
          <cell r="AD110">
            <v>0</v>
          </cell>
          <cell r="AH110">
            <v>0</v>
          </cell>
          <cell r="AL110">
            <v>0</v>
          </cell>
          <cell r="AP110">
            <v>0</v>
          </cell>
          <cell r="AT110">
            <v>0</v>
          </cell>
        </row>
        <row r="111">
          <cell r="U111">
            <v>0</v>
          </cell>
          <cell r="Y111">
            <v>0</v>
          </cell>
          <cell r="AD111">
            <v>0</v>
          </cell>
          <cell r="AH111">
            <v>0</v>
          </cell>
          <cell r="AL111">
            <v>0</v>
          </cell>
          <cell r="AP111">
            <v>0</v>
          </cell>
          <cell r="AT111">
            <v>0</v>
          </cell>
        </row>
        <row r="112">
          <cell r="U112">
            <v>0</v>
          </cell>
          <cell r="Y112">
            <v>0</v>
          </cell>
          <cell r="AD112">
            <v>0</v>
          </cell>
          <cell r="AH112">
            <v>0</v>
          </cell>
          <cell r="AL112">
            <v>0</v>
          </cell>
          <cell r="AP112">
            <v>0</v>
          </cell>
          <cell r="AT112">
            <v>0</v>
          </cell>
        </row>
        <row r="113">
          <cell r="U113">
            <v>0</v>
          </cell>
          <cell r="Y113">
            <v>0</v>
          </cell>
          <cell r="AD113">
            <v>0</v>
          </cell>
          <cell r="AH113">
            <v>0</v>
          </cell>
          <cell r="AL113">
            <v>0</v>
          </cell>
          <cell r="AP113">
            <v>0</v>
          </cell>
          <cell r="AT113">
            <v>0</v>
          </cell>
        </row>
        <row r="114">
          <cell r="U114">
            <v>0</v>
          </cell>
          <cell r="Y114">
            <v>0</v>
          </cell>
          <cell r="AD114">
            <v>0</v>
          </cell>
          <cell r="AH114">
            <v>0</v>
          </cell>
          <cell r="AL114">
            <v>0</v>
          </cell>
          <cell r="AP114">
            <v>0</v>
          </cell>
          <cell r="AT114">
            <v>0</v>
          </cell>
        </row>
        <row r="115">
          <cell r="U115">
            <v>0</v>
          </cell>
          <cell r="Y115">
            <v>0</v>
          </cell>
          <cell r="AD115">
            <v>0</v>
          </cell>
          <cell r="AH115">
            <v>0</v>
          </cell>
          <cell r="AL115">
            <v>0</v>
          </cell>
          <cell r="AP115">
            <v>0</v>
          </cell>
          <cell r="AT115">
            <v>0</v>
          </cell>
        </row>
        <row r="116">
          <cell r="U116">
            <v>0</v>
          </cell>
          <cell r="Y116">
            <v>0</v>
          </cell>
          <cell r="AD116">
            <v>0</v>
          </cell>
          <cell r="AH116">
            <v>0</v>
          </cell>
          <cell r="AL116">
            <v>0</v>
          </cell>
          <cell r="AP116">
            <v>0</v>
          </cell>
          <cell r="AT116">
            <v>0</v>
          </cell>
        </row>
        <row r="117">
          <cell r="U117">
            <v>0</v>
          </cell>
          <cell r="Y117">
            <v>439041.79401825438</v>
          </cell>
          <cell r="AD117">
            <v>0</v>
          </cell>
          <cell r="AH117">
            <v>0</v>
          </cell>
          <cell r="AL117">
            <v>0</v>
          </cell>
          <cell r="AP117">
            <v>0</v>
          </cell>
          <cell r="AT117">
            <v>0</v>
          </cell>
        </row>
        <row r="118">
          <cell r="U118">
            <v>0</v>
          </cell>
          <cell r="Y118">
            <v>0</v>
          </cell>
          <cell r="AD118">
            <v>0</v>
          </cell>
          <cell r="AH118">
            <v>0</v>
          </cell>
          <cell r="AL118">
            <v>0</v>
          </cell>
          <cell r="AP118">
            <v>0</v>
          </cell>
          <cell r="AT118">
            <v>0</v>
          </cell>
        </row>
        <row r="119">
          <cell r="U119">
            <v>0</v>
          </cell>
          <cell r="Y119">
            <v>0</v>
          </cell>
          <cell r="AD119">
            <v>0</v>
          </cell>
          <cell r="AH119">
            <v>0</v>
          </cell>
          <cell r="AL119">
            <v>0</v>
          </cell>
          <cell r="AP119">
            <v>0</v>
          </cell>
          <cell r="AT119">
            <v>0</v>
          </cell>
        </row>
        <row r="120">
          <cell r="U120">
            <v>0</v>
          </cell>
          <cell r="Y120">
            <v>0</v>
          </cell>
          <cell r="AD120">
            <v>0</v>
          </cell>
          <cell r="AH120">
            <v>0</v>
          </cell>
          <cell r="AL120">
            <v>0</v>
          </cell>
          <cell r="AP120">
            <v>0</v>
          </cell>
          <cell r="AT120">
            <v>0</v>
          </cell>
        </row>
        <row r="121">
          <cell r="U121">
            <v>0</v>
          </cell>
          <cell r="Y121">
            <v>0</v>
          </cell>
          <cell r="AD121">
            <v>0</v>
          </cell>
          <cell r="AH121">
            <v>0</v>
          </cell>
          <cell r="AL121">
            <v>0</v>
          </cell>
          <cell r="AP121">
            <v>0</v>
          </cell>
          <cell r="AT121">
            <v>0</v>
          </cell>
        </row>
        <row r="122">
          <cell r="U122">
            <v>0</v>
          </cell>
          <cell r="Y122">
            <v>0</v>
          </cell>
          <cell r="AD122">
            <v>0</v>
          </cell>
          <cell r="AH122">
            <v>0</v>
          </cell>
          <cell r="AL122">
            <v>0</v>
          </cell>
          <cell r="AP122">
            <v>0</v>
          </cell>
          <cell r="AT122">
            <v>0</v>
          </cell>
        </row>
        <row r="123">
          <cell r="U123">
            <v>0</v>
          </cell>
          <cell r="Y123">
            <v>0</v>
          </cell>
          <cell r="AD123">
            <v>0</v>
          </cell>
          <cell r="AH123">
            <v>0</v>
          </cell>
          <cell r="AL123">
            <v>0</v>
          </cell>
          <cell r="AP123">
            <v>0</v>
          </cell>
          <cell r="AT123">
            <v>0</v>
          </cell>
        </row>
        <row r="124">
          <cell r="U124">
            <v>0</v>
          </cell>
          <cell r="Y124">
            <v>0</v>
          </cell>
          <cell r="AD124">
            <v>0</v>
          </cell>
          <cell r="AH124">
            <v>0</v>
          </cell>
          <cell r="AL124">
            <v>0</v>
          </cell>
          <cell r="AP124">
            <v>0</v>
          </cell>
          <cell r="AT124">
            <v>0</v>
          </cell>
        </row>
        <row r="125">
          <cell r="U125">
            <v>0</v>
          </cell>
          <cell r="Y125">
            <v>439041.79401825438</v>
          </cell>
          <cell r="AD125">
            <v>0</v>
          </cell>
          <cell r="AH125">
            <v>0</v>
          </cell>
          <cell r="AL125">
            <v>0</v>
          </cell>
          <cell r="AP125">
            <v>0</v>
          </cell>
          <cell r="AT125">
            <v>0</v>
          </cell>
        </row>
        <row r="126">
          <cell r="U126">
            <v>0</v>
          </cell>
          <cell r="Y126">
            <v>0</v>
          </cell>
          <cell r="AD126">
            <v>0</v>
          </cell>
          <cell r="AH126">
            <v>0</v>
          </cell>
          <cell r="AL126">
            <v>0</v>
          </cell>
          <cell r="AP126">
            <v>0</v>
          </cell>
          <cell r="AT126">
            <v>0</v>
          </cell>
        </row>
        <row r="127">
          <cell r="U127">
            <v>14345.811170514253</v>
          </cell>
          <cell r="Y127">
            <v>1373347.6364539396</v>
          </cell>
          <cell r="AD127">
            <v>971678.07613311266</v>
          </cell>
          <cell r="AH127">
            <v>1010545.1991784372</v>
          </cell>
          <cell r="AL127">
            <v>1050967.0071455748</v>
          </cell>
          <cell r="AP127">
            <v>1093005.6874313978</v>
          </cell>
          <cell r="AT127">
            <v>0</v>
          </cell>
        </row>
        <row r="128">
          <cell r="U128">
            <v>0.47664174427638645</v>
          </cell>
          <cell r="Y128">
            <v>4500.9492417965794</v>
          </cell>
          <cell r="AD128">
            <v>3184.5350615917218</v>
          </cell>
          <cell r="AH128">
            <v>3311.9164640553913</v>
          </cell>
          <cell r="AL128">
            <v>3444.3931226176069</v>
          </cell>
          <cell r="AP128">
            <v>3582.1688475223114</v>
          </cell>
          <cell r="AT128">
            <v>0</v>
          </cell>
        </row>
        <row r="129">
          <cell r="U129">
            <v>23.11</v>
          </cell>
          <cell r="Y129">
            <v>38.11</v>
          </cell>
          <cell r="AD129">
            <v>3184.54</v>
          </cell>
          <cell r="AH129">
            <v>3184.54</v>
          </cell>
          <cell r="AL129">
            <v>3439.29</v>
          </cell>
          <cell r="AP129">
            <v>3449.5</v>
          </cell>
          <cell r="AT129">
            <v>0</v>
          </cell>
        </row>
        <row r="130">
          <cell r="U130">
            <v>38.11</v>
          </cell>
          <cell r="Y130">
            <v>8963.7900000000009</v>
          </cell>
          <cell r="AD130">
            <v>3184.54</v>
          </cell>
          <cell r="AH130">
            <v>3439.29</v>
          </cell>
          <cell r="AL130">
            <v>3449.5</v>
          </cell>
          <cell r="AP130">
            <v>3714.84</v>
          </cell>
          <cell r="AT130">
            <v>0</v>
          </cell>
        </row>
        <row r="131">
          <cell r="U131">
            <v>164.90696668109044</v>
          </cell>
          <cell r="Y131">
            <v>23520.834426659672</v>
          </cell>
          <cell r="AD131">
            <v>100</v>
          </cell>
          <cell r="AH131">
            <v>107.99958549743447</v>
          </cell>
          <cell r="AL131">
            <v>100.29686359684702</v>
          </cell>
          <cell r="AP131">
            <v>107.6921292941006</v>
          </cell>
          <cell r="AT131">
            <v>0</v>
          </cell>
        </row>
        <row r="132">
          <cell r="U132">
            <v>0.56999999999999995</v>
          </cell>
          <cell r="Y132">
            <v>5401.14</v>
          </cell>
          <cell r="AD132">
            <v>3821.44</v>
          </cell>
          <cell r="AH132">
            <v>3974.3</v>
          </cell>
          <cell r="AL132">
            <v>4133.2700000000004</v>
          </cell>
          <cell r="AP132">
            <v>4298.6000000000004</v>
          </cell>
          <cell r="AT132">
            <v>0</v>
          </cell>
        </row>
        <row r="133">
          <cell r="U133">
            <v>27.73</v>
          </cell>
          <cell r="Y133">
            <v>45.731999999999999</v>
          </cell>
          <cell r="AD133">
            <v>3821.4479999999999</v>
          </cell>
          <cell r="AH133">
            <v>3821.4479999999999</v>
          </cell>
          <cell r="AL133">
            <v>4127.1480000000001</v>
          </cell>
          <cell r="AP133">
            <v>4139.3999999999996</v>
          </cell>
          <cell r="AT133">
            <v>0</v>
          </cell>
        </row>
        <row r="134">
          <cell r="U134">
            <v>45.73</v>
          </cell>
          <cell r="Y134">
            <v>10756.548000000001</v>
          </cell>
          <cell r="AD134">
            <v>3821.4479999999999</v>
          </cell>
          <cell r="AH134">
            <v>4127.1480000000001</v>
          </cell>
          <cell r="AL134">
            <v>4139.3999999999996</v>
          </cell>
          <cell r="AP134">
            <v>4457.808</v>
          </cell>
          <cell r="AT134">
            <v>0</v>
          </cell>
        </row>
        <row r="135">
          <cell r="U135">
            <v>164.91164803461953</v>
          </cell>
          <cell r="Y135">
            <v>23520.834426659672</v>
          </cell>
          <cell r="AD135">
            <v>100</v>
          </cell>
          <cell r="AH135">
            <v>107.9995854974345</v>
          </cell>
          <cell r="AL135">
            <v>100.29686359684702</v>
          </cell>
          <cell r="AP135">
            <v>107.69212929410061</v>
          </cell>
          <cell r="AT135">
            <v>0</v>
          </cell>
        </row>
        <row r="136">
          <cell r="U136">
            <v>30097.680999999997</v>
          </cell>
          <cell r="Y136">
            <v>305.12400000000002</v>
          </cell>
          <cell r="AD136">
            <v>305.12400000000002</v>
          </cell>
          <cell r="AH136">
            <v>305.12400000000002</v>
          </cell>
          <cell r="AL136">
            <v>305.12400000000002</v>
          </cell>
          <cell r="AP136">
            <v>305.12400000000002</v>
          </cell>
          <cell r="AT136">
            <v>0</v>
          </cell>
        </row>
        <row r="137">
          <cell r="U137">
            <v>15048.840499999998</v>
          </cell>
          <cell r="Y137">
            <v>152.56200000000001</v>
          </cell>
          <cell r="AD137">
            <v>152.56200000000001</v>
          </cell>
          <cell r="AH137">
            <v>152.56200000000001</v>
          </cell>
          <cell r="AL137">
            <v>152.56200000000001</v>
          </cell>
          <cell r="AP137">
            <v>152.56200000000001</v>
          </cell>
          <cell r="AT137">
            <v>0</v>
          </cell>
        </row>
        <row r="138">
          <cell r="U138">
            <v>15048.840499999998</v>
          </cell>
          <cell r="Y138">
            <v>152.56200000000001</v>
          </cell>
          <cell r="AD138">
            <v>152.56200000000001</v>
          </cell>
          <cell r="AH138">
            <v>152.56200000000001</v>
          </cell>
          <cell r="AL138">
            <v>152.56200000000001</v>
          </cell>
          <cell r="AP138">
            <v>152.56200000000001</v>
          </cell>
          <cell r="AT138">
            <v>0</v>
          </cell>
        </row>
        <row r="139">
          <cell r="AT139">
            <v>0</v>
          </cell>
        </row>
      </sheetData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>
        <row r="1">
          <cell r="B1" t="str">
            <v>Алтайский край</v>
          </cell>
        </row>
        <row r="2">
          <cell r="B2" t="str">
            <v>Амурская область</v>
          </cell>
          <cell r="E2" t="str">
            <v>Разметка</v>
          </cell>
          <cell r="J2" t="str">
            <v>да</v>
          </cell>
          <cell r="K2" t="str">
            <v>да, 5%</v>
          </cell>
          <cell r="N2">
            <v>2026</v>
          </cell>
          <cell r="O2" t="str">
            <v>экономически обоснованный</v>
          </cell>
          <cell r="P2" t="str">
            <v>первый</v>
          </cell>
          <cell r="Q2" t="str">
            <v>Методика</v>
          </cell>
          <cell r="R2" t="str">
            <v>Методика</v>
          </cell>
          <cell r="S2" t="str">
            <v>не индексировать</v>
          </cell>
          <cell r="T2" t="str">
            <v>1 10 51 | Полные товарищества</v>
          </cell>
          <cell r="AJ2" t="str">
            <v>Водоснабжение</v>
          </cell>
          <cell r="AT2" t="str">
            <v>Коагулянт - гидроксохлоросульфат алюминия (коагулянт смешанного типа)</v>
          </cell>
          <cell r="AU2" t="str">
            <v>годовой</v>
          </cell>
          <cell r="BC2" t="str">
            <v>норматив</v>
          </cell>
          <cell r="BE2" t="str">
            <v>механическая очистка, глубокое осветление и обесцвечивание воды</v>
          </cell>
          <cell r="BG2" t="str">
            <v>биологическая очистка</v>
          </cell>
          <cell r="BI2" t="str">
            <v>хризотилцементная труба</v>
          </cell>
          <cell r="BL2" t="str">
            <v>Северный</v>
          </cell>
          <cell r="BN2" t="str">
            <v>Волга</v>
          </cell>
          <cell r="BP2" t="str">
            <v>Производственные расходы</v>
          </cell>
          <cell r="BU2" t="str">
            <v>занятые автостоянками, жилищным фондом и объектами инженерной инфраструктуры жилищно-коммунального комплекса</v>
          </cell>
          <cell r="BW2" t="str">
            <v>Земельные участки, предназначенные для размещения административных и офисных зданий, объектов социального обеспечения</v>
          </cell>
          <cell r="BX2">
            <v>1.5</v>
          </cell>
          <cell r="BZ2" t="str">
            <v>Легковые автомобили</v>
          </cell>
          <cell r="CB2" t="str">
            <v>Артезианская скважина</v>
          </cell>
          <cell r="CD2" t="str">
            <v>движимое</v>
          </cell>
          <cell r="CF2" t="str">
            <v>Собственность</v>
          </cell>
          <cell r="CH2">
            <v>0</v>
          </cell>
          <cell r="CJ2" t="str">
            <v>отсутствует</v>
          </cell>
          <cell r="CP2" t="str">
            <v>Производственный персонал</v>
          </cell>
          <cell r="CT2" t="str">
            <v>бензин</v>
          </cell>
          <cell r="CV2" t="str">
            <v>Представлено</v>
          </cell>
          <cell r="CX2" t="str">
            <v>Доходы</v>
          </cell>
          <cell r="CY2">
            <v>6</v>
          </cell>
          <cell r="DE2">
            <v>2020</v>
          </cell>
          <cell r="DG2" t="str">
            <v>Версия организации</v>
          </cell>
          <cell r="DI2">
            <v>2</v>
          </cell>
          <cell r="DK2" t="str">
            <v>мокрый грунт в отвал, с креплением</v>
          </cell>
          <cell r="EG2" t="str">
            <v>относимая на питьевую воду (питьевое водоснабжение)</v>
          </cell>
          <cell r="EI2" t="str">
            <v>максимальный</v>
          </cell>
          <cell r="EK2" t="str">
            <v>стоимость</v>
          </cell>
          <cell r="EQ2" t="str">
            <v>отпуск</v>
          </cell>
          <cell r="FL2" t="str">
            <v>ремонт сетей</v>
          </cell>
          <cell r="FN2">
            <v>0</v>
          </cell>
          <cell r="FP2">
            <v>1</v>
          </cell>
        </row>
        <row r="3">
          <cell r="B3" t="str">
            <v>Архангельская область</v>
          </cell>
          <cell r="I3">
            <v>1</v>
          </cell>
          <cell r="J3" t="str">
            <v>нет</v>
          </cell>
          <cell r="K3" t="str">
            <v>да, 7%</v>
          </cell>
          <cell r="N3">
            <v>2025</v>
          </cell>
          <cell r="O3" t="str">
            <v>ГО</v>
          </cell>
          <cell r="P3" t="str">
            <v>прошлый</v>
          </cell>
          <cell r="Q3" t="str">
            <v>Бухучет</v>
          </cell>
          <cell r="R3" t="str">
            <v>Потребители</v>
          </cell>
          <cell r="S3" t="str">
            <v>индексировать</v>
          </cell>
          <cell r="T3" t="str">
            <v>1 10 64 | Товарищества на вере (коммандитные товарищества)</v>
          </cell>
          <cell r="AJ3" t="str">
            <v>Водоотведение</v>
          </cell>
          <cell r="AT3" t="str">
            <v>Коагулянт - железный купорос</v>
          </cell>
          <cell r="AU3" t="str">
            <v>полугодовой</v>
          </cell>
          <cell r="BC3" t="str">
            <v>расчет</v>
          </cell>
          <cell r="BE3" t="str">
            <v>обеззараживание подземных вод бактерицидными установками</v>
          </cell>
          <cell r="BG3" t="str">
            <v>механическая очистка</v>
          </cell>
          <cell r="BI3" t="str">
            <v>асбестоцементная труба с соединением при помощи асбестоцементных муфт</v>
          </cell>
          <cell r="BL3" t="str">
            <v>Северо-Западный</v>
          </cell>
          <cell r="BN3" t="str">
            <v>Нева</v>
          </cell>
          <cell r="BP3" t="str">
            <v>Административные расходы</v>
          </cell>
          <cell r="BU3" t="str">
            <v>прочие земельные участки</v>
          </cell>
          <cell r="BW3" t="str">
            <v>Строительства, кроме объектов социального обеспечения</v>
          </cell>
          <cell r="BX3">
            <v>1.5</v>
          </cell>
          <cell r="BZ3" t="str">
            <v>Мотоциклы и мотороллеры</v>
          </cell>
          <cell r="CB3" t="str">
            <v>Аэротенки</v>
          </cell>
          <cell r="CD3" t="str">
            <v>недвижимое</v>
          </cell>
          <cell r="CF3" t="str">
            <v>Хозяйственное ведение</v>
          </cell>
          <cell r="CH3">
            <v>25</v>
          </cell>
          <cell r="CJ3" t="str">
            <v>ОСН</v>
          </cell>
          <cell r="CP3" t="str">
            <v>Ремонтный персонал</v>
          </cell>
          <cell r="CT3" t="str">
            <v>газ</v>
          </cell>
          <cell r="CV3" t="str">
            <v>Отсутствует</v>
          </cell>
          <cell r="CX3" t="str">
            <v>Доходы (корр на сумму страховых взносов)</v>
          </cell>
          <cell r="CY3">
            <v>6</v>
          </cell>
          <cell r="DG3" t="str">
            <v>Версия регулятора</v>
          </cell>
          <cell r="DI3">
            <v>3</v>
          </cell>
          <cell r="DK3" t="str">
            <v>сухой грунт в отвал, с креплением</v>
          </cell>
          <cell r="EG3" t="str">
            <v>относимая на техническую воду</v>
          </cell>
          <cell r="EI3" t="str">
            <v>обычный</v>
          </cell>
          <cell r="EK3" t="str">
            <v>площадь</v>
          </cell>
          <cell r="EQ3" t="str">
            <v>равенство</v>
          </cell>
          <cell r="FL3" t="str">
            <v>ремонт ВНС, КНС</v>
          </cell>
          <cell r="FN3">
            <v>1</v>
          </cell>
          <cell r="FP3">
            <v>2</v>
          </cell>
          <cell r="GF3" t="str">
            <v>1 | МКД и ЧД с ХВС и ГВС, с централизованным ВО</v>
          </cell>
        </row>
        <row r="4">
          <cell r="B4" t="str">
            <v>Астраханская область</v>
          </cell>
          <cell r="E4" t="str">
            <v>Версия организации</v>
          </cell>
          <cell r="I4">
            <v>2</v>
          </cell>
          <cell r="K4" t="str">
            <v>да, 20%</v>
          </cell>
          <cell r="N4">
            <v>2024</v>
          </cell>
          <cell r="O4" t="str">
            <v>с учётом возмещения / компенсации / субсидирования организации</v>
          </cell>
          <cell r="T4" t="str">
            <v>1 22 47 | Публичные акционерные общества</v>
          </cell>
          <cell r="AT4" t="str">
            <v>Коагулянт - оксихлорид алюминия</v>
          </cell>
          <cell r="BE4" t="str">
            <v>на озонирование воды</v>
          </cell>
          <cell r="BG4" t="str">
            <v>на обеззараживание сточных вод</v>
          </cell>
          <cell r="BI4" t="str">
            <v>асбестоцементная труба с соединением при помощи чугунных муфт</v>
          </cell>
          <cell r="BL4" t="str">
            <v>Центральный</v>
          </cell>
          <cell r="BN4" t="str">
            <v>Печора</v>
          </cell>
          <cell r="BP4" t="str">
            <v>Общепроизводственные расходы</v>
          </cell>
          <cell r="BW4" t="str">
            <v>Земельные участки, предназначенные для размещения производственных и административных зданий, коммунального хозяйства, материально-технического снабжения, сбыта и заготовок</v>
          </cell>
          <cell r="BX4">
            <v>1.5</v>
          </cell>
          <cell r="BZ4" t="str">
            <v>Автобусы</v>
          </cell>
          <cell r="CB4" t="str">
            <v>Блок первичного озонирования</v>
          </cell>
          <cell r="CF4" t="str">
            <v>Оперативное управление</v>
          </cell>
          <cell r="CH4">
            <v>37</v>
          </cell>
          <cell r="CJ4" t="str">
            <v>ЕНВД</v>
          </cell>
          <cell r="CP4" t="str">
            <v>Административный персонал</v>
          </cell>
          <cell r="CT4" t="str">
            <v>дизельное топливо</v>
          </cell>
          <cell r="CX4" t="str">
            <v>Доходы минус расходы</v>
          </cell>
          <cell r="CY4">
            <v>15</v>
          </cell>
          <cell r="DI4">
            <v>4</v>
          </cell>
          <cell r="DK4" t="str">
            <v>мокрый грунт в отвал, без креплений</v>
          </cell>
          <cell r="EG4" t="str">
            <v>относимая на водоотведение</v>
          </cell>
          <cell r="FL4" t="str">
            <v>замена/ремонт насосов</v>
          </cell>
          <cell r="FN4">
            <v>2</v>
          </cell>
          <cell r="FP4">
            <v>3</v>
          </cell>
          <cell r="GF4" t="str">
            <v>1.1 | МКД и ЧД с ХВС и ГВС, с централизованным ВО, оборудованные раковинами, мойками кухонными, унитазами, ваннами 1650 - 1700 мм, душем</v>
          </cell>
        </row>
        <row r="5">
          <cell r="B5" t="str">
            <v>Белгородская область</v>
          </cell>
          <cell r="I5">
            <v>3</v>
          </cell>
          <cell r="K5" t="str">
            <v>нет</v>
          </cell>
          <cell r="N5">
            <v>2023</v>
          </cell>
          <cell r="O5" t="str">
            <v>льготный</v>
          </cell>
          <cell r="T5" t="str">
            <v>1 22 67 | Непубличные акционерные общества</v>
          </cell>
          <cell r="AT5" t="str">
            <v>Коагулянт - оксихлорид алюминия 10 %</v>
          </cell>
          <cell r="BE5" t="str">
            <v>на обеззараживание воды методом электролиза (подземные воды)</v>
          </cell>
          <cell r="BG5" t="str">
            <v>на центрифугирование осадка</v>
          </cell>
          <cell r="BI5" t="str">
            <v>чугунная труба</v>
          </cell>
          <cell r="BL5" t="str">
            <v>Волго-Вятский</v>
          </cell>
          <cell r="BN5" t="str">
            <v>Северная Двина</v>
          </cell>
          <cell r="BW5" t="str">
            <v>Эксплуатация объектов инженерной инфраструктуры жилищно-коммунального комплекса</v>
          </cell>
          <cell r="BX5">
            <v>0.01</v>
          </cell>
          <cell r="BZ5" t="str">
            <v>Автомобили грузовые</v>
          </cell>
          <cell r="CB5" t="str">
            <v>Водохранилище</v>
          </cell>
          <cell r="CF5" t="str">
            <v>Концессионное соглашение</v>
          </cell>
          <cell r="CH5">
            <v>61</v>
          </cell>
          <cell r="CJ5" t="str">
            <v>УСН (Д-Р)</v>
          </cell>
          <cell r="CP5" t="str">
            <v>Цеховый персонал</v>
          </cell>
          <cell r="CT5" t="str">
            <v>прочее</v>
          </cell>
          <cell r="DI5">
            <v>5</v>
          </cell>
          <cell r="DK5" t="str">
            <v>сухой грунт в отвал, без креплений</v>
          </cell>
          <cell r="EG5" t="str">
            <v>относимая на транспортировку воды</v>
          </cell>
          <cell r="FL5" t="str">
            <v>благоустройство после ремонта</v>
          </cell>
          <cell r="FN5">
            <v>3</v>
          </cell>
          <cell r="GF5" t="str">
            <v>1.2 | МКД и ЧД с ХВС и ГВС, с централизованным ВО, оборудованные раковинами, мойками кухонными, унитазами, ваннами 1500 - 1550 мм, душем</v>
          </cell>
        </row>
        <row r="6">
          <cell r="B6" t="str">
            <v>Брянская область</v>
          </cell>
          <cell r="E6" t="str">
            <v>ЛОЖЬ</v>
          </cell>
          <cell r="H6">
            <v>2020</v>
          </cell>
          <cell r="I6">
            <v>4</v>
          </cell>
          <cell r="N6">
            <v>2022</v>
          </cell>
          <cell r="O6" t="str">
            <v>с учётом регионального стандарта</v>
          </cell>
          <cell r="T6" t="str">
            <v>1 23 00 | Общества с ограниченной ответственностью</v>
          </cell>
          <cell r="AT6" t="str">
            <v>Коагулянт - оксихлорид алюминия 18 %</v>
          </cell>
          <cell r="AU6" t="str">
            <v>годовой</v>
          </cell>
          <cell r="BE6" t="str">
            <v>на обеззараживание воды методом электролиза (поверхностные воды)</v>
          </cell>
          <cell r="BG6" t="str">
            <v>на вакуум-фильтрацию осадка</v>
          </cell>
          <cell r="BI6" t="str">
            <v>бетонная раструбная труба</v>
          </cell>
          <cell r="BL6" t="str">
            <v>Центрально-Черноземный</v>
          </cell>
          <cell r="BN6" t="str">
            <v>Прочие реки и озера</v>
          </cell>
          <cell r="BW6" t="str">
            <v>Удаление сточных вод и обработка твердых отходов</v>
          </cell>
          <cell r="BX6">
            <v>0.01</v>
          </cell>
          <cell r="BZ6" t="str">
            <v>Другие самоходные транспортные средства, машины и механизмы на пневматическом и гусеничном ходу</v>
          </cell>
          <cell r="CB6" t="str">
            <v>Воздуховики</v>
          </cell>
          <cell r="CF6" t="str">
            <v>Доверительное управление имуществом</v>
          </cell>
          <cell r="CH6">
            <v>85</v>
          </cell>
          <cell r="CJ6" t="str">
            <v>УСН (Д)</v>
          </cell>
          <cell r="CP6" t="str">
            <v>Сбытовой персонал</v>
          </cell>
          <cell r="DK6" t="str">
            <v>мокрый грунт, с креплением котлованов</v>
          </cell>
          <cell r="EG6" t="str">
            <v>относимая на транспортировку сточных вод</v>
          </cell>
          <cell r="FL6" t="str">
            <v>промывка сетей</v>
          </cell>
          <cell r="GF6" t="str">
            <v>1.3 | МКД и ЧД с ХВС и ГВС, с централизованным ВО, оборудованные раковинами, мойками кухонными, унитазами, ваннами 1200 мм, душем</v>
          </cell>
        </row>
        <row r="7">
          <cell r="B7" t="str">
            <v>Владимирская область</v>
          </cell>
          <cell r="H7">
            <v>2021</v>
          </cell>
          <cell r="I7">
            <v>5</v>
          </cell>
          <cell r="O7" t="str">
            <v>с учётом степени благоустройства</v>
          </cell>
          <cell r="T7" t="str">
            <v>1 30 00 | Хозяйственные партнерства</v>
          </cell>
          <cell r="AT7" t="str">
            <v>Коагулянт - оксихлорид алюминия 30 %</v>
          </cell>
          <cell r="AU7" t="str">
            <v>полугодовой</v>
          </cell>
          <cell r="BE7" t="str">
            <v>другое</v>
          </cell>
          <cell r="BG7" t="str">
            <v>на термическую сушку осадка в сушилках со встречными струями</v>
          </cell>
          <cell r="BI7" t="str">
            <v>бетонная фальцевая труба с жестким соединением</v>
          </cell>
          <cell r="BL7" t="str">
            <v>Поволжский</v>
          </cell>
          <cell r="BN7" t="str">
            <v>Западная Двина</v>
          </cell>
          <cell r="BW7" t="str">
            <v>Сбор, очистка и распределение воды, в том числе гидротехнических очистных сооружений и сооружений водопроводно-канализационного хозяйства</v>
          </cell>
          <cell r="BX7">
            <v>0</v>
          </cell>
          <cell r="BZ7" t="str">
            <v>Снегоходы, мотосани</v>
          </cell>
          <cell r="CB7" t="str">
            <v>Вторичные отстойники</v>
          </cell>
          <cell r="CF7" t="str">
            <v>Возмездное оказание услуг</v>
          </cell>
          <cell r="CH7">
            <v>121</v>
          </cell>
          <cell r="CJ7" t="str">
            <v>Физическое лицо</v>
          </cell>
          <cell r="CP7" t="str">
            <v>Вспомогательный персонал</v>
          </cell>
          <cell r="DK7" t="str">
            <v>сухой грунт, с креплением котлованов</v>
          </cell>
          <cell r="EG7" t="str">
            <v>относимая на подвоз воды</v>
          </cell>
          <cell r="FL7" t="str">
            <v>ремонт запорной арматуры</v>
          </cell>
          <cell r="GF7" t="str">
            <v>1.4 | МКД и ЧД с ХВС и ГВС, с централизованным ВО, оборудованные раковинами, мойками кухонными, унитазами, ваннами без душа</v>
          </cell>
        </row>
        <row r="8">
          <cell r="B8" t="str">
            <v>Волгоградская область</v>
          </cell>
          <cell r="H8">
            <v>2022</v>
          </cell>
          <cell r="I8">
            <v>6</v>
          </cell>
          <cell r="O8" t="str">
            <v>перекрёстное субсидирование</v>
          </cell>
          <cell r="T8" t="str">
            <v>1 41 53 | Сельскохозяйственные артели (колхозы)</v>
          </cell>
          <cell r="AT8" t="str">
            <v>Коагулянт - полиоксихлорид алюминия</v>
          </cell>
          <cell r="AU8" t="str">
            <v>годовой (расширенное)</v>
          </cell>
          <cell r="BG8" t="str">
            <v>другое</v>
          </cell>
          <cell r="BI8" t="str">
            <v>бетонная фальцевая труба с гибким соединением</v>
          </cell>
          <cell r="BL8" t="str">
            <v>Северо-Кавказский</v>
          </cell>
          <cell r="BN8" t="str">
            <v>Днепр</v>
          </cell>
          <cell r="BW8" t="str">
            <v>Земельные участки, занятые водными объектами</v>
          </cell>
          <cell r="BX8">
            <v>0.01</v>
          </cell>
          <cell r="BZ8" t="str">
            <v>Катера, моторные лодки и другие водные транспортные средства</v>
          </cell>
          <cell r="CB8" t="str">
            <v>Генераторы озона</v>
          </cell>
          <cell r="CH8">
            <v>181</v>
          </cell>
          <cell r="CP8" t="str">
            <v/>
          </cell>
          <cell r="DK8" t="str">
            <v>мокрый грунт</v>
          </cell>
          <cell r="EG8" t="str">
            <v>относимая на подключение к ЦСВС</v>
          </cell>
          <cell r="FL8" t="str">
            <v>ремонт колодцев (ВК/КК);</v>
          </cell>
          <cell r="GF8" t="str">
            <v>1.5 | МКД и ЧД с ХВС и ГВС, с централизованным ВО, оборудованные раковинами, мойками кухонными, унитазами, душем</v>
          </cell>
        </row>
        <row r="9">
          <cell r="B9" t="str">
            <v>Вологодская область</v>
          </cell>
          <cell r="H9">
            <v>2023</v>
          </cell>
          <cell r="I9">
            <v>7</v>
          </cell>
          <cell r="T9" t="str">
            <v>1 41 54 | Рыболовецкие артели (колхозы)</v>
          </cell>
          <cell r="AT9" t="str">
            <v>Коагулянт - полиоксихлорид алюминия 10 %</v>
          </cell>
          <cell r="BI9" t="str">
            <v>керамическая труба</v>
          </cell>
          <cell r="BL9" t="str">
            <v>Уральский</v>
          </cell>
          <cell r="BN9" t="str">
            <v>Дон</v>
          </cell>
          <cell r="BW9" t="str">
            <v>Земельные участки, предназначенные для искусственно созданных внутренних водных путей, причалов, пристаней, водных путей и трубопроводов</v>
          </cell>
          <cell r="BX9">
            <v>1.5</v>
          </cell>
          <cell r="BZ9" t="str">
            <v>Яхты и другие парусно-моторные суда</v>
          </cell>
          <cell r="CB9" t="str">
            <v>Двухъярусные отстойники</v>
          </cell>
          <cell r="CH9">
            <v>241</v>
          </cell>
          <cell r="DK9" t="str">
            <v>сухой грунт</v>
          </cell>
          <cell r="EG9" t="str">
            <v>относимая на подключение к ЦСВО</v>
          </cell>
          <cell r="FL9" t="str">
            <v>прочее</v>
          </cell>
          <cell r="GF9" t="str">
            <v>1.6 | МКД и ЧД с ХВС и ГВС, с централизованным ВО, оборудованные раковинами, мойками кухонными, унитазами</v>
          </cell>
        </row>
        <row r="10">
          <cell r="B10" t="str">
            <v>Воронежская область</v>
          </cell>
          <cell r="H10">
            <v>2024</v>
          </cell>
          <cell r="I10">
            <v>8</v>
          </cell>
          <cell r="T10" t="str">
            <v>1 41 55 | Кооперативные хозяйства (коопхозы)</v>
          </cell>
          <cell r="AT10" t="str">
            <v>Коагулянт - полиоксихлорид алюминия 18 %</v>
          </cell>
          <cell r="BI10" t="str">
            <v>полиэтиленовая труба</v>
          </cell>
          <cell r="BL10" t="str">
            <v>Западно-Сибирский</v>
          </cell>
          <cell r="BN10" t="str">
            <v>Запалная Двина</v>
          </cell>
          <cell r="BW10" t="str">
            <v>Магистральных трубопроводов, линий связи и линий электропередачи, а также взаимосвязанные вспомогательные работы</v>
          </cell>
          <cell r="BX10">
            <v>0.01</v>
          </cell>
          <cell r="BZ10" t="str">
            <v>Гидроциклы</v>
          </cell>
          <cell r="CB10" t="str">
            <v>Запорная арматура</v>
          </cell>
          <cell r="CH10">
            <v>301</v>
          </cell>
          <cell r="EG10" t="str">
            <v>относимая на производство тепловой энергии</v>
          </cell>
          <cell r="GF10" t="str">
            <v>2 | МКД и ЧД с ХВС, с централизованным ВО</v>
          </cell>
        </row>
        <row r="11">
          <cell r="B11" t="str">
            <v>г. Москва</v>
          </cell>
          <cell r="H11">
            <v>2025</v>
          </cell>
          <cell r="I11">
            <v>9</v>
          </cell>
          <cell r="T11" t="str">
            <v>1 42 00 | Производственные кооперативы (кроме сельскохозяйственных производственных кооперативов)</v>
          </cell>
          <cell r="AT11" t="str">
            <v>Коагулянт - полиоксихлорид алюминия 30 %</v>
          </cell>
          <cell r="BI11" t="str">
            <v>железобетонная раструбная труба</v>
          </cell>
          <cell r="BL11" t="str">
            <v>Восточно-Сибирский</v>
          </cell>
          <cell r="BN11" t="str">
            <v>Кубань</v>
          </cell>
          <cell r="BW11" t="str">
            <v>Земельные участки улиц, проспектов, площадей, шоссе, аллей, бульваров, застав, переулков, проездов, тупиков</v>
          </cell>
          <cell r="BX11">
            <v>0.01</v>
          </cell>
          <cell r="BZ11" t="str">
            <v>Несамоходные (буксирные) суда (с каждой регистровой тонны валовой вместимости)</v>
          </cell>
          <cell r="CB11" t="str">
            <v>Здания</v>
          </cell>
          <cell r="CH11">
            <v>361</v>
          </cell>
          <cell r="EG11" t="str">
            <v>относимая на прочие виды деятельности</v>
          </cell>
          <cell r="GF11" t="str">
            <v>2.1 | МКД и ЧД с ХВС, с централизованным ВО, оборудованные водонагревателями, раковинами, мойками кухонными, унитазами, ваннами 1650 - 1700 мм, душем</v>
          </cell>
        </row>
        <row r="12">
          <cell r="B12" t="str">
            <v>г.Санкт-Петербург</v>
          </cell>
          <cell r="H12">
            <v>2026</v>
          </cell>
          <cell r="I12">
            <v>10</v>
          </cell>
          <cell r="T12" t="str">
            <v>1 53 00 | Крестьянские (фермерские) хозяйства</v>
          </cell>
          <cell r="AT12" t="str">
            <v>Коагулянт - сульфат алюминия</v>
          </cell>
          <cell r="BI12" t="str">
            <v>железобетонная фальцевая труба с жестким соединением</v>
          </cell>
          <cell r="BL12" t="str">
            <v>Дальневосточный</v>
          </cell>
          <cell r="BN12" t="str">
            <v>Самур</v>
          </cell>
          <cell r="BW12" t="str">
            <v>Земельные участки, занятые водными объектами, изъятыми из оборота или ограниченными в обороте в соответствии с законодательством Российской Федерации</v>
          </cell>
          <cell r="BX12">
            <v>0.01</v>
          </cell>
          <cell r="BZ12" t="str">
            <v>Самолеты, вертолеты и иные воздушные суда, имеющие двигатели (с каждой лошадиной силы)</v>
          </cell>
          <cell r="CB12" t="str">
            <v>Иловые площадки</v>
          </cell>
          <cell r="GF12" t="str">
            <v>2.2 | МКД и ЧД с ХВС, с централизованным ВО, оборудованные водонагревателями, раковинами, мойками кухонными, унитазами, ваннами 1500 - 1550 мм, душем</v>
          </cell>
        </row>
        <row r="13">
          <cell r="B13" t="str">
            <v>г.Севастополь</v>
          </cell>
          <cell r="I13">
            <v>11</v>
          </cell>
          <cell r="T13" t="str">
            <v>1 90 00 | Прочие юридические лица, являющиеся коммерческими организациями</v>
          </cell>
          <cell r="AT13" t="str">
            <v>Коагулянт - прочие</v>
          </cell>
          <cell r="BI13" t="str">
            <v>железобетонная фальцевая труба с гибким соединением</v>
          </cell>
          <cell r="BL13" t="str">
            <v>Калининградская область</v>
          </cell>
          <cell r="BN13" t="str">
            <v>Сулак</v>
          </cell>
          <cell r="BW13" t="str">
            <v>Земельные участки под полосами отвода водоемов, каналов и коллекторов, набережные</v>
          </cell>
          <cell r="BX13">
            <v>0.01</v>
          </cell>
          <cell r="BZ13" t="str">
            <v>Водные и воздушные транспортные средства, не имеющие двигателей (с единицы транспортного средства)</v>
          </cell>
          <cell r="CB13" t="str">
            <v>Каналы</v>
          </cell>
          <cell r="GF13" t="str">
            <v>2.3 | МКД и ЧД с ХВС, с централизованным ВО, оборудованные водонагревателями, раковинами, мойками кухонными, унитазами, ваннами 1200 мм, душем</v>
          </cell>
        </row>
        <row r="14">
          <cell r="B14" t="str">
            <v>Еврейская автономная область</v>
          </cell>
          <cell r="I14">
            <v>12</v>
          </cell>
          <cell r="L14" t="str">
            <v>Тариф на питьевую воду</v>
          </cell>
          <cell r="T14" t="str">
            <v>2 01 01 | Гаражные и гаражно-строительные кооперативы</v>
          </cell>
          <cell r="AT14" t="str">
            <v>Флокулянт - Магнафлок</v>
          </cell>
          <cell r="AY14" t="str">
            <v>низковольтная КНС</v>
          </cell>
          <cell r="BI14" t="str">
            <v>стальная труба</v>
          </cell>
          <cell r="BN14" t="str">
            <v>Терек</v>
          </cell>
          <cell r="BZ14" t="str">
            <v>Самолеты, имеющие реактивные двигатели (с каждого килограмма силы тяги)</v>
          </cell>
          <cell r="CB14" t="str">
            <v>Контактные камеры</v>
          </cell>
          <cell r="GF14" t="str">
            <v>2.4 | МКД и ЧД с ХВС, с централизованным ВО, оборудованные водонагревателями или без них, оборудованные раковинами, мойками кухонными, унитазами, ваннами без душа</v>
          </cell>
        </row>
        <row r="15">
          <cell r="B15" t="str">
            <v>Забайкальский край</v>
          </cell>
          <cell r="L15" t="str">
            <v>Тариф на техническую воду</v>
          </cell>
          <cell r="T15" t="str">
            <v>2 01 02 | Жилищные или жилищно-строительные кооперативы</v>
          </cell>
          <cell r="AT15" t="str">
            <v>Флокулянт - Праестол</v>
          </cell>
          <cell r="AY15" t="str">
            <v>высоковольтная КНС</v>
          </cell>
          <cell r="BI15" t="str">
            <v>железобетонная труба</v>
          </cell>
          <cell r="BN15" t="str">
            <v>Обь</v>
          </cell>
          <cell r="BZ15" t="str">
            <v>Прочие (прицеп)</v>
          </cell>
          <cell r="CB15" t="str">
            <v>Метантенки</v>
          </cell>
          <cell r="GF15" t="str">
            <v>2.5 | МКД и ЧД с ХВС, с централизованным ВО, оборудованные водонагревателями, раковинами, мойками кухонными, унитазами, душем</v>
          </cell>
        </row>
        <row r="16">
          <cell r="B16" t="str">
            <v>Ивановская область</v>
          </cell>
          <cell r="L16" t="str">
            <v>Тариф на транспортировку воды</v>
          </cell>
          <cell r="T16" t="str">
            <v>2 01 03 | Жилищные накопительные кооперативы</v>
          </cell>
          <cell r="AT16" t="str">
            <v>Флокулянт - Праестол 853 BC</v>
          </cell>
          <cell r="AY16" t="str">
            <v>очистная станция</v>
          </cell>
          <cell r="BN16" t="str">
            <v>Урал</v>
          </cell>
          <cell r="CB16" t="str">
            <v>Мешалки</v>
          </cell>
          <cell r="GF16" t="str">
            <v>2.6 | МКД и ЧД с ХВС, с централизованным ВО, оборудованные водонагревателями или без них, оборудованные раковинами, мойками кухонными, унитазами</v>
          </cell>
        </row>
        <row r="17">
          <cell r="B17" t="str">
            <v>Иркутская область</v>
          </cell>
          <cell r="L17" t="str">
            <v>Тариф на подвоз воды</v>
          </cell>
          <cell r="T17" t="str">
            <v>2 01 04 | Кредитные потребительские кооперативы</v>
          </cell>
          <cell r="AO17" t="str">
            <v>без дифференциации</v>
          </cell>
          <cell r="AR17" t="str">
            <v>хоз. Способ</v>
          </cell>
          <cell r="AT17" t="str">
            <v>Флокулянт - Праестол 650 BC</v>
          </cell>
          <cell r="AY17" t="str">
            <v>1 подъёма</v>
          </cell>
          <cell r="BN17" t="str">
            <v>Амур</v>
          </cell>
          <cell r="CB17" t="str">
            <v>Напорные башни</v>
          </cell>
          <cell r="GF17" t="str">
            <v>2.7 | МКД и ЧД с ХВС, с централизованным ВО, оборудованные водонагревателями или без них, оборудованные раковинами, мойками кухонными</v>
          </cell>
        </row>
        <row r="18">
          <cell r="B18" t="str">
            <v>Кабардино-Балкарская республика</v>
          </cell>
          <cell r="T18" t="str">
            <v>2 01 05 | Кредитные потребительские кооперативы граждан</v>
          </cell>
          <cell r="AO18" t="str">
            <v>разделение внутри одной сметы</v>
          </cell>
          <cell r="AR18" t="str">
            <v>подряд. Способ</v>
          </cell>
          <cell r="AT18" t="str">
            <v>Флокулянт - Праестол 2515 TR</v>
          </cell>
          <cell r="AY18" t="str">
            <v>2 подъёма</v>
          </cell>
          <cell r="BN18" t="str">
            <v>Енисей</v>
          </cell>
          <cell r="CB18" t="str">
            <v>Напорные трубопроводы</v>
          </cell>
          <cell r="GF18" t="str">
            <v>2.8 | МКД и ЧД с ХВС, с централизованным ВО, оборудованные водонагревателями или без них, оборудованные раковинами, унитазами</v>
          </cell>
        </row>
        <row r="19">
          <cell r="B19" t="str">
            <v>Калининградская область</v>
          </cell>
          <cell r="T19" t="str">
            <v>2 01 06 | Кредитные кооперативы второго уровня</v>
          </cell>
          <cell r="AO19" t="str">
            <v>с дифференциацией (несколько смет)</v>
          </cell>
          <cell r="AT19" t="str">
            <v>Флокулянт - Гринлайф К 47</v>
          </cell>
          <cell r="AY19" t="str">
            <v>3 подъёма</v>
          </cell>
          <cell r="BN19" t="str">
            <v>Лена</v>
          </cell>
          <cell r="CB19" t="str">
            <v>Насосные агрегаты</v>
          </cell>
          <cell r="GF19" t="str">
            <v>2.9 | МКД и ЧД с ХВС, с централизованным ВО, оборудованные водонагревателями или без них, оборудованные раковинами</v>
          </cell>
        </row>
        <row r="20">
          <cell r="B20" t="str">
            <v>Калужская область</v>
          </cell>
          <cell r="T20" t="str">
            <v>2 01 07 | Потребительские общества</v>
          </cell>
          <cell r="AT20" t="str">
            <v>Флокулянт - Гринлайф К 41</v>
          </cell>
          <cell r="AY20" t="str">
            <v>4 подъёма</v>
          </cell>
          <cell r="BN20" t="str">
            <v>Озеро Байкал и его бассейн</v>
          </cell>
          <cell r="CB20" t="str">
            <v>Осветлители</v>
          </cell>
          <cell r="GF20" t="str">
            <v>3 | МКД и ЧД с ХВС и ГВС (или без него), с местной канализацией (в том числе выгребные ямы)</v>
          </cell>
        </row>
        <row r="21">
          <cell r="B21" t="str">
            <v>Камчатский край</v>
          </cell>
          <cell r="T21" t="str">
            <v>2 01 08 | Общества взаимного страхования</v>
          </cell>
          <cell r="AT21" t="str">
            <v>Флокулянт - Гринлайф А 10 ПВ</v>
          </cell>
          <cell r="AY21" t="str">
            <v>водозабор</v>
          </cell>
          <cell r="BN21" t="str">
            <v>Неман</v>
          </cell>
          <cell r="CB21" t="str">
            <v>Первичные отстойники</v>
          </cell>
          <cell r="GF21" t="str">
            <v>3.1 | МКД и ЧД с ХВС, с местной канализацией (в том числе выгребные ямы), оборудованные водонагревателями, раковинами, мойками кухонными, унитазами, ваннами 1650 - 1700 мм, душем</v>
          </cell>
        </row>
        <row r="22">
          <cell r="B22" t="str">
            <v>Карачаево-Черкесская республика</v>
          </cell>
          <cell r="T22" t="str">
            <v>2 01 09 | Сельскохозяйственные потребительские перерабатывающие кооперативы</v>
          </cell>
          <cell r="AL22" t="str">
            <v>насосный агрегат</v>
          </cell>
          <cell r="AT22" t="str">
            <v>Флокулянт - прочие</v>
          </cell>
          <cell r="AY22" t="str">
            <v>артезианская скважина</v>
          </cell>
          <cell r="CB22" t="str">
            <v>Песколовки</v>
          </cell>
          <cell r="GF22" t="str">
            <v>3.2 | МКД и ЧД с ХВС и ГВС, с местной канализацией (в том числе выгребные ямы), оборудованные раковинами, мойками кухонными, унитазами, ваннами 1650 - 1700 мм, душем</v>
          </cell>
        </row>
        <row r="23">
          <cell r="B23" t="str">
            <v>Кемеровская область</v>
          </cell>
          <cell r="T23" t="str">
            <v>2 01 10 | Сельскохозяйственные потребительские сбытовые (торговые) кооперативы</v>
          </cell>
          <cell r="AL23" t="str">
            <v>оборудование для отопления</v>
          </cell>
          <cell r="AQ23" t="str">
            <v>операционные расходы</v>
          </cell>
          <cell r="AT23" t="str">
            <v>Реагент - агар питательный</v>
          </cell>
          <cell r="AY23" t="str">
            <v>подкачивающая станция</v>
          </cell>
          <cell r="CB23" t="str">
            <v>Плотина</v>
          </cell>
          <cell r="GF23" t="str">
            <v>3.3 | МКД и ЧД с ХВС, с местной канализацией (в том числе выгребные ямы), оборудованные водонагревателями, раковинами, мойками кухонными, унитазами, ваннами 1500 - 1550 мм, душем</v>
          </cell>
        </row>
        <row r="24">
          <cell r="B24" t="str">
            <v>Кировская область</v>
          </cell>
          <cell r="T24" t="str">
            <v>2 01 11 | Сельскохозяйственные потребительские обслуживающие кооперативы</v>
          </cell>
          <cell r="AL24" t="str">
            <v>прочее оборудование</v>
          </cell>
          <cell r="AQ24" t="str">
            <v>неподконтрольные расходы</v>
          </cell>
          <cell r="AT24" t="str">
            <v>Реагент - агар Эндо</v>
          </cell>
          <cell r="AY24" t="str">
            <v>очистная станция</v>
          </cell>
          <cell r="CB24" t="str">
            <v>Подогреватели</v>
          </cell>
          <cell r="GF24" t="str">
            <v>3.4 | МКД и ЧД с ХВС, с местной канализацией (в том числе выгребные ямы), оборудованные водонагревателями, раковинами, мойками кухонными, унитазами, ваннами 1200 мм, душем</v>
          </cell>
        </row>
        <row r="25">
          <cell r="B25" t="str">
            <v>Костромская область</v>
          </cell>
          <cell r="T25" t="str">
            <v>2 01 12 | Сельскохозяйственные потребительские снабженческие кооперативы</v>
          </cell>
          <cell r="AL25" t="str">
            <v>силовой трансформатор</v>
          </cell>
          <cell r="AT25" t="str">
            <v>Реагент - алюминий окись</v>
          </cell>
          <cell r="CB25" t="str">
            <v>Преобразователи частоты</v>
          </cell>
          <cell r="GF25" t="str">
            <v>3.5 | МКД и ЧД с ХВС, с местной канализацией (в том числе выгребные ямы), оборудованные водонагревателями или без них, раковинами, мойками кухонными, унитазами, ваннами без душа</v>
          </cell>
        </row>
        <row r="26">
          <cell r="B26" t="str">
            <v>Краснодарский край</v>
          </cell>
          <cell r="T26" t="str">
            <v>2 01 15 | Сельскохозяйственные потребительские животноводческие кооперативы</v>
          </cell>
          <cell r="AT26" t="str">
            <v>Реагент - алюминий сернокислый</v>
          </cell>
          <cell r="CB26" t="str">
            <v>Приборы учета</v>
          </cell>
          <cell r="GF26" t="str">
            <v>3.6 | МКД и ЧД с ХВС, с местной канализацией (в том числе выгребные ямы), оборудованные водонагревателями или без них, раковинами, унитазами, ваннами без душа</v>
          </cell>
        </row>
        <row r="27">
          <cell r="B27" t="str">
            <v>Красноярский край</v>
          </cell>
          <cell r="T27" t="str">
            <v>2 01 16 | Сельскохозяйственные потребительские растениеводческие кооперативы</v>
          </cell>
          <cell r="AL27" t="str">
            <v>одноставочный</v>
          </cell>
          <cell r="AQ27" t="str">
            <v>операционные расходы</v>
          </cell>
          <cell r="AT27" t="str">
            <v>Реагент - аммиак</v>
          </cell>
          <cell r="CB27" t="str">
            <v>Прочее</v>
          </cell>
          <cell r="GF27" t="str">
            <v>3.7 | МКД и ЧД с ХВС, с местной канализацией (в том числе выгребные ямы), оборудованные водонагревателями, раковинами, мойками кухонными, унитазами, душем</v>
          </cell>
        </row>
        <row r="28">
          <cell r="B28" t="str">
            <v>Курганская область</v>
          </cell>
          <cell r="T28" t="str">
            <v>2 01 21 | Фонды проката</v>
          </cell>
          <cell r="AL28" t="str">
            <v>двухставочный</v>
          </cell>
          <cell r="AQ28" t="str">
            <v>неподконтрольные расходы</v>
          </cell>
          <cell r="AT28" t="str">
            <v>Реагент - аммиачная вода</v>
          </cell>
          <cell r="CB28" t="str">
            <v>Резервуары</v>
          </cell>
          <cell r="GF28" t="str">
            <v>3.8 | МКД и ЧД с ХВС, с местной канализацией (в том числе выгребные ямы), оборудованные водонагревателями или без них, оборудованные раковинами, мойками кухонными, унитазами</v>
          </cell>
        </row>
        <row r="29">
          <cell r="B29" t="str">
            <v>Курская область</v>
          </cell>
          <cell r="L29" t="str">
            <v>Oracle</v>
          </cell>
          <cell r="T29" t="str">
            <v>2 02 01 | Политические партии</v>
          </cell>
          <cell r="W29" t="str">
            <v>без разбивки по напряжению</v>
          </cell>
          <cell r="AQ29" t="str">
            <v>амортизация</v>
          </cell>
          <cell r="AT29" t="str">
            <v>Реагент - аммоний</v>
          </cell>
          <cell r="CB29" t="str">
            <v>Решетки</v>
          </cell>
          <cell r="GF29" t="str">
            <v>3.9 | МКД и ЧД с ХВС и ГВС, с местной канализацией (в том числе выгребные ямы), оборудованные раковинами, мойками кухонными, унитазами</v>
          </cell>
        </row>
        <row r="30">
          <cell r="B30" t="str">
            <v>Ленинградская область</v>
          </cell>
          <cell r="L30" t="str">
            <v>Postgre</v>
          </cell>
          <cell r="T30" t="str">
            <v>2 02 02 | Профсоюзные организации</v>
          </cell>
          <cell r="W30" t="str">
            <v>ВН</v>
          </cell>
          <cell r="AQ30" t="str">
            <v>электроэнергия</v>
          </cell>
          <cell r="AT30" t="str">
            <v>Реагент - аммоний хлористый</v>
          </cell>
          <cell r="CB30" t="str">
            <v>Транспорт</v>
          </cell>
          <cell r="GF30" t="str">
            <v>3.10 | МКД и ЧД с ХВС, с местной канализацией (в том числе выгребные ямы), оборудованные водонагревателями или без них, раковинами, мойками кухонными</v>
          </cell>
        </row>
        <row r="31">
          <cell r="B31" t="str">
            <v>Липецкая область</v>
          </cell>
          <cell r="L31" t="str">
            <v>нет</v>
          </cell>
          <cell r="T31" t="str">
            <v>2 02 10 | Общественные движения</v>
          </cell>
          <cell r="W31" t="str">
            <v>СН1</v>
          </cell>
          <cell r="AT31" t="str">
            <v>Реагент - барий хлористый</v>
          </cell>
          <cell r="CB31" t="str">
            <v>Трансформаторы</v>
          </cell>
          <cell r="GF31" t="str">
            <v>3.11 | МКД и ЧД с ХВС и ГВС, с местной канализацией (в том числе выгребные ямы), оборудованные раковинами, мойками кухонными</v>
          </cell>
        </row>
        <row r="32">
          <cell r="B32" t="str">
            <v>Магаданская область</v>
          </cell>
          <cell r="T32" t="str">
            <v>2 02 11 | Органы общественной самодеятельности</v>
          </cell>
          <cell r="W32" t="str">
            <v>СН2</v>
          </cell>
          <cell r="AT32" t="str">
            <v>Реагент - биоксимин</v>
          </cell>
          <cell r="CB32" t="str">
            <v>Трубопроводы</v>
          </cell>
          <cell r="GF32" t="str">
            <v>3.12 | МКД и ЧД с ХВС, с местной канализацией (в том числе выгребные ямы), оборудованные водонагревателями или без них, раковинами</v>
          </cell>
        </row>
        <row r="33">
          <cell r="B33" t="str">
            <v>Московская область</v>
          </cell>
          <cell r="T33" t="str">
            <v>2 02 17 | Территориальные общественные самоуправления</v>
          </cell>
          <cell r="W33" t="str">
            <v>НН</v>
          </cell>
          <cell r="AT33" t="str">
            <v>Реагент - бромфеноловый синий</v>
          </cell>
          <cell r="CB33" t="str">
            <v>Сетки</v>
          </cell>
          <cell r="GF33" t="str">
            <v>3.13 | МКД и ЧД с ХВС, с местной канализацией (в том числе выгребные ямы), оборудованные водонагревателями или без них, раковинами, унитазами</v>
          </cell>
        </row>
        <row r="34">
          <cell r="B34" t="str">
            <v>Мурманская область</v>
          </cell>
          <cell r="L34" t="str">
            <v>НТП</v>
          </cell>
          <cell r="T34" t="str">
            <v>2 06 01 | Ассоциации (союзы) экономического взаимодействия субъектов Российской Федерации</v>
          </cell>
          <cell r="AT34" t="str">
            <v>Реагент - водорода перекись</v>
          </cell>
          <cell r="CB34" t="str">
            <v>Системы вентиляции</v>
          </cell>
          <cell r="GF34" t="str">
            <v>3.14 | МКД и ЧД с ХВС, с местной канализацией (в том числе выгребные ямы), оборудованные водонагревателями, раковинами, мойками кухонными, душем</v>
          </cell>
        </row>
        <row r="35">
          <cell r="B35" t="str">
            <v>Ненецкий автономный округ</v>
          </cell>
          <cell r="L35" t="str">
            <v>Старая система</v>
          </cell>
          <cell r="T35" t="str">
            <v>2 06 03 | Советы муниципальных образований субъектов Российской Федерации</v>
          </cell>
          <cell r="AT35" t="str">
            <v>Реагент - гексан</v>
          </cell>
          <cell r="CB35" t="str">
            <v>Системы очистки воды</v>
          </cell>
          <cell r="GF35" t="str">
            <v>3.15 | МКД и ЧД с ХВС, с местной канализацией (в том числе выгребные ямы), оборудованные водонагревателями или без них, раковинами, мойками кухонными, ваннами без душа</v>
          </cell>
        </row>
        <row r="36">
          <cell r="B36" t="str">
            <v>Нижегородская область</v>
          </cell>
          <cell r="T36" t="str">
            <v>2 06 04 | Союзы (ассоциации) кредитных кооперативов</v>
          </cell>
          <cell r="W36" t="str">
            <v>ГН</v>
          </cell>
          <cell r="AT36" t="str">
            <v>Реагент - гидроксиламин солянокислый</v>
          </cell>
          <cell r="CB36" t="str">
            <v>Склад аммачной воды</v>
          </cell>
          <cell r="GF36" t="str">
            <v>3.16 | МКД и ЧД с ХВС, с местной канализацией (в том числе выгребные ямы), оборудованные водонагревателями или без них, душем, мойками кухонными, унитазом</v>
          </cell>
        </row>
        <row r="37">
          <cell r="B37" t="str">
            <v>Новгородская область</v>
          </cell>
          <cell r="T37" t="str">
            <v>2 06 05 | Союзы (ассоциации) кооперативов</v>
          </cell>
          <cell r="W37" t="str">
            <v>ВН</v>
          </cell>
          <cell r="AT37" t="str">
            <v>Реагент - гидрохлорид кальция</v>
          </cell>
          <cell r="CB37" t="str">
            <v>Склад гипохлорита натрия</v>
          </cell>
          <cell r="GF37" t="str">
            <v>4 | МКД (общежития) с ХВС и ГВС (или без него), с централизованным ВО</v>
          </cell>
        </row>
        <row r="38">
          <cell r="B38" t="str">
            <v>Новосибирская область</v>
          </cell>
          <cell r="I38">
            <v>1</v>
          </cell>
          <cell r="T38" t="str">
            <v>2 06 06 | Союзы (ассоциации) общественных объединений</v>
          </cell>
          <cell r="W38" t="str">
            <v>СН1</v>
          </cell>
          <cell r="AT38" t="str">
            <v>Реагент - гипохлорит кальция</v>
          </cell>
          <cell r="CB38" t="str">
            <v>Смеситель</v>
          </cell>
          <cell r="GF38" t="str">
            <v>4.1 | МКД (общежития) с ХВС и ГВС, с централизованным ВО, оборудованные общими душевыми, раковинами, унитазами</v>
          </cell>
        </row>
        <row r="39">
          <cell r="B39" t="str">
            <v>Омская область</v>
          </cell>
          <cell r="I39">
            <v>2</v>
          </cell>
          <cell r="T39" t="str">
            <v>2 06 07 | Союзы (ассоциации) общин малочисленных народов</v>
          </cell>
          <cell r="W39" t="str">
            <v>СН2</v>
          </cell>
          <cell r="AT39" t="str">
            <v>Реагент - гипохлорит натрия</v>
          </cell>
          <cell r="CB39" t="str">
            <v>Ультрафиолетовые установки</v>
          </cell>
          <cell r="GF39" t="str">
            <v>4.2 | МКД (общежития) с ХВС, с централизованным ВО, оборудованные водонагревателями, общими душевыми, раковинами, унитазами</v>
          </cell>
        </row>
        <row r="40">
          <cell r="B40" t="str">
            <v>Оренбургская область</v>
          </cell>
          <cell r="I40">
            <v>3</v>
          </cell>
          <cell r="T40" t="str">
            <v>2 06 08 | Союзы потребительских обществ</v>
          </cell>
          <cell r="W40" t="str">
            <v>НН</v>
          </cell>
          <cell r="AT40" t="str">
            <v>Реагент - глицерин</v>
          </cell>
          <cell r="CB40" t="str">
            <v>Фильтры</v>
          </cell>
          <cell r="GF40" t="str">
            <v>4.3 | МКД (общежития) с ХВС и ГВС, с местной канализацией (в том числе выгребные ямы), оборудованные раковинами, мойками кухонными, унитазами</v>
          </cell>
        </row>
        <row r="41">
          <cell r="B41" t="str">
            <v>Орловская область</v>
          </cell>
          <cell r="I41">
            <v>4</v>
          </cell>
          <cell r="T41" t="str">
            <v>2 06 09 | Адвокатские палаты</v>
          </cell>
          <cell r="AT41" t="str">
            <v>Реагент - дифенилкарбазид</v>
          </cell>
          <cell r="CB41" t="str">
            <v>Центральный склад</v>
          </cell>
          <cell r="GF41" t="str">
            <v>4.4 | МКД (общежития) с ХВС и ГВС, с централизованным ВО, оборудованные раковинами, унитазами</v>
          </cell>
        </row>
        <row r="42">
          <cell r="B42" t="str">
            <v>Пензенская область</v>
          </cell>
          <cell r="I42">
            <v>5</v>
          </cell>
          <cell r="T42" t="str">
            <v>2 06 10 | Нотариальные палаты</v>
          </cell>
          <cell r="AT42" t="str">
            <v>Реагент - дифенилкарбазон</v>
          </cell>
          <cell r="CB42" t="str">
            <v>Цеховый склад</v>
          </cell>
          <cell r="GF42" t="str">
            <v>4.5 | МКД (общежития) с ХВС, с централизованным ВО, оборудованные мойками кухонными, раковинами, унитазами</v>
          </cell>
        </row>
        <row r="43">
          <cell r="B43" t="str">
            <v>Пермский край</v>
          </cell>
          <cell r="I43">
            <v>6</v>
          </cell>
          <cell r="T43" t="str">
            <v>2 06 11 | Торгово-промышленные палаты</v>
          </cell>
          <cell r="AT43" t="str">
            <v>Реагент - железо сернокислое</v>
          </cell>
          <cell r="GF43" t="str">
            <v>5 | МКД и ЧД с ХВС, без ВО</v>
          </cell>
        </row>
        <row r="44">
          <cell r="B44" t="str">
            <v>Приморский край</v>
          </cell>
          <cell r="I44">
            <v>7</v>
          </cell>
          <cell r="T44" t="str">
            <v>2 06 12 | Объединения работодателей</v>
          </cell>
          <cell r="AT44" t="str">
            <v>Реагент - железо трёххлористое</v>
          </cell>
          <cell r="GF44" t="str">
            <v>5.1 | МКД и ЧД с ХВС, без ВО, оборудованные раковинами, мойками кухонными</v>
          </cell>
        </row>
        <row r="45">
          <cell r="B45" t="str">
            <v>Псковская область</v>
          </cell>
          <cell r="I45">
            <v>8</v>
          </cell>
          <cell r="T45" t="str">
            <v>2 06 13 | Объединения фермерских хозяйств</v>
          </cell>
          <cell r="AT45" t="str">
            <v>Реагент - известь негашёная (порошок)</v>
          </cell>
          <cell r="GF45" t="str">
            <v>5.2 | МКД и ЧД с ХВС, без ВО, оборудованные раковинами</v>
          </cell>
        </row>
        <row r="46">
          <cell r="B46" t="str">
            <v>Республика Адыгея</v>
          </cell>
          <cell r="I46">
            <v>9</v>
          </cell>
          <cell r="T46" t="str">
            <v>2 06 14 | Некоммерческие партнерства</v>
          </cell>
          <cell r="AT46" t="str">
            <v>Реагент - известь негашёная гидратная</v>
          </cell>
          <cell r="GF46" t="str">
            <v>6 | МКД и ЧД с водопользованием из водоразборных колонок</v>
          </cell>
        </row>
        <row r="47">
          <cell r="B47" t="str">
            <v>Республика Алтай</v>
          </cell>
          <cell r="I47">
            <v>10</v>
          </cell>
          <cell r="T47" t="str">
            <v>2 06 15 | Адвокатские бюро</v>
          </cell>
          <cell r="AT47" t="str">
            <v>Реагент - известь хлорная</v>
          </cell>
          <cell r="GF47" t="str">
            <v>Система ГВС без полотенцесушителя</v>
          </cell>
        </row>
        <row r="48">
          <cell r="B48" t="str">
            <v>Республика Башкортостан</v>
          </cell>
          <cell r="I48">
            <v>11</v>
          </cell>
          <cell r="T48" t="str">
            <v>2 06 16 | Коллегии адвокатов</v>
          </cell>
          <cell r="AT48" t="str">
            <v>Реагент - калий азотнокислый</v>
          </cell>
          <cell r="GF48" t="str">
            <v>Система ГВС без полотенцесушителя, без дополнительного преобразования на тепловых пунктах</v>
          </cell>
        </row>
        <row r="49">
          <cell r="B49" t="str">
            <v>Республика Бурятия</v>
          </cell>
          <cell r="I49">
            <v>12</v>
          </cell>
          <cell r="T49" t="str">
            <v>2 06 19 | Саморегулируемые организации</v>
          </cell>
          <cell r="AT49" t="str">
            <v>Реагент - калий двухромовокислый</v>
          </cell>
          <cell r="GF49" t="str">
            <v>Система ГВС без полотенцесушителя, с дополнительным преобразованием на тепловых пунктах</v>
          </cell>
        </row>
        <row r="50">
          <cell r="B50" t="str">
            <v>Республика Дагестан</v>
          </cell>
          <cell r="I50">
            <v>13</v>
          </cell>
          <cell r="T50" t="str">
            <v>2 06 20 | Объединения (ассоциации и союзы) благотворительных организаций</v>
          </cell>
          <cell r="AT50" t="str">
            <v>Реагент - калий йодистый</v>
          </cell>
          <cell r="GF50" t="str">
            <v>Система ГВС с полотенцесушителем</v>
          </cell>
        </row>
        <row r="51">
          <cell r="B51" t="str">
            <v>Республика Ингушетия</v>
          </cell>
          <cell r="I51">
            <v>14</v>
          </cell>
          <cell r="T51" t="str">
            <v>2 07 02 | Садоводческие или огороднические некоммерческие товарищества</v>
          </cell>
          <cell r="AT51" t="str">
            <v>Реагент - калий марганцевокислый</v>
          </cell>
          <cell r="GF51" t="str">
            <v>Система ГВС с полотенцесушителем, без дополнительного преобразования на тепловых пунктах</v>
          </cell>
        </row>
        <row r="52">
          <cell r="B52" t="str">
            <v>Республика Калмыкия</v>
          </cell>
          <cell r="I52">
            <v>15</v>
          </cell>
          <cell r="T52" t="str">
            <v>2 07 16 | Товарищества собственников жилья</v>
          </cell>
          <cell r="AT52" t="str">
            <v>Реагент - калий фосфорнокислый</v>
          </cell>
          <cell r="GF52" t="str">
            <v>Система ГВС с полотенцесушителем, с дополнительным преобразованием на тепловых пунктах</v>
          </cell>
        </row>
        <row r="53">
          <cell r="B53" t="str">
            <v>Республика Карелия</v>
          </cell>
          <cell r="I53">
            <v>16</v>
          </cell>
          <cell r="T53" t="str">
            <v>2 11 00 | Казачьи общества, внесенные в государственный реестр казачьих обществ в Российской Федерации</v>
          </cell>
          <cell r="AT53" t="str">
            <v>Реагент - калий хлористый</v>
          </cell>
          <cell r="GF53" t="str">
            <v>Система ГВС с изолированными стояками, без полотенцесушителей</v>
          </cell>
        </row>
        <row r="54">
          <cell r="B54" t="str">
            <v>Республика Коми</v>
          </cell>
          <cell r="I54">
            <v>17</v>
          </cell>
          <cell r="T54" t="str">
            <v>2 12 00 | Общины коренных малочисленных народов Российской Федерации</v>
          </cell>
          <cell r="AT54" t="str">
            <v>Реагент - калий-натрий виннокислый</v>
          </cell>
          <cell r="GF54" t="str">
            <v>Система ГВС с изолированными стояками, с полотенцесушителями</v>
          </cell>
        </row>
        <row r="55">
          <cell r="B55" t="str">
            <v>Республика Крым</v>
          </cell>
          <cell r="I55">
            <v>18</v>
          </cell>
          <cell r="T55" t="str">
            <v>3 00 01 | Представительства юридических лиц</v>
          </cell>
          <cell r="AT55" t="str">
            <v>Реагент - кальций углекислый</v>
          </cell>
          <cell r="GF55" t="str">
            <v>Система ГВС с неизолированными стояками, без полотенцесушителей</v>
          </cell>
        </row>
        <row r="56">
          <cell r="B56" t="str">
            <v>Республика Марий Эл</v>
          </cell>
          <cell r="I56">
            <v>19</v>
          </cell>
          <cell r="T56" t="str">
            <v>3 00 02 | Филиалы юридических лиц</v>
          </cell>
          <cell r="AT56" t="str">
            <v>Реагент - кальций хлористый</v>
          </cell>
          <cell r="GF56" t="str">
            <v>Система ГВС с неизолированными стояками, с полотенцесушителями</v>
          </cell>
        </row>
        <row r="57">
          <cell r="B57" t="str">
            <v>Республика Мордовия</v>
          </cell>
          <cell r="I57">
            <v>20</v>
          </cell>
          <cell r="T57" t="str">
            <v>3 00 03 | Обособленные подразделения юридических лиц</v>
          </cell>
          <cell r="AT57" t="str">
            <v>Реагент - кальция гипохлорит</v>
          </cell>
          <cell r="GF57" t="str">
            <v>Система ГВС с наружной сетью, с изолированными стояками, без полотенцесушителей</v>
          </cell>
        </row>
        <row r="58">
          <cell r="B58" t="str">
            <v>Республика Саха (Якутия)</v>
          </cell>
          <cell r="I58">
            <v>21</v>
          </cell>
          <cell r="T58" t="str">
            <v>3 00 04 | Структурные подразделения обособленных подразделений юридических лиц</v>
          </cell>
          <cell r="AT58" t="str">
            <v>Реагент - кварцевый песок</v>
          </cell>
          <cell r="GF58" t="str">
            <v>Система ГВС с наружной сетью, с изолированными стояками, с полотенцесушителями</v>
          </cell>
        </row>
        <row r="59">
          <cell r="B59" t="str">
            <v>Республика Северная Осетия-Алания</v>
          </cell>
          <cell r="I59">
            <v>22</v>
          </cell>
          <cell r="T59" t="str">
            <v>3 00 05 | Паевые инвестиционные фонды</v>
          </cell>
          <cell r="AT59" t="str">
            <v>Реагент - кислота азотная</v>
          </cell>
          <cell r="GF59" t="str">
            <v>Система ГВС с наружной сетью, с неизолированными стояками, без полотенцесушителей</v>
          </cell>
        </row>
        <row r="60">
          <cell r="B60" t="str">
            <v>Республика Татарстан</v>
          </cell>
          <cell r="I60">
            <v>23</v>
          </cell>
          <cell r="T60" t="str">
            <v>3 00 06 | Простые товарищества</v>
          </cell>
          <cell r="AT60" t="str">
            <v>Реагент - кислота аскорбиновая</v>
          </cell>
          <cell r="GF60" t="str">
            <v>Система ГВС с наружной сетью, с неизолированными стояками, с полотенцесушителями</v>
          </cell>
        </row>
        <row r="61">
          <cell r="B61" t="str">
            <v>Республика Тыва</v>
          </cell>
          <cell r="I61">
            <v>24</v>
          </cell>
          <cell r="T61" t="str">
            <v>3 00 08 | Районные суды, городские суды, межрайонные суды (районные суды)</v>
          </cell>
          <cell r="AT61" t="str">
            <v>Реагент - кислота лимонная</v>
          </cell>
          <cell r="GF61" t="str">
            <v>Система ГВС без наружной сети, с изолированными стояками, без полотенцесушителей</v>
          </cell>
        </row>
        <row r="62">
          <cell r="B62" t="str">
            <v>Республика Хакасия</v>
          </cell>
          <cell r="I62">
            <v>25</v>
          </cell>
          <cell r="T62" t="str">
            <v>4 00 01 | Межправительственные международные организации</v>
          </cell>
          <cell r="AT62" t="str">
            <v>Реагент - кислота розоловая (аурин)</v>
          </cell>
          <cell r="GF62" t="str">
            <v>Система ГВС без наружной сети, с изолированными стояками, с полотенцесушителями</v>
          </cell>
        </row>
        <row r="63">
          <cell r="B63" t="str">
            <v>Ростовская область</v>
          </cell>
          <cell r="I63">
            <v>26</v>
          </cell>
          <cell r="T63" t="str">
            <v>4 00 02 | Неправительственные международные организации</v>
          </cell>
          <cell r="AT63" t="str">
            <v>Реагент - кислота серная</v>
          </cell>
          <cell r="GF63" t="str">
            <v>Система ГВС без наружной сети, с неизолированными стояками, без полотенцесушителей</v>
          </cell>
        </row>
        <row r="64">
          <cell r="B64" t="str">
            <v>Рязанская область</v>
          </cell>
          <cell r="I64">
            <v>27</v>
          </cell>
          <cell r="T64" t="str">
            <v>5 01 01 | Главы крестьянских (фермерских) хозяйств</v>
          </cell>
          <cell r="AT64" t="str">
            <v>Реагент - кислота соляная</v>
          </cell>
          <cell r="GF64" t="str">
            <v>Система ГВС без наружной сети, с неизолированными стояками, с полотенцесушителями</v>
          </cell>
        </row>
        <row r="65">
          <cell r="B65" t="str">
            <v>Самарская область</v>
          </cell>
          <cell r="I65">
            <v>28</v>
          </cell>
          <cell r="T65" t="str">
            <v>5 01 02 | Индивидуальные предприниматели</v>
          </cell>
          <cell r="AT65" t="str">
            <v>Реагент - кислота уксусная</v>
          </cell>
          <cell r="GF65" t="str">
            <v>МКД</v>
          </cell>
        </row>
        <row r="66">
          <cell r="B66" t="str">
            <v>Саратовская область</v>
          </cell>
          <cell r="I66">
            <v>29</v>
          </cell>
          <cell r="T66" t="str">
            <v>5 02 01 | Адвокаты, учредившие адвокатский кабинет</v>
          </cell>
          <cell r="AT66" t="str">
            <v>Реагент - кислота щавелевая</v>
          </cell>
          <cell r="GF66" t="str">
            <v>МКД (полная степень благоустройства)</v>
          </cell>
        </row>
        <row r="67">
          <cell r="B67" t="str">
            <v>Сахалинская область</v>
          </cell>
          <cell r="I67">
            <v>30</v>
          </cell>
          <cell r="T67" t="str">
            <v>5 02 02 | Нотариусы, занимающиеся частной практикой</v>
          </cell>
          <cell r="AT67" t="str">
            <v>Реагент - крахмал</v>
          </cell>
          <cell r="GF67" t="str">
            <v>МКД (частичная степень благоустройства)</v>
          </cell>
        </row>
        <row r="68">
          <cell r="B68" t="str">
            <v>Свердловская область</v>
          </cell>
          <cell r="I68">
            <v>31</v>
          </cell>
          <cell r="T68" t="str">
            <v>6 51 41 | Федеральные казенные предприятия</v>
          </cell>
          <cell r="AT68" t="str">
            <v>Реагент - лантан азотнокислый</v>
          </cell>
          <cell r="GF68" t="str">
            <v>ЧД</v>
          </cell>
        </row>
        <row r="69">
          <cell r="B69" t="str">
            <v>Смоленская область</v>
          </cell>
          <cell r="T69" t="str">
            <v>6 51 42 | Казенные предприятия субъектов Российской Федерации</v>
          </cell>
          <cell r="AT69" t="str">
            <v>Реагент - магний сернокислый</v>
          </cell>
          <cell r="GF69" t="str">
            <v>Для жилых помещений в МКД, в том числе общежитиях квартирного секционного, коридорного типа, жилых домов строительным объёмом от 10000 куб.м</v>
          </cell>
        </row>
        <row r="70">
          <cell r="B70" t="str">
            <v>Ставропольский край</v>
          </cell>
          <cell r="T70" t="str">
            <v>6 51 43 | Муниципальные казенные предприятия</v>
          </cell>
          <cell r="AT70" t="str">
            <v>Реагент - модифицированные аминофосфоновые кислоты и фосфонаты (FLOSPERSE)</v>
          </cell>
          <cell r="GF70" t="str">
            <v>Для жилых помещений в МКД, в том числе общежитиях квартирного секционного, коридорного типа, жилых домов строительным объёмом от 5000 до 10000 куб.м</v>
          </cell>
        </row>
        <row r="71">
          <cell r="B71" t="str">
            <v>Тамбовская область</v>
          </cell>
          <cell r="T71" t="str">
            <v>6 52 41 | Федеральные государственные унитарные предприятия</v>
          </cell>
          <cell r="AT71" t="str">
            <v>Реагент - натр едкий</v>
          </cell>
          <cell r="GF71" t="str">
            <v>Для жилых помещений в МКД, в том числе общежитиях квартирного секционного, коридорного типа, жилых домов строительным объёмом менее 5000 куб.м</v>
          </cell>
        </row>
        <row r="72">
          <cell r="B72" t="str">
            <v>Тверская область</v>
          </cell>
          <cell r="T72" t="str">
            <v>6 52 42 | Государственные унитарные предприятия субъектов Российской Федерации</v>
          </cell>
          <cell r="AT72" t="str">
            <v>Реагент - натрий гидроокись</v>
          </cell>
          <cell r="GF72" t="str">
            <v>Система отопления без полотенцесушителя</v>
          </cell>
        </row>
        <row r="73">
          <cell r="B73" t="str">
            <v>Томская область</v>
          </cell>
          <cell r="T73" t="str">
            <v>6 52 43 | Муниципальные унитарные предприятия</v>
          </cell>
          <cell r="AT73" t="str">
            <v>Реагент - натрий салициловокислый</v>
          </cell>
          <cell r="GF73" t="str">
            <v>Система отопления без полотенцесушителя, без дополнительного преобразования на тепловых пунктах</v>
          </cell>
        </row>
        <row r="74">
          <cell r="B74" t="str">
            <v>Тульская область</v>
          </cell>
          <cell r="T74" t="str">
            <v>7 04 01 | Благотворительные фонды</v>
          </cell>
          <cell r="AT74" t="str">
            <v>Реагент - натрий сернокислый</v>
          </cell>
          <cell r="GF74" t="str">
            <v>Система отопления без полотенцесушителя, с дополнительным преобразованием на тепловых пунктах</v>
          </cell>
        </row>
        <row r="75">
          <cell r="B75" t="str">
            <v>Тюменская область</v>
          </cell>
          <cell r="T75" t="str">
            <v>7 04 02 | Негосударственные пенсионные фонды</v>
          </cell>
          <cell r="AT75" t="str">
            <v>Реагент - натрий углекислый</v>
          </cell>
          <cell r="GF75" t="str">
            <v>Система отопления с полотенцесушителем</v>
          </cell>
        </row>
        <row r="76">
          <cell r="B76" t="str">
            <v>Удмуртская республика</v>
          </cell>
          <cell r="T76" t="str">
            <v>7 04 03 | Общественные фонды</v>
          </cell>
          <cell r="AT76" t="str">
            <v>Реагент - натрий уксуснокислый</v>
          </cell>
          <cell r="GF76" t="str">
            <v>Система отопления с полотенцесушителем, без дополнительного преобразования на тепловых пунктах</v>
          </cell>
        </row>
        <row r="77">
          <cell r="B77" t="str">
            <v>Ульяновская область</v>
          </cell>
          <cell r="T77" t="str">
            <v>7 04 04 | Экологические фонды</v>
          </cell>
          <cell r="AT77" t="str">
            <v>Реагент - натрий хлористый</v>
          </cell>
          <cell r="GF77" t="str">
            <v>Система отопления с полотенцесушителем, с дополнительным преобразованием на тепловых пунктах</v>
          </cell>
        </row>
        <row r="78">
          <cell r="B78" t="str">
            <v>Хабаровский край</v>
          </cell>
          <cell r="T78" t="str">
            <v>7 14 00 | Автономные некоммерческие организации</v>
          </cell>
          <cell r="AT78" t="str">
            <v>Реагент - пеногаситель (FLOFOAM)</v>
          </cell>
          <cell r="GF78" t="str">
            <v>Система отопления с изолированными стояками, без полотенцесушителей</v>
          </cell>
        </row>
        <row r="79">
          <cell r="B79" t="str">
            <v>Ханты-Мансийский автономный округ</v>
          </cell>
          <cell r="T79" t="str">
            <v>7 15 00 | Религиозные организации</v>
          </cell>
          <cell r="AT79" t="str">
            <v>Реагент - реактив Грисса</v>
          </cell>
          <cell r="GF79" t="str">
            <v>Система отопления с изолированными стояками, с полотенцесушителями</v>
          </cell>
        </row>
        <row r="80">
          <cell r="B80" t="str">
            <v>Челябинская область</v>
          </cell>
          <cell r="T80" t="str">
            <v>7 16 01 | Государственные корпорации</v>
          </cell>
          <cell r="AT80" t="str">
            <v>Реагент - реактив Несслера</v>
          </cell>
          <cell r="GF80" t="str">
            <v>Система отопления с неизолированными стояками, без полотенцесушителей</v>
          </cell>
        </row>
        <row r="81">
          <cell r="B81" t="str">
            <v>Чеченская республика</v>
          </cell>
          <cell r="T81" t="str">
            <v>7 16 02 | Государственные компании</v>
          </cell>
          <cell r="AT81" t="str">
            <v>Реагент - свинец уксуснокислый</v>
          </cell>
          <cell r="GF81" t="str">
            <v>Система отопления с неизолированными стояками, с полотенцесушителями</v>
          </cell>
        </row>
        <row r="82">
          <cell r="B82" t="str">
            <v>Чувашская республика</v>
          </cell>
          <cell r="T82" t="str">
            <v>7 16 10 | Отделения иностранных некоммерческих неправительственных организаций</v>
          </cell>
          <cell r="AT82" t="str">
            <v>Реагент - серебро азотнокислое</v>
          </cell>
          <cell r="GF82" t="str">
            <v>Система отопления с наружной сетью, с изолированными стояками, без полотенцесушителей</v>
          </cell>
        </row>
        <row r="83">
          <cell r="B83" t="str">
            <v>Чукотский автономный округ</v>
          </cell>
          <cell r="T83" t="str">
            <v>7 51 01 | Федеральные государственные автономные учреждения</v>
          </cell>
          <cell r="AT83" t="str">
            <v>Реагент - серебро сернокислое</v>
          </cell>
          <cell r="GF83" t="str">
            <v>Система отопления с наружной сетью, с изолированными стояками, с полотенцесушителями</v>
          </cell>
        </row>
        <row r="84">
          <cell r="B84" t="str">
            <v>Ямало-Ненецкий автономный округ</v>
          </cell>
          <cell r="T84" t="str">
            <v>7 51 03 | Федеральные государственные бюджетные учреждения</v>
          </cell>
          <cell r="AT84" t="str">
            <v>Реагент - сода кальцинированная</v>
          </cell>
          <cell r="GF84" t="str">
            <v>Система отопления с наружной сетью, с неизолированными стояками, без полотенцесушителей</v>
          </cell>
        </row>
        <row r="85">
          <cell r="B85" t="str">
            <v>Ярославская область</v>
          </cell>
          <cell r="T85" t="str">
            <v>7 51 04 | Федеральные государственные казенные учреждения</v>
          </cell>
          <cell r="AT85" t="str">
            <v>Реагент - сода каустическая</v>
          </cell>
          <cell r="GF85" t="str">
            <v>Система отопления с наружной сетью, с неизолированными стояками, с полотенцесушителями</v>
          </cell>
        </row>
        <row r="86">
          <cell r="T86" t="str">
            <v>7 52 01 | Государственные автономные учреждения субъектов Российской Федерации</v>
          </cell>
          <cell r="AT86" t="str">
            <v>Реагент - соль 1 сорт</v>
          </cell>
          <cell r="GF86" t="str">
            <v>Система отопления без наружной сети, с изолированными стояками, без полотенцесушителей</v>
          </cell>
        </row>
        <row r="87">
          <cell r="T87" t="str">
            <v>7 52 03 | Государственные бюджетные учреждения субъектов Российской Федерации</v>
          </cell>
          <cell r="AT87" t="str">
            <v>Реагент - соль пищевая поваренная</v>
          </cell>
          <cell r="GF87" t="str">
            <v>Система отопления без наружной сети, с изолированными стояками, с полотенцесушителями</v>
          </cell>
        </row>
        <row r="88">
          <cell r="T88" t="str">
            <v>7 52 04 | Государственные казенные учреждения субъектов Российской Федерации</v>
          </cell>
          <cell r="AT88" t="str">
            <v>Реагент - соль таблетированная</v>
          </cell>
          <cell r="GF88" t="str">
            <v>Система отопления без наружной сети, с неизолированными стояками, без полотенцесушителей</v>
          </cell>
        </row>
        <row r="89">
          <cell r="T89" t="str">
            <v>7 53 00 | Государственные академии наук</v>
          </cell>
          <cell r="AT89" t="str">
            <v>Реагент - соль техническая</v>
          </cell>
          <cell r="GF89" t="str">
            <v>Система отопления без наружной сети, с неизолированными стояками, с полотенцесушителями</v>
          </cell>
        </row>
        <row r="90">
          <cell r="T90" t="str">
            <v>7 54 01 | Муниципальные автономные учреждения</v>
          </cell>
          <cell r="AT90" t="str">
            <v>Реагент - соль экстра</v>
          </cell>
        </row>
        <row r="91">
          <cell r="T91" t="str">
            <v>7 54 03 | Муниципальные бюджетные учреждения</v>
          </cell>
          <cell r="AT91" t="str">
            <v>Реагент - спирт</v>
          </cell>
        </row>
        <row r="92">
          <cell r="T92" t="str">
            <v>7 54 04 | Муниципальные казенные учреждения</v>
          </cell>
          <cell r="AT92" t="str">
            <v>Реагент - сульфат алюминия 1 сорт</v>
          </cell>
        </row>
        <row r="93">
          <cell r="T93" t="str">
            <v>7 55 00 | Частные учреждения</v>
          </cell>
          <cell r="AT93" t="str">
            <v>Реагент - сульфат алюминия жидкий</v>
          </cell>
        </row>
        <row r="94">
          <cell r="T94" t="str">
            <v>7 55 02 | Благотворительные учреждения</v>
          </cell>
          <cell r="AT94" t="str">
            <v>Реагент - сульфат алюминия технический</v>
          </cell>
        </row>
        <row r="95">
          <cell r="T95" t="str">
            <v>7 55 05 | Общественные учреждения</v>
          </cell>
          <cell r="AT95" t="str">
            <v>Реагент - сульфат аммония</v>
          </cell>
        </row>
        <row r="96">
          <cell r="AT96" t="str">
            <v>Реагент - тиомочевина</v>
          </cell>
        </row>
        <row r="97">
          <cell r="AT97" t="str">
            <v>Реагент - тиосульфат натрия</v>
          </cell>
        </row>
        <row r="98">
          <cell r="AT98" t="str">
            <v>Реагент - углерод порошкообразный</v>
          </cell>
        </row>
        <row r="99">
          <cell r="AT99" t="str">
            <v>Реагент - углерод четырёххлористый</v>
          </cell>
        </row>
        <row r="100">
          <cell r="AT100" t="str">
            <v>Реагент - фенолфталеин</v>
          </cell>
        </row>
        <row r="101">
          <cell r="AT101" t="str">
            <v>Реагент - хлор</v>
          </cell>
        </row>
        <row r="102">
          <cell r="AT102" t="str">
            <v>Реагент - хлор жидкий</v>
          </cell>
        </row>
        <row r="103">
          <cell r="AT103" t="str">
            <v>Реагент - хлорамин</v>
          </cell>
        </row>
        <row r="104">
          <cell r="AT104" t="str">
            <v>Реагент - хлороформ</v>
          </cell>
        </row>
        <row r="105">
          <cell r="AT105" t="str">
            <v>Реагент - этиленгликоль</v>
          </cell>
        </row>
        <row r="106">
          <cell r="AT106" t="str">
            <v>Реагент - прочие</v>
          </cell>
        </row>
        <row r="107">
          <cell r="AT107" t="str">
            <v>Прочие</v>
          </cell>
        </row>
      </sheetData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>
        <row r="4">
          <cell r="L4" t="str">
            <v>прямые расходы</v>
          </cell>
        </row>
        <row r="5">
          <cell r="L5" t="str">
            <v>выручка</v>
          </cell>
        </row>
        <row r="6">
          <cell r="L6" t="str">
            <v>оплата труда</v>
          </cell>
        </row>
        <row r="12">
          <cell r="C12" t="str">
            <v>Метод индексации</v>
          </cell>
        </row>
        <row r="13">
          <cell r="C13" t="str">
            <v>МЭОР</v>
          </cell>
        </row>
        <row r="14">
          <cell r="C14" t="str">
            <v>Метод сравнения аналогов</v>
          </cell>
        </row>
        <row r="15">
          <cell r="C15" t="str">
            <v>Не регулировалась</v>
          </cell>
        </row>
        <row r="32">
          <cell r="A32" t="str">
            <v>не привязан к объекту</v>
          </cell>
        </row>
        <row r="33">
          <cell r="A33" t="str">
            <v>АО "Янтарьэнергосбыт"::3908600865::390601001</v>
          </cell>
        </row>
        <row r="34">
          <cell r="A34" t="str">
            <v>ЗАО "Западная энергосбытовая компания"::3908601379::390801001</v>
          </cell>
        </row>
        <row r="43">
          <cell r="A43" t="str">
            <v>Производство (подъём / добыча) воды</v>
          </cell>
        </row>
        <row r="44">
          <cell r="A44" t="str">
            <v>Очистка воды</v>
          </cell>
        </row>
        <row r="45">
          <cell r="A45" t="str">
            <v>Транспортировка воды</v>
          </cell>
        </row>
        <row r="46">
          <cell r="A46" t="str">
            <v>Сбыт (распределение) воды</v>
          </cell>
        </row>
        <row r="52">
          <cell r="A52" t="str">
            <v>Городской округ город Калининград</v>
          </cell>
        </row>
        <row r="57">
          <cell r="A57" t="str">
            <v>не привязан к объекту</v>
          </cell>
        </row>
        <row r="58">
          <cell r="A58" t="str">
            <v>ЦВС</v>
          </cell>
        </row>
        <row r="59">
          <cell r="A59" t="str">
            <v>ВВС</v>
          </cell>
        </row>
        <row r="60">
          <cell r="A60" t="str">
            <v>ЮВС-2</v>
          </cell>
        </row>
        <row r="61">
          <cell r="A61" t="str">
            <v>ВНС п.Прибрежный</v>
          </cell>
        </row>
        <row r="62">
          <cell r="A62" t="str">
            <v>ВНС п. Чкаловск</v>
          </cell>
        </row>
        <row r="63">
          <cell r="A63" t="str">
            <v>ВНС п.Совхозный</v>
          </cell>
        </row>
        <row r="64">
          <cell r="A64" t="str">
            <v>ВНС п. Западный</v>
          </cell>
        </row>
        <row r="65">
          <cell r="A65" t="str">
            <v>ВНС п. Космодемьянского</v>
          </cell>
        </row>
        <row r="66">
          <cell r="A66" t="str">
            <v>МНС</v>
          </cell>
        </row>
        <row r="67">
          <cell r="A67" t="str">
            <v>ВНС Полоцкая</v>
          </cell>
        </row>
        <row r="68">
          <cell r="A68" t="str">
            <v>ВНС Тихорецкая</v>
          </cell>
        </row>
        <row r="69">
          <cell r="A69" t="str">
            <v>ВНС Дадаевская</v>
          </cell>
        </row>
        <row r="70">
          <cell r="A70" t="str">
            <v>ВНС Горьковская</v>
          </cell>
        </row>
        <row r="71">
          <cell r="A71" t="str">
            <v>ВНС Солдатская</v>
          </cell>
        </row>
        <row r="72">
          <cell r="A72" t="str">
            <v>ВНС Суворовская</v>
          </cell>
        </row>
        <row r="73">
          <cell r="A73" t="str">
            <v>ВНС ул. Артиллерийская</v>
          </cell>
        </row>
        <row r="74">
          <cell r="A74" t="str">
            <v>ВНС ул. Невского</v>
          </cell>
        </row>
        <row r="75">
          <cell r="A75" t="str">
            <v>ЮВС-1</v>
          </cell>
        </row>
        <row r="76">
          <cell r="A76" t="str">
            <v>ВНС Согласия</v>
          </cell>
        </row>
        <row r="77">
          <cell r="A77" t="str">
            <v>ВНС</v>
          </cell>
        </row>
        <row r="78">
          <cell r="A78" t="str">
            <v>ВНС</v>
          </cell>
        </row>
        <row r="79">
          <cell r="A79" t="str">
            <v>ВНС</v>
          </cell>
        </row>
        <row r="80">
          <cell r="A80" t="str">
            <v>ВНС</v>
          </cell>
        </row>
        <row r="81">
          <cell r="A81" t="str">
            <v>ВНС</v>
          </cell>
        </row>
        <row r="82">
          <cell r="A82" t="str">
            <v>ВНС</v>
          </cell>
        </row>
        <row r="83">
          <cell r="A83" t="str">
            <v>ВНС</v>
          </cell>
        </row>
        <row r="84">
          <cell r="A84" t="str">
            <v>ВНС</v>
          </cell>
        </row>
        <row r="85">
          <cell r="A85" t="str">
            <v>ВНС</v>
          </cell>
        </row>
        <row r="86">
          <cell r="A86" t="str">
            <v>ВНС</v>
          </cell>
        </row>
        <row r="87">
          <cell r="A87" t="str">
            <v>ВНС</v>
          </cell>
        </row>
        <row r="88">
          <cell r="A88" t="str">
            <v>ВНС</v>
          </cell>
        </row>
        <row r="89">
          <cell r="A89" t="str">
            <v>ВНС</v>
          </cell>
        </row>
        <row r="90">
          <cell r="A90" t="str">
            <v>ВНС</v>
          </cell>
        </row>
        <row r="91">
          <cell r="A91" t="str">
            <v>ВНС</v>
          </cell>
        </row>
        <row r="92">
          <cell r="A92" t="str">
            <v>ВНС</v>
          </cell>
        </row>
        <row r="93">
          <cell r="A93" t="str">
            <v>ВНС (ВПУ)</v>
          </cell>
        </row>
        <row r="94">
          <cell r="A94" t="str">
            <v>ВНС (ВПУ)</v>
          </cell>
        </row>
        <row r="95">
          <cell r="A95" t="str">
            <v>ВНС (ВПУ)</v>
          </cell>
        </row>
        <row r="96">
          <cell r="A96" t="str">
            <v>ВНС (ВПУ)</v>
          </cell>
        </row>
        <row r="97">
          <cell r="A97" t="str">
            <v>ВНС (ВПУ)</v>
          </cell>
        </row>
        <row r="98">
          <cell r="A98" t="str">
            <v>ВНС (ВПУ)</v>
          </cell>
        </row>
        <row r="99">
          <cell r="A99" t="str">
            <v>ВНС (ВПУ)</v>
          </cell>
        </row>
        <row r="100">
          <cell r="A100" t="str">
            <v>ВНС (ВПУ)</v>
          </cell>
        </row>
        <row r="101">
          <cell r="A101" t="str">
            <v>ВНС</v>
          </cell>
        </row>
        <row r="102">
          <cell r="A102" t="str">
            <v>ВНС</v>
          </cell>
        </row>
        <row r="103">
          <cell r="A103" t="str">
            <v>ВНС (ВПУ)</v>
          </cell>
        </row>
        <row r="104">
          <cell r="A104" t="str">
            <v>ВНС (ВПУ)</v>
          </cell>
        </row>
        <row r="105">
          <cell r="A105" t="str">
            <v>ВНС (ВПУ)</v>
          </cell>
        </row>
        <row r="106">
          <cell r="A106" t="str">
            <v>ВНС (ВПУ)</v>
          </cell>
        </row>
        <row r="107">
          <cell r="A107" t="str">
            <v>ВНС (ВПУ)</v>
          </cell>
        </row>
        <row r="108">
          <cell r="A108" t="str">
            <v>ВНС (ВПУ)</v>
          </cell>
        </row>
        <row r="109">
          <cell r="A109" t="str">
            <v>ВНС (ВПУ)</v>
          </cell>
        </row>
        <row r="110">
          <cell r="A110" t="str">
            <v>ВНС (ВПУ)</v>
          </cell>
        </row>
        <row r="111">
          <cell r="A111" t="str">
            <v>ВНС (ВПУ)</v>
          </cell>
        </row>
        <row r="112">
          <cell r="A112" t="str">
            <v>ВНС (ВПУ)</v>
          </cell>
        </row>
        <row r="113">
          <cell r="A113" t="str">
            <v>ВНС (ВПУ)</v>
          </cell>
        </row>
        <row r="114">
          <cell r="A114" t="str">
            <v>ВНС (ВПУ)</v>
          </cell>
        </row>
        <row r="115">
          <cell r="A115" t="str">
            <v>ВНС</v>
          </cell>
        </row>
        <row r="116">
          <cell r="A116" t="str">
            <v>ВНС (ВПУ)</v>
          </cell>
        </row>
        <row r="117">
          <cell r="A117" t="str">
            <v>ВНС (ВПУ)</v>
          </cell>
        </row>
        <row r="118">
          <cell r="A118" t="str">
            <v>ВНС (ВПУ)</v>
          </cell>
        </row>
        <row r="119">
          <cell r="A119" t="str">
            <v>водопроводные сети</v>
          </cell>
        </row>
        <row r="120">
          <cell r="A120" t="str">
            <v>скважина, ВНС. водопроводная сеть</v>
          </cell>
        </row>
        <row r="121">
          <cell r="A121" t="str">
            <v>ВНС "Сусанинская"</v>
          </cell>
        </row>
        <row r="122">
          <cell r="A122" t="str">
            <v>ВПУ</v>
          </cell>
        </row>
        <row r="123">
          <cell r="A123" t="str">
            <v>ВПУ</v>
          </cell>
        </row>
        <row r="124">
          <cell r="A124" t="str">
            <v>ВПУ</v>
          </cell>
        </row>
        <row r="125">
          <cell r="A125" t="str">
            <v>ВПУ</v>
          </cell>
        </row>
        <row r="126">
          <cell r="A126" t="str">
            <v>ВПУ</v>
          </cell>
        </row>
        <row r="127">
          <cell r="A127" t="str">
            <v>ВНС</v>
          </cell>
        </row>
        <row r="128">
          <cell r="A128" t="str">
            <v>ВНС</v>
          </cell>
        </row>
        <row r="129">
          <cell r="A129" t="str">
            <v>ВНС</v>
          </cell>
        </row>
      </sheetData>
      <sheetData sheetId="102" refreshError="1">
        <row r="3">
          <cell r="A3" t="str">
            <v>0 %</v>
          </cell>
          <cell r="B3" t="str">
            <v>федеральная</v>
          </cell>
          <cell r="C3" t="str">
            <v>постановление</v>
          </cell>
          <cell r="D3" t="str">
            <v>Общее руководство</v>
          </cell>
          <cell r="J3" t="str">
            <v>Разметка</v>
          </cell>
        </row>
        <row r="4">
          <cell r="A4" t="str">
            <v>менее 50 %</v>
          </cell>
          <cell r="B4" t="str">
            <v>субъект РФ</v>
          </cell>
          <cell r="C4" t="str">
            <v>распоряжение</v>
          </cell>
          <cell r="D4" t="str">
            <v>Бухгалтерский учет и финансовая деятельность</v>
          </cell>
          <cell r="J4" t="str">
            <v>Предзаполнение</v>
          </cell>
        </row>
        <row r="5">
          <cell r="A5" t="str">
            <v>50 % и более</v>
          </cell>
          <cell r="B5" t="str">
            <v>муниципальная</v>
          </cell>
          <cell r="C5" t="str">
            <v>решение</v>
          </cell>
          <cell r="D5" t="str">
            <v>Комплектование и учет кадров</v>
          </cell>
        </row>
        <row r="6">
          <cell r="A6" t="str">
            <v>100 %</v>
          </cell>
          <cell r="B6" t="str">
            <v>частная</v>
          </cell>
          <cell r="C6" t="str">
            <v>приказ</v>
          </cell>
          <cell r="D6" t="str">
            <v>Материально-техническое снабжение</v>
          </cell>
        </row>
        <row r="7">
          <cell r="C7" t="str">
            <v>закон</v>
          </cell>
          <cell r="D7" t="str">
            <v>Надзор и контроль за капитальным ремонтом</v>
          </cell>
        </row>
        <row r="8">
          <cell r="C8" t="str">
            <v>соглашение</v>
          </cell>
          <cell r="D8" t="str">
            <v>Общее делопроизводство и хозяйственное обслуживание</v>
          </cell>
        </row>
        <row r="9">
          <cell r="C9" t="str">
            <v>протокол</v>
          </cell>
          <cell r="D9" t="str">
            <v>Организация технической эксплуатации систем водоснабжения и канализации</v>
          </cell>
        </row>
        <row r="10">
          <cell r="C10" t="str">
            <v>предложить ещё варианты …</v>
          </cell>
          <cell r="D10" t="str">
            <v>Правовое обслуживание</v>
          </cell>
        </row>
        <row r="11">
          <cell r="D11" t="str">
            <v>Техническое обслуживание и внедрение средств автоматизации</v>
          </cell>
        </row>
        <row r="12">
          <cell r="D12" t="str">
            <v>Технико-экономическое планирование, организация труда и заработной платы</v>
          </cell>
        </row>
        <row r="13">
          <cell r="D13" t="str">
            <v>Организация труда и заработной платы</v>
          </cell>
        </row>
        <row r="14">
          <cell r="D14" t="str">
            <v>Обеспечение энергетическими ресурсами</v>
          </cell>
        </row>
        <row r="15">
          <cell r="D15" t="str">
            <v>Внешние и внутренние коммуникации</v>
          </cell>
        </row>
        <row r="16">
          <cell r="D16" t="str">
            <v>Безопасность</v>
          </cell>
        </row>
        <row r="17">
          <cell r="D17" t="str">
            <v>Программное обеспечение и системное администрирование вычислительной техники</v>
          </cell>
        </row>
        <row r="18">
          <cell r="D18" t="str">
            <v>Организация реализации и учета водопотребления и водоотведения по абонентам (юридические лица)</v>
          </cell>
        </row>
        <row r="19">
          <cell r="D19" t="str">
            <v>Организация реализации и учета водопотребления и водоотведения по абонентам (население)</v>
          </cell>
        </row>
        <row r="20">
          <cell r="D20" t="str">
            <v>Оперативное руководство эксплуатацией водопроводных сооружений по забору, подаче, хранению и перекачке воды</v>
          </cell>
        </row>
        <row r="21">
          <cell r="D21" t="str">
            <v>Оперативное руководство эксплуатацией станций водоподготовки</v>
          </cell>
        </row>
        <row r="22">
          <cell r="D22" t="str">
            <v>Оперативное руководство эксплуатацией водопроводных сетей</v>
          </cell>
        </row>
        <row r="23">
          <cell r="D23" t="str">
            <v>Оперативное руководство эксплуатацией канализационных насосных станций</v>
          </cell>
        </row>
        <row r="24">
          <cell r="D24" t="str">
            <v>Оперативное руководство эксплуатацией очистных сооружений канализации</v>
          </cell>
        </row>
        <row r="25">
          <cell r="D25" t="str">
            <v>Оперативное руководство эксплуатацией канализационных сетей</v>
          </cell>
        </row>
        <row r="26">
          <cell r="D26" t="str">
            <v>Организация ремонтно-эксплуатационного обслуживания оборудования, контрольно-измерительных приборов и средств автоматики</v>
          </cell>
        </row>
        <row r="27">
          <cell r="D27" t="str">
            <v>Организация ремонтно-технического обслуживания зданий и сооружений</v>
          </cell>
        </row>
        <row r="28">
          <cell r="D28" t="str">
            <v>Организация ремонта и технического обслуживания автомобильного транспорта, специальных дорожных и строительных машин и механизмов</v>
          </cell>
        </row>
        <row r="29">
          <cell r="D29" t="str">
            <v>Диспетчерское обслуживание</v>
          </cell>
        </row>
        <row r="30">
          <cell r="D30" t="str">
            <v>Ведение воинского учета</v>
          </cell>
        </row>
        <row r="31">
          <cell r="D31" t="str">
            <v>Ведение архива</v>
          </cell>
        </row>
        <row r="32">
          <cell r="D32" t="str">
            <v>Охрана труда</v>
          </cell>
        </row>
        <row r="33">
          <cell r="D33" t="str">
            <v>Гражданская оборона</v>
          </cell>
        </row>
        <row r="34">
          <cell r="D34" t="str">
            <v>Подключение новых абонентов</v>
          </cell>
        </row>
        <row r="35">
          <cell r="D35" t="str">
            <v>Оптимизация режимов сетей и сооружений</v>
          </cell>
        </row>
        <row r="36">
          <cell r="D36" t="str">
            <v>Контрактная служба закупок</v>
          </cell>
        </row>
        <row r="37">
          <cell r="D37" t="str">
            <v>Охрана окружающей среды</v>
          </cell>
        </row>
        <row r="38">
          <cell r="D38" t="str">
            <v>Взыскание дебиторской задолженности, исковая работа в отношении абонентов</v>
          </cell>
        </row>
        <row r="39">
          <cell r="D39" t="str">
            <v>Организация работ по подготовке и составлению сметной документации</v>
          </cell>
        </row>
        <row r="40">
          <cell r="D40" t="str">
            <v>Лабораторный контроль качества воды и сточных вод</v>
          </cell>
        </row>
        <row r="41">
          <cell r="D41" t="str">
            <v>Взаимодействие с абонентами по вопросам отбора и анализа проб сточных вод абонентов</v>
          </cell>
        </row>
        <row r="42">
          <cell r="D42" t="str">
            <v>Прочие руководители, специалисты и служащие</v>
          </cell>
        </row>
        <row r="43">
          <cell r="D43" t="str">
            <v>Насосные станции водопровода</v>
          </cell>
        </row>
        <row r="44">
          <cell r="D44" t="str">
            <v>Станции водоподготовки</v>
          </cell>
        </row>
        <row r="45">
          <cell r="D45" t="str">
            <v>Водопроводная сеть</v>
          </cell>
        </row>
        <row r="46">
          <cell r="D46" t="str">
            <v>Контроль и учет расхода воды</v>
          </cell>
        </row>
        <row r="47">
          <cell r="D47" t="str">
            <v>Сооружения для хранения и запаса воды</v>
          </cell>
        </row>
        <row r="48">
          <cell r="D48" t="str">
            <v>Насосные установки для подкачки воды</v>
          </cell>
        </row>
        <row r="49">
          <cell r="D49" t="str">
            <v>Водозаборы подземных вод</v>
          </cell>
        </row>
        <row r="50">
          <cell r="D50" t="str">
            <v>Водозаборные сооружения из поверхностных источников</v>
          </cell>
        </row>
        <row r="51">
          <cell r="D51" t="str">
            <v>Озонаторные станции</v>
          </cell>
        </row>
        <row r="52">
          <cell r="D52" t="str">
            <v>Ультрафиолетовые (бактерицидные) установки на системах водопровода</v>
          </cell>
        </row>
        <row r="53">
          <cell r="D53" t="str">
            <v>Насосные станции канализации</v>
          </cell>
        </row>
        <row r="54">
          <cell r="D54" t="str">
            <v>Канализационные сети</v>
          </cell>
        </row>
        <row r="55">
          <cell r="D55" t="str">
            <v>Решетки</v>
          </cell>
        </row>
        <row r="56">
          <cell r="D56" t="str">
            <v>Песколовки</v>
          </cell>
        </row>
        <row r="57">
          <cell r="D57" t="str">
            <v>Двухъярусные отстойники</v>
          </cell>
        </row>
        <row r="58">
          <cell r="D58" t="str">
            <v>Первичные отстойники</v>
          </cell>
        </row>
        <row r="59">
          <cell r="D59" t="str">
            <v>Биофильтры и аэрофильтры</v>
          </cell>
        </row>
        <row r="60">
          <cell r="D60" t="str">
            <v>Аэротенки</v>
          </cell>
        </row>
        <row r="61">
          <cell r="D61" t="str">
            <v>Вторичные отстойники</v>
          </cell>
        </row>
        <row r="62">
          <cell r="D62" t="str">
            <v>Насосные и воздуходувные станции</v>
          </cell>
        </row>
        <row r="63">
          <cell r="D63" t="str">
            <v>Поля фильтрации (поля подземной фильтрации)</v>
          </cell>
        </row>
        <row r="64">
          <cell r="D64" t="str">
            <v>Иловые площадки</v>
          </cell>
        </row>
        <row r="65">
          <cell r="D65" t="str">
            <v>Метантенки</v>
          </cell>
        </row>
        <row r="66">
          <cell r="D66" t="str">
            <v>Установка по механическому обезвоживанию осадка</v>
          </cell>
        </row>
        <row r="67">
          <cell r="D67" t="str">
            <v>Установка по термической сушке осадка</v>
          </cell>
        </row>
        <row r="68">
          <cell r="D68" t="str">
            <v>Сооружения глубокой очистки (фильтры, биореакторы, биосорберы и т.п.)</v>
          </cell>
        </row>
        <row r="69">
          <cell r="D69" t="str">
            <v>Хлораторные установки</v>
          </cell>
        </row>
        <row r="70">
          <cell r="D70" t="str">
            <v>Ультрафиолетовые (бактерицидные) установки на системах канализации</v>
          </cell>
        </row>
        <row r="71">
          <cell r="D71" t="str">
            <v>Контроль качества сточных вод</v>
          </cell>
        </row>
        <row r="72">
          <cell r="D72" t="str">
            <v>Пульт дистанционно-автоматического управления</v>
          </cell>
        </row>
        <row r="73">
          <cell r="D73" t="str">
            <v>Прочие рабочие (производственная часть)</v>
          </cell>
        </row>
        <row r="74">
          <cell r="D74" t="str">
            <v>Кладовщик</v>
          </cell>
        </row>
        <row r="75">
          <cell r="D75" t="str">
            <v>Уборка административных зданий и производственных помещений, уборка территории</v>
          </cell>
        </row>
        <row r="76">
          <cell r="D76" t="str">
            <v>Обслуживание котельной, тепло- и энергетического хозяйства</v>
          </cell>
        </row>
        <row r="77">
          <cell r="D77" t="str">
            <v>Внешнее благоустройство территорий, озеленение, уборка территорий по итогам проведения строительных и ремонтных работ бригадами</v>
          </cell>
        </row>
        <row r="78">
          <cell r="D78" t="str">
            <v>Ремонт и обслуживание автотранспортной и специальной техники</v>
          </cell>
        </row>
        <row r="79">
          <cell r="D79" t="str">
            <v>Вождение/управление автотранспортным средством, строительной и специальной техникой</v>
          </cell>
        </row>
        <row r="80">
          <cell r="D80" t="str">
            <v>Медицинский осмотр водителей транспортных средств</v>
          </cell>
        </row>
        <row r="81">
          <cell r="D81" t="str">
            <v>Медицинское обслуживание работников организации водопроводно-канализационного хозяйства</v>
          </cell>
        </row>
        <row r="82">
          <cell r="D82" t="str">
            <v>Прочие вспомогательные службы</v>
          </cell>
        </row>
      </sheetData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Документы"/>
      <sheetName val="Лист1"/>
      <sheetName val="Лист2"/>
      <sheetName val="Лист3"/>
    </sheetNames>
    <sheetDataSet>
      <sheetData sheetId="0">
        <row r="83">
          <cell r="AG83" t="str">
            <v>Ссылка на документ</v>
          </cell>
        </row>
        <row r="84">
          <cell r="B84" t="b">
            <v>1</v>
          </cell>
          <cell r="AG84">
            <v>0</v>
          </cell>
        </row>
        <row r="85">
          <cell r="AG85">
            <v>0</v>
          </cell>
        </row>
        <row r="86">
          <cell r="B86" t="b">
            <v>1</v>
          </cell>
          <cell r="AG86" t="str">
            <v>https://data-platform.ru/lk/files/Files/tKPMls/b6d5c7d6-2f13-4e92-8632-7e84ffb38840</v>
          </cell>
        </row>
        <row r="87">
          <cell r="AG87" t="str">
            <v>https://data-platform.ru/lk/files/Files/tKPMls/7ba6e627-7720-4123-a6be-f60cf32f1d77</v>
          </cell>
        </row>
        <row r="88">
          <cell r="AG88" t="str">
            <v>https://data-platform.ru/lk/files/Files/tKPMls/626f9b24-ecc5-4918-bc5e-dfde70c40c37</v>
          </cell>
        </row>
        <row r="89">
          <cell r="AG89" t="str">
            <v>https://data-platform.ru/lk/files/Files/tKPMls/ab5ee684-5aa7-4c46-bc76-2483fba52d72</v>
          </cell>
        </row>
        <row r="90">
          <cell r="AG90" t="str">
            <v>https://data-platform.ru/lk/files/Files/tKPMls/035853a0-830c-4d71-8296-606bd325077e</v>
          </cell>
        </row>
        <row r="91">
          <cell r="AG91" t="str">
            <v>https://data-platform.ru/lk/files/Files/tKPMls/6f34c634-3d89-4d13-a5f6-92636149903c</v>
          </cell>
        </row>
        <row r="92">
          <cell r="AG92" t="str">
            <v>https://data-platform.ru/lk/files/Files/tKPMls/dd0aa7eb-27c5-4e43-bde5-7833f932a4a0</v>
          </cell>
        </row>
        <row r="93">
          <cell r="AG93" t="str">
            <v>https://data-platform.ru/lk/files/Files/tKPMls/035853a0-830c-4d71-8296-606bd325077e</v>
          </cell>
        </row>
        <row r="94">
          <cell r="AG94" t="str">
            <v>https://data-platform.ru/lk/files/Files/tKPMls/f25b8f01-9e64-498d-ab68-2015076b1b43</v>
          </cell>
        </row>
        <row r="95">
          <cell r="AG95" t="str">
            <v>https://data-platform.ru/lk/files/Files/tKPMls/7c4b9f64-788f-4bad-ac7c-3f1913bea2d8</v>
          </cell>
        </row>
        <row r="96">
          <cell r="AG96" t="str">
            <v>https://data-platform.ru/lk/files/Files/tKPMls/dd0aa7eb-27c5-4e43-bde5-7833f932a4a0</v>
          </cell>
        </row>
        <row r="97">
          <cell r="AG97" t="str">
            <v>https://data-platform.ru/lk/files/Files/tKPMls/8401ac47-bba3-40f1-b431-c62eb89f5947</v>
          </cell>
        </row>
        <row r="98">
          <cell r="AG98" t="str">
            <v>https://data-platform.ru/lk/files/Files/tKPMls/626f9b24-ecc5-4918-bc5e-dfde70c40c37</v>
          </cell>
        </row>
        <row r="99">
          <cell r="B99" t="b">
            <v>1</v>
          </cell>
          <cell r="AG99">
            <v>0</v>
          </cell>
        </row>
        <row r="100">
          <cell r="B100" t="b">
            <v>1</v>
          </cell>
          <cell r="AG100" t="str">
            <v>https://data-platform.ru/lk/files/Files/tKPMls/2d9d413b-3f06-4503-aee9-d1d44a79caa5</v>
          </cell>
        </row>
        <row r="101">
          <cell r="AG101" t="str">
            <v>https://data-platform.ru/lk/files/Files/tKPMls/2d9d413b-3f06-4503-aee9-d1d44a79caa5</v>
          </cell>
        </row>
        <row r="102">
          <cell r="AG102" t="str">
            <v>https://data-platform.ru/lk/files/Files/tKPMls/204d415a-ad19-4758-a75c-a36ef5e3cae5</v>
          </cell>
        </row>
        <row r="103">
          <cell r="B103" t="b">
            <v>1</v>
          </cell>
          <cell r="AG103">
            <v>0</v>
          </cell>
        </row>
        <row r="104">
          <cell r="B104" t="b">
            <v>1</v>
          </cell>
          <cell r="AG104" t="str">
            <v>Отсутствует по причине: https://data-platform.ru/lk/files/Files/tKPMls/4cfeba5e-a71c-4060-9719-f4d367f95adc</v>
          </cell>
        </row>
        <row r="105">
          <cell r="AG105" t="str">
            <v>https://data-platform.ru/lk/files/Files/tKPMls/037cfdc5-ae8a-45f6-8957-7f37070965c0</v>
          </cell>
        </row>
        <row r="106">
          <cell r="AG106" t="str">
            <v>https://data-platform.ru/lk/files/Files/tKPMls/89fd9e57-569d-4121-8e2c-1267d6f11f5a</v>
          </cell>
        </row>
        <row r="107">
          <cell r="AG107" t="str">
            <v>https://data-platform.ru/lk/files/Files/tKPMls/125660d3-cd64-4cbd-a461-cee721a3cee2</v>
          </cell>
        </row>
        <row r="108">
          <cell r="B108" t="b">
            <v>1</v>
          </cell>
          <cell r="AG108">
            <v>0</v>
          </cell>
        </row>
        <row r="109">
          <cell r="B109" t="b">
            <v>1</v>
          </cell>
          <cell r="AG109" t="str">
            <v>https://data-platform.ru/lk/files/Files/tKPMls/a3fc6253-9f14-42df-af9a-959e6a647d62</v>
          </cell>
        </row>
        <row r="110">
          <cell r="AG110" t="str">
            <v>https://data-platform.ru/lk/files/Files/tKPMls/a7928f09-81ae-43b3-b987-63574177eb01</v>
          </cell>
        </row>
        <row r="111">
          <cell r="AG111" t="str">
            <v>https://data-platform.ru/lk/files/Files/tKPMls/8fc8a388-55ea-4bde-bf3b-63c89a2cb184</v>
          </cell>
        </row>
        <row r="112">
          <cell r="AG112" t="str">
            <v>https://data-platform.ru/lk/files/Files/tKPMls/88f163f4-9444-405b-a65b-ea6edff3c769</v>
          </cell>
        </row>
        <row r="113">
          <cell r="AG113" t="str">
            <v>https://data-platform.ru/lk/files/Files/tKPMls/8b6c1677-f689-4eec-b6eb-5f8b10d86da5</v>
          </cell>
        </row>
        <row r="114">
          <cell r="AG114" t="str">
            <v>https://data-platform.ru/lk/files/Files/tKPMls/caa2c8c5-585c-43aa-ab2c-d6f8e7a92c38</v>
          </cell>
        </row>
        <row r="115">
          <cell r="AG115" t="str">
            <v>https://data-platform.ru/lk/files/Files/tKPMls/65369200-e46c-4344-9dbf-7757caed5f4e</v>
          </cell>
        </row>
        <row r="116">
          <cell r="AG116" t="str">
            <v>https://data-platform.ru/lk/files/Files/tKPMls/824cee51-10f9-47b6-bb4d-588bec3a34fd</v>
          </cell>
        </row>
        <row r="117">
          <cell r="AG117" t="str">
            <v>https://data-platform.ru/lk/files/Files/tKPMls/91f98abf-a574-42c0-96f4-9a1ff909190e</v>
          </cell>
        </row>
        <row r="118">
          <cell r="AG118" t="str">
            <v>https://data-platform.ru/lk/files/Files/tKPMls/9da971de-804c-46e6-9df6-ce16eeee21cb</v>
          </cell>
        </row>
        <row r="119">
          <cell r="AG119" t="str">
            <v>https://data-platform.ru/lk/files/Files/tKPMls/3d74c21b-a646-4d01-a6f2-863de1ed76cb</v>
          </cell>
        </row>
        <row r="120">
          <cell r="AG120" t="str">
            <v>https://data-platform.ru/lk/files/Files/tKPMls/62edb211-d2f5-4a1a-8f00-5828eff51a19</v>
          </cell>
        </row>
        <row r="121">
          <cell r="AG121" t="str">
            <v>https://data-platform.ru/lk/files/Files/tKPMls/1622f800-4c64-49be-a4d4-e19f2c411f34</v>
          </cell>
        </row>
        <row r="122">
          <cell r="AG122" t="str">
            <v>https://data-platform.ru/lk/files/Files/tKPMls/4eb660bb-0aba-48b9-b4e5-b4116b8b4519</v>
          </cell>
        </row>
        <row r="123">
          <cell r="AG123" t="str">
            <v>https://data-platform.ru/lk/files/Files/tKPMls/b8dbd608-a9e3-4989-a362-6315981fb0a1</v>
          </cell>
        </row>
        <row r="124">
          <cell r="AG124" t="str">
            <v>https://data-platform.ru/lk/files/Files/tKPMls/a666ce0a-e9ae-4383-a888-381b4aeb1493</v>
          </cell>
        </row>
        <row r="125">
          <cell r="AG125" t="str">
            <v>https://data-platform.ru/lk/files/Files/tKPMls/954e3312-9417-489b-ade5-8184ca48cfcc</v>
          </cell>
        </row>
        <row r="126">
          <cell r="AG126" t="str">
            <v>https://data-platform.ru/lk/files/Files/tKPMls/10e4ff5a-79d0-4d8e-b2de-0b48f3a23565</v>
          </cell>
        </row>
        <row r="127">
          <cell r="AG127" t="str">
            <v>https://data-platform.ru/lk/files/Files/tKPMls/0684e880-3174-431a-82d7-6bf5dc41599d</v>
          </cell>
        </row>
        <row r="128">
          <cell r="AG128" t="str">
            <v>https://data-platform.ru/lk/files/Files/tKPMls/80f267ff-0c3e-4097-97d6-0239214d0a65</v>
          </cell>
        </row>
        <row r="129">
          <cell r="AG129" t="str">
            <v>https://data-platform.ru/lk/files/Files/tKPMls/fcc15122-9fdc-4abb-8c8e-b3071a74eb30</v>
          </cell>
        </row>
        <row r="130">
          <cell r="AG130" t="str">
            <v>https://data-platform.ru/lk/files/Files/tKPMls/0abe7a2b-fb2f-4db6-9be1-08f60a25fb3b</v>
          </cell>
        </row>
        <row r="131">
          <cell r="AG131" t="str">
            <v>https://data-platform.ru/lk/files/Files/tKPMls/123a9871-baf0-47cc-af47-26536d7e0509</v>
          </cell>
        </row>
        <row r="132">
          <cell r="AG132" t="str">
            <v>https://data-platform.ru/lk/files/Files/tKPMls/ed7b5053-6057-48a2-afc3-e9e77d8147dd</v>
          </cell>
        </row>
        <row r="133">
          <cell r="AG133" t="str">
            <v>https://data-platform.ru/lk/files/Files/tKPMls/ef1fe5ff-3c33-43f7-99d7-af928fdb80b4</v>
          </cell>
        </row>
        <row r="134">
          <cell r="AG134" t="str">
            <v>https://data-platform.ru/lk/files/Files/tKPMls/88ab1fa3-849e-41d4-86c2-b5b29ae636d1</v>
          </cell>
        </row>
        <row r="135">
          <cell r="AG135" t="str">
            <v>https://data-platform.ru/lk/files/Files/tKPMls/b4781e1c-fd42-4ae4-a60a-edc05b6baa07</v>
          </cell>
        </row>
        <row r="136">
          <cell r="B136" t="b">
            <v>1</v>
          </cell>
          <cell r="AG136">
            <v>0</v>
          </cell>
        </row>
        <row r="137">
          <cell r="B137" t="b">
            <v>1</v>
          </cell>
          <cell r="AG137">
            <v>0</v>
          </cell>
        </row>
        <row r="138">
          <cell r="B138" t="b">
            <v>1</v>
          </cell>
          <cell r="AG138">
            <v>0</v>
          </cell>
        </row>
        <row r="139">
          <cell r="B139" t="b">
            <v>1</v>
          </cell>
          <cell r="AG139" t="str">
            <v>Отсутствует по причине: лист ИТОГ</v>
          </cell>
        </row>
        <row r="140">
          <cell r="B140" t="b">
            <v>1</v>
          </cell>
          <cell r="AG140">
            <v>0</v>
          </cell>
        </row>
        <row r="141">
          <cell r="B141" t="b">
            <v>1</v>
          </cell>
          <cell r="AG141" t="str">
            <v>Отсутствует по причине: на листе расчет тарифа</v>
          </cell>
        </row>
        <row r="142">
          <cell r="B142" t="b">
            <v>1</v>
          </cell>
          <cell r="AG142">
            <v>0</v>
          </cell>
        </row>
        <row r="143">
          <cell r="B143" t="b">
            <v>1</v>
          </cell>
          <cell r="AG143" t="str">
            <v>https://data-platform.ru/lk/files/Files/tKPMls/b36b8951-543a-4284-882e-71365c88e96e</v>
          </cell>
        </row>
        <row r="144">
          <cell r="AG144" t="str">
            <v>https://data-platform.ru/lk/files/Files/tKPMls/a56c16f5-2604-4e99-98c6-f0a8f3462803</v>
          </cell>
        </row>
        <row r="145">
          <cell r="AG145" t="str">
            <v>https://data-platform.ru/lk/files/Files/tKPMls/d57bcae3-2a3d-4075-b231-de5735814139</v>
          </cell>
        </row>
        <row r="146">
          <cell r="AG146" t="str">
            <v>https://data-platform.ru/lk/files/Files/tKPMls/608d77e5-d186-477c-99d7-97fd9ad4c78b</v>
          </cell>
        </row>
        <row r="147">
          <cell r="B147" t="b">
            <v>1</v>
          </cell>
          <cell r="AG147">
            <v>0</v>
          </cell>
        </row>
        <row r="148">
          <cell r="B148" t="b">
            <v>1</v>
          </cell>
          <cell r="AG148" t="str">
            <v>https://data-platform.ru/lk/files/Files/tKPMls/2da9382b-ba26-4cca-b167-3f12a0ad6978</v>
          </cell>
        </row>
        <row r="149">
          <cell r="B149" t="b">
            <v>1</v>
          </cell>
          <cell r="AG149">
            <v>0</v>
          </cell>
        </row>
        <row r="150">
          <cell r="B150" t="b">
            <v>1</v>
          </cell>
          <cell r="AG150" t="str">
            <v>https://data-platform.ru/lk/files/Files/tKPMls/f2fe2d9b-d6e0-40e9-a7f0-0ca189783fac</v>
          </cell>
        </row>
        <row r="151">
          <cell r="B151" t="b">
            <v>1</v>
          </cell>
          <cell r="AG151">
            <v>0</v>
          </cell>
        </row>
        <row r="152">
          <cell r="B152" t="b">
            <v>1</v>
          </cell>
          <cell r="AG152" t="str">
            <v>https://data-platform.ru/lk/files/Files/tKPMls/c5f8669b-7471-422e-80af-3e7e194c0eae</v>
          </cell>
        </row>
        <row r="153">
          <cell r="AG153" t="str">
            <v>https://data-platform.ru/lk/files/Files/tKPMls/1b186729-e743-4985-bdb5-236b8314c4ba</v>
          </cell>
        </row>
        <row r="154">
          <cell r="AG154" t="str">
            <v>https://data-platform.ru/lk/files/Files/tKPMls/1b186729-e743-4985-bdb5-236b8314c4ba</v>
          </cell>
        </row>
        <row r="155">
          <cell r="B155" t="b">
            <v>1</v>
          </cell>
          <cell r="AG155">
            <v>0</v>
          </cell>
        </row>
        <row r="156">
          <cell r="B156" t="b">
            <v>1</v>
          </cell>
          <cell r="AG156" t="str">
            <v>https://data-platform.ru/lk/files/Files/tKPMls/c0969cec-b022-4ae3-b7cb-3b841c7905e8</v>
          </cell>
        </row>
        <row r="157">
          <cell r="AG157" t="str">
            <v>https://data-platform.ru/lk/files/Files/tKPMls/2382d475-45e1-4fec-9bbb-7e7697800eb4</v>
          </cell>
        </row>
        <row r="158">
          <cell r="AG158" t="str">
            <v>https://data-platform.ru/lk/files/Files/tKPMls/74aa9159-6520-49c1-a879-de14fafc1e30</v>
          </cell>
        </row>
        <row r="159">
          <cell r="AG159" t="str">
            <v>https://data-platform.ru/lk/files/Files/tKPMls/f53c30c8-81f4-4793-a98c-be39a9c51e62</v>
          </cell>
        </row>
        <row r="160">
          <cell r="B160" t="b">
            <v>1</v>
          </cell>
          <cell r="AG160">
            <v>0</v>
          </cell>
        </row>
        <row r="161">
          <cell r="B161" t="b">
            <v>1</v>
          </cell>
          <cell r="AG161" t="str">
            <v>Отсутствует по причине: нет</v>
          </cell>
        </row>
        <row r="162">
          <cell r="B162" t="b">
            <v>1</v>
          </cell>
          <cell r="AG162">
            <v>0</v>
          </cell>
        </row>
        <row r="163">
          <cell r="B163" t="b">
            <v>1</v>
          </cell>
          <cell r="AG163" t="str">
            <v>https://data-platform.ru/lk/files/Files/tKPMls/9c43688b-c7a3-4f0c-a725-214608e58178</v>
          </cell>
        </row>
        <row r="164">
          <cell r="B164" t="b">
            <v>1</v>
          </cell>
          <cell r="AG164">
            <v>0</v>
          </cell>
        </row>
        <row r="165">
          <cell r="B165" t="b">
            <v>1</v>
          </cell>
          <cell r="AG165" t="str">
            <v>Отсутствует по причине: нет</v>
          </cell>
        </row>
        <row r="166">
          <cell r="B166" t="b">
            <v>1</v>
          </cell>
          <cell r="AG166">
            <v>0</v>
          </cell>
        </row>
        <row r="167">
          <cell r="B167" t="b">
            <v>1</v>
          </cell>
          <cell r="AG167" t="str">
            <v>Отсутствует по причине: нет</v>
          </cell>
        </row>
        <row r="168">
          <cell r="B168" t="b">
            <v>1</v>
          </cell>
          <cell r="AG168">
            <v>0</v>
          </cell>
        </row>
        <row r="169">
          <cell r="B169" t="b">
            <v>1</v>
          </cell>
          <cell r="AG169" t="str">
            <v>Отсутствует по причине: нет</v>
          </cell>
        </row>
        <row r="170">
          <cell r="B170" t="b">
            <v>1</v>
          </cell>
          <cell r="AG170">
            <v>0</v>
          </cell>
        </row>
        <row r="171">
          <cell r="B171" t="b">
            <v>1</v>
          </cell>
          <cell r="AG171" t="str">
            <v>Отсутствует по причине: нет</v>
          </cell>
        </row>
        <row r="172">
          <cell r="B172" t="b">
            <v>1</v>
          </cell>
          <cell r="AG172">
            <v>0</v>
          </cell>
        </row>
        <row r="173">
          <cell r="B173" t="b">
            <v>1</v>
          </cell>
          <cell r="AG173" t="str">
            <v>Отсутствует по причине: нет</v>
          </cell>
        </row>
        <row r="174">
          <cell r="B174" t="b">
            <v>1</v>
          </cell>
          <cell r="AG174">
            <v>0</v>
          </cell>
        </row>
        <row r="175">
          <cell r="A175" t="b">
            <v>1</v>
          </cell>
          <cell r="B175" t="b">
            <v>1</v>
          </cell>
          <cell r="AG175">
            <v>0</v>
          </cell>
        </row>
        <row r="176">
          <cell r="A176" t="b">
            <v>1</v>
          </cell>
          <cell r="B176" t="b">
            <v>1</v>
          </cell>
          <cell r="AG176">
            <v>0</v>
          </cell>
        </row>
        <row r="177">
          <cell r="AG177" t="str">
            <v/>
          </cell>
        </row>
        <row r="178">
          <cell r="B178" t="b">
            <v>1</v>
          </cell>
          <cell r="AG178" t="str">
            <v>https://data-platform.ru/lk/files/Files/tKPMls/68f1b875-22fb-4161-afe1-ef1ecb0749ab</v>
          </cell>
        </row>
        <row r="179">
          <cell r="B179" t="b">
            <v>1</v>
          </cell>
          <cell r="AG179">
            <v>0</v>
          </cell>
        </row>
        <row r="180">
          <cell r="B180" t="b">
            <v>1</v>
          </cell>
          <cell r="AG180" t="str">
            <v>Отсутствует по причине: https://data-platform.ru/lk/files/Files/tKPMls/3411abf5-e1cb-43ef-97ee-0558952afc74</v>
          </cell>
        </row>
        <row r="181">
          <cell r="B181" t="b">
            <v>1</v>
          </cell>
          <cell r="AG181">
            <v>0</v>
          </cell>
        </row>
        <row r="182">
          <cell r="B182" t="b">
            <v>1</v>
          </cell>
          <cell r="AG182" t="str">
            <v>https://data-platform.ru/lk/files/Files/tKPMls/6bd1e0ec-f2fc-4b72-9e18-58387ea069b2</v>
          </cell>
        </row>
        <row r="183">
          <cell r="B183" t="b">
            <v>1</v>
          </cell>
          <cell r="AG183">
            <v>0</v>
          </cell>
        </row>
        <row r="184">
          <cell r="B184" t="b">
            <v>1</v>
          </cell>
          <cell r="AG184" t="str">
            <v>https://data-platform.ru/lk/files/Files/tKPMls/64e38c27-1621-465b-b203-d337f3089a20</v>
          </cell>
        </row>
        <row r="185">
          <cell r="B185" t="b">
            <v>1</v>
          </cell>
          <cell r="AG185">
            <v>0</v>
          </cell>
        </row>
        <row r="186">
          <cell r="A186" t="b">
            <v>1</v>
          </cell>
          <cell r="B186" t="b">
            <v>1</v>
          </cell>
          <cell r="AG186" t="str">
            <v>https://data-platform.ru/lk/files/Files/tKPMls/88ab1fa3-849e-41d4-86c2-b5b29ae636d1</v>
          </cell>
        </row>
        <row r="187">
          <cell r="A187" t="b">
            <v>1</v>
          </cell>
          <cell r="B187" t="b">
            <v>1</v>
          </cell>
          <cell r="AG187">
            <v>0</v>
          </cell>
        </row>
        <row r="188">
          <cell r="A188" t="b">
            <v>1</v>
          </cell>
          <cell r="B188" t="b">
            <v>1</v>
          </cell>
          <cell r="AG188" t="str">
            <v>https://data-platform.ru/lk/files/Files/tKPMls/9bd07bcc-053e-4af3-9dc3-f67a1f8076a4</v>
          </cell>
        </row>
        <row r="189">
          <cell r="A189" t="b">
            <v>1</v>
          </cell>
          <cell r="B189" t="b">
            <v>1</v>
          </cell>
          <cell r="AG189">
            <v>0</v>
          </cell>
        </row>
        <row r="190">
          <cell r="A190" t="b">
            <v>1</v>
          </cell>
          <cell r="B190" t="b">
            <v>1</v>
          </cell>
          <cell r="AG190" t="str">
            <v>https://data-platform.ru/lk/files/Files/tKPMls/c45eafe4-31f7-4b16-84a1-448bf3dcc3b7</v>
          </cell>
        </row>
        <row r="191">
          <cell r="AG191" t="str">
            <v>https://data-platform.ru/lk/files/Files/tKPMls/3e7c8198-6d04-4615-aafe-33dce73191f9</v>
          </cell>
        </row>
        <row r="192">
          <cell r="A192" t="b">
            <v>1</v>
          </cell>
          <cell r="B192" t="b">
            <v>1</v>
          </cell>
          <cell r="AG192">
            <v>0</v>
          </cell>
        </row>
        <row r="193">
          <cell r="A193" t="b">
            <v>1</v>
          </cell>
          <cell r="B193" t="b">
            <v>1</v>
          </cell>
          <cell r="AG193" t="str">
            <v>https://data-platform.ru/lk/files/Files/tKPMls/4f3ccf06-2e2d-4bd8-a676-f6845687d6e3</v>
          </cell>
        </row>
        <row r="194">
          <cell r="AG194" t="str">
            <v>https://data-platform.ru/lk/files/Files/tKPMls/b55dfead-5c31-405c-894b-880b782ba3b6</v>
          </cell>
        </row>
        <row r="195">
          <cell r="AG195" t="str">
            <v>https://data-platform.ru/lk/files/Files/tKPMls/b55dfead-5c31-405c-894b-880b782ba3b6</v>
          </cell>
        </row>
        <row r="196">
          <cell r="AG196" t="str">
            <v>https://data-platform.ru/lk/files/Files/tKPMls/b55dfead-5c31-405c-894b-880b782ba3b6</v>
          </cell>
        </row>
        <row r="197">
          <cell r="AG197" t="str">
            <v>https://data-platform.ru/lk/files/Files/tKPMls/533e59d2-8339-4cdf-9442-2086a53d0aed</v>
          </cell>
        </row>
        <row r="198">
          <cell r="AG198" t="str">
            <v>https://data-platform.ru/lk/files/Files/tKPMls/56e3d7f0-cb66-43ca-9288-a3bb2f3016a8</v>
          </cell>
        </row>
        <row r="199">
          <cell r="AG199" t="str">
            <v>https://data-platform.ru/lk/files/Files/tKPMls/a8946be7-2d75-44ea-82bb-452999dcba18</v>
          </cell>
        </row>
        <row r="200">
          <cell r="AG200" t="str">
            <v>https://data-platform.ru/lk/files/Files/tKPMls/f3d47bc3-ba50-4300-b429-151b899de33b</v>
          </cell>
        </row>
        <row r="201">
          <cell r="AG201" t="str">
            <v>https://data-platform.ru/lk/files/Files/tKPMls/abe6428b-7927-46be-ad93-1bc9daa8b0fd</v>
          </cell>
        </row>
        <row r="202">
          <cell r="AG202" t="str">
            <v>https://data-platform.ru/lk/files/Files/tKPMls/23709113-dbec-4bf2-a210-c8006daea59c</v>
          </cell>
        </row>
        <row r="203">
          <cell r="AG203" t="str">
            <v>https://data-platform.ru/lk/files/Files/tKPMls/4c848028-3c3e-4208-a5ab-fd6afcff2d54</v>
          </cell>
        </row>
        <row r="204">
          <cell r="AG204" t="str">
            <v>https://data-platform.ru/lk/files/Files/tKPMls/28b94bc1-f187-4013-b8f5-309fa99ee4cb</v>
          </cell>
        </row>
        <row r="205">
          <cell r="AG205" t="str">
            <v>https://data-platform.ru/lk/files/Files/tKPMls/27c1a430-2760-4d05-9692-b9275aa9da21</v>
          </cell>
        </row>
        <row r="206">
          <cell r="AG206" t="str">
            <v>https://data-platform.ru/lk/files/Files/tKPMls/68a7da48-63a7-445b-b88e-a5eae3badf82</v>
          </cell>
        </row>
        <row r="207">
          <cell r="AG207" t="str">
            <v>https://data-platform.ru/lk/files/Files/tKPMls/8f72bf8d-5583-4737-bb9d-75233f643686</v>
          </cell>
        </row>
        <row r="208">
          <cell r="AG208" t="str">
            <v>https://data-platform.ru/lk/files/Files/tKPMls/eb983c52-3d72-40b9-b02a-d39b659806e1</v>
          </cell>
        </row>
        <row r="209">
          <cell r="AG209" t="str">
            <v>https://data-platform.ru/lk/files/Files/tKPMls/979f1a67-dd8c-4368-a5ec-49a728ac2430</v>
          </cell>
        </row>
        <row r="210">
          <cell r="AG210" t="str">
            <v>https://data-platform.ru/lk/files/Files/tKPMls/97306762-61af-4f62-a7c0-f4d261171a14</v>
          </cell>
        </row>
        <row r="211">
          <cell r="AG211" t="str">
            <v>https://data-platform.ru/lk/files/Files/tKPMls/0057899c-22a8-426c-9c3f-d5f877fc0817</v>
          </cell>
        </row>
        <row r="212">
          <cell r="AG212" t="str">
            <v>https://data-platform.ru/lk/files/Files/tKPMls/e6cf8ed2-8d77-4f00-817e-aaa977191ad4</v>
          </cell>
        </row>
        <row r="213">
          <cell r="AG213" t="str">
            <v>https://data-platform.ru/lk/files/Files/tKPMls/cb9ee4f7-8383-4c2c-b600-336640d88dc3</v>
          </cell>
        </row>
        <row r="214">
          <cell r="AG214" t="str">
            <v>https://data-platform.ru/lk/files/Files/tKPMls/40bfe86b-db85-4bc9-b764-1aae7ca2279e</v>
          </cell>
        </row>
        <row r="215">
          <cell r="AG215" t="str">
            <v>https://data-platform.ru/lk/files/Files/tKPMls/835d862a-5178-43ee-87ca-f0d9e5c62096</v>
          </cell>
        </row>
        <row r="216">
          <cell r="AG216" t="str">
            <v>https://data-platform.ru/lk/files/Files/tKPMls/c61ee90a-ea27-4922-a99a-c23a19eeef27</v>
          </cell>
        </row>
        <row r="217">
          <cell r="AG217" t="str">
            <v>https://data-platform.ru/lk/files/Files/tKPMls/4358a70d-889c-48dc-b757-b5d764800811</v>
          </cell>
        </row>
        <row r="218">
          <cell r="AG218" t="str">
            <v>https://data-platform.ru/lk/files/Files/tKPMls/07278f5f-ce45-484d-9b0c-f67c44e8e202</v>
          </cell>
        </row>
        <row r="219">
          <cell r="AG219" t="str">
            <v>https://data-platform.ru/lk/files/Files/tKPMls/07278f5f-ce45-484d-9b0c-f67c44e8e202</v>
          </cell>
        </row>
        <row r="220">
          <cell r="AG220" t="str">
            <v>https://data-platform.ru/lk/files/Files/tKPMls/91d4170a-e0c0-4f33-920e-8d5b84066d24</v>
          </cell>
        </row>
        <row r="221">
          <cell r="AG221" t="str">
            <v>https://data-platform.ru/lk/files/Files/tKPMls/f52698da-fec0-4ce9-a129-22b317b08ed5</v>
          </cell>
        </row>
        <row r="222">
          <cell r="AG222" t="str">
            <v>https://data-platform.ru/lk/files/Files/tKPMls/f52698da-fec0-4ce9-a129-22b317b08ed5</v>
          </cell>
        </row>
        <row r="223">
          <cell r="AG223" t="str">
            <v>https://data-platform.ru/lk/files/Files/tKPMls/037e455f-74ab-40ec-9209-df39a6c96bbf</v>
          </cell>
        </row>
        <row r="224">
          <cell r="AG224" t="str">
            <v>https://data-platform.ru/lk/files/Files/tKPMls/037e455f-74ab-40ec-9209-df39a6c96bbf</v>
          </cell>
        </row>
        <row r="225">
          <cell r="AG225" t="str">
            <v>https://data-platform.ru/lk/files/Files/tKPMls/23f9b4b6-4459-49fb-88e5-5ebfdb33cc3c</v>
          </cell>
        </row>
        <row r="226">
          <cell r="AG226" t="str">
            <v>https://data-platform.ru/lk/files/Files/tKPMls/c759532a-3761-4882-8212-0297d0182b11</v>
          </cell>
        </row>
        <row r="227">
          <cell r="AG227" t="str">
            <v>https://data-platform.ru/lk/files/Files/tKPMls/91384acc-7311-40cc-b80e-70a503a0391f</v>
          </cell>
        </row>
        <row r="228">
          <cell r="AG228" t="str">
            <v>https://data-platform.ru/lk/files/Files/tKPMls/91384acc-7311-40cc-b80e-70a503a0391f</v>
          </cell>
        </row>
        <row r="229">
          <cell r="AG229" t="str">
            <v>https://data-platform.ru/lk/files/Files/tKPMls/04bc27aa-793f-43f7-81b1-0e6e80b36466</v>
          </cell>
        </row>
        <row r="230">
          <cell r="AG230" t="str">
            <v>https://data-platform.ru/lk/files/Files/tKPMls/cf7e9d39-7b18-498e-b91b-148cbc97e181</v>
          </cell>
        </row>
        <row r="231">
          <cell r="AG231" t="str">
            <v>https://data-platform.ru/lk/files/Files/tKPMls/c477ce86-9569-4612-8c1b-e041af1d29d6</v>
          </cell>
        </row>
        <row r="232">
          <cell r="AG232" t="str">
            <v>https://data-platform.ru/lk/files/Files/tKPMls/a2672ecd-9ddd-425b-ad70-2bc14358ec03</v>
          </cell>
        </row>
        <row r="233">
          <cell r="AG233" t="str">
            <v>https://data-platform.ru/lk/files/Files/tKPMls/a2672ecd-9ddd-425b-ad70-2bc14358ec03</v>
          </cell>
        </row>
        <row r="234">
          <cell r="AG234" t="str">
            <v>https://data-platform.ru/lk/files/Files/tKPMls/1fda9fbd-4486-48d3-8020-6b1e194a0c65</v>
          </cell>
        </row>
        <row r="235">
          <cell r="AG235" t="str">
            <v>https://data-platform.ru/lk/files/Files/tKPMls/6a940da6-d48c-42cf-a9c7-67267cada7a6</v>
          </cell>
        </row>
        <row r="236">
          <cell r="AG236" t="str">
            <v>https://data-platform.ru/lk/files/Files/tKPMls/7471dc5f-e958-47fc-b15d-117291be1d5e</v>
          </cell>
        </row>
        <row r="237">
          <cell r="AG237" t="str">
            <v>https://data-platform.ru/lk/files/Files/tKPMls/cf879c69-06a3-4c41-b4be-bd30cd25fc82</v>
          </cell>
        </row>
        <row r="238">
          <cell r="AG238" t="str">
            <v>https://data-platform.ru/lk/files/Files/tKPMls/4e7d8e2a-a103-46a3-8518-eff7325c6098</v>
          </cell>
        </row>
        <row r="239">
          <cell r="AG239" t="str">
            <v>https://data-platform.ru/lk/files/Files/tKPMls/0c3f4aae-9471-46d4-baff-914fad3eb8de</v>
          </cell>
        </row>
        <row r="240">
          <cell r="AG240" t="str">
            <v>https://data-platform.ru/lk/files/Files/tKPMls/519b50cf-7442-4803-87de-a7c25d71ad8d</v>
          </cell>
        </row>
        <row r="241">
          <cell r="AG241" t="str">
            <v>https://data-platform.ru/lk/files/Files/tKPMls/fea753bd-1db6-4946-a16d-4c1b5d1b27d1</v>
          </cell>
        </row>
        <row r="242">
          <cell r="AG242" t="str">
            <v>https://data-platform.ru/lk/files/Files/tKPMls/22d21a8e-b5d8-4451-8d9e-9ed89253b5c5</v>
          </cell>
        </row>
        <row r="243">
          <cell r="AG243" t="str">
            <v>https://data-platform.ru/lk/files/Files/tKPMls/987c79dd-16ad-493b-8b1d-e348aaa21efb</v>
          </cell>
        </row>
        <row r="244">
          <cell r="AG244" t="str">
            <v>https://data-platform.ru/lk/files/Files/tKPMls/5e8e4131-c92b-4880-bbf2-764d755ee9ae</v>
          </cell>
        </row>
        <row r="245">
          <cell r="AG245" t="str">
            <v>https://data-platform.ru/lk/files/Files/tKPMls/bc410a83-5c81-47d9-93a9-b95c5dec4b59</v>
          </cell>
        </row>
        <row r="246">
          <cell r="AG246" t="str">
            <v>https://data-platform.ru/lk/files/Files/tKPMls/788c241f-ebf1-4c86-91fb-c78e89c92b9d</v>
          </cell>
        </row>
        <row r="247">
          <cell r="AG247" t="str">
            <v>https://data-platform.ru/lk/files/Files/tKPMls/2bde5f6b-4503-4369-bff1-0492f0918d12</v>
          </cell>
        </row>
        <row r="248">
          <cell r="AG248" t="str">
            <v>https://data-platform.ru/lk/files/Files/tKPMls/86afe653-66a4-4dcd-ba93-6b31cf5586d4</v>
          </cell>
        </row>
        <row r="249">
          <cell r="AG249" t="str">
            <v>https://data-platform.ru/lk/files/Files/tKPMls/937f4ad8-0ed2-4292-84e8-27d5200d0926</v>
          </cell>
        </row>
        <row r="250">
          <cell r="AG250" t="str">
            <v>https://data-platform.ru/lk/files/Files/tKPMls/246ddfe8-ac32-4c2f-8579-e7ba3617073c</v>
          </cell>
        </row>
        <row r="251">
          <cell r="AG251" t="str">
            <v>https://data-platform.ru/lk/files/Files/tKPMls/246ddfe8-ac32-4c2f-8579-e7ba3617073c</v>
          </cell>
        </row>
        <row r="252">
          <cell r="AG252" t="str">
            <v>https://data-platform.ru/lk/files/Files/tKPMls/f5f11619-4895-4aae-9913-6a75c2e7102f</v>
          </cell>
        </row>
        <row r="253">
          <cell r="AG253" t="str">
            <v>https://data-platform.ru/lk/files/Files/tKPMls/49038451-2cf7-454e-85d1-64edb2027876</v>
          </cell>
        </row>
        <row r="254">
          <cell r="AG254" t="str">
            <v>https://data-platform.ru/lk/files/Files/tKPMls/2e3527f3-dd07-4b1f-af4f-524ef6ce7b29</v>
          </cell>
        </row>
        <row r="255">
          <cell r="AG255" t="str">
            <v>https://data-platform.ru/lk/files/Files/tKPMls/95c7260b-2056-443b-b2a4-b544f41504f5</v>
          </cell>
        </row>
        <row r="256">
          <cell r="AG256" t="str">
            <v>https://data-platform.ru/lk/files/Files/tKPMls/1b0cf54a-d8af-4fde-ac48-509bc0e06cc6</v>
          </cell>
        </row>
        <row r="257">
          <cell r="AG257" t="str">
            <v>https://data-platform.ru/lk/files/Files/tKPMls/4e98cd7c-b6f3-45bf-8fbc-c2c95713269a</v>
          </cell>
        </row>
        <row r="258">
          <cell r="AG258" t="str">
            <v>https://data-platform.ru/lk/files/Files/tKPMls/6545ce71-4dfc-42c0-a6c6-30c7d53107a7</v>
          </cell>
        </row>
        <row r="259">
          <cell r="AG259" t="str">
            <v>https://data-platform.ru/lk/files/Files/tKPMls/aeee6968-ec8c-4386-a498-94ce5bf6978b</v>
          </cell>
        </row>
        <row r="260">
          <cell r="AG260" t="str">
            <v>https://data-platform.ru/lk/files/Files/tKPMls/aeee6968-ec8c-4386-a498-94ce5bf6978b</v>
          </cell>
        </row>
        <row r="261">
          <cell r="AG261" t="str">
            <v>https://data-platform.ru/lk/files/Files/tKPMls/974b2e96-7b81-4301-b33f-06c93375e27f</v>
          </cell>
        </row>
        <row r="262">
          <cell r="AG262" t="str">
            <v>https://data-platform.ru/lk/files/Files/tKPMls/b7afff84-eba3-4524-b18b-f61d7dd3db55</v>
          </cell>
        </row>
        <row r="263">
          <cell r="AG263" t="str">
            <v>https://data-platform.ru/lk/files/Files/tKPMls/18274099-8c09-40b7-910b-c2c26ca17460</v>
          </cell>
        </row>
        <row r="264">
          <cell r="AG264" t="str">
            <v>https://data-platform.ru/lk/files/Files/tKPMls/eea14e58-d225-42ea-8e48-51a86bfd9c4a</v>
          </cell>
        </row>
        <row r="265">
          <cell r="AG265" t="str">
            <v>https://data-platform.ru/lk/files/Files/tKPMls/18274099-8c09-40b7-910b-c2c26ca17460</v>
          </cell>
        </row>
        <row r="266">
          <cell r="AG266" t="str">
            <v>https://data-platform.ru/lk/files/Files/tKPMls/aac44698-799b-49b8-b43c-444c85cb4443</v>
          </cell>
        </row>
        <row r="267">
          <cell r="AG267" t="str">
            <v>https://data-platform.ru/lk/files/Files/tKPMls/68f0be39-d039-4515-bee8-6f958a11d6aa</v>
          </cell>
        </row>
        <row r="268">
          <cell r="AG268" t="str">
            <v>https://data-platform.ru/lk/files/Files/tKPMls/b068e4d4-bac9-4564-829a-6a279ea91e64</v>
          </cell>
        </row>
        <row r="269">
          <cell r="AG269" t="str">
            <v>https://data-platform.ru/lk/files/Files/tKPMls/5da70f9a-3245-4895-97f3-69210d898eaa</v>
          </cell>
        </row>
        <row r="270">
          <cell r="AG270" t="str">
            <v>https://data-platform.ru/lk/files/Files/tKPMls/d573baf4-dc30-43ce-a0b2-156094a0a7dd</v>
          </cell>
        </row>
        <row r="271">
          <cell r="AG271" t="str">
            <v>https://data-platform.ru/lk/files/Files/tKPMls/d573baf4-dc30-43ce-a0b2-156094a0a7dd</v>
          </cell>
        </row>
        <row r="272">
          <cell r="AG272" t="str">
            <v>https://data-platform.ru/lk/files/Files/tKPMls/3cfbc099-6b7c-4e10-8c92-d62a8f28eca3</v>
          </cell>
        </row>
        <row r="273">
          <cell r="AG273" t="str">
            <v>https://data-platform.ru/lk/files/Files/tKPMls/7e5d1e7c-fa68-4e3e-8704-d694cb62f7b1</v>
          </cell>
        </row>
        <row r="274">
          <cell r="AG274" t="str">
            <v>https://data-platform.ru/lk/files/Files/tKPMls/5a330eb9-f3e3-4fe0-8e1a-8773f1f89e92</v>
          </cell>
        </row>
        <row r="275">
          <cell r="AG275" t="str">
            <v>https://data-platform.ru/lk/files/Files/tKPMls/0509ff8a-8d9e-4632-92c6-24f362022adf</v>
          </cell>
        </row>
        <row r="276">
          <cell r="AG276" t="str">
            <v>https://data-platform.ru/lk/files/Files/tKPMls/0509ff8a-8d9e-4632-92c6-24f362022adf</v>
          </cell>
        </row>
        <row r="277">
          <cell r="AG277" t="str">
            <v>https://data-platform.ru/lk/files/Files/tKPMls/7927fd9a-2965-42b5-a1f3-9e0ce8e35c4e</v>
          </cell>
        </row>
        <row r="278">
          <cell r="AG278" t="str">
            <v>https://data-platform.ru/lk/files/Files/tKPMls/7927fd9a-2965-42b5-a1f3-9e0ce8e35c4e</v>
          </cell>
        </row>
        <row r="279">
          <cell r="AG279" t="str">
            <v>https://data-platform.ru/lk/files/Files/tKPMls/7a75f32b-899d-48b5-a1b5-0050d9f5e7de</v>
          </cell>
        </row>
        <row r="280">
          <cell r="AG280" t="str">
            <v>https://data-platform.ru/lk/files/Files/tKPMls/02e44181-d6bf-44d8-b79a-14562a3b40d1</v>
          </cell>
        </row>
        <row r="281">
          <cell r="AG281" t="str">
            <v>https://data-platform.ru/lk/files/Files/tKPMls/9400dd6a-0b64-48f6-b1c7-d2ce42044f73</v>
          </cell>
        </row>
        <row r="282">
          <cell r="AG282" t="str">
            <v>https://data-platform.ru/lk/files/Files/tKPMls/2afe58d5-4328-44a6-aec7-f032b0930d11</v>
          </cell>
        </row>
        <row r="283">
          <cell r="AG283" t="str">
            <v>https://data-platform.ru/lk/files/Files/tKPMls/5d6f578c-cbc5-406f-a005-3704742279e8</v>
          </cell>
        </row>
        <row r="284">
          <cell r="AG284" t="str">
            <v>https://data-platform.ru/lk/files/Files/tKPMls/0baea395-5e82-47fb-afdc-f5d14aa0b28b</v>
          </cell>
        </row>
        <row r="285">
          <cell r="AG285" t="str">
            <v>https://data-platform.ru/lk/files/Files/tKPMls/4f087b6b-9546-4321-afa9-8ec82ce6132b</v>
          </cell>
        </row>
        <row r="286">
          <cell r="AG286" t="str">
            <v>https://data-platform.ru/lk/files/Files/tKPMls/4f087b6b-9546-4321-afa9-8ec82ce6132b</v>
          </cell>
        </row>
        <row r="287">
          <cell r="AG287" t="str">
            <v>https://data-platform.ru/lk/files/Files/tKPMls/4f087b6b-9546-4321-afa9-8ec82ce6132b</v>
          </cell>
        </row>
        <row r="288">
          <cell r="AG288" t="str">
            <v>https://data-platform.ru/lk/files/Files/tKPMls/d5ac25d0-409c-43dc-8a36-a5614347e127</v>
          </cell>
        </row>
        <row r="289">
          <cell r="AG289" t="str">
            <v>https://data-platform.ru/lk/files/Files/tKPMls/6a92818b-9930-4582-ab39-b4670b9df522</v>
          </cell>
        </row>
        <row r="290">
          <cell r="AG290" t="str">
            <v>https://data-platform.ru/lk/files/Files/tKPMls/f06ed86e-110a-4164-94be-0239a93bd971</v>
          </cell>
        </row>
        <row r="291">
          <cell r="AG291" t="str">
            <v>https://data-platform.ru/lk/files/Files/tKPMls/80ea463c-351c-455b-8c3f-7856c62d0db5</v>
          </cell>
        </row>
        <row r="292">
          <cell r="AG292" t="str">
            <v>https://data-platform.ru/lk/files/Files/tKPMls/1cb51f9e-7aef-4bb3-b65a-f6b04cdcbe9a</v>
          </cell>
        </row>
        <row r="293">
          <cell r="AG293" t="str">
            <v>https://data-platform.ru/lk/files/Files/tKPMls/29c3fcb3-f905-443a-8058-f1b9f1d676d8</v>
          </cell>
        </row>
        <row r="294">
          <cell r="AG294" t="str">
            <v>https://data-platform.ru/lk/files/Files/tKPMls/a4cb2703-5eaa-448f-8194-7684bcd7490e</v>
          </cell>
        </row>
        <row r="295">
          <cell r="AG295" t="str">
            <v>https://data-platform.ru/lk/files/Files/tKPMls/df360387-2334-440d-80a9-648180982f3e</v>
          </cell>
        </row>
        <row r="296">
          <cell r="AG296" t="str">
            <v>https://data-platform.ru/lk/files/Files/tKPMls/a9d29199-c591-4ecb-817d-70784300c558</v>
          </cell>
        </row>
        <row r="297">
          <cell r="AG297" t="str">
            <v>https://data-platform.ru/lk/files/Files/tKPMls/19ac34fc-6e90-49f2-9c65-be524240ba96</v>
          </cell>
        </row>
        <row r="298">
          <cell r="AG298" t="str">
            <v>https://data-platform.ru/lk/files/Files/tKPMls/d2c5ab2e-c31f-4d56-aa81-aa5854484d61</v>
          </cell>
        </row>
        <row r="299">
          <cell r="AG299" t="str">
            <v>https://data-platform.ru/lk/files/Files/tKPMls/d2c5ab2e-c31f-4d56-aa81-aa5854484d61</v>
          </cell>
        </row>
        <row r="300">
          <cell r="AG300" t="str">
            <v>https://data-platform.ru/lk/files/Files/tKPMls/31431d14-0c17-40e8-98e7-f999ff58d8d8</v>
          </cell>
        </row>
        <row r="301">
          <cell r="AG301" t="str">
            <v>https://data-platform.ru/lk/files/Files/tKPMls/0f1c827a-1f48-4148-9374-ca2636f75c22</v>
          </cell>
        </row>
        <row r="302">
          <cell r="AG302" t="str">
            <v>https://data-platform.ru/lk/files/Files/tKPMls/426a7516-c5d9-4bef-9407-2674a349387f</v>
          </cell>
        </row>
        <row r="303">
          <cell r="AG303" t="str">
            <v>https://data-platform.ru/lk/files/Files/tKPMls/9a0bb0bc-9698-4768-aa89-9251bef20b37</v>
          </cell>
        </row>
        <row r="304">
          <cell r="AG304" t="str">
            <v>https://data-platform.ru/lk/files/Files/tKPMls/7288b46d-d2b3-4d8a-94f1-8cf68259be27</v>
          </cell>
        </row>
        <row r="305">
          <cell r="AG305" t="str">
            <v>https://data-platform.ru/lk/files/Files/tKPMls/47ce6b56-6d20-4ef6-8773-42f8fe8f9eac</v>
          </cell>
        </row>
        <row r="306">
          <cell r="AG306" t="str">
            <v>https://data-platform.ru/lk/files/Files/tKPMls/324ad827-39ef-47ec-8d64-e9b149f49121</v>
          </cell>
        </row>
        <row r="307">
          <cell r="AG307" t="str">
            <v>https://data-platform.ru/lk/files/Files/tKPMls/8ba06de7-fc7a-4d91-be37-60985c4f5570</v>
          </cell>
        </row>
        <row r="308">
          <cell r="AG308" t="str">
            <v>https://data-platform.ru/lk/files/Files/tKPMls/8ba06de7-fc7a-4d91-be37-60985c4f5570</v>
          </cell>
        </row>
        <row r="309">
          <cell r="AG309" t="str">
            <v>https://data-platform.ru/lk/files/Files/tKPMls/8d5aaa2d-2c34-4aa6-92a0-c54e3a5f3f6f</v>
          </cell>
        </row>
        <row r="310">
          <cell r="A310" t="b">
            <v>1</v>
          </cell>
          <cell r="B310" t="b">
            <v>1</v>
          </cell>
          <cell r="AG310">
            <v>0</v>
          </cell>
        </row>
        <row r="311">
          <cell r="B311" t="b">
            <v>1</v>
          </cell>
          <cell r="AG311" t="str">
            <v>https://data-platform.ru/lk/files/Files/tKPMls/573c714b-76de-4ea1-9247-367c056bc466</v>
          </cell>
        </row>
        <row r="312">
          <cell r="AG312" t="str">
            <v>https://data-platform.ru/lk/files/Files/tKPMls/e6c60079-a021-4991-bb83-dff492a7eee7</v>
          </cell>
        </row>
        <row r="313">
          <cell r="AG313" t="str">
            <v>https://data-platform.ru/lk/files/Files/tKPMls/64ff9047-068c-4e6a-8a05-021613b458b8</v>
          </cell>
        </row>
        <row r="314">
          <cell r="B314" t="b">
            <v>1</v>
          </cell>
          <cell r="AG314">
            <v>0</v>
          </cell>
        </row>
        <row r="315">
          <cell r="B315" t="b">
            <v>1</v>
          </cell>
          <cell r="AG315" t="str">
            <v>https://data-platform.ru/lk/files/Files/tKPMls/0a00a134-212f-4970-b9fe-50dd825aef36</v>
          </cell>
        </row>
        <row r="316">
          <cell r="AG316" t="str">
            <v>https://data-platform.ru/lk/files/Files/tKPMls/2356b8eb-227f-4057-b05a-c5facb38f159</v>
          </cell>
        </row>
        <row r="317">
          <cell r="AG317" t="str">
            <v>https://data-platform.ru/lk/files/Files/tKPMls/41f74f18-af0e-4b20-bb47-c503a8ff13a7</v>
          </cell>
        </row>
        <row r="318">
          <cell r="AG318" t="str">
            <v>https://data-platform.ru/lk/files/Files/tKPMls/2b6ecf13-4c76-4660-9f07-afd0dc6f6066</v>
          </cell>
        </row>
        <row r="319">
          <cell r="AG319" t="str">
            <v>https://data-platform.ru/lk/files/Files/tKPMls/958ab6b3-cbd9-4de8-b07d-92d80111687b</v>
          </cell>
        </row>
        <row r="320">
          <cell r="B320" t="b">
            <v>1</v>
          </cell>
          <cell r="AG320">
            <v>0</v>
          </cell>
        </row>
        <row r="321">
          <cell r="B321" t="b">
            <v>1</v>
          </cell>
          <cell r="AG321" t="str">
            <v>https://data-platform.ru/lk/files/Files/tKPMls/aaf2adb7-79d9-49f8-acae-3655ce2387a2</v>
          </cell>
        </row>
        <row r="322">
          <cell r="AG322" t="str">
            <v>https://data-platform.ru/lk/files/Files/tKPMls/86e6658d-289c-411a-b5ae-85015adad226</v>
          </cell>
        </row>
        <row r="323">
          <cell r="AG323" t="str">
            <v>https://data-platform.ru/lk/files/Files/tKPMls/4da85268-180f-4834-b74f-d493c6b4ea61</v>
          </cell>
        </row>
        <row r="324">
          <cell r="AG324" t="str">
            <v>https://data-platform.ru/lk/files/Files/tKPMls/30cbc7de-80e9-43de-a3b2-9eb9883f6da1</v>
          </cell>
        </row>
        <row r="325">
          <cell r="AG325" t="str">
            <v>https://data-platform.ru/lk/files/Files/tKPMls/30cbc7de-80e9-43de-a3b2-9eb9883f6da1</v>
          </cell>
        </row>
        <row r="326">
          <cell r="AG326" t="str">
            <v>https://data-platform.ru/lk/files/Files/tKPMls/4522bfb2-39ee-469c-a95f-01e731da8c77</v>
          </cell>
        </row>
        <row r="327">
          <cell r="AG327" t="str">
            <v>https://data-platform.ru/lk/files/Files/tKPMls/05e82c12-1a7e-4173-b57f-51ab4168dd0b</v>
          </cell>
        </row>
        <row r="328">
          <cell r="B328" t="b">
            <v>1</v>
          </cell>
          <cell r="AG328">
            <v>0</v>
          </cell>
        </row>
        <row r="329">
          <cell r="A329" t="b">
            <v>1</v>
          </cell>
          <cell r="B329" t="b">
            <v>1</v>
          </cell>
          <cell r="AG329" t="str">
            <v>https://data-platform.ru/lk/files/Files/tKPMls/a5582a73-26ee-408b-acb1-8a2d7ed03956</v>
          </cell>
        </row>
        <row r="330">
          <cell r="AG330" t="str">
            <v>https://data-platform.ru/lk/files/Files/tKPMls/12ef2fd4-e071-4ec2-998f-98868b178c7c</v>
          </cell>
        </row>
        <row r="331">
          <cell r="A331" t="b">
            <v>1</v>
          </cell>
          <cell r="B331" t="b">
            <v>1</v>
          </cell>
          <cell r="AG331">
            <v>0</v>
          </cell>
        </row>
        <row r="332">
          <cell r="A332" t="b">
            <v>1</v>
          </cell>
          <cell r="B332" t="b">
            <v>1</v>
          </cell>
          <cell r="AG332" t="str">
            <v>https://data-platform.ru/lk/files/Files/tKPMls/bb4bceb3-5d80-4b0a-ba5d-dc17aad2485e</v>
          </cell>
        </row>
        <row r="333">
          <cell r="AG333" t="str">
            <v>https://data-platform.ru/lk/files/Files/tKPMls/b295d262-4dd5-4bda-9da9-46b6d35912b0</v>
          </cell>
        </row>
        <row r="334">
          <cell r="AG334" t="str">
            <v>https://data-platform.ru/lk/files/Files/tKPMls/b295d262-4dd5-4bda-9da9-46b6d35912b0</v>
          </cell>
        </row>
        <row r="335">
          <cell r="A335" t="b">
            <v>1</v>
          </cell>
          <cell r="B335" t="b">
            <v>1</v>
          </cell>
          <cell r="AG335">
            <v>0</v>
          </cell>
        </row>
        <row r="336">
          <cell r="A336" t="b">
            <v>1</v>
          </cell>
          <cell r="B336" t="b">
            <v>1</v>
          </cell>
          <cell r="AG336" t="str">
            <v>https://data-platform.ru/lk/files/Files/tKPMls/195947a1-c61b-41a7-9f2e-fb459367be07</v>
          </cell>
        </row>
        <row r="337">
          <cell r="AG337" t="str">
            <v>https://data-platform.ru/lk/files/Files/tKPMls/0a484536-56be-4c7d-b841-096e2a1c96a6</v>
          </cell>
        </row>
        <row r="338">
          <cell r="AG338" t="str">
            <v>https://data-platform.ru/lk/files/Files/tKPMls/a770dd42-5ec4-4af0-bc39-b8fc3d3cdfb6</v>
          </cell>
        </row>
        <row r="339">
          <cell r="AG339" t="str">
            <v>https://data-platform.ru/lk/files/Files/tKPMls/2af8e9d8-8d0b-4557-b002-b458a5d41337</v>
          </cell>
        </row>
        <row r="340">
          <cell r="AG340" t="str">
            <v>https://data-platform.ru/lk/files/Files/tKPMls/643baa56-5b55-41e4-b7ec-20d922b29ac2</v>
          </cell>
        </row>
        <row r="341">
          <cell r="AG341" t="str">
            <v>https://data-platform.ru/lk/files/Files/tKPMls/195947a1-c61b-41a7-9f2e-fb459367be07</v>
          </cell>
        </row>
        <row r="342">
          <cell r="AG342" t="str">
            <v>https://data-platform.ru/lk/files/Files/tKPMls/0a484536-56be-4c7d-b841-096e2a1c96a6</v>
          </cell>
        </row>
        <row r="343">
          <cell r="AG343" t="str">
            <v>https://data-platform.ru/lk/files/Files/tKPMls/a770dd42-5ec4-4af0-bc39-b8fc3d3cdfb6</v>
          </cell>
        </row>
        <row r="344">
          <cell r="A344" t="b">
            <v>1</v>
          </cell>
          <cell r="B344" t="b">
            <v>1</v>
          </cell>
          <cell r="AG344">
            <v>0</v>
          </cell>
        </row>
        <row r="345">
          <cell r="A345" t="b">
            <v>1</v>
          </cell>
          <cell r="B345" t="b">
            <v>1</v>
          </cell>
          <cell r="AG345" t="str">
            <v>https://data-platform.ru/lk/files/Files/tKPMls/7bc3b338-e917-457d-83f2-1fb7498e33f7</v>
          </cell>
        </row>
        <row r="346">
          <cell r="A346" t="b">
            <v>1</v>
          </cell>
          <cell r="B346" t="b">
            <v>1</v>
          </cell>
          <cell r="AG346">
            <v>0</v>
          </cell>
        </row>
        <row r="347">
          <cell r="A347" t="b">
            <v>1</v>
          </cell>
          <cell r="B347" t="b">
            <v>1</v>
          </cell>
          <cell r="AG347" t="str">
            <v>https://data-platform.ru/lk/files/Files/tKPMls/060a6a02-c020-45c1-a5e4-f4fc73b62be1</v>
          </cell>
        </row>
        <row r="348">
          <cell r="AG348" t="str">
            <v>https://data-platform.ru/lk/files/Files/tKPMls/4d6d2f00-0238-4754-b0e7-a03082a55bd0</v>
          </cell>
        </row>
        <row r="349">
          <cell r="A349" t="b">
            <v>1</v>
          </cell>
          <cell r="B349" t="b">
            <v>1</v>
          </cell>
          <cell r="AG349">
            <v>0</v>
          </cell>
        </row>
        <row r="350">
          <cell r="A350" t="b">
            <v>1</v>
          </cell>
          <cell r="B350" t="b">
            <v>1</v>
          </cell>
          <cell r="AG350" t="str">
            <v>https://data-platform.ru/lk/files/Files/tKPMls/b2084ca0-7d53-4d1d-ba9e-8430ec0fce90</v>
          </cell>
        </row>
        <row r="351">
          <cell r="A351" t="b">
            <v>1</v>
          </cell>
          <cell r="B351" t="b">
            <v>1</v>
          </cell>
          <cell r="AG351">
            <v>0</v>
          </cell>
        </row>
        <row r="352">
          <cell r="A352" t="b">
            <v>1</v>
          </cell>
          <cell r="B352" t="b">
            <v>1</v>
          </cell>
          <cell r="AG352" t="str">
            <v>https://data-platform.ru/lk/files/Files/tKPMls/4ef561f8-e6da-4c85-9df6-45c25aa7f2ec</v>
          </cell>
        </row>
        <row r="353">
          <cell r="AG353" t="str">
            <v>https://data-platform.ru/lk/files/Files/tKPMls/c324dadc-d1ad-4d17-a2d2-6ccf0aa26315</v>
          </cell>
        </row>
        <row r="354">
          <cell r="AG354" t="str">
            <v>https://data-platform.ru/lk/files/Files/tKPMls/4ef561f8-e6da-4c85-9df6-45c25aa7f2ec</v>
          </cell>
        </row>
        <row r="355">
          <cell r="A355" t="b">
            <v>1</v>
          </cell>
          <cell r="B355" t="b">
            <v>1</v>
          </cell>
          <cell r="AG355">
            <v>0</v>
          </cell>
        </row>
        <row r="356">
          <cell r="A356" t="b">
            <v>1</v>
          </cell>
          <cell r="B356" t="b">
            <v>1</v>
          </cell>
          <cell r="AG356" t="str">
            <v>https://data-platform.ru/lk/files/Files/tKPMls/4ef561f8-e6da-4c85-9df6-45c25aa7f2ec</v>
          </cell>
        </row>
        <row r="357">
          <cell r="AG357" t="str">
            <v>https://data-platform.ru/lk/files/Files/tKPMls/f2c9a964-9c87-45a0-9c2d-5f41e28d41ff</v>
          </cell>
        </row>
        <row r="358">
          <cell r="AG358" t="str">
            <v>https://data-platform.ru/lk/files/Files/tKPMls/2eb8c148-bfcc-4759-9d1d-324e628eda0f</v>
          </cell>
        </row>
        <row r="359">
          <cell r="AG359" t="str">
            <v>https://data-platform.ru/lk/files/Files/tKPMls/5147212c-2cce-4f53-bf4e-0e3ce21f8d0a</v>
          </cell>
        </row>
        <row r="360">
          <cell r="AG360" t="str">
            <v>https://data-platform.ru/lk/files/Files/tKPMls/c759532a-3761-4882-8212-0297d0182b11</v>
          </cell>
        </row>
        <row r="361">
          <cell r="AG361" t="str">
            <v>https://data-platform.ru/lk/files/Files/tKPMls/b2fa43a0-dbed-4374-b268-43f46f5d5954</v>
          </cell>
        </row>
        <row r="362">
          <cell r="A362" t="b">
            <v>1</v>
          </cell>
          <cell r="B362" t="b">
            <v>1</v>
          </cell>
          <cell r="AG362">
            <v>0</v>
          </cell>
        </row>
        <row r="363">
          <cell r="A363" t="b">
            <v>1</v>
          </cell>
          <cell r="B363" t="b">
            <v>1</v>
          </cell>
          <cell r="AG363" t="str">
            <v>https://data-platform.ru/lk/files/Files/tKPMls/fc80a040-123f-4f62-ae4a-3deb2a726d9c</v>
          </cell>
        </row>
        <row r="364">
          <cell r="AG364" t="str">
            <v>https://data-platform.ru/lk/files/Files/tKPMls/5bbfa595-1196-41d9-983f-fad865b78ca0</v>
          </cell>
        </row>
        <row r="365">
          <cell r="AG365" t="str">
            <v>https://data-platform.ru/lk/files/Files/tKPMls/30cbc7de-80e9-43de-a3b2-9eb9883f6da1</v>
          </cell>
        </row>
        <row r="366">
          <cell r="AG366" t="str">
            <v>https://data-platform.ru/lk/files/Files/tKPMls/30cbc7de-80e9-43de-a3b2-9eb9883f6da1</v>
          </cell>
        </row>
        <row r="367">
          <cell r="A367" t="b">
            <v>1</v>
          </cell>
          <cell r="B367" t="b">
            <v>1</v>
          </cell>
          <cell r="AG367">
            <v>0</v>
          </cell>
        </row>
        <row r="368">
          <cell r="B368" t="b">
            <v>1</v>
          </cell>
          <cell r="AG368" t="str">
            <v>https://data-platform.ru/lk/files/Files/tKPMls/fb025ff7-9440-40e2-b49a-86e364fb5e21</v>
          </cell>
        </row>
        <row r="369">
          <cell r="B369" t="b">
            <v>1</v>
          </cell>
          <cell r="AG369">
            <v>0</v>
          </cell>
        </row>
        <row r="370">
          <cell r="B370" t="b">
            <v>1</v>
          </cell>
          <cell r="AG370" t="str">
            <v>Отсутствует по причине: нет</v>
          </cell>
        </row>
        <row r="371">
          <cell r="B371" t="b">
            <v>1</v>
          </cell>
          <cell r="AG371">
            <v>0</v>
          </cell>
        </row>
        <row r="372">
          <cell r="B372" t="b">
            <v>1</v>
          </cell>
          <cell r="AG372" t="str">
            <v>Отсутствует по причине: предоставлена Ведомость ОС</v>
          </cell>
        </row>
        <row r="373">
          <cell r="B373" t="b">
            <v>1</v>
          </cell>
          <cell r="AG373">
            <v>0</v>
          </cell>
        </row>
        <row r="374">
          <cell r="A374" t="b">
            <v>1</v>
          </cell>
          <cell r="B374" t="b">
            <v>1</v>
          </cell>
          <cell r="AG374" t="str">
            <v>https://data-platform.ru/lk/files/Files/tKPMls/6d70ff4d-4a60-4943-944f-e56d9f7421bf</v>
          </cell>
        </row>
        <row r="375">
          <cell r="AG375" t="str">
            <v>https://data-platform.ru/lk/files/Files/tKPMls/a972c4a8-474a-48bf-abf9-fc80c97dcdc3</v>
          </cell>
        </row>
        <row r="376">
          <cell r="AG376" t="str">
            <v>https://data-platform.ru/lk/files/Files/tKPMls/801357a2-cf44-4680-b41f-148185443077</v>
          </cell>
        </row>
        <row r="377">
          <cell r="AG377" t="str">
            <v>https://data-platform.ru/lk/files/Files/tKPMls/1098b283-ec20-40ef-8c21-bf2ea0b9b43c</v>
          </cell>
        </row>
        <row r="378">
          <cell r="A378" t="b">
            <v>1</v>
          </cell>
          <cell r="B378" t="b">
            <v>1</v>
          </cell>
          <cell r="AG378">
            <v>0</v>
          </cell>
        </row>
        <row r="379">
          <cell r="A379" t="b">
            <v>1</v>
          </cell>
          <cell r="B379" t="b">
            <v>1</v>
          </cell>
          <cell r="AG379" t="str">
            <v>https://data-platform.ru/lk/files/Files/tKPMls/3d4794fe-f4ef-45f1-9cec-050fea0e6806</v>
          </cell>
        </row>
        <row r="380">
          <cell r="AG380" t="str">
            <v>https://data-platform.ru/lk/files/Files/tKPMls/3d4794fe-f4ef-45f1-9cec-050fea0e6806</v>
          </cell>
        </row>
        <row r="381">
          <cell r="AG381" t="str">
            <v>https://data-platform.ru/lk/files/Files/tKPMls/9c9b6a2a-f42f-4889-a882-75103923a45d</v>
          </cell>
        </row>
        <row r="382">
          <cell r="AG382" t="str">
            <v>https://data-platform.ru/lk/files/Files/tKPMls/fbc545a2-de68-4e2e-a396-31f021ebafb9</v>
          </cell>
        </row>
        <row r="383">
          <cell r="A383" t="b">
            <v>1</v>
          </cell>
          <cell r="B383" t="b">
            <v>1</v>
          </cell>
          <cell r="AG383">
            <v>0</v>
          </cell>
        </row>
        <row r="384">
          <cell r="A384" t="b">
            <v>1</v>
          </cell>
          <cell r="B384" t="b">
            <v>1</v>
          </cell>
          <cell r="AG384" t="str">
            <v>Отсутствует по причине: нет</v>
          </cell>
        </row>
        <row r="385">
          <cell r="A385" t="b">
            <v>1</v>
          </cell>
          <cell r="B385" t="b">
            <v>1</v>
          </cell>
          <cell r="AG385">
            <v>0</v>
          </cell>
        </row>
        <row r="386">
          <cell r="A386" t="b">
            <v>1</v>
          </cell>
          <cell r="B386" t="b">
            <v>1</v>
          </cell>
          <cell r="AG386" t="str">
            <v>Отсутствует по причине: нет</v>
          </cell>
        </row>
        <row r="387">
          <cell r="A387" t="b">
            <v>1</v>
          </cell>
          <cell r="B387" t="b">
            <v>1</v>
          </cell>
          <cell r="AG387">
            <v>0</v>
          </cell>
        </row>
        <row r="388">
          <cell r="A388" t="b">
            <v>1</v>
          </cell>
          <cell r="B388" t="b">
            <v>1</v>
          </cell>
          <cell r="AG388" t="str">
            <v>https://data-platform.ru/lk/files/Files/tKPMls/673a1534-652d-4b70-b6c6-586ac4dd0f1a</v>
          </cell>
        </row>
        <row r="389">
          <cell r="A389" t="b">
            <v>1</v>
          </cell>
          <cell r="B389" t="b">
            <v>1</v>
          </cell>
          <cell r="AG389">
            <v>0</v>
          </cell>
        </row>
        <row r="390">
          <cell r="A390" t="b">
            <v>1</v>
          </cell>
          <cell r="B390" t="b">
            <v>1</v>
          </cell>
          <cell r="AG390" t="str">
            <v>https://data-platform.ru/lk/files/Files/tKPMls/faaf1e70-8d22-4c53-8835-0453953b8bc4</v>
          </cell>
        </row>
        <row r="391">
          <cell r="AG391" t="str">
            <v>https://data-platform.ru/lk/files/Files/tKPMls/673a1534-652d-4b70-b6c6-586ac4dd0f1a</v>
          </cell>
        </row>
        <row r="392">
          <cell r="AG392" t="str">
            <v>https://data-platform.ru/lk/files/Files/tKPMls/6e85b745-cad5-4daf-a21d-665806dda1bd</v>
          </cell>
        </row>
        <row r="393">
          <cell r="AG393" t="str">
            <v>https://data-platform.ru/lk/files/Files/tKPMls/7b55dce4-10d5-4108-86f7-97dd33154bc6</v>
          </cell>
        </row>
        <row r="394">
          <cell r="AG394" t="str">
            <v>https://data-platform.ru/lk/files/Files/tKPMls/5ee80a28-e819-4a89-8f1e-b9fc661bbba8</v>
          </cell>
        </row>
        <row r="395">
          <cell r="AG395" t="str">
            <v>https://data-platform.ru/lk/files/Files/tKPMls/d6e163d1-70a9-4a7b-aace-fa484c64996a</v>
          </cell>
        </row>
        <row r="396">
          <cell r="AG396" t="str">
            <v>https://data-platform.ru/lk/files/Files/tKPMls/d6e163d1-70a9-4a7b-aace-fa484c64996a</v>
          </cell>
        </row>
        <row r="397">
          <cell r="AG397" t="str">
            <v>https://data-platform.ru/lk/files/Files/tKPMls/20dc6397-5a15-4613-b1a9-01094c135cdc</v>
          </cell>
        </row>
        <row r="398">
          <cell r="AG398" t="str">
            <v>https://data-platform.ru/lk/files/Files/tKPMls/20dc6397-5a15-4613-b1a9-01094c135cdc</v>
          </cell>
        </row>
        <row r="399">
          <cell r="AG399" t="str">
            <v>https://data-platform.ru/lk/files/Files/tKPMls/97e975c4-b7cc-49a4-ba10-e13e9a6cfa53</v>
          </cell>
        </row>
        <row r="400">
          <cell r="AG400" t="str">
            <v>https://data-platform.ru/lk/files/Files/tKPMls/f404a765-0c60-42e8-a1ae-7c671c695dae</v>
          </cell>
        </row>
        <row r="401">
          <cell r="AG401" t="str">
            <v>https://data-platform.ru/lk/files/Files/tKPMls/f404a765-0c60-42e8-a1ae-7c671c695dae</v>
          </cell>
        </row>
        <row r="402">
          <cell r="AG402" t="str">
            <v>https://data-platform.ru/lk/files/Files/tKPMls/956d3823-5829-4460-bec7-8bca14ec0469</v>
          </cell>
        </row>
        <row r="403">
          <cell r="AG403" t="str">
            <v>https://data-platform.ru/lk/files/Files/tKPMls/956d3823-5829-4460-bec7-8bca14ec0469</v>
          </cell>
        </row>
        <row r="404">
          <cell r="AG404" t="str">
            <v>https://data-platform.ru/lk/files/Files/tKPMls/fb3e0050-353a-4456-93d5-f6b9da1f60c0</v>
          </cell>
        </row>
        <row r="405">
          <cell r="AG405" t="str">
            <v>https://data-platform.ru/lk/files/Files/tKPMls/aeadb41e-5984-4082-b06f-8b428a1be20f</v>
          </cell>
        </row>
        <row r="406">
          <cell r="AG406" t="str">
            <v>https://data-platform.ru/lk/files/Files/tKPMls/ef8410a1-34ff-444b-b413-eb31d5e7e56c</v>
          </cell>
        </row>
        <row r="407">
          <cell r="AG407" t="str">
            <v>https://data-platform.ru/lk/files/Files/tKPMls/c2aae0ce-b15a-45a1-b286-c32bbcd525b2</v>
          </cell>
        </row>
        <row r="408">
          <cell r="AG408" t="str">
            <v>https://data-platform.ru/lk/files/Files/tKPMls/c2aae0ce-b15a-45a1-b286-c32bbcd525b2</v>
          </cell>
        </row>
        <row r="409">
          <cell r="AG409" t="str">
            <v>https://data-platform.ru/lk/files/Files/tKPMls/c2aae0ce-b15a-45a1-b286-c32bbcd525b2</v>
          </cell>
        </row>
        <row r="410">
          <cell r="AG410" t="str">
            <v>https://data-platform.ru/lk/files/Files/tKPMls/eb9260a4-28e5-49b2-a8d7-25d5f1904fec</v>
          </cell>
        </row>
        <row r="411">
          <cell r="AG411" t="str">
            <v>https://data-platform.ru/lk/files/Files/tKPMls/62d30ae1-3239-47ed-af3c-580231a3221c</v>
          </cell>
        </row>
        <row r="412">
          <cell r="AG412" t="str">
            <v>https://data-platform.ru/lk/files/Files/tKPMls/fb3e0050-353a-4456-93d5-f6b9da1f60c0</v>
          </cell>
        </row>
        <row r="413">
          <cell r="AG413" t="str">
            <v>https://data-platform.ru/lk/files/Files/tKPMls/5603bfc8-58ec-4be2-80d4-1fc3bbb61325</v>
          </cell>
        </row>
        <row r="414">
          <cell r="AG414" t="str">
            <v>https://data-platform.ru/lk/files/Files/tKPMls/05a8dcb5-edb7-42e7-877e-ee8e294cd8cd</v>
          </cell>
        </row>
        <row r="415">
          <cell r="AG415" t="str">
            <v>https://data-platform.ru/lk/files/Files/tKPMls/0facb857-42db-4eb9-ab4b-743289ba5d3a</v>
          </cell>
        </row>
        <row r="416">
          <cell r="AG416" t="str">
            <v>https://data-platform.ru/lk/files/Files/tKPMls/41ec4abd-38ec-4ab9-894a-9c0778c2ffb2</v>
          </cell>
        </row>
        <row r="417">
          <cell r="AG417" t="str">
            <v>https://data-platform.ru/lk/files/Files/tKPMls/dd62dd96-356d-408c-bf7a-fed06f297053</v>
          </cell>
        </row>
        <row r="418">
          <cell r="AG418" t="str">
            <v>https://data-platform.ru/lk/files/Files/tKPMls/944db371-0de0-4175-8611-bd1fb67bf549</v>
          </cell>
        </row>
        <row r="419">
          <cell r="AG419" t="str">
            <v>https://data-platform.ru/lk/files/Files/tKPMls/d6c06206-4a7f-4cbb-a2e0-78028549d4c9</v>
          </cell>
        </row>
        <row r="420">
          <cell r="AG420" t="str">
            <v>https://data-platform.ru/lk/files/Files/tKPMls/fe6d2d30-413c-4184-882a-39c9b7fed191</v>
          </cell>
        </row>
        <row r="421">
          <cell r="AG421" t="str">
            <v>https://data-platform.ru/lk/files/Files/tKPMls/3bc97b28-0583-4850-9868-256a04238c51</v>
          </cell>
        </row>
        <row r="422">
          <cell r="AG422" t="str">
            <v>https://data-platform.ru/lk/files/Files/tKPMls/d7db27c0-b488-4628-8729-ebb35f516561</v>
          </cell>
        </row>
        <row r="423">
          <cell r="AG423" t="str">
            <v>https://data-platform.ru/lk/files/Files/tKPMls/8b29de34-b179-441c-9d68-b881c0aaaea3</v>
          </cell>
        </row>
        <row r="424">
          <cell r="AG424" t="str">
            <v>https://data-platform.ru/lk/files/Files/tKPMls/7bb4bc22-16a0-400a-bec8-64001c07a7bf</v>
          </cell>
        </row>
        <row r="425">
          <cell r="AG425" t="str">
            <v>https://data-platform.ru/lk/files/Files/tKPMls/1f64e731-93a6-45ad-9ce4-388857bc490e</v>
          </cell>
        </row>
        <row r="426">
          <cell r="AG426" t="str">
            <v>https://data-platform.ru/lk/files/Files/tKPMls/d4db8659-8157-4d02-88a5-3aefe9dade22</v>
          </cell>
        </row>
        <row r="427">
          <cell r="AG427" t="str">
            <v>https://data-platform.ru/lk/files/Files/tKPMls/32adc457-be70-4b13-87c8-a8c6b1c722f4</v>
          </cell>
        </row>
        <row r="428">
          <cell r="AG428" t="str">
            <v>https://data-platform.ru/lk/files/Files/tKPMls/5095b2aa-2c1b-4bf1-985e-565a9d79694b</v>
          </cell>
        </row>
        <row r="429">
          <cell r="AG429" t="str">
            <v>https://data-platform.ru/lk/files/Files/tKPMls/8d6f6315-d50c-45f6-aa62-8606816a613a</v>
          </cell>
        </row>
        <row r="430">
          <cell r="AG430" t="str">
            <v>https://data-platform.ru/lk/files/Files/tKPMls/70df856c-a8bc-4193-8b2e-60261642c78d</v>
          </cell>
        </row>
        <row r="431">
          <cell r="AG431" t="str">
            <v>https://data-platform.ru/lk/files/Files/tKPMls/7c12c7f8-7fb3-44f6-bbc8-962f0ec1f5d0</v>
          </cell>
        </row>
        <row r="432">
          <cell r="A432" t="b">
            <v>1</v>
          </cell>
          <cell r="B432" t="b">
            <v>1</v>
          </cell>
          <cell r="AG432">
            <v>0</v>
          </cell>
        </row>
        <row r="433">
          <cell r="A433" t="b">
            <v>1</v>
          </cell>
          <cell r="B433" t="b">
            <v>1</v>
          </cell>
          <cell r="AG433" t="str">
            <v>https://data-platform.ru/lk/files/Files/tKPMls/308d593f-1a50-4668-aa49-51cf80bd9d91</v>
          </cell>
        </row>
        <row r="434">
          <cell r="AG434" t="str">
            <v>https://data-platform.ru/lk/files/Files/tKPMls/f80a0953-15ce-44e2-b4ef-6682a154f997</v>
          </cell>
        </row>
        <row r="435">
          <cell r="A435" t="b">
            <v>1</v>
          </cell>
          <cell r="B435" t="b">
            <v>1</v>
          </cell>
          <cell r="AG435">
            <v>0</v>
          </cell>
        </row>
        <row r="436">
          <cell r="A436" t="b">
            <v>1</v>
          </cell>
          <cell r="B436" t="b">
            <v>1</v>
          </cell>
          <cell r="AG436" t="str">
            <v>https://data-platform.ru/lk/files/Files/tKPMls/151f49c3-4ca4-4749-acd8-9d9f32bd0c55</v>
          </cell>
        </row>
        <row r="437">
          <cell r="AG437" t="str">
            <v>https://data-platform.ru/lk/files/Files/tKPMls/87563353-64c4-4e2e-a53e-7bc7f7e4c39c</v>
          </cell>
        </row>
        <row r="438">
          <cell r="AG438" t="str">
            <v>https://data-platform.ru/lk/files/Files/tKPMls/23dfacdb-c0fd-4681-964d-f6c76075ca62</v>
          </cell>
        </row>
        <row r="439">
          <cell r="AG439" t="str">
            <v>https://data-platform.ru/lk/files/Files/tKPMls/ccaecef1-001d-49d8-bdb8-c2d507582d6c</v>
          </cell>
        </row>
        <row r="440">
          <cell r="AG440" t="str">
            <v>https://data-platform.ru/lk/files/Files/tKPMls/151f49c3-4ca4-4749-acd8-9d9f32bd0c55</v>
          </cell>
        </row>
        <row r="441">
          <cell r="AG441" t="str">
            <v>https://data-platform.ru/lk/files/Files/tKPMls/87563353-64c4-4e2e-a53e-7bc7f7e4c39c</v>
          </cell>
        </row>
        <row r="442">
          <cell r="AG442" t="str">
            <v>https://data-platform.ru/lk/files/Files/tKPMls/844234e1-8db1-4e4b-a9d4-026c3ad64a0e</v>
          </cell>
        </row>
        <row r="443">
          <cell r="A443" t="b">
            <v>1</v>
          </cell>
          <cell r="B443" t="b">
            <v>1</v>
          </cell>
          <cell r="AG443">
            <v>0</v>
          </cell>
        </row>
        <row r="444">
          <cell r="A444" t="b">
            <v>1</v>
          </cell>
          <cell r="B444" t="b">
            <v>1</v>
          </cell>
          <cell r="AG444" t="str">
            <v>Отсутствует по причине: нет</v>
          </cell>
        </row>
        <row r="445">
          <cell r="A445" t="b">
            <v>1</v>
          </cell>
          <cell r="B445" t="b">
            <v>1</v>
          </cell>
          <cell r="AG445">
            <v>0</v>
          </cell>
        </row>
        <row r="446">
          <cell r="A446" t="b">
            <v>1</v>
          </cell>
          <cell r="B446" t="b">
            <v>1</v>
          </cell>
          <cell r="AG446" t="str">
            <v>Отсутствует по причине: нет</v>
          </cell>
        </row>
        <row r="447">
          <cell r="A447" t="b">
            <v>1</v>
          </cell>
          <cell r="B447" t="b">
            <v>1</v>
          </cell>
          <cell r="AG447">
            <v>0</v>
          </cell>
        </row>
        <row r="448">
          <cell r="A448" t="b">
            <v>1</v>
          </cell>
          <cell r="B448" t="b">
            <v>1</v>
          </cell>
          <cell r="AG448" t="str">
            <v>https://data-platform.ru/lk/files/Files/tKPMls/31e85414-da10-4fc7-8731-e546c4481276</v>
          </cell>
        </row>
        <row r="449">
          <cell r="AG449" t="str">
            <v>https://data-platform.ru/lk/files/Files/tKPMls/8e8fc867-d0c6-46e5-acea-fc0368ad963e</v>
          </cell>
        </row>
        <row r="450">
          <cell r="AG450" t="str">
            <v>https://data-platform.ru/lk/files/Files/tKPMls/b38a34d0-2f2c-4bb9-967e-df05f08a8733</v>
          </cell>
        </row>
        <row r="451">
          <cell r="AG451" t="str">
            <v>https://data-platform.ru/lk/files/Files/tKPMls/eda458ad-fdd2-4e25-bb02-8f8078b8beff</v>
          </cell>
        </row>
        <row r="452">
          <cell r="AG452" t="str">
            <v>https://data-platform.ru/lk/files/Files/tKPMls/eda458ad-fdd2-4e25-bb02-8f8078b8beff</v>
          </cell>
        </row>
        <row r="453">
          <cell r="AG453" t="str">
            <v>https://data-platform.ru/lk/files/Files/tKPMls/6c086cc6-123f-4aab-888c-d578275fa839</v>
          </cell>
        </row>
        <row r="454">
          <cell r="AG454" t="str">
            <v>https://data-platform.ru/lk/files/Files/tKPMls/e806dbc9-0367-47fb-9055-55653eddaae1</v>
          </cell>
        </row>
        <row r="455">
          <cell r="AG455" t="str">
            <v>https://data-platform.ru/lk/files/Files/tKPMls/c101fe0f-0b2a-4b2b-b204-e57a2de43cd6</v>
          </cell>
        </row>
        <row r="456">
          <cell r="AG456" t="str">
            <v>https://data-platform.ru/lk/files/Files/tKPMls/90e79307-2fe7-4859-8165-0d4debb61294</v>
          </cell>
        </row>
        <row r="457">
          <cell r="AG457" t="str">
            <v>https://data-platform.ru/lk/files/Files/tKPMls/cfccc508-42ec-4de8-9cb4-e075601b8346</v>
          </cell>
        </row>
        <row r="458">
          <cell r="AG458" t="str">
            <v>https://data-platform.ru/lk/files/Files/tKPMls/76fafae2-0de2-48a5-90db-32be833394e7</v>
          </cell>
        </row>
        <row r="459">
          <cell r="AG459" t="str">
            <v>https://data-platform.ru/lk/files/Files/tKPMls/8376a388-4d37-4f2e-b248-de3f8e577bda</v>
          </cell>
        </row>
        <row r="460">
          <cell r="A460" t="b">
            <v>1</v>
          </cell>
          <cell r="B460" t="b">
            <v>1</v>
          </cell>
          <cell r="AG460">
            <v>0</v>
          </cell>
        </row>
        <row r="461">
          <cell r="A461" t="b">
            <v>1</v>
          </cell>
          <cell r="B461" t="b">
            <v>1</v>
          </cell>
          <cell r="AG461" t="str">
            <v>https://data-platform.ru/lk/files/Files/tKPMls/4c08d0ce-af24-4a2d-93ea-dc8dd0ff72f3</v>
          </cell>
        </row>
        <row r="462">
          <cell r="AG462" t="str">
            <v>https://data-platform.ru/lk/files/Files/tKPMls/9c4e7cfa-a83c-4eeb-82c9-35d26d8686fc</v>
          </cell>
        </row>
        <row r="463">
          <cell r="AG463" t="str">
            <v>https://data-platform.ru/lk/files/Files/tKPMls/41d42c9f-c7d1-413b-8779-6f05d366ad1b</v>
          </cell>
        </row>
        <row r="464">
          <cell r="A464" t="b">
            <v>1</v>
          </cell>
          <cell r="B464" t="b">
            <v>1</v>
          </cell>
          <cell r="AG464">
            <v>0</v>
          </cell>
        </row>
        <row r="465">
          <cell r="A465" t="b">
            <v>1</v>
          </cell>
          <cell r="B465" t="b">
            <v>1</v>
          </cell>
          <cell r="AG465" t="str">
            <v>https://data-platform.ru/lk/files/Files/tKPMls/64cabd9a-4899-4769-97d6-cd72c23ef170</v>
          </cell>
        </row>
        <row r="466">
          <cell r="AG466" t="str">
            <v>https://data-platform.ru/lk/files/Files/tKPMls/a37cde87-d38c-4391-98c1-6bfdd8a92611</v>
          </cell>
        </row>
        <row r="467">
          <cell r="AG467" t="str">
            <v>https://data-platform.ru/lk/files/Files/tKPMls/dd786de2-3e4d-4bf1-b3f3-86d5a8b781ac</v>
          </cell>
        </row>
        <row r="468">
          <cell r="AG468" t="str">
            <v>https://data-platform.ru/lk/files/Files/tKPMls/0d475431-31b5-4448-b873-ff3ce1f92392</v>
          </cell>
        </row>
        <row r="469">
          <cell r="AG469" t="str">
            <v>https://data-platform.ru/lk/files/Files/tKPMls/64cabd9a-4899-4769-97d6-cd72c23ef170</v>
          </cell>
        </row>
        <row r="470">
          <cell r="A470" t="b">
            <v>1</v>
          </cell>
          <cell r="B470" t="b">
            <v>1</v>
          </cell>
          <cell r="AG470">
            <v>0</v>
          </cell>
        </row>
        <row r="471">
          <cell r="A471" t="b">
            <v>1</v>
          </cell>
          <cell r="B471" t="b">
            <v>1</v>
          </cell>
          <cell r="AG471" t="str">
            <v>https://data-platform.ru/lk/files/Files/tKPMls/8faed542-ec72-47a4-a2e8-a07eb71729e5</v>
          </cell>
        </row>
        <row r="472">
          <cell r="AG472" t="str">
            <v>https://data-platform.ru/lk/files/Files/tKPMls/76d28b59-fd60-4d43-8c27-9643d24b8a0d</v>
          </cell>
        </row>
        <row r="473">
          <cell r="A473" t="b">
            <v>1</v>
          </cell>
          <cell r="B473" t="b">
            <v>1</v>
          </cell>
          <cell r="AG473">
            <v>0</v>
          </cell>
        </row>
        <row r="474">
          <cell r="B474" t="b">
            <v>1</v>
          </cell>
          <cell r="AG474">
            <v>0</v>
          </cell>
        </row>
        <row r="475">
          <cell r="B475" t="b">
            <v>1</v>
          </cell>
          <cell r="AG475">
            <v>0</v>
          </cell>
        </row>
        <row r="476">
          <cell r="A476" t="b">
            <v>1</v>
          </cell>
          <cell r="B476" t="b">
            <v>1</v>
          </cell>
          <cell r="AG476">
            <v>0</v>
          </cell>
        </row>
        <row r="477">
          <cell r="A477" t="b">
            <v>1</v>
          </cell>
          <cell r="B477" t="b">
            <v>1</v>
          </cell>
          <cell r="AG477">
            <v>0</v>
          </cell>
        </row>
        <row r="478">
          <cell r="B478" t="b">
            <v>1</v>
          </cell>
          <cell r="AG478">
            <v>0</v>
          </cell>
        </row>
        <row r="479">
          <cell r="B479" t="b">
            <v>1</v>
          </cell>
          <cell r="AG479">
            <v>0</v>
          </cell>
        </row>
        <row r="480">
          <cell r="B480" t="b">
            <v>1</v>
          </cell>
          <cell r="AG480">
            <v>0</v>
          </cell>
        </row>
        <row r="481">
          <cell r="B481" t="b">
            <v>1</v>
          </cell>
          <cell r="AG481">
            <v>0</v>
          </cell>
        </row>
        <row r="482">
          <cell r="A482" t="b">
            <v>1</v>
          </cell>
          <cell r="B482" t="b">
            <v>1</v>
          </cell>
          <cell r="AG482">
            <v>0</v>
          </cell>
        </row>
        <row r="483">
          <cell r="A483" t="b">
            <v>1</v>
          </cell>
          <cell r="B483" t="b">
            <v>1</v>
          </cell>
          <cell r="AG483">
            <v>0</v>
          </cell>
        </row>
        <row r="484">
          <cell r="A484" t="b">
            <v>1</v>
          </cell>
          <cell r="B484" t="b">
            <v>1</v>
          </cell>
          <cell r="AG484">
            <v>0</v>
          </cell>
        </row>
        <row r="485">
          <cell r="A485" t="b">
            <v>1</v>
          </cell>
          <cell r="B485" t="b">
            <v>1</v>
          </cell>
          <cell r="AG485">
            <v>0</v>
          </cell>
        </row>
        <row r="486">
          <cell r="A486" t="b">
            <v>1</v>
          </cell>
          <cell r="B486" t="b">
            <v>1</v>
          </cell>
          <cell r="AG486">
            <v>0</v>
          </cell>
        </row>
        <row r="487">
          <cell r="A487" t="b">
            <v>1</v>
          </cell>
          <cell r="B487" t="b">
            <v>1</v>
          </cell>
          <cell r="AG487">
            <v>0</v>
          </cell>
        </row>
        <row r="488">
          <cell r="A488" t="b">
            <v>1</v>
          </cell>
          <cell r="B488" t="b">
            <v>1</v>
          </cell>
          <cell r="AG488">
            <v>0</v>
          </cell>
        </row>
        <row r="489">
          <cell r="A489" t="b">
            <v>1</v>
          </cell>
          <cell r="B489" t="b">
            <v>1</v>
          </cell>
          <cell r="AG489">
            <v>0</v>
          </cell>
        </row>
        <row r="490">
          <cell r="A490" t="b">
            <v>1</v>
          </cell>
          <cell r="B490" t="b">
            <v>1</v>
          </cell>
          <cell r="AG490">
            <v>0</v>
          </cell>
        </row>
        <row r="491">
          <cell r="A491" t="b">
            <v>1</v>
          </cell>
          <cell r="B491" t="b">
            <v>1</v>
          </cell>
          <cell r="AG491">
            <v>0</v>
          </cell>
        </row>
        <row r="492">
          <cell r="A492" t="b">
            <v>1</v>
          </cell>
          <cell r="B492" t="b">
            <v>1</v>
          </cell>
          <cell r="AG492">
            <v>0</v>
          </cell>
        </row>
        <row r="493">
          <cell r="A493" t="b">
            <v>1</v>
          </cell>
          <cell r="B493" t="b">
            <v>1</v>
          </cell>
          <cell r="AG493">
            <v>0</v>
          </cell>
        </row>
        <row r="494">
          <cell r="A494" t="b">
            <v>1</v>
          </cell>
          <cell r="B494" t="b">
            <v>1</v>
          </cell>
          <cell r="AG494">
            <v>0</v>
          </cell>
        </row>
        <row r="495">
          <cell r="A495" t="b">
            <v>1</v>
          </cell>
          <cell r="AG495">
            <v>0</v>
          </cell>
        </row>
        <row r="496">
          <cell r="AG496">
            <v>0</v>
          </cell>
        </row>
        <row r="497">
          <cell r="AG497" t="str">
            <v>https://data-platform.ru/lk/files/Files/tKPMls/60187603-3d14-49eb-93ae-d6f1721b8602</v>
          </cell>
        </row>
        <row r="498">
          <cell r="AG498" t="str">
            <v>ИТОГО :</v>
          </cell>
        </row>
        <row r="499">
          <cell r="A499" t="b">
            <v>1</v>
          </cell>
          <cell r="AB499" t="str">
            <v>Добавить раздел</v>
          </cell>
          <cell r="AG499">
            <v>0</v>
          </cell>
        </row>
        <row r="500">
          <cell r="A500" t="b">
            <v>1</v>
          </cell>
        </row>
      </sheetData>
      <sheetData sheetId="1"/>
      <sheetData sheetId="2"/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Тест предзагрузки"/>
      <sheetName val="Настройка списков"/>
      <sheetName val="Общие настройки"/>
      <sheetName val="Настройки для формул"/>
      <sheetName val="fmls_translate_result"/>
      <sheetName val="Список листов"/>
      <sheetName val="История изменений столбцов ВО"/>
      <sheetName val="Инструкция"/>
      <sheetName val="Титульный"/>
      <sheetName val="Тарифы"/>
      <sheetName val="testPreloadResult"/>
      <sheetName val="Лист1"/>
      <sheetName val="Заявление"/>
      <sheetName val="Справочники"/>
      <sheetName val="Индексы"/>
      <sheetName val="Список объектов"/>
      <sheetName val="ПО_нас"/>
      <sheetName val="Реестр потребителей"/>
      <sheetName val="Потери"/>
      <sheetName val="Объемы ВО"/>
      <sheetName val="Баланс ПП"/>
      <sheetName val="Баланс ПП МО"/>
      <sheetName val="Оборудование"/>
      <sheetName val="Сети"/>
      <sheetName val="Объемы по методике"/>
      <sheetName val="Отпуск воды"/>
      <sheetName val="Условные метры"/>
      <sheetName val="Показатели"/>
      <sheetName val="ИТОГ"/>
      <sheetName val="Тарифы по периодам"/>
      <sheetName val="СиМ (детально)"/>
      <sheetName val="Сырье и материалы"/>
      <sheetName val="Check"/>
      <sheetName val="Формулы"/>
      <sheetName val="ЭЭ"/>
      <sheetName val="tech"/>
      <sheetName val="Оборудование - ЭЭ"/>
      <sheetName val="ТЭ"/>
      <sheetName val="ТН"/>
      <sheetName val="Топливо"/>
      <sheetName val="Оплата услуг ВО"/>
      <sheetName val="Покупка воды"/>
      <sheetName val="Транспортировка"/>
      <sheetName val="Земел. уч."/>
      <sheetName val="Аренда"/>
      <sheetName val="Амортизация"/>
      <sheetName val="Общие показатели"/>
      <sheetName val="Тарифная сетка"/>
      <sheetName val="Коэффициент невыходов"/>
      <sheetName val="Персонал"/>
      <sheetName val="Сбыт"/>
      <sheetName val="Счет 23"/>
      <sheetName val="Счет 25"/>
      <sheetName val="Адм.расходы"/>
      <sheetName val="ФОТ (по ВД)"/>
      <sheetName val="ФОТ"/>
      <sheetName val="Бесхоз"/>
      <sheetName val="Лист4"/>
      <sheetName val="Капремонт"/>
      <sheetName val="Текремонт"/>
      <sheetName val="Столбцы"/>
      <sheetName val="preloadProcs"/>
      <sheetName val="Налоги"/>
      <sheetName val="Прочие прямые"/>
      <sheetName val="Экон. проч"/>
      <sheetName val="Экон. ОР"/>
      <sheetName val="Экон. ЭЭ"/>
      <sheetName val="Общая экономия"/>
      <sheetName val="Плата за негативное возд"/>
      <sheetName val="Корр по факту"/>
      <sheetName val="Корр по периодам"/>
      <sheetName val="ДПР"/>
      <sheetName val="Анализ ФХД"/>
      <sheetName val="План ПП"/>
      <sheetName val="Факт ПП"/>
      <sheetName val="Концессия"/>
      <sheetName val="Амортизация (аналог)"/>
      <sheetName val="Расчет тарифа (аналог)"/>
      <sheetName val="Смета"/>
      <sheetName val="Расчет МЭОР"/>
      <sheetName val="ОР (базовый)"/>
      <sheetName val="ИИКА"/>
      <sheetName val="НР"/>
      <sheetName val="Расчет тарифа(корректировка) МИ"/>
      <sheetName val="ПП исх"/>
      <sheetName val="ПП вход"/>
      <sheetName val="БПр_ВС_ФАС"/>
      <sheetName val="БТр_ВС_ФАС"/>
      <sheetName val="БПр_ВО_ФАС"/>
      <sheetName val="БТр_ВО_ФАС"/>
      <sheetName val="Р_ФАС"/>
      <sheetName val="К_ФАС"/>
      <sheetName val="TECHSHEET"/>
      <sheetName val="ТМ1"/>
      <sheetName val="ТМ2"/>
      <sheetName val="ТН ФАС"/>
      <sheetName val="ATTACH_DOC"/>
      <sheetName val="Столбцы отображение"/>
      <sheetName val="TECH_VERTICAL"/>
      <sheetName val="REESTR_ORG"/>
      <sheetName val="Справочник ВД"/>
      <sheetName val="Списки"/>
      <sheetName val="Новые списки"/>
      <sheetName val="REESTR_AREA"/>
      <sheetName val="LIST_DPR"/>
      <sheetName val="REESTR_OBJ_VS"/>
      <sheetName val="REESTR_OBJ_VO"/>
      <sheetName val="REESTR_TARIFF"/>
      <sheetName val="REESTR_MO"/>
      <sheetName val="SheetInfo"/>
      <sheetName val="Информация"/>
      <sheetName val="Лист3"/>
      <sheetName val="autocheck"/>
      <sheetName val="Черновик 1"/>
      <sheetName val="Черновик 2"/>
      <sheetName val="Черновик 3"/>
      <sheetName val="Черновик 4"/>
      <sheetName val="Черновик 5"/>
      <sheetName val="Черновик 6"/>
      <sheetName val="Черновик 7"/>
      <sheetName val="Черновик 8"/>
      <sheetName val="Черновик 9"/>
      <sheetName val="Черновик 10"/>
      <sheetName val="Черновик 11"/>
      <sheetName val="Черновик 12"/>
      <sheetName val="Черновик 13"/>
      <sheetName val="Черновик 14"/>
      <sheetName val="Черновик 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Тест предзагрузки"/>
      <sheetName val="Настройка списков"/>
      <sheetName val="Общие настройки"/>
      <sheetName val="Настройки для формул"/>
      <sheetName val="fmls_translate_result"/>
      <sheetName val="Список листов"/>
      <sheetName val="История изменений столбцов ВО"/>
      <sheetName val="Инструкция"/>
      <sheetName val="Титульный"/>
      <sheetName val="Тарифы"/>
      <sheetName val="testPreloadResult"/>
      <sheetName val="Лист1"/>
      <sheetName val="Заявление"/>
      <sheetName val="Документы"/>
      <sheetName val="Справочники"/>
      <sheetName val="Индексы"/>
      <sheetName val="Список объектов"/>
      <sheetName val="ПО_нас"/>
      <sheetName val="Реестр потребителей"/>
      <sheetName val="Потери"/>
      <sheetName val="Отпуск воды"/>
      <sheetName val="Объемы ВО"/>
      <sheetName val="Баланс ПП"/>
      <sheetName val="Баланс ПП МО"/>
      <sheetName val="Оборудование"/>
      <sheetName val="Сети"/>
      <sheetName val="Объемы по методике"/>
      <sheetName val="Условные метры"/>
      <sheetName val="Показатели"/>
      <sheetName val="ИТОГ"/>
      <sheetName val="Тарифы по периодам"/>
      <sheetName val="СиМ (детально)"/>
      <sheetName val="Сырье и материалы"/>
      <sheetName val="Check"/>
      <sheetName val="Формулы"/>
      <sheetName val="ЭЭ"/>
      <sheetName val="tech"/>
      <sheetName val="Оборудование - ЭЭ"/>
      <sheetName val="ТЭ"/>
      <sheetName val="ТН"/>
      <sheetName val="Оплата услуг ВО"/>
      <sheetName val="Покупка воды"/>
      <sheetName val="Транспортировка"/>
      <sheetName val="Земел. уч."/>
      <sheetName val="Аренда"/>
      <sheetName val="Амортизация"/>
      <sheetName val="Общие показатели"/>
      <sheetName val="Тарифная сетка"/>
      <sheetName val="Коэффициент невыходов"/>
      <sheetName val="Персонал"/>
      <sheetName val="Сбыт"/>
      <sheetName val="Счет 23"/>
      <sheetName val="Счет 25"/>
      <sheetName val="Адм.расходы"/>
      <sheetName val="ФОТ (по ВД)"/>
      <sheetName val="ФОТ"/>
      <sheetName val="Бесхоз"/>
      <sheetName val="Лист4"/>
      <sheetName val="Капремонт"/>
      <sheetName val="Текремонт"/>
      <sheetName val="Столбцы"/>
      <sheetName val="preloadProcs"/>
      <sheetName val="Налоги"/>
      <sheetName val="Прочие прямые"/>
      <sheetName val="Экон. проч"/>
      <sheetName val="Экон. ОР"/>
      <sheetName val="Экон. ЭЭ"/>
      <sheetName val="Общая экономия"/>
      <sheetName val="Плата за негативное возд"/>
      <sheetName val="Корр по факту"/>
      <sheetName val="Корр по периодам"/>
      <sheetName val="ДПР"/>
      <sheetName val="Анализ ФХД"/>
      <sheetName val="План ПП"/>
      <sheetName val="Факт ПП"/>
      <sheetName val="Концессия"/>
      <sheetName val="Амортизация (аналог)"/>
      <sheetName val="Расчет тарифа (аналог)"/>
      <sheetName val="Смета"/>
      <sheetName val="Расчет МЭОР"/>
      <sheetName val="ОР (базовый)"/>
      <sheetName val="ИИКА"/>
      <sheetName val="НР"/>
      <sheetName val="Расчет тарифа(корректировка) МИ"/>
      <sheetName val="ПП исх"/>
      <sheetName val="ПП вход"/>
      <sheetName val="БПр_ВС_ФАС"/>
      <sheetName val="БТр_ВС_ФАС"/>
      <sheetName val="БПр_ВО_ФАС"/>
      <sheetName val="БТр_ВО_ФАС"/>
      <sheetName val="Р_ФАС"/>
      <sheetName val="К_ФАС"/>
      <sheetName val="TECHSHEET"/>
      <sheetName val="ТМ1"/>
      <sheetName val="ТМ2"/>
      <sheetName val="ТН ФАС"/>
      <sheetName val="ATTACH_DOC"/>
      <sheetName val="Столбцы отображение"/>
      <sheetName val="TECH_VERTICAL"/>
      <sheetName val="REESTR_ORG"/>
      <sheetName val="Справочник ВД"/>
      <sheetName val="Списки"/>
      <sheetName val="Новые списки"/>
      <sheetName val="REESTR_AREA"/>
      <sheetName val="LIST_DPR"/>
      <sheetName val="REESTR_OBJ_VS"/>
      <sheetName val="REESTR_OBJ_VO"/>
      <sheetName val="REESTR_TARIFF"/>
      <sheetName val="REESTR_MO"/>
      <sheetName val="SheetInfo"/>
      <sheetName val="Информация"/>
      <sheetName val="Лист3"/>
      <sheetName val="autocheck"/>
      <sheetName val="Топливо"/>
      <sheetName val="Черновик 1"/>
      <sheetName val="Черновик 2"/>
      <sheetName val="Черновик 3"/>
      <sheetName val="Черновик 4"/>
      <sheetName val="Черновик 5"/>
      <sheetName val="Черновик 6"/>
      <sheetName val="Черновик 7"/>
      <sheetName val="Черновик 8"/>
      <sheetName val="Черновик 9"/>
      <sheetName val="Черновик 10"/>
      <sheetName val="Черновик 11"/>
      <sheetName val="Черновик 12"/>
      <sheetName val="Черновик 13"/>
      <sheetName val="Черновик 14"/>
      <sheetName val="Черновик 15"/>
      <sheetName val="Черновик 16"/>
      <sheetName val="Черновик 17"/>
      <sheetName val="Черновик 18"/>
      <sheetName val="Черновик 19"/>
      <sheetName val="Черновик 20"/>
    </sheetNames>
    <sheetDataSet>
      <sheetData sheetId="0"/>
      <sheetData sheetId="1"/>
      <sheetData sheetId="2">
        <row r="12">
          <cell r="G12">
            <v>2026</v>
          </cell>
        </row>
        <row r="13">
          <cell r="M13" t="str">
            <v>Postgre</v>
          </cell>
        </row>
      </sheetData>
      <sheetData sheetId="3"/>
      <sheetData sheetId="4"/>
      <sheetData sheetId="5"/>
      <sheetData sheetId="6"/>
      <sheetData sheetId="7"/>
      <sheetData sheetId="8">
        <row r="11">
          <cell r="AD11" t="str">
            <v>Калининградская область</v>
          </cell>
        </row>
        <row r="40">
          <cell r="AD40" t="str">
            <v>нет</v>
          </cell>
        </row>
        <row r="93">
          <cell r="AD93">
            <v>0</v>
          </cell>
        </row>
      </sheetData>
      <sheetData sheetId="9">
        <row r="86">
          <cell r="AB86">
            <v>0</v>
          </cell>
          <cell r="AC86">
            <v>0</v>
          </cell>
          <cell r="AD86">
            <v>0</v>
          </cell>
        </row>
        <row r="87">
          <cell r="U87" t="str">
            <v>1ВО - Тариф на водоотведение</v>
          </cell>
          <cell r="X87" t="str">
            <v>1ВО::1.1</v>
          </cell>
          <cell r="Y87" t="str">
            <v>1ВО</v>
          </cell>
          <cell r="AB87" t="str">
            <v>Водоотведение</v>
          </cell>
          <cell r="AC87" t="str">
            <v>Тариф на водоотведение</v>
          </cell>
          <cell r="AD87" t="str">
            <v>одноставочный</v>
          </cell>
          <cell r="AK87" t="str">
            <v>без дифференциации</v>
          </cell>
          <cell r="AM87" t="str">
            <v>да</v>
          </cell>
        </row>
        <row r="88">
          <cell r="Y88" t="str">
            <v>1ВО</v>
          </cell>
          <cell r="AB88">
            <v>0</v>
          </cell>
          <cell r="AC88">
            <v>0</v>
          </cell>
          <cell r="AD88">
            <v>0</v>
          </cell>
          <cell r="AK88">
            <v>0</v>
          </cell>
          <cell r="AM88">
            <v>0</v>
          </cell>
        </row>
        <row r="89">
          <cell r="Y89" t="str">
            <v>1ВО</v>
          </cell>
          <cell r="AB89">
            <v>0</v>
          </cell>
          <cell r="AC89">
            <v>0</v>
          </cell>
          <cell r="AD89">
            <v>0</v>
          </cell>
          <cell r="AK89">
            <v>0</v>
          </cell>
          <cell r="AM89">
            <v>0</v>
          </cell>
        </row>
        <row r="90">
          <cell r="AB90" t="str">
            <v/>
          </cell>
          <cell r="AC90">
            <v>0</v>
          </cell>
          <cell r="AD90">
            <v>0</v>
          </cell>
          <cell r="AK90">
            <v>0</v>
          </cell>
          <cell r="AM90">
            <v>0</v>
          </cell>
        </row>
        <row r="91">
          <cell r="AB91">
            <v>0</v>
          </cell>
          <cell r="AC91">
            <v>0</v>
          </cell>
          <cell r="AD91">
            <v>0</v>
          </cell>
          <cell r="AK91">
            <v>0</v>
          </cell>
          <cell r="AM91">
            <v>0</v>
          </cell>
        </row>
        <row r="93">
          <cell r="X93" t="str">
            <v>Обратить внимание, что при удалении блока может быть ССЫЛКА</v>
          </cell>
          <cell r="Y93" t="str">
            <v>Обратить внимание, что при удалении блока может быть ССЫЛКА</v>
          </cell>
        </row>
        <row r="95">
          <cell r="AK95" t="str">
            <v>Если все без диференциации скрыть BR-CB</v>
          </cell>
        </row>
        <row r="98">
          <cell r="AK98" t="str">
            <v>При выборе "без дифференциации", то нельзя добавить субтариф, все ячейки по субтарифу становятся белыми</v>
          </cell>
        </row>
        <row r="99">
          <cell r="AK99" t="str">
            <v>При выборе "с дифференциацией (одна смета)"  столбцы BU-CB становятся недоступными (белыми), но должна сохраниться возможность добавть субтариф</v>
          </cell>
        </row>
      </sheetData>
      <sheetData sheetId="10"/>
      <sheetData sheetId="11"/>
      <sheetData sheetId="12"/>
      <sheetData sheetId="13"/>
      <sheetData sheetId="14"/>
      <sheetData sheetId="15">
        <row r="92">
          <cell r="AD92">
            <v>12</v>
          </cell>
          <cell r="AH92">
            <v>12</v>
          </cell>
          <cell r="AI92">
            <v>12</v>
          </cell>
          <cell r="AK92">
            <v>12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ИТОГ"/>
    </sheetNames>
    <sheetDataSet>
      <sheetData sheetId="0">
        <row r="55">
          <cell r="AC55" t="str">
            <v>нет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rgbClr val="000000"/>
      </a:dk1>
      <a:lt1>
        <a:srgbClr val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</a:majorFont>
      <a:minorFont>
        <a:latin typeface="Calibri" panose="020F0502020204030204"/>
        <a:ea typeface=""/>
        <a:cs typeface="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lumMod val="110000"/>
                <a:tint val="67000"/>
              </a:schemeClr>
            </a:gs>
            <a:gs pos="50000">
              <a:schemeClr val="phClr">
                <a:lumMod val="105000"/>
                <a:tint val="73000"/>
              </a:schemeClr>
            </a:gs>
            <a:gs pos="100000">
              <a:schemeClr val="phClr">
                <a:lumMod val="105000"/>
                <a:tint val="81000"/>
              </a:schemeClr>
            </a:gs>
          </a:gsLst>
          <a:lin ang="5400000" scaled="0"/>
          <a:tileRect/>
        </a:gradFill>
        <a:gradFill>
          <a:gsLst>
            <a:gs pos="0">
              <a:schemeClr val="phClr">
                <a:lumMod val="102000"/>
                <a:tint val="94000"/>
              </a:schemeClr>
            </a:gs>
            <a:gs pos="50000">
              <a:schemeClr val="phClr">
                <a:lumMod val="100000"/>
                <a:shade val="100000"/>
              </a:schemeClr>
            </a:gs>
            <a:gs pos="100000">
              <a:schemeClr val="phClr">
                <a:lumMod val="99000"/>
                <a:shade val="78000"/>
              </a:schemeClr>
            </a:gs>
          </a:gsLst>
          <a:lin ang="5400000" scaled="0"/>
          <a:tileRect/>
        </a:gradFill>
      </a:fillStyleLst>
      <a:lnStyleLst>
        <a:ln w="6350" cap="flat" cmpd="sng" algn="ctr">
          <a:prstDash val="solid"/>
          <a:miter lim="800000"/>
        </a:ln>
        <a:ln w="12700" cap="flat" cmpd="sng" algn="ctr">
          <a:prstDash val="solid"/>
          <a:miter lim="800000"/>
        </a:ln>
        <a:ln w="19050" cap="flat" cmpd="sng" algn="ctr"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>
            <a:tint val="95000"/>
          </a:schemeClr>
        </a:solidFill>
        <a:gradFill>
          <a:gsLst>
            <a:gs pos="0">
              <a:schemeClr val="phClr">
                <a:tint val="93000"/>
                <a:shade val="98000"/>
                <a:lumMod val="102000"/>
              </a:schemeClr>
            </a:gs>
            <a:gs pos="50000">
              <a:schemeClr val="phClr">
                <a:tint val="98000"/>
                <a:shade val="90000"/>
                <a:lumMod val="103000"/>
              </a:schemeClr>
            </a:gs>
            <a:gs pos="100000">
              <a:schemeClr val="phClr">
                <a:shade val="63000"/>
              </a:schemeClr>
            </a:gs>
          </a:gsLst>
          <a:lin ang="5400000" scaled="0"/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44546A"/>
    <pageSetUpPr fitToPage="1"/>
  </sheetPr>
  <dimension ref="A1:BP1712"/>
  <sheetViews>
    <sheetView showGridLines="0" topLeftCell="AA1078" zoomScale="90" zoomScaleNormal="90" workbookViewId="0">
      <pane xSplit="4" topLeftCell="AE1" activePane="topRight" state="frozen"/>
      <selection activeCell="AA1078" sqref="AA1078"/>
      <selection pane="topRight" activeCell="AF781" sqref="AF781"/>
    </sheetView>
  </sheetViews>
  <sheetFormatPr defaultColWidth="9.140625" defaultRowHeight="15.75" outlineLevelRow="6" x14ac:dyDescent="0.25"/>
  <cols>
    <col min="1" max="1" width="8.85546875" style="5" hidden="1" customWidth="1"/>
    <col min="2" max="2" width="8.5703125" style="5" hidden="1" customWidth="1"/>
    <col min="3" max="3" width="12.5703125" style="5" hidden="1" customWidth="1"/>
    <col min="4" max="6" width="3.7109375" style="5" hidden="1" customWidth="1"/>
    <col min="7" max="7" width="10.140625" style="5" hidden="1" customWidth="1"/>
    <col min="8" max="11" width="3.7109375" style="5" hidden="1" customWidth="1"/>
    <col min="12" max="12" width="8.7109375" style="5" hidden="1" customWidth="1"/>
    <col min="13" max="26" width="3.7109375" style="5" hidden="1" customWidth="1"/>
    <col min="27" max="27" width="3.7109375" style="5" customWidth="1"/>
    <col min="28" max="28" width="17.7109375" style="4" customWidth="1"/>
    <col min="29" max="29" width="77.5703125" style="4" customWidth="1"/>
    <col min="30" max="30" width="19.85546875" style="4" customWidth="1"/>
    <col min="31" max="33" width="20.7109375" style="4" customWidth="1"/>
    <col min="34" max="63" width="20.7109375" style="6" customWidth="1"/>
    <col min="64" max="64" width="9.140625" style="6"/>
    <col min="65" max="65" width="12.42578125" style="5" customWidth="1"/>
    <col min="66" max="68" width="23.140625" style="7" customWidth="1"/>
  </cols>
  <sheetData>
    <row r="1" spans="3:41" ht="11.25" hidden="1" customHeight="1" x14ac:dyDescent="0.25">
      <c r="AE1" s="8">
        <f t="array" ref="AE1">INDEX([1]Столбцы!$H$3:$H$104,MATCH(AE$21,[1]Столбцы!$A$3:$A$104,0),)</f>
        <v>1</v>
      </c>
      <c r="AF1" s="8">
        <f t="array" ref="AF1">INDEX([1]Столбцы!$H$3:$H$104,MATCH(AF$21,[1]Столбцы!$A$3:$A$104,0),)</f>
        <v>1</v>
      </c>
      <c r="AG1" s="8">
        <f t="array" ref="AG1">INDEX([1]Столбцы!$H$3:$H$104,MATCH(AG$21,[1]Столбцы!$A$3:$A$104,0),)</f>
        <v>1</v>
      </c>
      <c r="AO1" s="9"/>
    </row>
    <row r="2" spans="3:41" ht="11.25" hidden="1" customHeight="1" x14ac:dyDescent="0.25">
      <c r="AE2" s="8">
        <f t="array" ref="AE2">INDEX([1]Столбцы!$I$3:$I$104,MATCH(AE$21,[1]Столбцы!$A$3:$A$104,0),)</f>
        <v>1</v>
      </c>
      <c r="AF2" s="8">
        <f t="array" ref="AF2">INDEX([1]Столбцы!$I$3:$I$104,MATCH(AF$21,[1]Столбцы!$A$3:$A$104,0),)</f>
        <v>1</v>
      </c>
      <c r="AG2" s="8">
        <f t="array" ref="AG2">INDEX([1]Столбцы!$I$3:$I$104,MATCH(AG$21,[1]Столбцы!$A$3:$A$104,0),)</f>
        <v>1</v>
      </c>
      <c r="AO2" s="9"/>
    </row>
    <row r="3" spans="3:41" ht="11.25" hidden="1" customHeight="1" x14ac:dyDescent="0.25">
      <c r="E3" s="10" t="s">
        <v>0</v>
      </c>
      <c r="F3" s="11" t="s">
        <v>1</v>
      </c>
      <c r="G3" s="10" t="s">
        <v>2</v>
      </c>
      <c r="H3" s="10" t="s">
        <v>3</v>
      </c>
      <c r="I3" s="10" t="s">
        <v>4</v>
      </c>
      <c r="J3" s="10" t="s">
        <v>5</v>
      </c>
      <c r="K3" s="12" t="s">
        <v>6</v>
      </c>
      <c r="L3" s="11" t="s">
        <v>1</v>
      </c>
      <c r="M3" s="13" t="s">
        <v>7</v>
      </c>
      <c r="AO3" s="9"/>
    </row>
    <row r="4" spans="3:41" ht="11.25" hidden="1" customHeight="1" x14ac:dyDescent="0.25">
      <c r="AO4" s="9"/>
    </row>
    <row r="5" spans="3:41" ht="11.25" hidden="1" customHeight="1" x14ac:dyDescent="0.25">
      <c r="C5" s="10" t="s">
        <v>8</v>
      </c>
      <c r="AE5" s="8">
        <f t="array" ref="AE5">INDEX(IF(mark="Разметка",[1]Столбцы!$K$3:$N$104,[1]Столбцы!$P$3:$S$104),MATCH(AE$21,[1]Столбцы!$A$3:$A$104,0),MATCH($C5,IF(mark="Разметка",[1]Столбцы!$K$2:$N$2,[1]Столбцы!$P$2:$S$2),0))</f>
        <v>2024</v>
      </c>
      <c r="AF5" s="8">
        <f t="array" ref="AF5">INDEX(IF(mark="Разметка",[1]Столбцы!$K$3:$N$104,[1]Столбцы!$P$3:$S$104),MATCH(AF$21,[1]Столбцы!$A$3:$A$104,0),MATCH($C5,IF(mark="Разметка",[1]Столбцы!$K$2:$N$2,[1]Столбцы!$P$2:$S$2),0))</f>
        <v>2025</v>
      </c>
      <c r="AG5" s="8">
        <f t="array" ref="AG5">INDEX(IF(mark="Разметка",[1]Столбцы!$K$3:$N$104,[1]Столбцы!$P$3:$S$104),MATCH(AG$21,[1]Столбцы!$A$3:$A$104,0),MATCH($C5,IF(mark="Разметка",[1]Столбцы!$K$2:$N$2,[1]Столбцы!$P$2:$S$2),0))</f>
        <v>2026</v>
      </c>
      <c r="AO5" s="9"/>
    </row>
    <row r="6" spans="3:41" ht="11.25" hidden="1" customHeight="1" x14ac:dyDescent="0.25">
      <c r="C6" s="10" t="s">
        <v>9</v>
      </c>
      <c r="AE6" s="8" t="str">
        <f t="array" ref="AE6">INDEX(IF(mark="Разметка",[1]Столбцы!$K$3:$N$104,[1]Столбцы!$P$3:$S$104),MATCH(AE$21,[1]Столбцы!$A$3:$A$104,0),MATCH($C6,IF(mark="Разметка",[1]Столбцы!$K$2:$N$2,[1]Столбцы!$P$2:$S$2),0))</f>
        <v>Факт</v>
      </c>
      <c r="AF6" s="8" t="str">
        <f t="array" ref="AF6">INDEX(IF(mark="Разметка",[1]Столбцы!$K$3:$N$104,[1]Столбцы!$P$3:$S$104),MATCH(AF$21,[1]Столбцы!$A$3:$A$104,0),MATCH($C6,IF(mark="Разметка",[1]Столбцы!$K$2:$N$2,[1]Столбцы!$P$2:$S$2),0))</f>
        <v>План</v>
      </c>
      <c r="AG6" s="8" t="str">
        <f t="array" ref="AG6">INDEX(IF(mark="Разметка",[1]Столбцы!$K$3:$N$104,[1]Столбцы!$P$3:$S$104),MATCH(AG$21,[1]Столбцы!$A$3:$A$104,0),MATCH($C6,IF(mark="Разметка",[1]Столбцы!$K$2:$N$2,[1]Столбцы!$P$2:$S$2),0))</f>
        <v>План</v>
      </c>
      <c r="AO6" s="9"/>
    </row>
    <row r="7" spans="3:41" ht="11.25" hidden="1" customHeight="1" x14ac:dyDescent="0.25">
      <c r="C7" s="10" t="s">
        <v>10</v>
      </c>
      <c r="AE7" s="8" t="s">
        <v>11</v>
      </c>
      <c r="AF7" s="8" t="s">
        <v>11</v>
      </c>
      <c r="AG7" s="8" t="s">
        <v>11</v>
      </c>
      <c r="AO7" s="9"/>
    </row>
    <row r="8" spans="3:41" ht="11.25" hidden="1" customHeight="1" x14ac:dyDescent="0.25">
      <c r="C8" s="10" t="s">
        <v>12</v>
      </c>
      <c r="AE8" s="8" t="str">
        <f t="array" ref="AE8">INDEX(IF(mark="Разметка",[1]Столбцы!$K$3:$N$104,[1]Столбцы!$P$3:$S$104),MATCH(AE$21,[1]Столбцы!$A$3:$A$104,0),MATCH($C8,IF(mark="Разметка",[1]Столбцы!$K$2:$N$2,[1]Столбцы!$P$2:$S$2),0))</f>
        <v>Версия организации</v>
      </c>
      <c r="AF8" s="8" t="str">
        <f t="array" ref="AF8">INDEX(IF(mark="Разметка",[1]Столбцы!$K$3:$N$104,[1]Столбцы!$P$3:$S$104),MATCH(AF$21,[1]Столбцы!$A$3:$A$104,0),MATCH($C8,IF(mark="Разметка",[1]Столбцы!$K$2:$N$2,[1]Столбцы!$P$2:$S$2),0))</f>
        <v>Версия организации</v>
      </c>
      <c r="AG8" s="8" t="str">
        <f t="array" ref="AG8">INDEX(IF(mark="Разметка",[1]Столбцы!$K$3:$N$104,[1]Столбцы!$P$3:$S$104),MATCH(AG$21,[1]Столбцы!$A$3:$A$104,0),MATCH($C8,IF(mark="Разметка",[1]Столбцы!$K$2:$N$2,[1]Столбцы!$P$2:$S$2),0))</f>
        <v>Версия организации</v>
      </c>
      <c r="AO8" s="9"/>
    </row>
    <row r="9" spans="3:41" ht="14.25" hidden="1" customHeight="1" x14ac:dyDescent="0.25">
      <c r="C9" s="10" t="s">
        <v>13</v>
      </c>
      <c r="AE9" s="8" t="str">
        <f t="array" ref="AE9">INDEX(IF(mark="Разметка",[1]Столбцы!$K$3:$N$104,[1]Столбцы!$P$3:$S$104),MATCH(AE$21,[1]Столбцы!$A$3:$A$104,0),MATCH($C9,IF(mark="Разметка",[1]Столбцы!$K$2:$N$2,[1]Столбцы!$P$2:$S$2),0))</f>
        <v>Год</v>
      </c>
      <c r="AF9" s="8" t="str">
        <f t="array" ref="AF9">INDEX(IF(mark="Разметка",[1]Столбцы!$K$3:$N$104,[1]Столбцы!$P$3:$S$104),MATCH(AF$21,[1]Столбцы!$A$3:$A$104,0),MATCH($C9,IF(mark="Разметка",[1]Столбцы!$K$2:$N$2,[1]Столбцы!$P$2:$S$2),0))</f>
        <v>Год</v>
      </c>
      <c r="AG9" s="8" t="str">
        <f t="array" ref="AG9">INDEX(IF(mark="Разметка",[1]Столбцы!$K$3:$N$104,[1]Столбцы!$P$3:$S$104),MATCH(AG$21,[1]Столбцы!$A$3:$A$104,0),MATCH($C9,IF(mark="Разметка",[1]Столбцы!$K$2:$N$2,[1]Столбцы!$P$2:$S$2),0))</f>
        <v>Год</v>
      </c>
      <c r="AO9" s="9"/>
    </row>
    <row r="10" spans="3:41" ht="14.25" hidden="1" customHeight="1" x14ac:dyDescent="0.25">
      <c r="AO10" s="9"/>
    </row>
    <row r="11" spans="3:41" ht="14.25" hidden="1" customHeight="1" x14ac:dyDescent="0.25">
      <c r="AO11" s="9"/>
    </row>
    <row r="12" spans="3:41" ht="14.25" hidden="1" customHeight="1" x14ac:dyDescent="0.25">
      <c r="AO12" s="9"/>
    </row>
    <row r="13" spans="3:41" ht="14.25" hidden="1" customHeight="1" x14ac:dyDescent="0.25">
      <c r="AO13" s="9"/>
    </row>
    <row r="14" spans="3:41" ht="14.25" hidden="1" customHeight="1" x14ac:dyDescent="0.25">
      <c r="AO14" s="9"/>
    </row>
    <row r="15" spans="3:41" ht="14.25" hidden="1" customHeight="1" x14ac:dyDescent="0.25">
      <c r="AO15" s="9"/>
    </row>
    <row r="16" spans="3:41" ht="14.25" hidden="1" customHeight="1" x14ac:dyDescent="0.25">
      <c r="AO16" s="9"/>
    </row>
    <row r="17" spans="29:41" ht="14.25" hidden="1" customHeight="1" x14ac:dyDescent="0.25">
      <c r="AO17" s="9"/>
    </row>
    <row r="18" spans="29:41" ht="14.25" hidden="1" customHeight="1" x14ac:dyDescent="0.25">
      <c r="AO18" s="9"/>
    </row>
    <row r="19" spans="29:41" ht="14.25" hidden="1" customHeight="1" x14ac:dyDescent="0.25">
      <c r="AO19" s="9"/>
    </row>
    <row r="20" spans="29:41" ht="14.25" hidden="1" customHeight="1" x14ac:dyDescent="0.25">
      <c r="AO20" s="9"/>
    </row>
    <row r="21" spans="29:41" ht="11.25" hidden="1" customHeight="1" x14ac:dyDescent="0.25">
      <c r="AE21" s="8" t="str">
        <f t="array" ref="AE21">[1]Столбцы!A39</f>
        <v>Версия организации2024фактгод</v>
      </c>
      <c r="AF21" s="8" t="str">
        <f t="array" ref="AF21">[1]Столбцы!A45</f>
        <v>Версия организации2025план Органа регулирования скорректированныйгод</v>
      </c>
      <c r="AG21" s="8" t="str">
        <f t="array" ref="AG21">[1]Столбцы!A64</f>
        <v>Версия организации2026план организации (корректировка)год</v>
      </c>
      <c r="AO21" s="9"/>
    </row>
    <row r="22" spans="29:41" ht="11.25" hidden="1" customHeight="1" x14ac:dyDescent="0.25">
      <c r="AC22" s="8" t="s">
        <v>14</v>
      </c>
      <c r="AD22" s="8">
        <f t="array" ref="AD22">'[1]Список листов'!$A$26</f>
        <v>1</v>
      </c>
      <c r="AO22" s="9"/>
    </row>
    <row r="23" spans="29:41" ht="11.25" hidden="1" customHeight="1" x14ac:dyDescent="0.25">
      <c r="AC23" s="8" t="s">
        <v>15</v>
      </c>
      <c r="AD23" s="8" t="str">
        <f>IF(AND('[1]СиМ (детально)'!$A$241,'[1]СиМ (детально)'!$B$241),"да","нет")</f>
        <v>нет</v>
      </c>
      <c r="AO23" s="9"/>
    </row>
    <row r="24" spans="29:41" ht="11.25" hidden="1" customHeight="1" x14ac:dyDescent="0.25">
      <c r="AC24" s="8" t="s">
        <v>16</v>
      </c>
      <c r="AD24" s="14" t="str">
        <f t="array" ref="AD24">'[1]Общие настройки'!$G$80</f>
        <v>нет</v>
      </c>
      <c r="AO24" s="9"/>
    </row>
    <row r="25" spans="29:41" ht="11.25" hidden="1" customHeight="1" x14ac:dyDescent="0.25">
      <c r="AC25" s="8" t="s">
        <v>17</v>
      </c>
      <c r="AD25" s="8">
        <f t="array" ref="AD25">'[1]Список листов'!$A$44</f>
        <v>0</v>
      </c>
      <c r="AO25" s="9"/>
    </row>
    <row r="26" spans="29:41" ht="11.25" hidden="1" customHeight="1" x14ac:dyDescent="0.25">
      <c r="AC26" s="8" t="s">
        <v>18</v>
      </c>
      <c r="AD26" s="8">
        <f t="array" ref="AD26">'[1]Список листов'!$A41</f>
        <v>1</v>
      </c>
      <c r="AO26" s="9"/>
    </row>
    <row r="27" spans="29:41" ht="11.25" hidden="1" customHeight="1" x14ac:dyDescent="0.25">
      <c r="AC27" s="8" t="s">
        <v>19</v>
      </c>
      <c r="AD27" s="8">
        <f t="array" ref="AD27">'[1]Список листов'!$A42</f>
        <v>1</v>
      </c>
      <c r="AO27" s="9"/>
    </row>
    <row r="28" spans="29:41" ht="11.25" hidden="1" customHeight="1" x14ac:dyDescent="0.25">
      <c r="AC28" s="8" t="s">
        <v>20</v>
      </c>
      <c r="AD28" s="8">
        <f t="array" ref="AD28">'[1]Список листов'!$A43</f>
        <v>1</v>
      </c>
      <c r="AO28" s="9"/>
    </row>
    <row r="29" spans="29:41" ht="11.25" hidden="1" customHeight="1" x14ac:dyDescent="0.25">
      <c r="AC29" s="8" t="s">
        <v>21</v>
      </c>
      <c r="AD29" s="8">
        <f t="array" ref="AD29">'[1]Список листов'!$A$47</f>
        <v>1</v>
      </c>
      <c r="AO29" s="9"/>
    </row>
    <row r="30" spans="29:41" ht="11.25" hidden="1" customHeight="1" x14ac:dyDescent="0.25">
      <c r="AC30" s="8" t="s">
        <v>22</v>
      </c>
      <c r="AD30" s="8">
        <f t="array" ref="AD30">'[1]Список листов'!$A$46</f>
        <v>1</v>
      </c>
      <c r="AO30" s="9"/>
    </row>
    <row r="31" spans="29:41" ht="11.25" hidden="1" customHeight="1" x14ac:dyDescent="0.25">
      <c r="AC31" s="8" t="s">
        <v>23</v>
      </c>
      <c r="AD31" s="8">
        <f t="array" ref="AD31">'[1]Список листов'!$A$45</f>
        <v>1</v>
      </c>
      <c r="AO31" s="9"/>
    </row>
    <row r="32" spans="29:41" ht="11.25" hidden="1" customHeight="1" x14ac:dyDescent="0.25">
      <c r="AC32" s="8" t="s">
        <v>24</v>
      </c>
      <c r="AD32" s="8">
        <f t="array" ref="AD32">'[1]Список листов'!$A$51</f>
        <v>1</v>
      </c>
      <c r="AO32" s="9"/>
    </row>
    <row r="33" spans="29:41" ht="11.25" hidden="1" customHeight="1" x14ac:dyDescent="0.25">
      <c r="AC33" s="8" t="s">
        <v>25</v>
      </c>
      <c r="AD33" s="8">
        <f t="array" ref="AD33">'[1]Список листов'!$A$49</f>
        <v>1</v>
      </c>
      <c r="AE33" s="1115"/>
      <c r="AF33" s="1115"/>
      <c r="AO33" s="9"/>
    </row>
    <row r="34" spans="29:41" ht="11.25" hidden="1" customHeight="1" x14ac:dyDescent="0.25">
      <c r="AC34" s="8" t="s">
        <v>26</v>
      </c>
      <c r="AD34" s="8">
        <f t="array" ref="AD34">'[1]Список листов'!$A$48</f>
        <v>1</v>
      </c>
      <c r="AO34" s="9"/>
    </row>
    <row r="35" spans="29:41" ht="11.25" hidden="1" customHeight="1" x14ac:dyDescent="0.25">
      <c r="AC35" s="8" t="s">
        <v>27</v>
      </c>
      <c r="AD35" s="8">
        <f t="array" ref="AD35">'[1]Список листов'!$A$31</f>
        <v>1</v>
      </c>
      <c r="AO35" s="9"/>
    </row>
    <row r="36" spans="29:41" ht="11.25" hidden="1" customHeight="1" x14ac:dyDescent="0.25">
      <c r="AC36" s="8" t="s">
        <v>28</v>
      </c>
      <c r="AD36" s="14" t="str">
        <f t="array" ref="AD36">'[1]Общие настройки'!$G$138</f>
        <v>нет</v>
      </c>
      <c r="AO36" s="9"/>
    </row>
    <row r="37" spans="29:41" ht="11.25" hidden="1" customHeight="1" x14ac:dyDescent="0.25">
      <c r="AC37" s="8" t="s">
        <v>29</v>
      </c>
      <c r="AD37" s="14" t="str">
        <f t="array" ref="AD37">'[1]Общие настройки'!$G$127</f>
        <v>да</v>
      </c>
      <c r="AO37" s="9"/>
    </row>
    <row r="38" spans="29:41" ht="11.25" hidden="1" customHeight="1" x14ac:dyDescent="0.25">
      <c r="AC38" s="8" t="s">
        <v>30</v>
      </c>
      <c r="AD38" s="8" t="str">
        <f t="array" ref="AD38">'[1]Общие настройки'!G134</f>
        <v>Подано воды в сеть</v>
      </c>
      <c r="AO38" s="9"/>
    </row>
    <row r="39" spans="29:41" ht="11.25" hidden="1" customHeight="1" x14ac:dyDescent="0.25">
      <c r="AC39" s="8" t="s">
        <v>31</v>
      </c>
      <c r="AD39" s="8" t="str">
        <f t="array" ref="AD39">'[1]Общие настройки'!G135</f>
        <v>Подано воды в сеть</v>
      </c>
      <c r="AO39" s="9"/>
    </row>
    <row r="40" spans="29:41" ht="11.25" hidden="1" customHeight="1" x14ac:dyDescent="0.25">
      <c r="AC40" s="8" t="s">
        <v>32</v>
      </c>
      <c r="AD40" s="8" t="str">
        <f t="array" ref="AD40">'[1]Общие настройки'!G136</f>
        <v>Подано воды в сеть</v>
      </c>
      <c r="AO40" s="9"/>
    </row>
    <row r="41" spans="29:41" ht="11.25" hidden="1" customHeight="1" x14ac:dyDescent="0.25">
      <c r="AC41" s="8" t="s">
        <v>33</v>
      </c>
      <c r="AD41" s="8" t="str">
        <f>SETTING_VIEW_CALC_NALOG</f>
        <v>да</v>
      </c>
      <c r="AO41" s="9"/>
    </row>
    <row r="42" spans="29:41" ht="11.25" hidden="1" customHeight="1" x14ac:dyDescent="0.25">
      <c r="AC42" s="8" t="s">
        <v>34</v>
      </c>
      <c r="AD42" s="14" t="str">
        <f t="array" ref="AD42">'[1]Общие настройки'!$G$86</f>
        <v>да</v>
      </c>
      <c r="AO42" s="9"/>
    </row>
    <row r="43" spans="29:41" ht="11.25" hidden="1" customHeight="1" x14ac:dyDescent="0.25">
      <c r="AC43" s="8" t="s">
        <v>35</v>
      </c>
      <c r="AD43" s="8" t="str">
        <f t="array" ref="AD43">[1]Амортизация!AF23</f>
        <v>да</v>
      </c>
      <c r="AO43" s="9"/>
    </row>
    <row r="44" spans="29:41" ht="11.25" hidden="1" customHeight="1" x14ac:dyDescent="0.25">
      <c r="AC44" s="8" t="s">
        <v>36</v>
      </c>
      <c r="AD44" s="8" t="str">
        <f t="array" ref="AD44">[1]Амортизация!AF24</f>
        <v>да</v>
      </c>
      <c r="AO44" s="9"/>
    </row>
    <row r="45" spans="29:41" ht="11.25" hidden="1" customHeight="1" x14ac:dyDescent="0.25">
      <c r="AC45" s="8" t="s">
        <v>37</v>
      </c>
      <c r="AD45" s="14" t="str">
        <f t="array" ref="AD45">'[1]Общие настройки'!$G$43</f>
        <v>да</v>
      </c>
      <c r="AO45" s="9"/>
    </row>
    <row r="46" spans="29:41" ht="11.25" hidden="1" customHeight="1" x14ac:dyDescent="0.25">
      <c r="AC46" s="8" t="s">
        <v>38</v>
      </c>
      <c r="AD46" s="14" t="str">
        <f t="array" ref="AD46">'[1]Общие настройки'!$G$130</f>
        <v>нет</v>
      </c>
      <c r="AO46" s="9"/>
    </row>
    <row r="47" spans="29:41" ht="11.25" hidden="1" customHeight="1" x14ac:dyDescent="0.25">
      <c r="AC47" s="8" t="s">
        <v>39</v>
      </c>
      <c r="AD47" s="14" t="str">
        <f t="array" ref="AD47">'[1]Общие настройки'!$G$142</f>
        <v>нет</v>
      </c>
      <c r="AO47" s="9"/>
    </row>
    <row r="48" spans="29:41" ht="11.25" hidden="1" customHeight="1" x14ac:dyDescent="0.25">
      <c r="AC48" s="8" t="s">
        <v>40</v>
      </c>
      <c r="AD48" s="14" t="str">
        <f t="array" ref="AD48">'[1]Общие настройки'!$G$77</f>
        <v>да</v>
      </c>
      <c r="AO48" s="9"/>
    </row>
    <row r="49" spans="29:41" ht="11.25" hidden="1" customHeight="1" x14ac:dyDescent="0.25">
      <c r="AC49" s="8" t="s">
        <v>41</v>
      </c>
      <c r="AD49" s="14" t="str">
        <f t="array" ref="AD49">'[1]Общие настройки'!$G$78</f>
        <v>да</v>
      </c>
      <c r="AO49" s="9"/>
    </row>
    <row r="50" spans="29:41" ht="11.25" hidden="1" customHeight="1" x14ac:dyDescent="0.25">
      <c r="AC50" s="8" t="s">
        <v>42</v>
      </c>
      <c r="AD50" s="14" t="str">
        <f t="array" ref="AD50">'[1]Общие настройки'!$G$79</f>
        <v>да</v>
      </c>
      <c r="AO50" s="9"/>
    </row>
    <row r="51" spans="29:41" ht="11.25" hidden="1" customHeight="1" x14ac:dyDescent="0.25">
      <c r="AC51" s="8" t="s">
        <v>43</v>
      </c>
      <c r="AD51" s="14" t="str">
        <f t="array" ref="AD51">'[1]Общие настройки'!$G$157</f>
        <v>ФАС</v>
      </c>
      <c r="AO51" s="9"/>
    </row>
    <row r="52" spans="29:41" ht="11.25" hidden="1" customHeight="1" x14ac:dyDescent="0.25">
      <c r="AC52" s="8" t="s">
        <v>44</v>
      </c>
      <c r="AD52" s="14" t="str">
        <f t="array" ref="AD52">'[1]Общие настройки'!$G$85</f>
        <v>нет</v>
      </c>
      <c r="AO52" s="9"/>
    </row>
    <row r="53" spans="29:41" ht="11.25" hidden="1" customHeight="1" x14ac:dyDescent="0.25">
      <c r="AC53" s="8" t="s">
        <v>45</v>
      </c>
      <c r="AD53" s="14">
        <f t="array" ref="AD53">'[1]СиМ (детально)'!A241</f>
        <v>0</v>
      </c>
      <c r="AO53" s="9"/>
    </row>
    <row r="54" spans="29:41" ht="10.5" hidden="1" customHeight="1" x14ac:dyDescent="0.25">
      <c r="AC54" s="8" t="s">
        <v>46</v>
      </c>
      <c r="AD54" s="8" t="str">
        <f>IF('[1]Общие настройки'!$G$162="нет","нет","да")</f>
        <v>нет</v>
      </c>
      <c r="AO54" s="9"/>
    </row>
    <row r="55" spans="29:41" ht="10.5" hidden="1" customHeight="1" x14ac:dyDescent="0.25">
      <c r="AC55" s="15" t="s">
        <v>47</v>
      </c>
      <c r="AD55" s="8" t="str">
        <f>IF(region_name="Белгородская область","да","нет")</f>
        <v>нет</v>
      </c>
      <c r="AO55" s="9"/>
    </row>
    <row r="56" spans="29:41" ht="10.5" hidden="1" customHeight="1" x14ac:dyDescent="0.25">
      <c r="AC56" s="8" t="s">
        <v>48</v>
      </c>
      <c r="AD56" s="8" t="str">
        <f t="array" ref="AD56">'[1]Общие настройки'!G65</f>
        <v>нет</v>
      </c>
      <c r="AO56" s="9"/>
    </row>
    <row r="57" spans="29:41" ht="14.25" hidden="1" customHeight="1" x14ac:dyDescent="0.25">
      <c r="AC57" s="8"/>
      <c r="AD57" s="14"/>
      <c r="AO57" s="9"/>
    </row>
    <row r="58" spans="29:41" ht="14.25" hidden="1" customHeight="1" x14ac:dyDescent="0.25">
      <c r="AC58" s="8"/>
      <c r="AD58" s="14"/>
      <c r="AO58" s="9"/>
    </row>
    <row r="59" spans="29:41" ht="14.25" hidden="1" customHeight="1" x14ac:dyDescent="0.25">
      <c r="AC59" s="8"/>
      <c r="AD59" s="14"/>
      <c r="AO59" s="9"/>
    </row>
    <row r="60" spans="29:41" ht="14.25" hidden="1" customHeight="1" x14ac:dyDescent="0.25">
      <c r="AC60" s="8"/>
      <c r="AD60" s="14"/>
      <c r="AO60" s="9"/>
    </row>
    <row r="61" spans="29:41" ht="14.25" hidden="1" customHeight="1" x14ac:dyDescent="0.25">
      <c r="AC61" s="8"/>
      <c r="AD61" s="14"/>
      <c r="AO61" s="9"/>
    </row>
    <row r="62" spans="29:41" ht="14.25" hidden="1" customHeight="1" x14ac:dyDescent="0.25">
      <c r="AC62" s="8"/>
      <c r="AD62" s="14"/>
      <c r="AO62" s="9"/>
    </row>
    <row r="63" spans="29:41" ht="14.25" hidden="1" customHeight="1" x14ac:dyDescent="0.25">
      <c r="AC63" s="8"/>
      <c r="AD63" s="14"/>
      <c r="AO63" s="9"/>
    </row>
    <row r="64" spans="29:41" ht="14.25" hidden="1" customHeight="1" x14ac:dyDescent="0.25">
      <c r="AC64" s="8"/>
      <c r="AD64" s="14"/>
      <c r="AO64" s="9"/>
    </row>
    <row r="65" spans="1:68" ht="14.25" hidden="1" customHeight="1" x14ac:dyDescent="0.25">
      <c r="AC65" s="8"/>
      <c r="AD65" s="14"/>
      <c r="AO65" s="9"/>
    </row>
    <row r="66" spans="1:68" ht="14.25" hidden="1" customHeight="1" x14ac:dyDescent="0.25">
      <c r="AC66" s="8"/>
      <c r="AD66" s="14"/>
      <c r="AO66" s="9"/>
    </row>
    <row r="67" spans="1:68" ht="14.25" hidden="1" customHeight="1" x14ac:dyDescent="0.25">
      <c r="AC67" s="8"/>
      <c r="AD67" s="14"/>
      <c r="AO67" s="9"/>
    </row>
    <row r="68" spans="1:68" ht="14.25" hidden="1" customHeight="1" x14ac:dyDescent="0.25">
      <c r="AC68" s="8"/>
      <c r="AD68" s="14"/>
      <c r="AO68" s="9"/>
    </row>
    <row r="69" spans="1:68" ht="14.25" hidden="1" customHeight="1" x14ac:dyDescent="0.25">
      <c r="AC69" s="8"/>
      <c r="AD69" s="14"/>
      <c r="AO69" s="9"/>
    </row>
    <row r="70" spans="1:68" ht="14.25" hidden="1" customHeight="1" x14ac:dyDescent="0.25">
      <c r="AC70" s="8"/>
      <c r="AD70" s="14"/>
      <c r="AO70" s="9"/>
    </row>
    <row r="71" spans="1:68" ht="14.25" customHeight="1" x14ac:dyDescent="0.25">
      <c r="AB71" s="16" t="s">
        <v>49</v>
      </c>
      <c r="AC71" s="17"/>
      <c r="AD71" s="14"/>
      <c r="AO71" s="18"/>
    </row>
    <row r="72" spans="1:68" ht="30" customHeight="1" x14ac:dyDescent="0.25">
      <c r="AB72" s="16"/>
      <c r="AC72" s="17"/>
      <c r="AD72" s="14"/>
      <c r="BM72" s="19"/>
      <c r="BN72" s="20"/>
    </row>
    <row r="73" spans="1:68" ht="35.25" customHeight="1" x14ac:dyDescent="0.25">
      <c r="AB73" s="1116" t="s">
        <v>50</v>
      </c>
      <c r="AC73" s="1116"/>
      <c r="AD73" s="1116"/>
      <c r="AE73" s="1110" t="s">
        <v>51</v>
      </c>
      <c r="AF73" s="1110"/>
      <c r="AG73" s="1110"/>
      <c r="AH73" s="1110" t="s">
        <v>52</v>
      </c>
      <c r="AI73" s="1110"/>
      <c r="AJ73" s="1110"/>
      <c r="AK73" s="1110" t="s">
        <v>53</v>
      </c>
      <c r="AL73" s="1110"/>
      <c r="AM73" s="1110"/>
      <c r="AN73" s="1114" t="s">
        <v>54</v>
      </c>
      <c r="AO73" s="1114"/>
      <c r="AP73" s="1114"/>
      <c r="AQ73" s="1114" t="s">
        <v>55</v>
      </c>
      <c r="AR73" s="1114"/>
      <c r="AS73" s="1114"/>
      <c r="AT73" s="1114" t="s">
        <v>56</v>
      </c>
      <c r="AU73" s="1114"/>
      <c r="AV73" s="1114"/>
      <c r="AW73" s="1114" t="s">
        <v>57</v>
      </c>
      <c r="AX73" s="1114"/>
      <c r="AY73" s="1114"/>
      <c r="AZ73" s="1114" t="s">
        <v>58</v>
      </c>
      <c r="BA73" s="1114"/>
      <c r="BB73" s="1114"/>
      <c r="BC73" s="1110" t="s">
        <v>59</v>
      </c>
      <c r="BD73" s="1110"/>
      <c r="BE73" s="1110"/>
      <c r="BF73" s="1111" t="s">
        <v>60</v>
      </c>
      <c r="BG73" s="1111"/>
      <c r="BH73" s="1111"/>
      <c r="BI73" s="1110" t="s">
        <v>61</v>
      </c>
      <c r="BJ73" s="1110"/>
      <c r="BK73" s="1110"/>
      <c r="BN73" s="1112" t="s">
        <v>62</v>
      </c>
      <c r="BO73" s="1112"/>
      <c r="BP73" s="1112"/>
    </row>
    <row r="74" spans="1:68" ht="30.75" customHeight="1" x14ac:dyDescent="0.25">
      <c r="AB74" s="1100" t="s">
        <v>63</v>
      </c>
      <c r="AC74" s="1101" t="s">
        <v>64</v>
      </c>
      <c r="AD74" s="1113" t="s">
        <v>65</v>
      </c>
      <c r="AE74" s="21">
        <f>god-2</f>
        <v>2024</v>
      </c>
      <c r="AF74" s="22">
        <v>2025</v>
      </c>
      <c r="AG74" s="23">
        <f>god</f>
        <v>2026</v>
      </c>
      <c r="AH74" s="21">
        <f>god-2</f>
        <v>2024</v>
      </c>
      <c r="AI74" s="22">
        <f>god-1</f>
        <v>2025</v>
      </c>
      <c r="AJ74" s="23">
        <f>god</f>
        <v>2026</v>
      </c>
      <c r="AK74" s="24">
        <f>god-2</f>
        <v>2024</v>
      </c>
      <c r="AL74" s="25">
        <f>god-1</f>
        <v>2025</v>
      </c>
      <c r="AM74" s="26">
        <f>god</f>
        <v>2026</v>
      </c>
      <c r="AN74" s="24">
        <f>god-2</f>
        <v>2024</v>
      </c>
      <c r="AO74" s="25">
        <f>god-1</f>
        <v>2025</v>
      </c>
      <c r="AP74" s="27">
        <f>god</f>
        <v>2026</v>
      </c>
      <c r="AQ74" s="24">
        <f>god-2</f>
        <v>2024</v>
      </c>
      <c r="AR74" s="25">
        <f>god-1</f>
        <v>2025</v>
      </c>
      <c r="AS74" s="27">
        <f>god</f>
        <v>2026</v>
      </c>
      <c r="AT74" s="24">
        <f>god-2</f>
        <v>2024</v>
      </c>
      <c r="AU74" s="25">
        <f>god-1</f>
        <v>2025</v>
      </c>
      <c r="AV74" s="27">
        <f>god</f>
        <v>2026</v>
      </c>
      <c r="AW74" s="24">
        <f>god-2</f>
        <v>2024</v>
      </c>
      <c r="AX74" s="25">
        <f>god-1</f>
        <v>2025</v>
      </c>
      <c r="AY74" s="27">
        <f>god</f>
        <v>2026</v>
      </c>
      <c r="AZ74" s="24">
        <f>god-2</f>
        <v>2024</v>
      </c>
      <c r="BA74" s="25">
        <f>god-1</f>
        <v>2025</v>
      </c>
      <c r="BB74" s="27">
        <f>god</f>
        <v>2026</v>
      </c>
      <c r="BC74" s="24">
        <f>god-2</f>
        <v>2024</v>
      </c>
      <c r="BD74" s="25">
        <f>god-1</f>
        <v>2025</v>
      </c>
      <c r="BE74" s="26">
        <f>god</f>
        <v>2026</v>
      </c>
      <c r="BF74" s="28">
        <f>god-2</f>
        <v>2024</v>
      </c>
      <c r="BG74" s="25">
        <f>god-1</f>
        <v>2025</v>
      </c>
      <c r="BH74" s="27">
        <f>god</f>
        <v>2026</v>
      </c>
      <c r="BI74" s="24">
        <f>god-2</f>
        <v>2024</v>
      </c>
      <c r="BJ74" s="25">
        <f>god-1</f>
        <v>2025</v>
      </c>
      <c r="BK74" s="26">
        <f>god</f>
        <v>2026</v>
      </c>
      <c r="BN74" s="24">
        <f>god-2</f>
        <v>2024</v>
      </c>
      <c r="BO74" s="25">
        <f>god-1</f>
        <v>2025</v>
      </c>
      <c r="BP74" s="26">
        <f>god</f>
        <v>2026</v>
      </c>
    </row>
    <row r="75" spans="1:68" ht="60" customHeight="1" x14ac:dyDescent="0.25">
      <c r="AB75" s="1100"/>
      <c r="AC75" s="1101"/>
      <c r="AD75" s="1113"/>
      <c r="AE75" s="29" t="s">
        <v>66</v>
      </c>
      <c r="AF75" s="30" t="s">
        <v>67</v>
      </c>
      <c r="AG75" s="31" t="str">
        <f>"план организации"&amp;IF(TYPE="Корректировка"," (корректировка)","")</f>
        <v>план организации (корректировка)</v>
      </c>
      <c r="AH75" s="29" t="s">
        <v>66</v>
      </c>
      <c r="AI75" s="30" t="s">
        <v>67</v>
      </c>
      <c r="AJ75" s="31" t="str">
        <f>"план организации"&amp;IF(TYPE="Корректировка"," (корректировка)","")</f>
        <v>план организации (корректировка)</v>
      </c>
      <c r="AK75" s="29" t="s">
        <v>66</v>
      </c>
      <c r="AL75" s="30" t="s">
        <v>67</v>
      </c>
      <c r="AM75" s="31" t="str">
        <f>"план организации"&amp;IF(TYPE="Корректировка"," (корректировка)","")</f>
        <v>план организации (корректировка)</v>
      </c>
      <c r="AN75" s="29" t="s">
        <v>66</v>
      </c>
      <c r="AO75" s="30" t="s">
        <v>67</v>
      </c>
      <c r="AP75" s="32" t="str">
        <f>"план организации"&amp;IF(TYPE="Корректировка"," (корректировка)","")</f>
        <v>план организации (корректировка)</v>
      </c>
      <c r="AQ75" s="29" t="s">
        <v>66</v>
      </c>
      <c r="AR75" s="30" t="s">
        <v>67</v>
      </c>
      <c r="AS75" s="32" t="str">
        <f>"план организации"&amp;IF(TYPE="Корректировка"," (корректировка)","")</f>
        <v>план организации (корректировка)</v>
      </c>
      <c r="AT75" s="29" t="s">
        <v>66</v>
      </c>
      <c r="AU75" s="30" t="s">
        <v>67</v>
      </c>
      <c r="AV75" s="32" t="str">
        <f>"план организации"&amp;IF(TYPE="Корректировка"," (корректировка)","")</f>
        <v>план организации (корректировка)</v>
      </c>
      <c r="AW75" s="29" t="s">
        <v>66</v>
      </c>
      <c r="AX75" s="30" t="s">
        <v>67</v>
      </c>
      <c r="AY75" s="32" t="str">
        <f>"план организации"&amp;IF(TYPE="Корректировка"," (корректировка)","")</f>
        <v>план организации (корректировка)</v>
      </c>
      <c r="AZ75" s="29" t="s">
        <v>66</v>
      </c>
      <c r="BA75" s="30" t="s">
        <v>67</v>
      </c>
      <c r="BB75" s="32" t="str">
        <f>"план организации"&amp;IF(TYPE="Корректировка"," (корректировка)","")</f>
        <v>план организации (корректировка)</v>
      </c>
      <c r="BC75" s="29" t="s">
        <v>66</v>
      </c>
      <c r="BD75" s="30" t="s">
        <v>67</v>
      </c>
      <c r="BE75" s="31" t="str">
        <f>"план организации"&amp;IF(TYPE="Корректировка"," (корректировка)","")</f>
        <v>план организации (корректировка)</v>
      </c>
      <c r="BF75" s="33" t="s">
        <v>66</v>
      </c>
      <c r="BG75" s="30" t="s">
        <v>67</v>
      </c>
      <c r="BH75" s="32" t="str">
        <f>"план организации"&amp;IF(TYPE="Корректировка"," (корректировка)","")</f>
        <v>план организации (корректировка)</v>
      </c>
      <c r="BI75" s="29" t="s">
        <v>66</v>
      </c>
      <c r="BJ75" s="30" t="s">
        <v>67</v>
      </c>
      <c r="BK75" s="31" t="str">
        <f>"план организации"&amp;IF(TYPE="Корректировка"," (корректировка)","")</f>
        <v>план организации (корректировка)</v>
      </c>
      <c r="BN75" s="34" t="s">
        <v>66</v>
      </c>
      <c r="BO75" s="35" t="s">
        <v>67</v>
      </c>
      <c r="BP75" s="36" t="str">
        <f>"план организации"&amp;IF(TYPE="Корректировка"," (корректировка)","")</f>
        <v>план организации (корректировка)</v>
      </c>
    </row>
    <row r="76" spans="1:68" ht="19.5" hidden="1" customHeight="1" x14ac:dyDescent="0.25">
      <c r="B76" s="5" t="b">
        <f>$AD$56="да"</f>
        <v>0</v>
      </c>
      <c r="AB76" s="1100"/>
      <c r="AC76" s="1101"/>
      <c r="AD76" s="1113"/>
      <c r="AE76" s="37" t="s">
        <v>68</v>
      </c>
      <c r="AF76" s="38" t="s">
        <v>68</v>
      </c>
      <c r="AG76" s="39" t="s">
        <v>68</v>
      </c>
      <c r="AH76" s="40"/>
      <c r="AI76" s="41"/>
      <c r="AJ76" s="42"/>
      <c r="AK76" s="40"/>
      <c r="AL76" s="41"/>
      <c r="AM76" s="42"/>
      <c r="AN76" s="40"/>
      <c r="AO76" s="41"/>
      <c r="AP76" s="43"/>
      <c r="AQ76" s="40"/>
      <c r="AR76" s="41"/>
      <c r="AS76" s="43"/>
      <c r="AT76" s="40"/>
      <c r="AU76" s="41"/>
      <c r="AV76" s="43"/>
      <c r="AW76" s="40"/>
      <c r="AX76" s="41"/>
      <c r="AY76" s="43"/>
      <c r="AZ76" s="40"/>
      <c r="BA76" s="41"/>
      <c r="BB76" s="43"/>
      <c r="BC76" s="40"/>
      <c r="BD76" s="41"/>
      <c r="BE76" s="42"/>
      <c r="BF76" s="44"/>
      <c r="BG76" s="41"/>
      <c r="BH76" s="43"/>
      <c r="BI76" s="40"/>
      <c r="BJ76" s="41"/>
      <c r="BK76" s="42"/>
      <c r="BN76" s="45"/>
      <c r="BO76" s="46"/>
      <c r="BP76" s="47"/>
    </row>
    <row r="77" spans="1:68" ht="12" hidden="1" customHeight="1" x14ac:dyDescent="0.25">
      <c r="B77" s="10" t="b">
        <f>FALSE()</f>
        <v>0</v>
      </c>
      <c r="AB77" s="1100"/>
      <c r="AC77" s="1101"/>
      <c r="AD77" s="1113"/>
      <c r="AE77" s="48" t="b">
        <f>OR(AE$74&lt;god_reagenty,AND(FIRST_PERIOD_IN_LT&lt;god_reagenty,AE$74&gt;=FIRST_PERIOD_IN_LT),AND(FIRST_PERIOD_IN_LT-PREVIOUS_PERIOD_LENGTH&lt;god_reagenty,AE$74&lt;FIRST_PERIOD_IN_LT))</f>
        <v>0</v>
      </c>
      <c r="AF77" s="49" t="b">
        <f>OR(AF$74&lt;god_reagenty,AND(FIRST_PERIOD_IN_LT&lt;god_reagenty,AF$74&gt;=FIRST_PERIOD_IN_LT),AND(FIRST_PERIOD_IN_LT-PREVIOUS_PERIOD_LENGTH&lt;god_reagenty,AF$74&lt;FIRST_PERIOD_IN_LT))</f>
        <v>0</v>
      </c>
      <c r="AG77" s="50" t="b">
        <f>OR(AG$74&lt;god_reagenty,AND(FIRST_PERIOD_IN_LT&lt;god_reagenty,AG$74&gt;=FIRST_PERIOD_IN_LT),AND(FIRST_PERIOD_IN_LT-PREVIOUS_PERIOD_LENGTH&lt;god_reagenty,AG$74&lt;FIRST_PERIOD_IN_LT))</f>
        <v>0</v>
      </c>
      <c r="AH77" s="40"/>
      <c r="AI77" s="41"/>
      <c r="AJ77" s="42"/>
      <c r="AK77" s="40"/>
      <c r="AL77" s="41"/>
      <c r="AM77" s="42"/>
      <c r="AN77" s="40"/>
      <c r="AO77" s="41"/>
      <c r="AP77" s="43"/>
      <c r="AQ77" s="40"/>
      <c r="AR77" s="41"/>
      <c r="AS77" s="43"/>
      <c r="AT77" s="40"/>
      <c r="AU77" s="41"/>
      <c r="AV77" s="43"/>
      <c r="AW77" s="40"/>
      <c r="AX77" s="41"/>
      <c r="AY77" s="43"/>
      <c r="AZ77" s="40"/>
      <c r="BA77" s="41"/>
      <c r="BB77" s="43"/>
      <c r="BC77" s="40"/>
      <c r="BD77" s="41"/>
      <c r="BE77" s="42"/>
      <c r="BF77" s="44"/>
      <c r="BG77" s="41"/>
      <c r="BH77" s="43"/>
      <c r="BI77" s="40"/>
      <c r="BJ77" s="41"/>
      <c r="BK77" s="42"/>
      <c r="BN77" s="45"/>
      <c r="BO77" s="46"/>
      <c r="BP77" s="47"/>
    </row>
    <row r="78" spans="1:68" ht="12" hidden="1" customHeight="1" x14ac:dyDescent="0.25">
      <c r="B78" s="10" t="b">
        <f>FALSE()</f>
        <v>0</v>
      </c>
      <c r="AB78" s="29"/>
      <c r="AC78" s="38" t="s">
        <v>69</v>
      </c>
      <c r="AD78" s="51"/>
      <c r="AE78" s="48" t="b">
        <f>FALSE()</f>
        <v>0</v>
      </c>
      <c r="AF78" s="49" t="b">
        <f>OR(AND(PREVIOUS_REGULATION_METHODS="Метод индексации",TYPE="Базовый"),AND(AF74&gt;FIRST_PERIOD_IN_LT,TYPE="Корректировка",AF74&lt;&gt;[1]Титульный!$AD$93))</f>
        <v>1</v>
      </c>
      <c r="AG78" s="50" t="b">
        <f>AND(TYPE="Корректировка",AG74&lt;&gt;[1]Титульный!$AD$93)</f>
        <v>1</v>
      </c>
      <c r="AH78" s="40"/>
      <c r="AI78" s="41"/>
      <c r="AJ78" s="42"/>
      <c r="AK78" s="40"/>
      <c r="AL78" s="41"/>
      <c r="AM78" s="42"/>
      <c r="AN78" s="40"/>
      <c r="AO78" s="41"/>
      <c r="AP78" s="43"/>
      <c r="AQ78" s="40"/>
      <c r="AR78" s="41"/>
      <c r="AS78" s="43"/>
      <c r="AT78" s="40"/>
      <c r="AU78" s="41"/>
      <c r="AV78" s="43"/>
      <c r="AW78" s="40"/>
      <c r="AX78" s="41"/>
      <c r="AY78" s="43"/>
      <c r="AZ78" s="40"/>
      <c r="BA78" s="41"/>
      <c r="BB78" s="43"/>
      <c r="BC78" s="40"/>
      <c r="BD78" s="41"/>
      <c r="BE78" s="42"/>
      <c r="BF78" s="44"/>
      <c r="BG78" s="41"/>
      <c r="BH78" s="43"/>
      <c r="BI78" s="40"/>
      <c r="BJ78" s="41"/>
      <c r="BK78" s="42"/>
      <c r="BN78" s="45"/>
      <c r="BO78" s="46"/>
      <c r="BP78" s="47"/>
    </row>
    <row r="79" spans="1:68" ht="12" hidden="1" customHeight="1" x14ac:dyDescent="0.25">
      <c r="B79" s="10" t="b">
        <f>FALSE()</f>
        <v>0</v>
      </c>
      <c r="AB79" s="29"/>
      <c r="AC79" s="52" t="s">
        <v>70</v>
      </c>
      <c r="AD79" s="51"/>
      <c r="AE79" s="53">
        <f t="array" ref="AE79">[1]Индексы!$AH$92</f>
        <v>12</v>
      </c>
      <c r="AF79" s="54">
        <f t="array" ref="AF79">[1]Индексы!$AI$92</f>
        <v>12</v>
      </c>
      <c r="AG79" s="55">
        <f t="array" ref="AG79">[1]Индексы!$AK$92</f>
        <v>12</v>
      </c>
      <c r="AH79" s="40"/>
      <c r="AI79" s="41"/>
      <c r="AJ79" s="42"/>
      <c r="AK79" s="40"/>
      <c r="AL79" s="41"/>
      <c r="AM79" s="42"/>
      <c r="AN79" s="40"/>
      <c r="AO79" s="41"/>
      <c r="AP79" s="43"/>
      <c r="AQ79" s="40"/>
      <c r="AR79" s="41"/>
      <c r="AS79" s="43"/>
      <c r="AT79" s="40"/>
      <c r="AU79" s="41"/>
      <c r="AV79" s="43"/>
      <c r="AW79" s="40"/>
      <c r="AX79" s="41"/>
      <c r="AY79" s="43"/>
      <c r="AZ79" s="40"/>
      <c r="BA79" s="41"/>
      <c r="BB79" s="43"/>
      <c r="BC79" s="40"/>
      <c r="BD79" s="41"/>
      <c r="BE79" s="42"/>
      <c r="BF79" s="44"/>
      <c r="BG79" s="41"/>
      <c r="BH79" s="43"/>
      <c r="BI79" s="40"/>
      <c r="BJ79" s="41"/>
      <c r="BK79" s="42"/>
      <c r="BN79" s="45"/>
      <c r="BO79" s="46"/>
      <c r="BP79" s="47"/>
    </row>
    <row r="80" spans="1:68" ht="6.75" hidden="1" customHeight="1" x14ac:dyDescent="0.25">
      <c r="A80" s="5" t="b">
        <f>$AD$56="да"</f>
        <v>0</v>
      </c>
      <c r="B80" s="5" t="b">
        <f t="array" ref="B80">A80</f>
        <v>0</v>
      </c>
      <c r="C80" s="5" t="s">
        <v>71</v>
      </c>
      <c r="D80" s="5" t="s">
        <v>72</v>
      </c>
      <c r="E80" s="5" t="s">
        <v>73</v>
      </c>
      <c r="F80" s="5" t="s">
        <v>74</v>
      </c>
      <c r="G80" s="5" t="s">
        <v>73</v>
      </c>
      <c r="H80" s="5" t="s">
        <v>73</v>
      </c>
      <c r="I80" s="5" t="s">
        <v>73</v>
      </c>
      <c r="J80" s="5" t="s">
        <v>73</v>
      </c>
      <c r="K80" s="5" t="s">
        <v>73</v>
      </c>
      <c r="M80" s="5">
        <f t="shared" ref="M80:M95" si="0">$AC$81</f>
        <v>0</v>
      </c>
      <c r="Z80" s="6"/>
      <c r="AA80" s="6"/>
      <c r="AB80" s="56"/>
      <c r="AC80" s="52"/>
      <c r="AD80" s="57"/>
      <c r="AE80" s="58"/>
      <c r="AF80" s="59"/>
      <c r="AG80" s="60"/>
      <c r="AH80" s="40"/>
      <c r="AI80" s="41"/>
      <c r="AJ80" s="42"/>
      <c r="AK80" s="40"/>
      <c r="AL80" s="41"/>
      <c r="AM80" s="42"/>
      <c r="AN80" s="40"/>
      <c r="AO80" s="41"/>
      <c r="AP80" s="43"/>
      <c r="AQ80" s="40"/>
      <c r="AR80" s="41"/>
      <c r="AS80" s="43"/>
      <c r="AT80" s="40"/>
      <c r="AU80" s="41"/>
      <c r="AV80" s="43"/>
      <c r="AW80" s="40"/>
      <c r="AX80" s="41"/>
      <c r="AY80" s="43"/>
      <c r="AZ80" s="40"/>
      <c r="BA80" s="41"/>
      <c r="BB80" s="43"/>
      <c r="BC80" s="40"/>
      <c r="BD80" s="41"/>
      <c r="BE80" s="42"/>
      <c r="BF80" s="44"/>
      <c r="BG80" s="41"/>
      <c r="BH80" s="43"/>
      <c r="BI80" s="40"/>
      <c r="BJ80" s="41"/>
      <c r="BK80" s="42"/>
      <c r="BN80" s="45"/>
      <c r="BO80" s="46"/>
      <c r="BP80" s="47"/>
    </row>
    <row r="81" spans="1:68" ht="13.5" hidden="1" customHeight="1" x14ac:dyDescent="0.25">
      <c r="A81" s="10" t="e">
        <f>COUNTIF([1]Тарифы!$AK$87:$AK$90,"с дифференциацией (несколько смет)")&gt;0</f>
        <v>#VALUE!</v>
      </c>
      <c r="B81" s="10" t="e">
        <f t="array" ref="B81">A81</f>
        <v>#VALUE!</v>
      </c>
      <c r="M81" s="5">
        <f t="shared" si="0"/>
        <v>0</v>
      </c>
      <c r="Z81" s="6"/>
      <c r="AA81" s="6"/>
      <c r="AB81" s="61"/>
      <c r="AC81" s="62"/>
      <c r="AD81" s="63"/>
      <c r="AE81" s="61"/>
      <c r="AF81" s="62"/>
      <c r="AG81" s="64"/>
      <c r="AH81" s="40"/>
      <c r="AI81" s="41"/>
      <c r="AJ81" s="42"/>
      <c r="AK81" s="40"/>
      <c r="AL81" s="41"/>
      <c r="AM81" s="42"/>
      <c r="AN81" s="40"/>
      <c r="AO81" s="41"/>
      <c r="AP81" s="43"/>
      <c r="AQ81" s="40"/>
      <c r="AR81" s="41"/>
      <c r="AS81" s="43"/>
      <c r="AT81" s="40"/>
      <c r="AU81" s="41"/>
      <c r="AV81" s="43"/>
      <c r="AW81" s="40"/>
      <c r="AX81" s="41"/>
      <c r="AY81" s="43"/>
      <c r="AZ81" s="40"/>
      <c r="BA81" s="41"/>
      <c r="BB81" s="43"/>
      <c r="BC81" s="40"/>
      <c r="BD81" s="41"/>
      <c r="BE81" s="42"/>
      <c r="BF81" s="44"/>
      <c r="BG81" s="41"/>
      <c r="BH81" s="43"/>
      <c r="BI81" s="40"/>
      <c r="BJ81" s="41"/>
      <c r="BK81" s="42"/>
      <c r="BN81" s="45"/>
      <c r="BO81" s="46"/>
      <c r="BP81" s="47"/>
    </row>
    <row r="82" spans="1:68" ht="14.25" hidden="1" customHeight="1" outlineLevel="1" x14ac:dyDescent="0.25">
      <c r="A82" s="10" t="e">
        <f>COUNTIF([1]Тарифы!$AK$87:$AK$90,"с дифференциацией (несколько смет)")&gt;0</f>
        <v>#VALUE!</v>
      </c>
      <c r="B82" s="10" t="e">
        <f t="array" ref="B82">A82</f>
        <v>#VALUE!</v>
      </c>
      <c r="C82" s="5" t="s">
        <v>75</v>
      </c>
      <c r="D82" s="10" t="s">
        <v>76</v>
      </c>
      <c r="E82" s="5" t="s">
        <v>73</v>
      </c>
      <c r="F82" s="5" t="s">
        <v>73</v>
      </c>
      <c r="G82" s="5" t="s">
        <v>73</v>
      </c>
      <c r="H82" s="5" t="s">
        <v>73</v>
      </c>
      <c r="I82" s="5" t="s">
        <v>73</v>
      </c>
      <c r="J82" s="5" t="s">
        <v>73</v>
      </c>
      <c r="K82" s="5" t="s">
        <v>77</v>
      </c>
      <c r="M82" s="5">
        <f t="shared" si="0"/>
        <v>0</v>
      </c>
      <c r="Z82" s="6"/>
      <c r="AA82" s="6"/>
      <c r="AB82" s="65"/>
      <c r="AC82" s="62"/>
      <c r="AD82" s="51"/>
      <c r="AE82" s="66"/>
      <c r="AF82" s="67"/>
      <c r="AG82" s="68"/>
      <c r="AH82" s="40"/>
      <c r="AI82" s="41"/>
      <c r="AJ82" s="42"/>
      <c r="AK82" s="40"/>
      <c r="AL82" s="41"/>
      <c r="AM82" s="42"/>
      <c r="AN82" s="40"/>
      <c r="AO82" s="41"/>
      <c r="AP82" s="43"/>
      <c r="AQ82" s="40"/>
      <c r="AR82" s="41"/>
      <c r="AS82" s="43"/>
      <c r="AT82" s="40"/>
      <c r="AU82" s="41"/>
      <c r="AV82" s="43"/>
      <c r="AW82" s="40"/>
      <c r="AX82" s="41"/>
      <c r="AY82" s="43"/>
      <c r="AZ82" s="40"/>
      <c r="BA82" s="41"/>
      <c r="BB82" s="43"/>
      <c r="BC82" s="40"/>
      <c r="BD82" s="41"/>
      <c r="BE82" s="42"/>
      <c r="BF82" s="44"/>
      <c r="BG82" s="41"/>
      <c r="BH82" s="43"/>
      <c r="BI82" s="40"/>
      <c r="BJ82" s="41"/>
      <c r="BK82" s="42"/>
      <c r="BN82" s="45"/>
      <c r="BO82" s="46"/>
      <c r="BP82" s="47"/>
    </row>
    <row r="83" spans="1:68" ht="14.25" hidden="1" customHeight="1" outlineLevel="1" x14ac:dyDescent="0.25">
      <c r="A83" s="10" t="e">
        <f>COUNTIF([1]Тарифы!$AK$87:$AK$90,"с дифференциацией (несколько смет)")&gt;0</f>
        <v>#VALUE!</v>
      </c>
      <c r="B83" s="10" t="e">
        <f t="array" ref="B83">A83</f>
        <v>#VALUE!</v>
      </c>
      <c r="C83" s="69" t="s">
        <v>78</v>
      </c>
      <c r="D83" s="70" t="s">
        <v>79</v>
      </c>
      <c r="E83" s="70" t="s">
        <v>80</v>
      </c>
      <c r="F83" s="70" t="s">
        <v>80</v>
      </c>
      <c r="G83" s="70" t="s">
        <v>80</v>
      </c>
      <c r="H83" s="70" t="s">
        <v>80</v>
      </c>
      <c r="I83" s="70" t="s">
        <v>80</v>
      </c>
      <c r="J83" s="70" t="s">
        <v>80</v>
      </c>
      <c r="K83" s="5" t="s">
        <v>77</v>
      </c>
      <c r="M83" s="5">
        <f t="shared" si="0"/>
        <v>0</v>
      </c>
      <c r="Z83" s="6"/>
      <c r="AA83" s="6"/>
      <c r="AB83" s="29"/>
      <c r="AC83" s="71"/>
      <c r="AD83" s="51"/>
      <c r="AE83" s="66"/>
      <c r="AF83" s="67"/>
      <c r="AG83" s="68"/>
      <c r="AH83" s="40"/>
      <c r="AI83" s="41"/>
      <c r="AJ83" s="42"/>
      <c r="AK83" s="40"/>
      <c r="AL83" s="41"/>
      <c r="AM83" s="42"/>
      <c r="AN83" s="40"/>
      <c r="AO83" s="41"/>
      <c r="AP83" s="43"/>
      <c r="AQ83" s="40"/>
      <c r="AR83" s="41"/>
      <c r="AS83" s="43"/>
      <c r="AT83" s="40"/>
      <c r="AU83" s="41"/>
      <c r="AV83" s="43"/>
      <c r="AW83" s="40"/>
      <c r="AX83" s="41"/>
      <c r="AY83" s="43"/>
      <c r="AZ83" s="40"/>
      <c r="BA83" s="41"/>
      <c r="BB83" s="43"/>
      <c r="BC83" s="40"/>
      <c r="BD83" s="41"/>
      <c r="BE83" s="42"/>
      <c r="BF83" s="44"/>
      <c r="BG83" s="41"/>
      <c r="BH83" s="43"/>
      <c r="BI83" s="40"/>
      <c r="BJ83" s="41"/>
      <c r="BK83" s="42"/>
      <c r="BN83" s="45"/>
      <c r="BO83" s="46"/>
      <c r="BP83" s="47"/>
    </row>
    <row r="84" spans="1:68" ht="14.25" hidden="1" customHeight="1" outlineLevel="1" x14ac:dyDescent="0.25">
      <c r="A84" s="10" t="e">
        <f>COUNTIF([1]Тарифы!$AK$87:$AK$90,"с дифференциацией (несколько смет)")&gt;0</f>
        <v>#VALUE!</v>
      </c>
      <c r="B84" s="10" t="e">
        <f t="array" ref="B84">A84</f>
        <v>#VALUE!</v>
      </c>
      <c r="C84" s="69" t="s">
        <v>81</v>
      </c>
      <c r="D84" s="70" t="s">
        <v>82</v>
      </c>
      <c r="E84" s="70" t="s">
        <v>73</v>
      </c>
      <c r="F84" s="70" t="s">
        <v>73</v>
      </c>
      <c r="G84" s="70" t="s">
        <v>73</v>
      </c>
      <c r="H84" s="70" t="s">
        <v>73</v>
      </c>
      <c r="I84" s="70" t="s">
        <v>73</v>
      </c>
      <c r="J84" s="70" t="s">
        <v>73</v>
      </c>
      <c r="K84" s="5" t="s">
        <v>77</v>
      </c>
      <c r="M84" s="5">
        <f t="shared" si="0"/>
        <v>0</v>
      </c>
      <c r="Z84" s="6"/>
      <c r="AA84" s="6"/>
      <c r="AB84" s="29"/>
      <c r="AC84" s="71"/>
      <c r="AD84" s="51"/>
      <c r="AE84" s="66"/>
      <c r="AF84" s="67"/>
      <c r="AG84" s="68"/>
      <c r="AH84" s="40"/>
      <c r="AI84" s="41"/>
      <c r="AJ84" s="42"/>
      <c r="AK84" s="40"/>
      <c r="AL84" s="41"/>
      <c r="AM84" s="42"/>
      <c r="AN84" s="40"/>
      <c r="AO84" s="41"/>
      <c r="AP84" s="43"/>
      <c r="AQ84" s="40"/>
      <c r="AR84" s="41"/>
      <c r="AS84" s="43"/>
      <c r="AT84" s="40"/>
      <c r="AU84" s="41"/>
      <c r="AV84" s="43"/>
      <c r="AW84" s="40"/>
      <c r="AX84" s="41"/>
      <c r="AY84" s="43"/>
      <c r="AZ84" s="40"/>
      <c r="BA84" s="41"/>
      <c r="BB84" s="43"/>
      <c r="BC84" s="40"/>
      <c r="BD84" s="41"/>
      <c r="BE84" s="42"/>
      <c r="BF84" s="44"/>
      <c r="BG84" s="41"/>
      <c r="BH84" s="43"/>
      <c r="BI84" s="40"/>
      <c r="BJ84" s="41"/>
      <c r="BK84" s="42"/>
      <c r="BN84" s="45"/>
      <c r="BO84" s="46"/>
      <c r="BP84" s="47"/>
    </row>
    <row r="85" spans="1:68" ht="14.25" hidden="1" customHeight="1" outlineLevel="1" x14ac:dyDescent="0.25">
      <c r="A85" s="10" t="e">
        <f>COUNTIF([1]Тарифы!$AK$87:$AK$90,"с дифференциацией (несколько смет)")&gt;0</f>
        <v>#VALUE!</v>
      </c>
      <c r="B85" s="10" t="e">
        <f t="array" ref="B85">A85</f>
        <v>#VALUE!</v>
      </c>
      <c r="C85" s="10" t="s">
        <v>83</v>
      </c>
      <c r="D85" s="10" t="s">
        <v>84</v>
      </c>
      <c r="E85" s="10" t="s">
        <v>73</v>
      </c>
      <c r="F85" s="10" t="s">
        <v>74</v>
      </c>
      <c r="G85" s="10" t="s">
        <v>85</v>
      </c>
      <c r="H85" s="10" t="s">
        <v>73</v>
      </c>
      <c r="I85" s="10" t="s">
        <v>73</v>
      </c>
      <c r="J85" s="10" t="s">
        <v>73</v>
      </c>
      <c r="K85" s="5" t="s">
        <v>77</v>
      </c>
      <c r="M85" s="5">
        <f t="shared" si="0"/>
        <v>0</v>
      </c>
      <c r="Z85" s="6"/>
      <c r="AA85" s="6"/>
      <c r="AB85" s="65"/>
      <c r="AC85" s="62"/>
      <c r="AD85" s="51"/>
      <c r="AE85" s="72"/>
      <c r="AF85" s="73"/>
      <c r="AG85" s="74"/>
      <c r="AH85" s="40"/>
      <c r="AI85" s="41"/>
      <c r="AJ85" s="42"/>
      <c r="AK85" s="40"/>
      <c r="AL85" s="41"/>
      <c r="AM85" s="42"/>
      <c r="AN85" s="40"/>
      <c r="AO85" s="41"/>
      <c r="AP85" s="43"/>
      <c r="AQ85" s="40"/>
      <c r="AR85" s="41"/>
      <c r="AS85" s="43"/>
      <c r="AT85" s="40"/>
      <c r="AU85" s="41"/>
      <c r="AV85" s="43"/>
      <c r="AW85" s="40"/>
      <c r="AX85" s="41"/>
      <c r="AY85" s="43"/>
      <c r="AZ85" s="40"/>
      <c r="BA85" s="41"/>
      <c r="BB85" s="43"/>
      <c r="BC85" s="40"/>
      <c r="BD85" s="41"/>
      <c r="BE85" s="42"/>
      <c r="BF85" s="44"/>
      <c r="BG85" s="41"/>
      <c r="BH85" s="43"/>
      <c r="BI85" s="40"/>
      <c r="BJ85" s="41"/>
      <c r="BK85" s="42"/>
      <c r="BN85" s="45"/>
      <c r="BO85" s="46"/>
      <c r="BP85" s="47"/>
    </row>
    <row r="86" spans="1:68" ht="14.25" hidden="1" customHeight="1" outlineLevel="1" x14ac:dyDescent="0.25">
      <c r="A86" s="10" t="e">
        <f>COUNTIF([1]Тарифы!$AK$87:$AK$90,"с дифференциацией (несколько смет)")&gt;0</f>
        <v>#VALUE!</v>
      </c>
      <c r="B86" s="10" t="e">
        <f t="array" ref="B86">A86</f>
        <v>#VALUE!</v>
      </c>
      <c r="C86" s="75" t="s">
        <v>86</v>
      </c>
      <c r="D86" s="5" t="s">
        <v>87</v>
      </c>
      <c r="E86" s="10" t="s">
        <v>73</v>
      </c>
      <c r="F86" s="10" t="s">
        <v>74</v>
      </c>
      <c r="G86" s="10" t="s">
        <v>73</v>
      </c>
      <c r="H86" s="10" t="s">
        <v>73</v>
      </c>
      <c r="I86" s="10" t="s">
        <v>73</v>
      </c>
      <c r="J86" s="10" t="s">
        <v>73</v>
      </c>
      <c r="K86" s="5" t="s">
        <v>77</v>
      </c>
      <c r="M86" s="5">
        <f t="shared" si="0"/>
        <v>0</v>
      </c>
      <c r="Z86" s="6"/>
      <c r="AA86" s="6"/>
      <c r="AB86" s="29"/>
      <c r="AC86" s="71"/>
      <c r="AD86" s="51"/>
      <c r="AE86" s="56"/>
      <c r="AF86" s="73"/>
      <c r="AG86" s="74"/>
      <c r="AH86" s="40"/>
      <c r="AI86" s="41"/>
      <c r="AJ86" s="42"/>
      <c r="AK86" s="40"/>
      <c r="AL86" s="41"/>
      <c r="AM86" s="42"/>
      <c r="AN86" s="40"/>
      <c r="AO86" s="41"/>
      <c r="AP86" s="43"/>
      <c r="AQ86" s="40"/>
      <c r="AR86" s="41"/>
      <c r="AS86" s="43"/>
      <c r="AT86" s="40"/>
      <c r="AU86" s="41"/>
      <c r="AV86" s="43"/>
      <c r="AW86" s="40"/>
      <c r="AX86" s="41"/>
      <c r="AY86" s="43"/>
      <c r="AZ86" s="40"/>
      <c r="BA86" s="41"/>
      <c r="BB86" s="43"/>
      <c r="BC86" s="40"/>
      <c r="BD86" s="41"/>
      <c r="BE86" s="42"/>
      <c r="BF86" s="44"/>
      <c r="BG86" s="41"/>
      <c r="BH86" s="43"/>
      <c r="BI86" s="40"/>
      <c r="BJ86" s="41"/>
      <c r="BK86" s="42"/>
      <c r="BN86" s="45"/>
      <c r="BO86" s="46"/>
      <c r="BP86" s="47"/>
    </row>
    <row r="87" spans="1:68" ht="14.25" hidden="1" customHeight="1" outlineLevel="1" x14ac:dyDescent="0.25">
      <c r="A87" s="10" t="e">
        <f>COUNTIF([1]Тарифы!$AK$87:$AK$90,"с дифференциацией (несколько смет)")&gt;0</f>
        <v>#VALUE!</v>
      </c>
      <c r="B87" s="10" t="e">
        <f t="array" ref="B87">A87</f>
        <v>#VALUE!</v>
      </c>
      <c r="C87" s="75" t="s">
        <v>88</v>
      </c>
      <c r="D87" s="5" t="s">
        <v>89</v>
      </c>
      <c r="E87" s="10" t="s">
        <v>73</v>
      </c>
      <c r="F87" s="10" t="s">
        <v>74</v>
      </c>
      <c r="G87" s="10" t="s">
        <v>73</v>
      </c>
      <c r="H87" s="10" t="s">
        <v>73</v>
      </c>
      <c r="I87" s="10" t="s">
        <v>73</v>
      </c>
      <c r="J87" s="10" t="s">
        <v>73</v>
      </c>
      <c r="K87" s="5" t="s">
        <v>77</v>
      </c>
      <c r="M87" s="5">
        <f t="shared" si="0"/>
        <v>0</v>
      </c>
      <c r="Z87" s="6"/>
      <c r="AA87" s="6"/>
      <c r="AB87" s="29"/>
      <c r="AC87" s="71"/>
      <c r="AD87" s="51"/>
      <c r="AE87" s="56"/>
      <c r="AF87" s="73"/>
      <c r="AG87" s="74"/>
      <c r="AH87" s="40"/>
      <c r="AI87" s="41"/>
      <c r="AJ87" s="42"/>
      <c r="AK87" s="40"/>
      <c r="AL87" s="41"/>
      <c r="AM87" s="42"/>
      <c r="AN87" s="40"/>
      <c r="AO87" s="41"/>
      <c r="AP87" s="43"/>
      <c r="AQ87" s="40"/>
      <c r="AR87" s="41"/>
      <c r="AS87" s="43"/>
      <c r="AT87" s="40"/>
      <c r="AU87" s="41"/>
      <c r="AV87" s="43"/>
      <c r="AW87" s="40"/>
      <c r="AX87" s="41"/>
      <c r="AY87" s="43"/>
      <c r="AZ87" s="40"/>
      <c r="BA87" s="41"/>
      <c r="BB87" s="43"/>
      <c r="BC87" s="40"/>
      <c r="BD87" s="41"/>
      <c r="BE87" s="42"/>
      <c r="BF87" s="44"/>
      <c r="BG87" s="41"/>
      <c r="BH87" s="43"/>
      <c r="BI87" s="40"/>
      <c r="BJ87" s="41"/>
      <c r="BK87" s="42"/>
      <c r="BN87" s="45"/>
      <c r="BO87" s="46"/>
      <c r="BP87" s="47"/>
    </row>
    <row r="88" spans="1:68" ht="14.25" hidden="1" customHeight="1" outlineLevel="1" x14ac:dyDescent="0.25">
      <c r="A88" s="10" t="e">
        <f>COUNTIF([1]Тарифы!$AK$87:$AK$90,"с дифференциацией (несколько смет)")&gt;0</f>
        <v>#VALUE!</v>
      </c>
      <c r="B88" s="10" t="e">
        <f t="array" ref="B88">A88</f>
        <v>#VALUE!</v>
      </c>
      <c r="C88" s="10" t="s">
        <v>90</v>
      </c>
      <c r="D88" s="10" t="s">
        <v>91</v>
      </c>
      <c r="E88" s="10" t="s">
        <v>73</v>
      </c>
      <c r="F88" s="10" t="s">
        <v>74</v>
      </c>
      <c r="G88" s="10" t="s">
        <v>73</v>
      </c>
      <c r="H88" s="10" t="s">
        <v>73</v>
      </c>
      <c r="I88" s="10" t="s">
        <v>73</v>
      </c>
      <c r="J88" s="10" t="s">
        <v>73</v>
      </c>
      <c r="K88" s="5" t="s">
        <v>77</v>
      </c>
      <c r="M88" s="5">
        <f t="shared" si="0"/>
        <v>0</v>
      </c>
      <c r="Z88" s="6"/>
      <c r="AA88" s="6"/>
      <c r="AB88" s="65"/>
      <c r="AC88" s="62"/>
      <c r="AD88" s="51"/>
      <c r="AE88" s="72"/>
      <c r="AF88" s="73"/>
      <c r="AG88" s="74"/>
      <c r="AH88" s="40"/>
      <c r="AI88" s="41"/>
      <c r="AJ88" s="42"/>
      <c r="AK88" s="40"/>
      <c r="AL88" s="41"/>
      <c r="AM88" s="42"/>
      <c r="AN88" s="40"/>
      <c r="AO88" s="41"/>
      <c r="AP88" s="43"/>
      <c r="AQ88" s="40"/>
      <c r="AR88" s="41"/>
      <c r="AS88" s="43"/>
      <c r="AT88" s="40"/>
      <c r="AU88" s="41"/>
      <c r="AV88" s="43"/>
      <c r="AW88" s="40"/>
      <c r="AX88" s="41"/>
      <c r="AY88" s="43"/>
      <c r="AZ88" s="40"/>
      <c r="BA88" s="41"/>
      <c r="BB88" s="43"/>
      <c r="BC88" s="40"/>
      <c r="BD88" s="41"/>
      <c r="BE88" s="42"/>
      <c r="BF88" s="44"/>
      <c r="BG88" s="41"/>
      <c r="BH88" s="43"/>
      <c r="BI88" s="40"/>
      <c r="BJ88" s="41"/>
      <c r="BK88" s="42"/>
      <c r="BN88" s="45"/>
      <c r="BO88" s="46"/>
      <c r="BP88" s="47"/>
    </row>
    <row r="89" spans="1:68" ht="14.25" hidden="1" customHeight="1" outlineLevel="1" x14ac:dyDescent="0.25">
      <c r="A89" s="10" t="e">
        <f>COUNTIF([1]Тарифы!$AK$87:$AK$90,"с дифференциацией (несколько смет)")&gt;0</f>
        <v>#VALUE!</v>
      </c>
      <c r="B89" s="10" t="e">
        <f t="array" ref="B89">A89</f>
        <v>#VALUE!</v>
      </c>
      <c r="C89" s="10" t="s">
        <v>92</v>
      </c>
      <c r="D89" s="10" t="s">
        <v>93</v>
      </c>
      <c r="E89" s="10" t="s">
        <v>73</v>
      </c>
      <c r="F89" s="10" t="s">
        <v>74</v>
      </c>
      <c r="G89" s="10" t="s">
        <v>73</v>
      </c>
      <c r="H89" s="10" t="s">
        <v>73</v>
      </c>
      <c r="I89" s="10" t="s">
        <v>73</v>
      </c>
      <c r="J89" s="10" t="s">
        <v>73</v>
      </c>
      <c r="K89" s="5" t="s">
        <v>77</v>
      </c>
      <c r="M89" s="5">
        <f t="shared" si="0"/>
        <v>0</v>
      </c>
      <c r="Z89" s="6"/>
      <c r="AA89" s="6"/>
      <c r="AB89" s="29"/>
      <c r="AC89" s="71"/>
      <c r="AD89" s="51"/>
      <c r="AE89" s="56"/>
      <c r="AF89" s="73"/>
      <c r="AG89" s="74"/>
      <c r="AH89" s="40"/>
      <c r="AI89" s="41"/>
      <c r="AJ89" s="42"/>
      <c r="AK89" s="40"/>
      <c r="AL89" s="41"/>
      <c r="AM89" s="42"/>
      <c r="AN89" s="40"/>
      <c r="AO89" s="41"/>
      <c r="AP89" s="43"/>
      <c r="AQ89" s="40"/>
      <c r="AR89" s="41"/>
      <c r="AS89" s="43"/>
      <c r="AT89" s="40"/>
      <c r="AU89" s="41"/>
      <c r="AV89" s="43"/>
      <c r="AW89" s="40"/>
      <c r="AX89" s="41"/>
      <c r="AY89" s="43"/>
      <c r="AZ89" s="40"/>
      <c r="BA89" s="41"/>
      <c r="BB89" s="43"/>
      <c r="BC89" s="40"/>
      <c r="BD89" s="41"/>
      <c r="BE89" s="42"/>
      <c r="BF89" s="44"/>
      <c r="BG89" s="41"/>
      <c r="BH89" s="43"/>
      <c r="BI89" s="40"/>
      <c r="BJ89" s="41"/>
      <c r="BK89" s="42"/>
      <c r="BN89" s="45"/>
      <c r="BO89" s="46"/>
      <c r="BP89" s="47"/>
    </row>
    <row r="90" spans="1:68" ht="14.25" hidden="1" customHeight="1" outlineLevel="1" x14ac:dyDescent="0.25">
      <c r="A90" s="10" t="e">
        <f>COUNTIF([1]Тарифы!$AK$87:$AK$90,"с дифференциацией (несколько смет)")&gt;0</f>
        <v>#VALUE!</v>
      </c>
      <c r="B90" s="10" t="e">
        <f t="array" ref="B90">A90</f>
        <v>#VALUE!</v>
      </c>
      <c r="C90" s="10" t="s">
        <v>94</v>
      </c>
      <c r="D90" s="10" t="s">
        <v>95</v>
      </c>
      <c r="E90" s="10" t="s">
        <v>73</v>
      </c>
      <c r="F90" s="10" t="s">
        <v>74</v>
      </c>
      <c r="G90" s="10" t="s">
        <v>73</v>
      </c>
      <c r="H90" s="10" t="s">
        <v>73</v>
      </c>
      <c r="I90" s="10" t="s">
        <v>73</v>
      </c>
      <c r="J90" s="10" t="s">
        <v>73</v>
      </c>
      <c r="K90" s="5" t="s">
        <v>77</v>
      </c>
      <c r="M90" s="5">
        <f t="shared" si="0"/>
        <v>0</v>
      </c>
      <c r="Z90" s="6"/>
      <c r="AA90" s="6"/>
      <c r="AB90" s="29"/>
      <c r="AC90" s="71"/>
      <c r="AD90" s="51"/>
      <c r="AE90" s="56"/>
      <c r="AF90" s="73"/>
      <c r="AG90" s="74"/>
      <c r="AH90" s="40"/>
      <c r="AI90" s="41"/>
      <c r="AJ90" s="42"/>
      <c r="AK90" s="40"/>
      <c r="AL90" s="41"/>
      <c r="AM90" s="42"/>
      <c r="AN90" s="40"/>
      <c r="AO90" s="41"/>
      <c r="AP90" s="43"/>
      <c r="AQ90" s="40"/>
      <c r="AR90" s="41"/>
      <c r="AS90" s="43"/>
      <c r="AT90" s="40"/>
      <c r="AU90" s="41"/>
      <c r="AV90" s="43"/>
      <c r="AW90" s="40"/>
      <c r="AX90" s="41"/>
      <c r="AY90" s="43"/>
      <c r="AZ90" s="40"/>
      <c r="BA90" s="41"/>
      <c r="BB90" s="43"/>
      <c r="BC90" s="40"/>
      <c r="BD90" s="41"/>
      <c r="BE90" s="42"/>
      <c r="BF90" s="44"/>
      <c r="BG90" s="41"/>
      <c r="BH90" s="43"/>
      <c r="BI90" s="40"/>
      <c r="BJ90" s="41"/>
      <c r="BK90" s="42"/>
      <c r="BN90" s="45"/>
      <c r="BO90" s="46"/>
      <c r="BP90" s="47"/>
    </row>
    <row r="91" spans="1:68" ht="14.25" hidden="1" customHeight="1" outlineLevel="1" x14ac:dyDescent="0.25">
      <c r="A91" s="10" t="e">
        <f>COUNTIF([1]Тарифы!$AK$87:$AK$90,"с дифференциацией (несколько смет)")&gt;0</f>
        <v>#VALUE!</v>
      </c>
      <c r="B91" s="10" t="e">
        <f t="array" ref="B91">A91</f>
        <v>#VALUE!</v>
      </c>
      <c r="C91" s="10" t="s">
        <v>96</v>
      </c>
      <c r="D91" s="10" t="s">
        <v>97</v>
      </c>
      <c r="E91" s="10" t="s">
        <v>73</v>
      </c>
      <c r="F91" s="10" t="s">
        <v>74</v>
      </c>
      <c r="G91" s="10" t="s">
        <v>73</v>
      </c>
      <c r="H91" s="10" t="s">
        <v>73</v>
      </c>
      <c r="I91" s="10" t="s">
        <v>73</v>
      </c>
      <c r="J91" s="10" t="s">
        <v>73</v>
      </c>
      <c r="K91" s="5" t="s">
        <v>77</v>
      </c>
      <c r="M91" s="5">
        <f t="shared" si="0"/>
        <v>0</v>
      </c>
      <c r="Z91" s="6"/>
      <c r="AA91" s="6"/>
      <c r="AB91" s="29"/>
      <c r="AC91" s="71"/>
      <c r="AD91" s="51"/>
      <c r="AE91" s="72"/>
      <c r="AF91" s="73"/>
      <c r="AG91" s="74"/>
      <c r="AH91" s="40"/>
      <c r="AI91" s="41"/>
      <c r="AJ91" s="42"/>
      <c r="AK91" s="40"/>
      <c r="AL91" s="41"/>
      <c r="AM91" s="42"/>
      <c r="AN91" s="40"/>
      <c r="AO91" s="41"/>
      <c r="AP91" s="43"/>
      <c r="AQ91" s="40"/>
      <c r="AR91" s="41"/>
      <c r="AS91" s="43"/>
      <c r="AT91" s="40"/>
      <c r="AU91" s="41"/>
      <c r="AV91" s="43"/>
      <c r="AW91" s="40"/>
      <c r="AX91" s="41"/>
      <c r="AY91" s="43"/>
      <c r="AZ91" s="40"/>
      <c r="BA91" s="41"/>
      <c r="BB91" s="43"/>
      <c r="BC91" s="40"/>
      <c r="BD91" s="41"/>
      <c r="BE91" s="42"/>
      <c r="BF91" s="44"/>
      <c r="BG91" s="41"/>
      <c r="BH91" s="43"/>
      <c r="BI91" s="40"/>
      <c r="BJ91" s="41"/>
      <c r="BK91" s="42"/>
      <c r="BN91" s="45"/>
      <c r="BO91" s="46"/>
      <c r="BP91" s="47"/>
    </row>
    <row r="92" spans="1:68" ht="14.25" hidden="1" customHeight="1" outlineLevel="1" x14ac:dyDescent="0.25">
      <c r="A92" s="10" t="e">
        <f>COUNTIF([1]Тарифы!$AK$87:$AK$90,"с дифференциацией (несколько смет)")&gt;0</f>
        <v>#VALUE!</v>
      </c>
      <c r="B92" s="76" t="e">
        <f>AND(NOT(NDS="нет"),A92)</f>
        <v>#VALUE!</v>
      </c>
      <c r="C92" s="10" t="s">
        <v>98</v>
      </c>
      <c r="D92" s="10" t="s">
        <v>99</v>
      </c>
      <c r="E92" s="10" t="s">
        <v>73</v>
      </c>
      <c r="F92" s="10" t="s">
        <v>74</v>
      </c>
      <c r="G92" s="10" t="s">
        <v>73</v>
      </c>
      <c r="H92" s="10" t="s">
        <v>73</v>
      </c>
      <c r="I92" s="10" t="s">
        <v>73</v>
      </c>
      <c r="J92" s="10" t="s">
        <v>73</v>
      </c>
      <c r="K92" s="5" t="s">
        <v>77</v>
      </c>
      <c r="M92" s="5">
        <f t="shared" si="0"/>
        <v>0</v>
      </c>
      <c r="Z92" s="6"/>
      <c r="AA92" s="6"/>
      <c r="AB92" s="65"/>
      <c r="AC92" s="62"/>
      <c r="AD92" s="51"/>
      <c r="AE92" s="72"/>
      <c r="AF92" s="73"/>
      <c r="AG92" s="74"/>
      <c r="AH92" s="40"/>
      <c r="AI92" s="41"/>
      <c r="AJ92" s="42"/>
      <c r="AK92" s="40"/>
      <c r="AL92" s="41"/>
      <c r="AM92" s="42"/>
      <c r="AN92" s="40"/>
      <c r="AO92" s="41"/>
      <c r="AP92" s="43"/>
      <c r="AQ92" s="40"/>
      <c r="AR92" s="41"/>
      <c r="AS92" s="43"/>
      <c r="AT92" s="40"/>
      <c r="AU92" s="41"/>
      <c r="AV92" s="43"/>
      <c r="AW92" s="40"/>
      <c r="AX92" s="41"/>
      <c r="AY92" s="43"/>
      <c r="AZ92" s="40"/>
      <c r="BA92" s="41"/>
      <c r="BB92" s="43"/>
      <c r="BC92" s="40"/>
      <c r="BD92" s="41"/>
      <c r="BE92" s="42"/>
      <c r="BF92" s="44"/>
      <c r="BG92" s="41"/>
      <c r="BH92" s="43"/>
      <c r="BI92" s="40"/>
      <c r="BJ92" s="41"/>
      <c r="BK92" s="42"/>
      <c r="BN92" s="45"/>
      <c r="BO92" s="46"/>
      <c r="BP92" s="47"/>
    </row>
    <row r="93" spans="1:68" ht="14.25" hidden="1" customHeight="1" outlineLevel="1" x14ac:dyDescent="0.25">
      <c r="A93" s="10" t="e">
        <f>COUNTIF([1]Тарифы!$AK$87:$AK$90,"с дифференциацией (несколько смет)")&gt;0</f>
        <v>#VALUE!</v>
      </c>
      <c r="B93" s="76" t="e">
        <f>AND(NOT(NDS="нет"),A93)</f>
        <v>#VALUE!</v>
      </c>
      <c r="C93" s="10" t="s">
        <v>100</v>
      </c>
      <c r="D93" s="10" t="s">
        <v>101</v>
      </c>
      <c r="E93" s="10" t="s">
        <v>73</v>
      </c>
      <c r="F93" s="10" t="s">
        <v>74</v>
      </c>
      <c r="G93" s="10" t="s">
        <v>73</v>
      </c>
      <c r="H93" s="10" t="s">
        <v>73</v>
      </c>
      <c r="I93" s="10" t="s">
        <v>73</v>
      </c>
      <c r="J93" s="10" t="s">
        <v>73</v>
      </c>
      <c r="K93" s="5" t="s">
        <v>77</v>
      </c>
      <c r="M93" s="5">
        <f t="shared" si="0"/>
        <v>0</v>
      </c>
      <c r="Z93" s="6"/>
      <c r="AA93" s="6"/>
      <c r="AB93" s="29"/>
      <c r="AC93" s="71"/>
      <c r="AD93" s="51"/>
      <c r="AE93" s="72"/>
      <c r="AF93" s="73"/>
      <c r="AG93" s="74"/>
      <c r="AH93" s="40"/>
      <c r="AI93" s="41"/>
      <c r="AJ93" s="42"/>
      <c r="AK93" s="40"/>
      <c r="AL93" s="41"/>
      <c r="AM93" s="42"/>
      <c r="AN93" s="40"/>
      <c r="AO93" s="41"/>
      <c r="AP93" s="43"/>
      <c r="AQ93" s="40"/>
      <c r="AR93" s="41"/>
      <c r="AS93" s="43"/>
      <c r="AT93" s="40"/>
      <c r="AU93" s="41"/>
      <c r="AV93" s="43"/>
      <c r="AW93" s="40"/>
      <c r="AX93" s="41"/>
      <c r="AY93" s="43"/>
      <c r="AZ93" s="40"/>
      <c r="BA93" s="41"/>
      <c r="BB93" s="43"/>
      <c r="BC93" s="40"/>
      <c r="BD93" s="41"/>
      <c r="BE93" s="42"/>
      <c r="BF93" s="44"/>
      <c r="BG93" s="41"/>
      <c r="BH93" s="43"/>
      <c r="BI93" s="40"/>
      <c r="BJ93" s="41"/>
      <c r="BK93" s="42"/>
      <c r="BN93" s="45"/>
      <c r="BO93" s="46"/>
      <c r="BP93" s="47"/>
    </row>
    <row r="94" spans="1:68" ht="14.25" hidden="1" customHeight="1" outlineLevel="1" x14ac:dyDescent="0.25">
      <c r="A94" s="10" t="e">
        <f>COUNTIF([1]Тарифы!$AK$87:$AK$90,"с дифференциацией (несколько смет)")&gt;0</f>
        <v>#VALUE!</v>
      </c>
      <c r="B94" s="76" t="e">
        <f>AND(NOT(NDS="нет"),A94)</f>
        <v>#VALUE!</v>
      </c>
      <c r="C94" s="10" t="s">
        <v>102</v>
      </c>
      <c r="D94" s="10" t="s">
        <v>103</v>
      </c>
      <c r="E94" s="10" t="s">
        <v>73</v>
      </c>
      <c r="F94" s="10" t="s">
        <v>74</v>
      </c>
      <c r="G94" s="10" t="s">
        <v>73</v>
      </c>
      <c r="H94" s="10" t="s">
        <v>73</v>
      </c>
      <c r="I94" s="10" t="s">
        <v>73</v>
      </c>
      <c r="J94" s="10" t="s">
        <v>73</v>
      </c>
      <c r="K94" s="5" t="s">
        <v>77</v>
      </c>
      <c r="M94" s="5">
        <f t="shared" si="0"/>
        <v>0</v>
      </c>
      <c r="Z94" s="6"/>
      <c r="AA94" s="6"/>
      <c r="AB94" s="29"/>
      <c r="AC94" s="71"/>
      <c r="AD94" s="51"/>
      <c r="AE94" s="72"/>
      <c r="AF94" s="73"/>
      <c r="AG94" s="74"/>
      <c r="AH94" s="40"/>
      <c r="AI94" s="41"/>
      <c r="AJ94" s="42"/>
      <c r="AK94" s="40"/>
      <c r="AL94" s="41"/>
      <c r="AM94" s="42"/>
      <c r="AN94" s="40"/>
      <c r="AO94" s="41"/>
      <c r="AP94" s="43"/>
      <c r="AQ94" s="40"/>
      <c r="AR94" s="41"/>
      <c r="AS94" s="43"/>
      <c r="AT94" s="40"/>
      <c r="AU94" s="41"/>
      <c r="AV94" s="43"/>
      <c r="AW94" s="40"/>
      <c r="AX94" s="41"/>
      <c r="AY94" s="43"/>
      <c r="AZ94" s="40"/>
      <c r="BA94" s="41"/>
      <c r="BB94" s="43"/>
      <c r="BC94" s="40"/>
      <c r="BD94" s="41"/>
      <c r="BE94" s="42"/>
      <c r="BF94" s="44"/>
      <c r="BG94" s="41"/>
      <c r="BH94" s="43"/>
      <c r="BI94" s="40"/>
      <c r="BJ94" s="41"/>
      <c r="BK94" s="42"/>
      <c r="BN94" s="45"/>
      <c r="BO94" s="46"/>
      <c r="BP94" s="47"/>
    </row>
    <row r="95" spans="1:68" ht="14.25" hidden="1" customHeight="1" outlineLevel="1" x14ac:dyDescent="0.25">
      <c r="A95" s="10" t="e">
        <f>COUNTIF([1]Тарифы!$AK$87:$AK$90,"с дифференциацией (несколько смет)")&gt;0</f>
        <v>#VALUE!</v>
      </c>
      <c r="B95" s="76" t="e">
        <f>AND(NOT(NDS="нет"),A95)</f>
        <v>#VALUE!</v>
      </c>
      <c r="C95" s="10" t="s">
        <v>104</v>
      </c>
      <c r="D95" s="10" t="s">
        <v>105</v>
      </c>
      <c r="E95" s="10" t="s">
        <v>73</v>
      </c>
      <c r="F95" s="10" t="s">
        <v>74</v>
      </c>
      <c r="G95" s="10" t="s">
        <v>73</v>
      </c>
      <c r="H95" s="10" t="s">
        <v>73</v>
      </c>
      <c r="I95" s="10" t="s">
        <v>73</v>
      </c>
      <c r="J95" s="10" t="s">
        <v>73</v>
      </c>
      <c r="K95" s="5" t="s">
        <v>77</v>
      </c>
      <c r="M95" s="5">
        <f t="shared" si="0"/>
        <v>0</v>
      </c>
      <c r="Z95" s="6"/>
      <c r="AA95" s="6"/>
      <c r="AB95" s="29"/>
      <c r="AC95" s="71"/>
      <c r="AD95" s="51"/>
      <c r="AE95" s="72"/>
      <c r="AF95" s="73"/>
      <c r="AG95" s="74"/>
      <c r="AH95" s="40"/>
      <c r="AI95" s="41"/>
      <c r="AJ95" s="42"/>
      <c r="AK95" s="40"/>
      <c r="AL95" s="41"/>
      <c r="AM95" s="42"/>
      <c r="AN95" s="40"/>
      <c r="AO95" s="41"/>
      <c r="AP95" s="43"/>
      <c r="AQ95" s="40"/>
      <c r="AR95" s="41"/>
      <c r="AS95" s="43"/>
      <c r="AT95" s="40"/>
      <c r="AU95" s="41"/>
      <c r="AV95" s="43"/>
      <c r="AW95" s="40"/>
      <c r="AX95" s="41"/>
      <c r="AY95" s="43"/>
      <c r="AZ95" s="40"/>
      <c r="BA95" s="41"/>
      <c r="BB95" s="43"/>
      <c r="BC95" s="40"/>
      <c r="BD95" s="41"/>
      <c r="BE95" s="42"/>
      <c r="BF95" s="44"/>
      <c r="BG95" s="41"/>
      <c r="BH95" s="43"/>
      <c r="BI95" s="40"/>
      <c r="BJ95" s="41"/>
      <c r="BK95" s="42"/>
      <c r="BN95" s="45"/>
      <c r="BO95" s="46"/>
      <c r="BP95" s="47"/>
    </row>
    <row r="96" spans="1:68" ht="13.5" hidden="1" customHeight="1" x14ac:dyDescent="0.25">
      <c r="B96" s="10" t="b">
        <f>SETTING_BASE="да"</f>
        <v>0</v>
      </c>
      <c r="M96" s="5" t="str">
        <f t="array" ref="M96">Y96</f>
        <v>1ХВС::1.1</v>
      </c>
      <c r="S96" s="10" t="str">
        <f t="array" ref="S96">INDEX([1]Тарифы!$AM$86:$AM$99,MATCH($X96,[1]Тарифы!$Y$86:$Y$99,0))</f>
        <v>да</v>
      </c>
      <c r="T96" s="10" t="str">
        <f t="array" ref="T96">INDEX([1]Тарифы!$AC$86:$AC$99,MATCH($X96,[1]Тарифы!$Y$86:$Y$99,0))</f>
        <v>Тариф на питьевую воду</v>
      </c>
      <c r="U96" s="10" t="str">
        <f t="array" ref="U96">INDEX([1]Тарифы!$AB$86:$AB$99,MATCH($X96,[1]Тарифы!$Y$86:$Y$99,0))</f>
        <v>Водоснабжение</v>
      </c>
      <c r="V96" s="10" t="str">
        <f t="array" ref="V96">INDEX([1]Тарифы!$AK$86:$AK$99,MATCH($X96,[1]Тарифы!$Y$86:$Y$99,0))</f>
        <v>без дифференциации</v>
      </c>
      <c r="W96" s="10" t="str">
        <f t="array" ref="W96">INDEX([1]Тарифы!$AD$86:$AD$99,MATCH($X96,[1]Тарифы!$Y$86:$Y$99,0))</f>
        <v>одноставочный</v>
      </c>
      <c r="X96" s="10" t="str">
        <f t="array" ref="X96">INDEX([1]Тарифы!$Y$86:$Y$99,MATCH($Y96,[1]Тарифы!$X$86:$X$99,0))</f>
        <v>1ХВС</v>
      </c>
      <c r="Y96" s="77" t="str">
        <f t="array" ref="Y96">[1]Тарифы!$X$87</f>
        <v>1ХВС::1.1</v>
      </c>
      <c r="AB96" s="61"/>
      <c r="AC96" s="62" t="str">
        <f t="array" ref="AC96">INDEX([1]Тарифы!$U$86:$U$99,MATCH($Y96,[1]Тарифы!$X$86:$X$99,0))</f>
        <v>1ХВС - Тариф на питьевую воду</v>
      </c>
      <c r="AD96" s="63"/>
      <c r="AE96" s="61"/>
      <c r="AF96" s="62"/>
      <c r="AG96" s="64"/>
      <c r="AH96" s="40"/>
      <c r="AI96" s="41"/>
      <c r="AJ96" s="42"/>
      <c r="AK96" s="40"/>
      <c r="AL96" s="41"/>
      <c r="AM96" s="42"/>
      <c r="AN96" s="40"/>
      <c r="AO96" s="41"/>
      <c r="AP96" s="43"/>
      <c r="AQ96" s="40"/>
      <c r="AR96" s="41"/>
      <c r="AS96" s="43"/>
      <c r="AT96" s="40"/>
      <c r="AU96" s="41"/>
      <c r="AV96" s="43"/>
      <c r="AW96" s="40"/>
      <c r="AX96" s="41"/>
      <c r="AY96" s="43"/>
      <c r="AZ96" s="40"/>
      <c r="BA96" s="41"/>
      <c r="BB96" s="43"/>
      <c r="BC96" s="40"/>
      <c r="BD96" s="41"/>
      <c r="BE96" s="42"/>
      <c r="BF96" s="44"/>
      <c r="BG96" s="41"/>
      <c r="BH96" s="43"/>
      <c r="BI96" s="40"/>
      <c r="BJ96" s="41"/>
      <c r="BK96" s="42"/>
      <c r="BN96" s="45"/>
      <c r="BO96" s="46"/>
      <c r="BP96" s="47"/>
    </row>
    <row r="97" spans="1:68" ht="14.25" hidden="1" customHeight="1" x14ac:dyDescent="0.25">
      <c r="A97" s="10" t="b">
        <f>REGULATION_METHODS="Метод индексации"</f>
        <v>1</v>
      </c>
      <c r="B97" s="5" t="b">
        <f t="array" ref="B97">A97</f>
        <v>1</v>
      </c>
      <c r="M97" s="5" t="str">
        <f t="array" ref="M97">Y96</f>
        <v>1ХВС::1.1</v>
      </c>
      <c r="AB97" s="29">
        <v>0</v>
      </c>
      <c r="AC97" s="78" t="s">
        <v>106</v>
      </c>
      <c r="AD97" s="63"/>
      <c r="AE97" s="61"/>
      <c r="AF97" s="62"/>
      <c r="AG97" s="64"/>
      <c r="AH97" s="40"/>
      <c r="AI97" s="41"/>
      <c r="AJ97" s="42"/>
      <c r="AK97" s="40"/>
      <c r="AL97" s="41"/>
      <c r="AM97" s="42"/>
      <c r="AN97" s="40"/>
      <c r="AO97" s="41"/>
      <c r="AP97" s="43"/>
      <c r="AQ97" s="40"/>
      <c r="AR97" s="41"/>
      <c r="AS97" s="43"/>
      <c r="AT97" s="40"/>
      <c r="AU97" s="41"/>
      <c r="AV97" s="43"/>
      <c r="AW97" s="40"/>
      <c r="AX97" s="41"/>
      <c r="AY97" s="43"/>
      <c r="AZ97" s="40"/>
      <c r="BA97" s="41"/>
      <c r="BB97" s="43"/>
      <c r="BC97" s="40"/>
      <c r="BD97" s="41"/>
      <c r="BE97" s="42"/>
      <c r="BF97" s="44"/>
      <c r="BG97" s="41"/>
      <c r="BH97" s="43"/>
      <c r="BI97" s="40"/>
      <c r="BJ97" s="41"/>
      <c r="BK97" s="42"/>
      <c r="BN97" s="45"/>
      <c r="BO97" s="46"/>
      <c r="BP97" s="47"/>
    </row>
    <row r="98" spans="1:68" ht="14.25" hidden="1" customHeight="1" outlineLevel="1" x14ac:dyDescent="0.25">
      <c r="A98" s="10" t="b">
        <f t="array" ref="A98">A97</f>
        <v>1</v>
      </c>
      <c r="C98" s="79" t="s">
        <v>107</v>
      </c>
      <c r="D98" s="79" t="s">
        <v>108</v>
      </c>
      <c r="E98" s="10" t="s">
        <v>73</v>
      </c>
      <c r="F98" s="11" t="s">
        <v>74</v>
      </c>
      <c r="G98" s="79" t="s">
        <v>109</v>
      </c>
      <c r="H98" s="10" t="s">
        <v>73</v>
      </c>
      <c r="I98" s="10" t="s">
        <v>73</v>
      </c>
      <c r="K98" s="12" t="s">
        <v>73</v>
      </c>
      <c r="M98" s="5" t="str">
        <f t="array" ref="M98">Y96</f>
        <v>1ХВС::1.1</v>
      </c>
      <c r="AB98" s="29" t="str">
        <f>AB97&amp;".1"</f>
        <v>0.1</v>
      </c>
      <c r="AC98" s="80" t="s">
        <v>110</v>
      </c>
      <c r="AD98" s="51" t="s">
        <v>111</v>
      </c>
      <c r="AE98" s="72">
        <f>AE148+AE308+AE249+AE258-AE147</f>
        <v>0</v>
      </c>
      <c r="AF98" s="73">
        <f>AF148+AF308+AF249+AF258-AF147</f>
        <v>0</v>
      </c>
      <c r="AG98" s="74">
        <f>AG148+AG308+AG249+AG258-AG147</f>
        <v>0</v>
      </c>
      <c r="AH98" s="40"/>
      <c r="AI98" s="41"/>
      <c r="AJ98" s="42"/>
      <c r="AK98" s="40"/>
      <c r="AL98" s="41"/>
      <c r="AM98" s="42"/>
      <c r="AN98" s="40"/>
      <c r="AO98" s="41"/>
      <c r="AP98" s="43"/>
      <c r="AQ98" s="40"/>
      <c r="AR98" s="41"/>
      <c r="AS98" s="43"/>
      <c r="AT98" s="40"/>
      <c r="AU98" s="41"/>
      <c r="AV98" s="43"/>
      <c r="AW98" s="40"/>
      <c r="AX98" s="41"/>
      <c r="AY98" s="43"/>
      <c r="AZ98" s="40"/>
      <c r="BA98" s="41"/>
      <c r="BB98" s="43"/>
      <c r="BC98" s="40"/>
      <c r="BD98" s="41"/>
      <c r="BE98" s="42"/>
      <c r="BF98" s="44"/>
      <c r="BG98" s="41"/>
      <c r="BH98" s="43"/>
      <c r="BI98" s="40"/>
      <c r="BJ98" s="41"/>
      <c r="BK98" s="42"/>
      <c r="BN98" s="45"/>
      <c r="BO98" s="46"/>
      <c r="BP98" s="47"/>
    </row>
    <row r="99" spans="1:68" ht="12" hidden="1" customHeight="1" x14ac:dyDescent="0.25">
      <c r="A99" s="10" t="b">
        <f t="array" ref="A99">A98</f>
        <v>1</v>
      </c>
      <c r="M99" s="5" t="str">
        <f t="array" ref="M99">Y96</f>
        <v>1ХВС::1.1</v>
      </c>
      <c r="AB99" s="29">
        <v>1</v>
      </c>
      <c r="AC99" s="78" t="s">
        <v>112</v>
      </c>
      <c r="AD99" s="63"/>
      <c r="AE99" s="61"/>
      <c r="AF99" s="62"/>
      <c r="AG99" s="64"/>
      <c r="AH99" s="40"/>
      <c r="AI99" s="41"/>
      <c r="AJ99" s="42"/>
      <c r="AK99" s="40"/>
      <c r="AL99" s="41"/>
      <c r="AM99" s="42"/>
      <c r="AN99" s="40"/>
      <c r="AO99" s="41"/>
      <c r="AP99" s="43"/>
      <c r="AQ99" s="40"/>
      <c r="AR99" s="41"/>
      <c r="AS99" s="43"/>
      <c r="AT99" s="40"/>
      <c r="AU99" s="41"/>
      <c r="AV99" s="43"/>
      <c r="AW99" s="40"/>
      <c r="AX99" s="41"/>
      <c r="AY99" s="43"/>
      <c r="AZ99" s="40"/>
      <c r="BA99" s="41"/>
      <c r="BB99" s="43"/>
      <c r="BC99" s="40"/>
      <c r="BD99" s="41"/>
      <c r="BE99" s="42"/>
      <c r="BF99" s="44"/>
      <c r="BG99" s="41"/>
      <c r="BH99" s="43"/>
      <c r="BI99" s="40"/>
      <c r="BJ99" s="41"/>
      <c r="BK99" s="42"/>
      <c r="BN99" s="45"/>
      <c r="BO99" s="46"/>
      <c r="BP99" s="47"/>
    </row>
    <row r="100" spans="1:68" ht="14.25" hidden="1" customHeight="1" outlineLevel="1" x14ac:dyDescent="0.25">
      <c r="A100" s="10" t="b">
        <f t="array" ref="A100">A99</f>
        <v>1</v>
      </c>
      <c r="C100" s="10" t="s">
        <v>113</v>
      </c>
      <c r="D100" s="10" t="s">
        <v>114</v>
      </c>
      <c r="E100" s="5" t="str">
        <f t="array" ref="E100">AC100</f>
        <v>Коэффициент операционных расходов</v>
      </c>
      <c r="F100" s="11" t="s">
        <v>74</v>
      </c>
      <c r="G100" s="10" t="s">
        <v>73</v>
      </c>
      <c r="H100" s="10" t="s">
        <v>73</v>
      </c>
      <c r="I100" s="10" t="s">
        <v>73</v>
      </c>
      <c r="K100" s="12" t="s">
        <v>73</v>
      </c>
      <c r="L100" s="10" t="s">
        <v>115</v>
      </c>
      <c r="M100" s="5" t="str">
        <f t="array" ref="M100">Y96</f>
        <v>1ХВС::1.1</v>
      </c>
      <c r="AB100" s="29" t="str">
        <f>AB99&amp;".1"</f>
        <v>1.1</v>
      </c>
      <c r="AC100" s="80" t="s">
        <v>116</v>
      </c>
      <c r="AD100" s="51"/>
      <c r="AE100" s="81" t="e">
        <f>(1-AE102)*(1+AE103)*(1+AE104)*AE108</f>
        <v>#REF!</v>
      </c>
      <c r="AF100" s="82" t="e">
        <f>(1-AF102)*(1+AF103)*(1+AF104)*AF108</f>
        <v>#REF!</v>
      </c>
      <c r="AG100" s="83" t="e">
        <f>(1-AG102)*(1+AG103)*(1+AG104)*AG108</f>
        <v>#REF!</v>
      </c>
      <c r="AH100" s="40"/>
      <c r="AI100" s="41"/>
      <c r="AJ100" s="42"/>
      <c r="AK100" s="40"/>
      <c r="AL100" s="41"/>
      <c r="AM100" s="42"/>
      <c r="AN100" s="40"/>
      <c r="AO100" s="41"/>
      <c r="AP100" s="43"/>
      <c r="AQ100" s="40"/>
      <c r="AR100" s="41"/>
      <c r="AS100" s="43"/>
      <c r="AT100" s="40"/>
      <c r="AU100" s="41"/>
      <c r="AV100" s="43"/>
      <c r="AW100" s="40"/>
      <c r="AX100" s="41"/>
      <c r="AY100" s="43"/>
      <c r="AZ100" s="40"/>
      <c r="BA100" s="41"/>
      <c r="BB100" s="43"/>
      <c r="BC100" s="40"/>
      <c r="BD100" s="41"/>
      <c r="BE100" s="42"/>
      <c r="BF100" s="44"/>
      <c r="BG100" s="41"/>
      <c r="BH100" s="43"/>
      <c r="BI100" s="40"/>
      <c r="BJ100" s="41"/>
      <c r="BK100" s="42"/>
      <c r="BN100" s="45"/>
      <c r="BO100" s="46"/>
      <c r="BP100" s="47"/>
    </row>
    <row r="101" spans="1:68" ht="14.25" hidden="1" customHeight="1" outlineLevel="1" x14ac:dyDescent="0.25">
      <c r="A101" s="10" t="b">
        <f t="array" ref="A101">A100</f>
        <v>1</v>
      </c>
      <c r="C101" s="84" t="s">
        <v>113</v>
      </c>
      <c r="D101" s="84" t="s">
        <v>114</v>
      </c>
      <c r="E101" s="85" t="str">
        <f t="array" ref="E101">AC101</f>
        <v>Коэффициент роста ОР к значению прошлого года</v>
      </c>
      <c r="F101" s="84" t="s">
        <v>74</v>
      </c>
      <c r="G101" s="84" t="s">
        <v>73</v>
      </c>
      <c r="H101" s="84" t="s">
        <v>73</v>
      </c>
      <c r="I101" s="84" t="s">
        <v>73</v>
      </c>
      <c r="J101" s="85"/>
      <c r="K101" s="86" t="s">
        <v>73</v>
      </c>
      <c r="L101" s="84" t="s">
        <v>115</v>
      </c>
      <c r="M101" s="5" t="str">
        <f t="array" ref="M101">Y96</f>
        <v>1ХВС::1.1</v>
      </c>
      <c r="AB101" s="29" t="str">
        <f>AB99&amp;".1*"</f>
        <v>1.1*</v>
      </c>
      <c r="AC101" s="80" t="s">
        <v>117</v>
      </c>
      <c r="AD101" s="51"/>
      <c r="AE101" s="81" t="e">
        <f>IF(#REF!=0,0,AE147/#REF!)</f>
        <v>#REF!</v>
      </c>
      <c r="AF101" s="82" t="e">
        <f>IF(#REF!=0,0,AF147/#REF!)</f>
        <v>#REF!</v>
      </c>
      <c r="AG101" s="83">
        <f>IF(ИТОГ!AF147=0,0,ИТОГ!AG147/ИТОГ!AF147)</f>
        <v>1.3647582306942736</v>
      </c>
      <c r="AH101" s="40"/>
      <c r="AI101" s="41"/>
      <c r="AJ101" s="42"/>
      <c r="AK101" s="40"/>
      <c r="AL101" s="41"/>
      <c r="AM101" s="42"/>
      <c r="AN101" s="40"/>
      <c r="AO101" s="41"/>
      <c r="AP101" s="43"/>
      <c r="AQ101" s="40"/>
      <c r="AR101" s="41"/>
      <c r="AS101" s="43"/>
      <c r="AT101" s="40"/>
      <c r="AU101" s="41"/>
      <c r="AV101" s="43"/>
      <c r="AW101" s="40"/>
      <c r="AX101" s="41"/>
      <c r="AY101" s="43"/>
      <c r="AZ101" s="40"/>
      <c r="BA101" s="41"/>
      <c r="BB101" s="43"/>
      <c r="BC101" s="40"/>
      <c r="BD101" s="41"/>
      <c r="BE101" s="42"/>
      <c r="BF101" s="44"/>
      <c r="BG101" s="41"/>
      <c r="BH101" s="43"/>
      <c r="BI101" s="40"/>
      <c r="BJ101" s="41"/>
      <c r="BK101" s="42"/>
      <c r="BN101" s="45"/>
      <c r="BO101" s="46"/>
      <c r="BP101" s="47"/>
    </row>
    <row r="102" spans="1:68" ht="14.25" hidden="1" customHeight="1" outlineLevel="2" x14ac:dyDescent="0.25">
      <c r="A102" s="10" t="b">
        <f t="array" ref="A102">A100</f>
        <v>1</v>
      </c>
      <c r="C102" s="10" t="s">
        <v>113</v>
      </c>
      <c r="D102" s="10" t="s">
        <v>114</v>
      </c>
      <c r="E102" s="10" t="s">
        <v>118</v>
      </c>
      <c r="F102" s="11" t="s">
        <v>74</v>
      </c>
      <c r="G102" s="10" t="s">
        <v>73</v>
      </c>
      <c r="H102" s="10" t="s">
        <v>73</v>
      </c>
      <c r="I102" s="10" t="s">
        <v>73</v>
      </c>
      <c r="K102" s="12" t="s">
        <v>73</v>
      </c>
      <c r="L102" s="10" t="s">
        <v>115</v>
      </c>
      <c r="M102" s="5" t="str">
        <f t="array" ref="M102">Y96</f>
        <v>1ХВС::1.1</v>
      </c>
      <c r="AB102" s="29" t="str">
        <f>AB100&amp;".1"</f>
        <v>1.1.1</v>
      </c>
      <c r="AC102" s="87" t="s">
        <v>118</v>
      </c>
      <c r="AD102" s="51" t="s">
        <v>119</v>
      </c>
      <c r="AE102" s="88" t="e">
        <f t="array" ref="AE102">#REF!</f>
        <v>#REF!</v>
      </c>
      <c r="AF102" s="89">
        <v>0.01</v>
      </c>
      <c r="AG102" s="90" t="e">
        <f t="array" ref="AG102">ИТОГ!#REF!</f>
        <v>#REF!</v>
      </c>
      <c r="AH102" s="40"/>
      <c r="AI102" s="41"/>
      <c r="AJ102" s="42"/>
      <c r="AK102" s="40"/>
      <c r="AL102" s="41"/>
      <c r="AM102" s="42"/>
      <c r="AN102" s="40"/>
      <c r="AO102" s="41"/>
      <c r="AP102" s="43"/>
      <c r="AQ102" s="40"/>
      <c r="AR102" s="41"/>
      <c r="AS102" s="43"/>
      <c r="AT102" s="40"/>
      <c r="AU102" s="41"/>
      <c r="AV102" s="43"/>
      <c r="AW102" s="40"/>
      <c r="AX102" s="41"/>
      <c r="AY102" s="43"/>
      <c r="AZ102" s="40"/>
      <c r="BA102" s="41"/>
      <c r="BB102" s="43"/>
      <c r="BC102" s="40"/>
      <c r="BD102" s="41"/>
      <c r="BE102" s="42"/>
      <c r="BF102" s="44"/>
      <c r="BG102" s="41"/>
      <c r="BH102" s="43"/>
      <c r="BI102" s="40"/>
      <c r="BJ102" s="41"/>
      <c r="BK102" s="42"/>
      <c r="BN102" s="45"/>
      <c r="BO102" s="46"/>
      <c r="BP102" s="47"/>
    </row>
    <row r="103" spans="1:68" ht="14.25" hidden="1" customHeight="1" outlineLevel="2" x14ac:dyDescent="0.25">
      <c r="A103" s="10" t="b">
        <f t="array" ref="A103">A102</f>
        <v>1</v>
      </c>
      <c r="C103" s="10" t="s">
        <v>113</v>
      </c>
      <c r="D103" s="10" t="s">
        <v>114</v>
      </c>
      <c r="E103" s="10" t="s">
        <v>120</v>
      </c>
      <c r="F103" s="11" t="s">
        <v>74</v>
      </c>
      <c r="G103" s="10" t="s">
        <v>73</v>
      </c>
      <c r="H103" s="10" t="s">
        <v>73</v>
      </c>
      <c r="I103" s="10" t="s">
        <v>73</v>
      </c>
      <c r="K103" s="12" t="s">
        <v>73</v>
      </c>
      <c r="L103" s="10" t="s">
        <v>115</v>
      </c>
      <c r="M103" s="5" t="str">
        <f t="array" ref="M103">Y96</f>
        <v>1ХВС::1.1</v>
      </c>
      <c r="AB103" s="29" t="str">
        <f>AB100&amp;".2"</f>
        <v>1.1.2</v>
      </c>
      <c r="AC103" s="87" t="s">
        <v>121</v>
      </c>
      <c r="AD103" s="51"/>
      <c r="AE103" s="53">
        <f>[1]Индексы!AH93-1</f>
        <v>5.8000000000000052E-2</v>
      </c>
      <c r="AF103" s="54">
        <f>[1]Индексы!AI93-1</f>
        <v>4.2000000000000037E-2</v>
      </c>
      <c r="AG103" s="55">
        <f>[1]Индексы!AK93-1</f>
        <v>4.2000000000000037E-2</v>
      </c>
      <c r="AH103" s="40"/>
      <c r="AI103" s="41"/>
      <c r="AJ103" s="42"/>
      <c r="AK103" s="40"/>
      <c r="AL103" s="41"/>
      <c r="AM103" s="42"/>
      <c r="AN103" s="40"/>
      <c r="AO103" s="41"/>
      <c r="AP103" s="43"/>
      <c r="AQ103" s="40"/>
      <c r="AR103" s="41"/>
      <c r="AS103" s="43"/>
      <c r="AT103" s="40"/>
      <c r="AU103" s="41"/>
      <c r="AV103" s="43"/>
      <c r="AW103" s="40"/>
      <c r="AX103" s="41"/>
      <c r="AY103" s="43"/>
      <c r="AZ103" s="40"/>
      <c r="BA103" s="41"/>
      <c r="BB103" s="43"/>
      <c r="BC103" s="40"/>
      <c r="BD103" s="41"/>
      <c r="BE103" s="42"/>
      <c r="BF103" s="44"/>
      <c r="BG103" s="41"/>
      <c r="BH103" s="43"/>
      <c r="BI103" s="40"/>
      <c r="BJ103" s="41"/>
      <c r="BK103" s="42"/>
      <c r="BN103" s="45"/>
      <c r="BO103" s="46"/>
      <c r="BP103" s="47"/>
    </row>
    <row r="104" spans="1:68" ht="14.25" hidden="1" customHeight="1" outlineLevel="2" x14ac:dyDescent="0.25">
      <c r="A104" s="10" t="b">
        <f t="array" ref="A104">A103</f>
        <v>1</v>
      </c>
      <c r="C104" s="10" t="s">
        <v>113</v>
      </c>
      <c r="D104" s="10" t="s">
        <v>114</v>
      </c>
      <c r="E104" s="10" t="s">
        <v>122</v>
      </c>
      <c r="F104" s="11" t="s">
        <v>74</v>
      </c>
      <c r="G104" s="10" t="s">
        <v>73</v>
      </c>
      <c r="H104" s="10" t="s">
        <v>73</v>
      </c>
      <c r="I104" s="10" t="s">
        <v>73</v>
      </c>
      <c r="K104" s="12" t="s">
        <v>73</v>
      </c>
      <c r="L104" s="10" t="s">
        <v>115</v>
      </c>
      <c r="M104" s="5" t="str">
        <f t="array" ref="M104">Y96</f>
        <v>1ХВС::1.1</v>
      </c>
      <c r="AB104" s="29" t="str">
        <f>AB100&amp;".3"</f>
        <v>1.1.3</v>
      </c>
      <c r="AC104" s="87" t="s">
        <v>123</v>
      </c>
      <c r="AD104" s="51"/>
      <c r="AE104" s="66" t="e">
        <f>IF((#REF!*(1-AE102)*(1+AE103))=0,0,0.75*$AE$107*AE105+(AE106/(#REF!*(1-AE102)*(1+AE103))))</f>
        <v>#REF!</v>
      </c>
      <c r="AF104" s="91"/>
      <c r="AG104" s="68" t="e">
        <f>IF((AF147*(1-AG102)*(1+AG103))=0,0,0.75*$AE$107*AG105+(AG106/(AF147*(1-AG102)*(1+AG103))))</f>
        <v>#REF!</v>
      </c>
      <c r="AH104" s="40"/>
      <c r="AI104" s="41"/>
      <c r="AJ104" s="42"/>
      <c r="AK104" s="40"/>
      <c r="AL104" s="41"/>
      <c r="AM104" s="42"/>
      <c r="AN104" s="40"/>
      <c r="AO104" s="41"/>
      <c r="AP104" s="43"/>
      <c r="AQ104" s="40"/>
      <c r="AR104" s="41"/>
      <c r="AS104" s="43"/>
      <c r="AT104" s="40"/>
      <c r="AU104" s="41"/>
      <c r="AV104" s="43"/>
      <c r="AW104" s="40"/>
      <c r="AX104" s="41"/>
      <c r="AY104" s="43"/>
      <c r="AZ104" s="40"/>
      <c r="BA104" s="41"/>
      <c r="BB104" s="43"/>
      <c r="BC104" s="40"/>
      <c r="BD104" s="41"/>
      <c r="BE104" s="42"/>
      <c r="BF104" s="44"/>
      <c r="BG104" s="41"/>
      <c r="BH104" s="43"/>
      <c r="BI104" s="40"/>
      <c r="BJ104" s="41"/>
      <c r="BK104" s="42"/>
      <c r="BN104" s="45"/>
      <c r="BO104" s="46"/>
      <c r="BP104" s="47"/>
    </row>
    <row r="105" spans="1:68" ht="14.25" hidden="1" customHeight="1" outlineLevel="3" x14ac:dyDescent="0.25">
      <c r="A105" s="10" t="b">
        <f t="array" ref="A105">A104</f>
        <v>1</v>
      </c>
      <c r="C105" s="10" t="s">
        <v>113</v>
      </c>
      <c r="D105" s="10" t="s">
        <v>114</v>
      </c>
      <c r="E105" s="10" t="s">
        <v>124</v>
      </c>
      <c r="F105" s="11" t="s">
        <v>74</v>
      </c>
      <c r="G105" s="10" t="s">
        <v>73</v>
      </c>
      <c r="H105" s="10" t="s">
        <v>73</v>
      </c>
      <c r="I105" s="10" t="s">
        <v>73</v>
      </c>
      <c r="K105" s="12" t="s">
        <v>73</v>
      </c>
      <c r="L105" s="10" t="s">
        <v>115</v>
      </c>
      <c r="M105" s="5" t="str">
        <f t="array" ref="M105">Y96</f>
        <v>1ХВС::1.1</v>
      </c>
      <c r="AB105" s="29" t="str">
        <f>AB104&amp;".1"</f>
        <v>1.1.3.1</v>
      </c>
      <c r="AC105" s="92" t="s">
        <v>125</v>
      </c>
      <c r="AD105" s="51" t="s">
        <v>119</v>
      </c>
      <c r="AE105" s="88">
        <f t="array" ref="AE105">'[1]Условные метры'!AU92</f>
        <v>0</v>
      </c>
      <c r="AF105" s="93"/>
      <c r="AG105" s="94">
        <f>1*'[1]Условные метры'!BE92</f>
        <v>0</v>
      </c>
      <c r="AH105" s="40"/>
      <c r="AI105" s="41"/>
      <c r="AJ105" s="42"/>
      <c r="AK105" s="40"/>
      <c r="AL105" s="41"/>
      <c r="AM105" s="42"/>
      <c r="AN105" s="40"/>
      <c r="AO105" s="41"/>
      <c r="AP105" s="43"/>
      <c r="AQ105" s="40"/>
      <c r="AR105" s="41"/>
      <c r="AS105" s="43"/>
      <c r="AT105" s="40"/>
      <c r="AU105" s="41"/>
      <c r="AV105" s="43"/>
      <c r="AW105" s="40"/>
      <c r="AX105" s="41"/>
      <c r="AY105" s="43"/>
      <c r="AZ105" s="40"/>
      <c r="BA105" s="41"/>
      <c r="BB105" s="43"/>
      <c r="BC105" s="40"/>
      <c r="BD105" s="41"/>
      <c r="BE105" s="42"/>
      <c r="BF105" s="44"/>
      <c r="BG105" s="41"/>
      <c r="BH105" s="43"/>
      <c r="BI105" s="40"/>
      <c r="BJ105" s="41"/>
      <c r="BK105" s="42"/>
      <c r="BN105" s="45"/>
      <c r="BO105" s="46"/>
      <c r="BP105" s="47"/>
    </row>
    <row r="106" spans="1:68" ht="39" hidden="1" customHeight="1" outlineLevel="3" x14ac:dyDescent="0.25">
      <c r="A106" s="10" t="b">
        <f t="array" ref="A106">A105</f>
        <v>1</v>
      </c>
      <c r="C106" s="10" t="s">
        <v>126</v>
      </c>
      <c r="D106" s="10" t="s">
        <v>127</v>
      </c>
      <c r="E106" s="10" t="s">
        <v>73</v>
      </c>
      <c r="F106" s="11" t="s">
        <v>74</v>
      </c>
      <c r="G106" s="10" t="s">
        <v>73</v>
      </c>
      <c r="H106" s="10" t="s">
        <v>73</v>
      </c>
      <c r="I106" s="10" t="s">
        <v>73</v>
      </c>
      <c r="K106" s="12" t="s">
        <v>73</v>
      </c>
      <c r="L106" s="10" t="s">
        <v>115</v>
      </c>
      <c r="M106" s="5" t="str">
        <f t="array" ref="M106">Y96</f>
        <v>1ХВС::1.1</v>
      </c>
      <c r="AB106" s="29" t="str">
        <f>AB104&amp;".2"</f>
        <v>1.1.3.2</v>
      </c>
      <c r="AC106" s="92" t="s">
        <v>128</v>
      </c>
      <c r="AD106" s="51" t="s">
        <v>111</v>
      </c>
      <c r="AE106" s="95"/>
      <c r="AF106" s="93"/>
      <c r="AG106" s="96"/>
      <c r="AH106" s="40"/>
      <c r="AI106" s="41"/>
      <c r="AJ106" s="42"/>
      <c r="AK106" s="40"/>
      <c r="AL106" s="41"/>
      <c r="AM106" s="42"/>
      <c r="AN106" s="40"/>
      <c r="AO106" s="41"/>
      <c r="AP106" s="43"/>
      <c r="AQ106" s="40"/>
      <c r="AR106" s="41"/>
      <c r="AS106" s="43"/>
      <c r="AT106" s="40"/>
      <c r="AU106" s="41"/>
      <c r="AV106" s="43"/>
      <c r="AW106" s="40"/>
      <c r="AX106" s="41"/>
      <c r="AY106" s="43"/>
      <c r="AZ106" s="40"/>
      <c r="BA106" s="41"/>
      <c r="BB106" s="43"/>
      <c r="BC106" s="40"/>
      <c r="BD106" s="41"/>
      <c r="BE106" s="42"/>
      <c r="BF106" s="44"/>
      <c r="BG106" s="41"/>
      <c r="BH106" s="43"/>
      <c r="BI106" s="40"/>
      <c r="BJ106" s="41"/>
      <c r="BK106" s="42"/>
      <c r="BN106" s="45"/>
      <c r="BO106" s="46"/>
      <c r="BP106" s="47"/>
    </row>
    <row r="107" spans="1:68" ht="14.25" hidden="1" customHeight="1" outlineLevel="3" x14ac:dyDescent="0.25">
      <c r="A107" s="10" t="b">
        <f t="array" ref="A107">A106</f>
        <v>1</v>
      </c>
      <c r="C107" s="10" t="s">
        <v>129</v>
      </c>
      <c r="D107" s="10" t="s">
        <v>130</v>
      </c>
      <c r="E107" s="10" t="s">
        <v>73</v>
      </c>
      <c r="F107" s="11" t="s">
        <v>74</v>
      </c>
      <c r="G107" s="10" t="s">
        <v>73</v>
      </c>
      <c r="H107" s="10" t="s">
        <v>73</v>
      </c>
      <c r="I107" s="10" t="s">
        <v>73</v>
      </c>
      <c r="K107" s="12" t="s">
        <v>73</v>
      </c>
      <c r="L107" s="10" t="s">
        <v>115</v>
      </c>
      <c r="M107" s="5" t="str">
        <f t="array" ref="M107">Y96</f>
        <v>1ХВС::1.1</v>
      </c>
      <c r="AB107" s="29" t="str">
        <f>AB104&amp;".3"</f>
        <v>1.1.3.3</v>
      </c>
      <c r="AC107" s="92" t="s">
        <v>131</v>
      </c>
      <c r="AD107" s="51"/>
      <c r="AE107" s="97"/>
      <c r="AF107" s="93"/>
      <c r="AG107" s="98"/>
      <c r="AH107" s="40"/>
      <c r="AI107" s="41"/>
      <c r="AJ107" s="42"/>
      <c r="AK107" s="40"/>
      <c r="AL107" s="41"/>
      <c r="AM107" s="42"/>
      <c r="AN107" s="40"/>
      <c r="AO107" s="41"/>
      <c r="AP107" s="43"/>
      <c r="AQ107" s="40"/>
      <c r="AR107" s="41"/>
      <c r="AS107" s="43"/>
      <c r="AT107" s="40"/>
      <c r="AU107" s="41"/>
      <c r="AV107" s="43"/>
      <c r="AW107" s="40"/>
      <c r="AX107" s="41"/>
      <c r="AY107" s="43"/>
      <c r="AZ107" s="40"/>
      <c r="BA107" s="41"/>
      <c r="BB107" s="43"/>
      <c r="BC107" s="40"/>
      <c r="BD107" s="41"/>
      <c r="BE107" s="42"/>
      <c r="BF107" s="44"/>
      <c r="BG107" s="41"/>
      <c r="BH107" s="43"/>
      <c r="BI107" s="40"/>
      <c r="BJ107" s="41"/>
      <c r="BK107" s="42"/>
      <c r="BN107" s="45"/>
      <c r="BO107" s="46"/>
      <c r="BP107" s="47"/>
    </row>
    <row r="108" spans="1:68" ht="14.25" hidden="1" customHeight="1" outlineLevel="2" x14ac:dyDescent="0.25">
      <c r="A108" s="10" t="b">
        <f t="array" ref="A108">A107</f>
        <v>1</v>
      </c>
      <c r="C108" s="10" t="s">
        <v>113</v>
      </c>
      <c r="D108" s="10" t="s">
        <v>114</v>
      </c>
      <c r="E108" s="10" t="s">
        <v>132</v>
      </c>
      <c r="F108" s="11" t="s">
        <v>74</v>
      </c>
      <c r="G108" s="10" t="s">
        <v>73</v>
      </c>
      <c r="H108" s="10" t="s">
        <v>73</v>
      </c>
      <c r="I108" s="10" t="s">
        <v>73</v>
      </c>
      <c r="K108" s="12" t="s">
        <v>73</v>
      </c>
      <c r="L108" s="10" t="s">
        <v>133</v>
      </c>
      <c r="M108" s="5" t="str">
        <f t="array" ref="M108">Y96</f>
        <v>1ХВС::1.1</v>
      </c>
      <c r="AB108" s="29" t="str">
        <f>AB100&amp;".4"</f>
        <v>1.1.4</v>
      </c>
      <c r="AC108" s="87" t="s">
        <v>132</v>
      </c>
      <c r="AD108" s="51"/>
      <c r="AE108" s="66" t="e">
        <f t="array" ref="AE108">#REF!</f>
        <v>#REF!</v>
      </c>
      <c r="AF108" s="67" t="e">
        <f>IF(#REF!=0,0,AF79/#REF!)</f>
        <v>#REF!</v>
      </c>
      <c r="AG108" s="68">
        <f>IF(AF79=0,0,AG79/AF79)</f>
        <v>1</v>
      </c>
      <c r="AH108" s="40"/>
      <c r="AI108" s="41"/>
      <c r="AJ108" s="42"/>
      <c r="AK108" s="40"/>
      <c r="AL108" s="41"/>
      <c r="AM108" s="42"/>
      <c r="AN108" s="40"/>
      <c r="AO108" s="41"/>
      <c r="AP108" s="43"/>
      <c r="AQ108" s="40"/>
      <c r="AR108" s="41"/>
      <c r="AS108" s="43"/>
      <c r="AT108" s="40"/>
      <c r="AU108" s="41"/>
      <c r="AV108" s="43"/>
      <c r="AW108" s="40"/>
      <c r="AX108" s="41"/>
      <c r="AY108" s="43"/>
      <c r="AZ108" s="40"/>
      <c r="BA108" s="41"/>
      <c r="BB108" s="43"/>
      <c r="BC108" s="40"/>
      <c r="BD108" s="41"/>
      <c r="BE108" s="42"/>
      <c r="BF108" s="44"/>
      <c r="BG108" s="41"/>
      <c r="BH108" s="43"/>
      <c r="BI108" s="40"/>
      <c r="BJ108" s="41"/>
      <c r="BK108" s="42"/>
      <c r="BN108" s="45"/>
      <c r="BO108" s="46"/>
      <c r="BP108" s="47"/>
    </row>
    <row r="109" spans="1:68" ht="9.75" hidden="1" customHeight="1" outlineLevel="1" x14ac:dyDescent="0.25">
      <c r="A109" s="10" t="b">
        <f t="array" ref="A109">A108</f>
        <v>1</v>
      </c>
      <c r="C109" s="10" t="s">
        <v>113</v>
      </c>
      <c r="D109" s="10" t="s">
        <v>114</v>
      </c>
      <c r="E109" s="10" t="s">
        <v>134</v>
      </c>
      <c r="F109" s="11" t="s">
        <v>74</v>
      </c>
      <c r="G109" s="10" t="s">
        <v>73</v>
      </c>
      <c r="H109" s="10" t="s">
        <v>73</v>
      </c>
      <c r="I109" s="10" t="s">
        <v>73</v>
      </c>
      <c r="K109" s="12" t="s">
        <v>73</v>
      </c>
      <c r="L109" s="10" t="s">
        <v>135</v>
      </c>
      <c r="M109" s="5" t="str">
        <f t="array" ref="M109">Y96</f>
        <v>1ХВС::1.1</v>
      </c>
      <c r="AB109" s="29" t="str">
        <f>AB99&amp;".2"</f>
        <v>1.2</v>
      </c>
      <c r="AC109" s="80" t="s">
        <v>134</v>
      </c>
      <c r="AD109" s="51"/>
      <c r="AE109" s="53">
        <f>[1]Индексы!AH95-1</f>
        <v>9.000000000000008E-2</v>
      </c>
      <c r="AF109" s="54">
        <f>[1]Индексы!AI95-1</f>
        <v>6.0000000000000053E-2</v>
      </c>
      <c r="AG109" s="55">
        <f>[1]Индексы!AK95-1</f>
        <v>6.0000000000000053E-2</v>
      </c>
      <c r="AH109" s="40"/>
      <c r="AI109" s="41"/>
      <c r="AJ109" s="42"/>
      <c r="AK109" s="40"/>
      <c r="AL109" s="41"/>
      <c r="AM109" s="42"/>
      <c r="AN109" s="40"/>
      <c r="AO109" s="41"/>
      <c r="AP109" s="43"/>
      <c r="AQ109" s="40"/>
      <c r="AR109" s="41"/>
      <c r="AS109" s="43"/>
      <c r="AT109" s="40"/>
      <c r="AU109" s="41"/>
      <c r="AV109" s="43"/>
      <c r="AW109" s="40"/>
      <c r="AX109" s="41"/>
      <c r="AY109" s="43"/>
      <c r="AZ109" s="40"/>
      <c r="BA109" s="41"/>
      <c r="BB109" s="43"/>
      <c r="BC109" s="40"/>
      <c r="BD109" s="41"/>
      <c r="BE109" s="42"/>
      <c r="BF109" s="44"/>
      <c r="BG109" s="41"/>
      <c r="BH109" s="43"/>
      <c r="BI109" s="40"/>
      <c r="BJ109" s="41"/>
      <c r="BK109" s="42"/>
      <c r="BN109" s="45"/>
      <c r="BO109" s="46"/>
      <c r="BP109" s="47"/>
    </row>
    <row r="110" spans="1:68" s="115" customFormat="1" ht="27.75" customHeight="1" x14ac:dyDescent="0.25">
      <c r="A110" s="99" t="b">
        <f>$U96="Водоснабжение"</f>
        <v>1</v>
      </c>
      <c r="B110" s="100"/>
      <c r="C110" s="100" t="s">
        <v>75</v>
      </c>
      <c r="D110" s="99" t="s">
        <v>76</v>
      </c>
      <c r="E110" s="100"/>
      <c r="F110" s="101" t="s">
        <v>74</v>
      </c>
      <c r="G110" s="99" t="s">
        <v>73</v>
      </c>
      <c r="H110" s="99" t="s">
        <v>73</v>
      </c>
      <c r="I110" s="99" t="s">
        <v>73</v>
      </c>
      <c r="J110" s="100"/>
      <c r="K110" s="102" t="s">
        <v>73</v>
      </c>
      <c r="L110" s="100"/>
      <c r="M110" s="100" t="str">
        <f t="array" ref="M110">Y96</f>
        <v>1ХВС::1.1</v>
      </c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00"/>
      <c r="Z110" s="100"/>
      <c r="AA110" s="100"/>
      <c r="AB110" s="103">
        <f>AB99+1</f>
        <v>2</v>
      </c>
      <c r="AC110" s="104" t="s">
        <v>136</v>
      </c>
      <c r="AD110" s="105" t="s">
        <v>137</v>
      </c>
      <c r="AE110" s="106">
        <f>AE120</f>
        <v>38698.873999999996</v>
      </c>
      <c r="AF110" s="107">
        <f t="array" ref="AF110">AF120</f>
        <v>39968.152999999998</v>
      </c>
      <c r="AG110" s="108">
        <f t="array" ref="AG110">AG120</f>
        <v>39196.345999999998</v>
      </c>
      <c r="AH110" s="106">
        <v>43.671999999999997</v>
      </c>
      <c r="AI110" s="107">
        <f t="array" ref="AI110">AI120</f>
        <v>146.62</v>
      </c>
      <c r="AJ110" s="108">
        <v>48.451999999999998</v>
      </c>
      <c r="AK110" s="106">
        <f>AK120</f>
        <v>963.97199999999998</v>
      </c>
      <c r="AL110" s="107">
        <f t="array" ref="AL110">AL120</f>
        <v>1256.9399999999998</v>
      </c>
      <c r="AM110" s="108">
        <f t="array" ref="AM110">AM120</f>
        <v>1181.3140000000001</v>
      </c>
      <c r="AN110" s="106">
        <f>AN120</f>
        <v>2074.3290000000002</v>
      </c>
      <c r="AO110" s="107">
        <f t="array" ref="AO110">AO120</f>
        <v>2015.32</v>
      </c>
      <c r="AP110" s="109">
        <f t="array" ref="AP110">AP120</f>
        <v>1989.98</v>
      </c>
      <c r="AQ110" s="106">
        <f>AQ120</f>
        <v>397.2</v>
      </c>
      <c r="AR110" s="107">
        <f t="array" ref="AR110">AR120</f>
        <v>451.38</v>
      </c>
      <c r="AS110" s="109">
        <f t="array" ref="AS110">AS120</f>
        <v>404.13</v>
      </c>
      <c r="AT110" s="106">
        <f>AT120</f>
        <v>2405.29</v>
      </c>
      <c r="AU110" s="107">
        <f t="array" ref="AU110">AU120</f>
        <v>3069.1800000000003</v>
      </c>
      <c r="AV110" s="109">
        <f t="array" ref="AV110">AV120</f>
        <v>2263</v>
      </c>
      <c r="AW110" s="106">
        <f>AW120</f>
        <v>690.21</v>
      </c>
      <c r="AX110" s="107">
        <f t="array" ref="AX110">AX120</f>
        <v>711.46</v>
      </c>
      <c r="AY110" s="109">
        <f t="array" ref="AY110">AY120</f>
        <v>698.69400000000007</v>
      </c>
      <c r="AZ110" s="106">
        <f>AZ120</f>
        <v>3021.7509999999997</v>
      </c>
      <c r="BA110" s="107">
        <f t="array" ref="BA110">BA120</f>
        <v>3131.2299999999996</v>
      </c>
      <c r="BB110" s="109">
        <f t="array" ref="BB110">BB120</f>
        <v>3087.08</v>
      </c>
      <c r="BC110" s="106">
        <f>BC120</f>
        <v>2860.13</v>
      </c>
      <c r="BD110" s="107">
        <f t="array" ref="BD110">BD120</f>
        <v>2622.1080000000002</v>
      </c>
      <c r="BE110" s="108">
        <f t="array" ref="BE110">BE120</f>
        <v>2901.5319999999997</v>
      </c>
      <c r="BF110" s="110">
        <f>BF120</f>
        <v>147.51999999999998</v>
      </c>
      <c r="BG110" s="107">
        <f t="array" ref="BG110">BG120</f>
        <v>176.34000000000003</v>
      </c>
      <c r="BH110" s="109">
        <f t="array" ref="BH110">BH120</f>
        <v>149.10000000000002</v>
      </c>
      <c r="BI110" s="106">
        <f>BI120</f>
        <v>288.71999999999997</v>
      </c>
      <c r="BJ110" s="107">
        <f t="array" ref="BJ110">BJ120</f>
        <v>366.76</v>
      </c>
      <c r="BK110" s="108">
        <f t="array" ref="BK110">BK120</f>
        <v>291.03999999999996</v>
      </c>
      <c r="BL110" s="111"/>
      <c r="BM110" s="100"/>
      <c r="BN110" s="112">
        <f t="shared" ref="BN110:BN155" si="1">AE110+AH110+AK110+AN110+AQ110+AT110+AW110+AZ110+BC110+BF110+BI110</f>
        <v>51591.667999999983</v>
      </c>
      <c r="BO110" s="113">
        <f t="shared" ref="BO110:BO155" si="2">AF110+AI110+AL110+AO110+AR110+AU110+AX110+BA110+BD110+BG110+BJ110</f>
        <v>53915.490999999995</v>
      </c>
      <c r="BP110" s="114">
        <f t="shared" ref="BP110:BP155" si="3">AG110+AJ110+AM110+AP110+AS110+AV110+AY110+BB110+BE110+BH110+BK110</f>
        <v>52210.667999999998</v>
      </c>
    </row>
    <row r="111" spans="1:68" ht="14.25" customHeight="1" outlineLevel="2" x14ac:dyDescent="0.25">
      <c r="A111" s="10" t="b">
        <f>AND(A110)</f>
        <v>1</v>
      </c>
      <c r="B111" s="5" t="b">
        <f>AND(OR(isFIRST_PERIOD="да",$AD$56="нет"),A110)</f>
        <v>1</v>
      </c>
      <c r="C111" s="69" t="s">
        <v>78</v>
      </c>
      <c r="D111" s="70" t="s">
        <v>79</v>
      </c>
      <c r="E111" s="70" t="s">
        <v>73</v>
      </c>
      <c r="F111" s="116" t="s">
        <v>74</v>
      </c>
      <c r="G111" s="70" t="s">
        <v>73</v>
      </c>
      <c r="H111" s="70" t="s">
        <v>73</v>
      </c>
      <c r="I111" s="70" t="s">
        <v>73</v>
      </c>
      <c r="J111" s="70" t="s">
        <v>73</v>
      </c>
      <c r="K111" s="70" t="s">
        <v>73</v>
      </c>
      <c r="L111" s="70"/>
      <c r="M111" s="5" t="str">
        <f t="array" ref="M111">Y96</f>
        <v>1ХВС::1.1</v>
      </c>
      <c r="N111" s="70"/>
      <c r="AB111" s="29" t="str">
        <f>AB110&amp;".I"</f>
        <v>2.I</v>
      </c>
      <c r="AC111" s="117" t="s">
        <v>138</v>
      </c>
      <c r="AD111" s="118" t="s">
        <v>137</v>
      </c>
      <c r="AE111" s="66">
        <v>19593.026999999998</v>
      </c>
      <c r="AF111" s="67">
        <v>19106.952000000001</v>
      </c>
      <c r="AG111" s="68">
        <v>19850.718000000001</v>
      </c>
      <c r="AH111" s="66">
        <v>72.802000000000007</v>
      </c>
      <c r="AI111" s="67">
        <f>AI110/2</f>
        <v>73.31</v>
      </c>
      <c r="AJ111" s="68">
        <v>80.861999999999995</v>
      </c>
      <c r="AK111" s="66">
        <v>517.48599999999999</v>
      </c>
      <c r="AL111" s="67">
        <v>514.5</v>
      </c>
      <c r="AM111" s="68">
        <v>626.15700000000004</v>
      </c>
      <c r="AN111" s="66">
        <v>1037.165</v>
      </c>
      <c r="AO111" s="67">
        <v>1007.66</v>
      </c>
      <c r="AP111" s="119">
        <v>994.99</v>
      </c>
      <c r="AQ111" s="66">
        <v>198.6</v>
      </c>
      <c r="AR111" s="67">
        <v>225.65</v>
      </c>
      <c r="AS111" s="119">
        <v>202.065</v>
      </c>
      <c r="AT111" s="66">
        <v>1202.645</v>
      </c>
      <c r="AU111" s="67">
        <v>1534.59</v>
      </c>
      <c r="AV111" s="119">
        <v>1131.5</v>
      </c>
      <c r="AW111" s="66">
        <v>345.10500000000002</v>
      </c>
      <c r="AX111" s="67">
        <f>AX110/2</f>
        <v>355.73</v>
      </c>
      <c r="AY111" s="119">
        <v>349.34699999999998</v>
      </c>
      <c r="AZ111" s="66">
        <f>AZ110/2</f>
        <v>1510.8754999999999</v>
      </c>
      <c r="BA111" s="67">
        <f>BA110/2</f>
        <v>1565.6149999999998</v>
      </c>
      <c r="BB111" s="119">
        <f>BB110/2</f>
        <v>1543.54</v>
      </c>
      <c r="BC111" s="66">
        <v>1430.02</v>
      </c>
      <c r="BD111" s="67">
        <v>1311.0540000000001</v>
      </c>
      <c r="BE111" s="68">
        <v>1450.7660000000001</v>
      </c>
      <c r="BF111" s="120">
        <v>73.760000000000005</v>
      </c>
      <c r="BG111" s="121">
        <v>88.17</v>
      </c>
      <c r="BH111" s="122">
        <v>74.55</v>
      </c>
      <c r="BI111" s="123">
        <v>144.36000000000001</v>
      </c>
      <c r="BJ111" s="121">
        <v>183.38</v>
      </c>
      <c r="BK111" s="124">
        <v>145.52000000000001</v>
      </c>
      <c r="BN111" s="125">
        <f t="shared" si="1"/>
        <v>26125.845499999996</v>
      </c>
      <c r="BO111" s="126">
        <f t="shared" si="2"/>
        <v>25966.611000000004</v>
      </c>
      <c r="BP111" s="127">
        <f t="shared" si="3"/>
        <v>26450.015000000003</v>
      </c>
    </row>
    <row r="112" spans="1:68" ht="14.25" customHeight="1" outlineLevel="2" x14ac:dyDescent="0.25">
      <c r="A112" s="10" t="b">
        <f>AND(A110)</f>
        <v>1</v>
      </c>
      <c r="B112" s="5" t="b">
        <f>AND(OR(isFIRST_PERIOD="да",$AD$56="нет"),A110)</f>
        <v>1</v>
      </c>
      <c r="C112" s="69" t="s">
        <v>81</v>
      </c>
      <c r="D112" s="70" t="s">
        <v>82</v>
      </c>
      <c r="E112" s="70" t="s">
        <v>73</v>
      </c>
      <c r="F112" s="116" t="s">
        <v>74</v>
      </c>
      <c r="G112" s="70" t="s">
        <v>73</v>
      </c>
      <c r="H112" s="70" t="s">
        <v>73</v>
      </c>
      <c r="I112" s="70" t="s">
        <v>73</v>
      </c>
      <c r="J112" s="70" t="s">
        <v>73</v>
      </c>
      <c r="K112" s="70" t="s">
        <v>73</v>
      </c>
      <c r="L112" s="70"/>
      <c r="M112" s="5" t="str">
        <f t="array" ref="M112">Y96</f>
        <v>1ХВС::1.1</v>
      </c>
      <c r="N112" s="70"/>
      <c r="AB112" s="29" t="str">
        <f>AB110&amp;".II"</f>
        <v>2.II</v>
      </c>
      <c r="AC112" s="117" t="s">
        <v>139</v>
      </c>
      <c r="AD112" s="118" t="s">
        <v>137</v>
      </c>
      <c r="AE112" s="66">
        <v>19593.026999999998</v>
      </c>
      <c r="AF112" s="67">
        <v>20861.201000000001</v>
      </c>
      <c r="AG112" s="68">
        <v>19850.718000000001</v>
      </c>
      <c r="AH112" s="66">
        <v>72.802000000000007</v>
      </c>
      <c r="AI112" s="67">
        <f>AI110-AI111</f>
        <v>73.31</v>
      </c>
      <c r="AJ112" s="68">
        <v>80.861999999999995</v>
      </c>
      <c r="AK112" s="66">
        <v>517.48599999999999</v>
      </c>
      <c r="AL112" s="67">
        <v>813.44</v>
      </c>
      <c r="AM112" s="68">
        <v>626.15700000000004</v>
      </c>
      <c r="AN112" s="66">
        <v>1037.165</v>
      </c>
      <c r="AO112" s="67">
        <v>1007.66</v>
      </c>
      <c r="AP112" s="119">
        <v>994.99</v>
      </c>
      <c r="AQ112" s="66">
        <v>198.6</v>
      </c>
      <c r="AR112" s="67">
        <v>225.73</v>
      </c>
      <c r="AS112" s="119">
        <v>202.065</v>
      </c>
      <c r="AT112" s="66">
        <v>1202.645</v>
      </c>
      <c r="AU112" s="67">
        <v>1534.59</v>
      </c>
      <c r="AV112" s="119">
        <v>1131.5</v>
      </c>
      <c r="AW112" s="66">
        <v>345.10500000000002</v>
      </c>
      <c r="AX112" s="67">
        <f>AX110-AX111</f>
        <v>355.73</v>
      </c>
      <c r="AY112" s="119">
        <v>349.34699999999998</v>
      </c>
      <c r="AZ112" s="66">
        <f>AZ110-AZ111</f>
        <v>1510.8754999999999</v>
      </c>
      <c r="BA112" s="67">
        <f>BA110-BA111</f>
        <v>1565.6149999999998</v>
      </c>
      <c r="BB112" s="119">
        <f>BB110-BB111</f>
        <v>1543.54</v>
      </c>
      <c r="BC112" s="66">
        <v>1430.11</v>
      </c>
      <c r="BD112" s="67">
        <v>1311.0540000000001</v>
      </c>
      <c r="BE112" s="68">
        <v>1450.7660000000001</v>
      </c>
      <c r="BF112" s="120">
        <v>76.73</v>
      </c>
      <c r="BG112" s="121">
        <v>88.17</v>
      </c>
      <c r="BH112" s="122">
        <v>74.55</v>
      </c>
      <c r="BI112" s="123">
        <v>144.36000000000001</v>
      </c>
      <c r="BJ112" s="121">
        <v>183.38</v>
      </c>
      <c r="BK112" s="124">
        <v>145.52000000000001</v>
      </c>
      <c r="BN112" s="125">
        <f t="shared" si="1"/>
        <v>26128.905499999997</v>
      </c>
      <c r="BO112" s="126">
        <f t="shared" si="2"/>
        <v>28019.879999999997</v>
      </c>
      <c r="BP112" s="127">
        <f t="shared" si="3"/>
        <v>26450.015000000003</v>
      </c>
    </row>
    <row r="113" spans="1:68" s="115" customFormat="1" ht="14.25" hidden="1" customHeight="1" outlineLevel="3" x14ac:dyDescent="0.25">
      <c r="A113" s="99" t="b">
        <f>AND($U96="Водоснабжение",$T96&lt;&gt;"Тариф на транспортировку воды")</f>
        <v>1</v>
      </c>
      <c r="B113" s="100"/>
      <c r="C113" s="128" t="s">
        <v>140</v>
      </c>
      <c r="D113" s="128" t="s">
        <v>141</v>
      </c>
      <c r="E113" s="129" t="s">
        <v>142</v>
      </c>
      <c r="F113" s="129" t="s">
        <v>74</v>
      </c>
      <c r="G113" s="129" t="s">
        <v>73</v>
      </c>
      <c r="H113" s="129" t="s">
        <v>73</v>
      </c>
      <c r="I113" s="129" t="s">
        <v>73</v>
      </c>
      <c r="J113" s="129" t="s">
        <v>73</v>
      </c>
      <c r="K113" s="129" t="s">
        <v>73</v>
      </c>
      <c r="L113" s="129"/>
      <c r="M113" s="100" t="str">
        <f t="array" ref="M113">Y96</f>
        <v>1ХВС::1.1</v>
      </c>
      <c r="N113" s="129"/>
      <c r="O113" s="100"/>
      <c r="P113" s="100"/>
      <c r="Q113" s="100"/>
      <c r="R113" s="100"/>
      <c r="S113" s="100"/>
      <c r="T113" s="100"/>
      <c r="U113" s="100"/>
      <c r="V113" s="100"/>
      <c r="W113" s="100"/>
      <c r="X113" s="100"/>
      <c r="Y113" s="99">
        <v>1</v>
      </c>
      <c r="Z113" s="100"/>
      <c r="AA113" s="100"/>
      <c r="AB113" s="103" t="str">
        <f>AB110&amp;".1"</f>
        <v>2.1</v>
      </c>
      <c r="AC113" s="130" t="s">
        <v>143</v>
      </c>
      <c r="AD113" s="105" t="s">
        <v>137</v>
      </c>
      <c r="AE113" s="106">
        <f>AE114+AE116-AE115</f>
        <v>51921.39699999999</v>
      </c>
      <c r="AF113" s="107">
        <f>AF114+AF116-AF115</f>
        <v>53402.006000000001</v>
      </c>
      <c r="AG113" s="108">
        <f>AG114+AG116-AG115</f>
        <v>52582.745999999999</v>
      </c>
      <c r="AH113" s="106">
        <v>50.241</v>
      </c>
      <c r="AI113" s="107">
        <v>186.62</v>
      </c>
      <c r="AJ113" s="108">
        <v>60.101999999999997</v>
      </c>
      <c r="AK113" s="106">
        <f t="shared" ref="AK113:AV113" si="4">AK114+AK116-AK115</f>
        <v>1082.2929999999999</v>
      </c>
      <c r="AL113" s="107">
        <f t="shared" si="4"/>
        <v>1314.34</v>
      </c>
      <c r="AM113" s="108">
        <f t="shared" si="4"/>
        <v>1277.3260000000002</v>
      </c>
      <c r="AN113" s="106">
        <f t="shared" si="4"/>
        <v>2656.7220000000002</v>
      </c>
      <c r="AO113" s="107">
        <f t="shared" si="4"/>
        <v>2231.19</v>
      </c>
      <c r="AP113" s="109">
        <f t="shared" si="4"/>
        <v>2540.08</v>
      </c>
      <c r="AQ113" s="106">
        <f t="shared" si="4"/>
        <v>0</v>
      </c>
      <c r="AR113" s="107">
        <f t="shared" si="4"/>
        <v>0</v>
      </c>
      <c r="AS113" s="109">
        <f t="shared" si="4"/>
        <v>0</v>
      </c>
      <c r="AT113" s="106">
        <f t="shared" si="4"/>
        <v>7733.2</v>
      </c>
      <c r="AU113" s="107">
        <f t="shared" si="4"/>
        <v>3502.03</v>
      </c>
      <c r="AV113" s="109">
        <f t="shared" si="4"/>
        <v>7474.4679999999998</v>
      </c>
      <c r="AW113" s="106">
        <v>1228.79</v>
      </c>
      <c r="AX113" s="107">
        <f>AX114+AX116-AX115</f>
        <v>711.46</v>
      </c>
      <c r="AY113" s="109">
        <v>1207.6300000000001</v>
      </c>
      <c r="AZ113" s="106">
        <f t="shared" ref="AZ113:BK113" si="5">AZ114+AZ116-AZ115</f>
        <v>7622.241</v>
      </c>
      <c r="BA113" s="107">
        <f t="shared" si="5"/>
        <v>3559.0279999999993</v>
      </c>
      <c r="BB113" s="109">
        <f t="shared" si="5"/>
        <v>6937.8570000000009</v>
      </c>
      <c r="BC113" s="106">
        <f t="shared" si="5"/>
        <v>4600.8900000000003</v>
      </c>
      <c r="BD113" s="107">
        <f t="shared" si="5"/>
        <v>4542.6880000000001</v>
      </c>
      <c r="BE113" s="108">
        <f t="shared" si="5"/>
        <v>4639.9389999999994</v>
      </c>
      <c r="BF113" s="131">
        <f t="shared" si="5"/>
        <v>266.57</v>
      </c>
      <c r="BG113" s="132">
        <f t="shared" si="5"/>
        <v>204.50000000000003</v>
      </c>
      <c r="BH113" s="133">
        <f t="shared" si="5"/>
        <v>256.42400000000004</v>
      </c>
      <c r="BI113" s="134">
        <f t="shared" si="5"/>
        <v>467.52</v>
      </c>
      <c r="BJ113" s="132">
        <f t="shared" si="5"/>
        <v>400</v>
      </c>
      <c r="BK113" s="135">
        <f t="shared" si="5"/>
        <v>450.05799999999999</v>
      </c>
      <c r="BL113" s="111"/>
      <c r="BM113" s="100"/>
      <c r="BN113" s="112">
        <f t="shared" si="1"/>
        <v>77629.864000000001</v>
      </c>
      <c r="BO113" s="113">
        <f t="shared" si="2"/>
        <v>70053.861999999994</v>
      </c>
      <c r="BP113" s="114">
        <f t="shared" si="3"/>
        <v>77426.63</v>
      </c>
    </row>
    <row r="114" spans="1:68" ht="14.25" hidden="1" customHeight="1" outlineLevel="3" x14ac:dyDescent="0.25">
      <c r="A114" s="10" t="b">
        <f>AND($U96="Водоснабжение",$T96&lt;&gt;"Тариф на транспортировку воды",region_name&lt;&gt;"Белгородская область")</f>
        <v>1</v>
      </c>
      <c r="C114" s="136" t="s">
        <v>140</v>
      </c>
      <c r="D114" s="136" t="s">
        <v>141</v>
      </c>
      <c r="E114" s="116" t="s">
        <v>144</v>
      </c>
      <c r="F114" s="116" t="s">
        <v>74</v>
      </c>
      <c r="G114" s="116" t="s">
        <v>73</v>
      </c>
      <c r="H114" s="116" t="s">
        <v>73</v>
      </c>
      <c r="I114" s="116" t="s">
        <v>73</v>
      </c>
      <c r="J114" s="116" t="s">
        <v>73</v>
      </c>
      <c r="K114" s="116" t="s">
        <v>73</v>
      </c>
      <c r="L114" s="116"/>
      <c r="M114" s="5" t="str">
        <f t="array" ref="M114">Y96</f>
        <v>1ХВС::1.1</v>
      </c>
      <c r="N114" s="116"/>
      <c r="Y114" s="10">
        <f>COUNT($Y113:Y113)+1</f>
        <v>2</v>
      </c>
      <c r="AB114" s="29" t="str">
        <f>AB110&amp;"."&amp;Y114</f>
        <v>2.2</v>
      </c>
      <c r="AC114" s="71" t="str">
        <f>IF($AD$51="ФАС","Расходы на технологические нужды","Расходы и потери воды при производстве воды")</f>
        <v>Расходы на технологические нужды</v>
      </c>
      <c r="AD114" s="118" t="s">
        <v>137</v>
      </c>
      <c r="AE114" s="66">
        <v>3118.1640000000002</v>
      </c>
      <c r="AF114" s="67">
        <v>2943.7669999999998</v>
      </c>
      <c r="AG114" s="68">
        <v>3176.8029999999999</v>
      </c>
      <c r="AH114" s="66">
        <v>3.137</v>
      </c>
      <c r="AI114" s="67">
        <v>33.200000000000003</v>
      </c>
      <c r="AJ114" s="68">
        <v>6.0090000000000003</v>
      </c>
      <c r="AK114" s="66">
        <v>1.76</v>
      </c>
      <c r="AL114" s="67">
        <v>15.98</v>
      </c>
      <c r="AM114" s="68">
        <v>1.776</v>
      </c>
      <c r="AN114" s="66">
        <v>34.5</v>
      </c>
      <c r="AO114" s="67">
        <v>1</v>
      </c>
      <c r="AP114" s="119">
        <v>30</v>
      </c>
      <c r="AQ114" s="66">
        <v>0</v>
      </c>
      <c r="AR114" s="67">
        <v>0</v>
      </c>
      <c r="AS114" s="119">
        <v>0</v>
      </c>
      <c r="AT114" s="66">
        <v>0</v>
      </c>
      <c r="AU114" s="67">
        <v>0</v>
      </c>
      <c r="AV114" s="119">
        <v>0</v>
      </c>
      <c r="AW114" s="66">
        <v>0</v>
      </c>
      <c r="AX114" s="67">
        <v>0</v>
      </c>
      <c r="AY114" s="119">
        <v>6.5000000000000002E-2</v>
      </c>
      <c r="AZ114" s="66">
        <v>52.74</v>
      </c>
      <c r="BA114" s="67">
        <v>28.097999999999999</v>
      </c>
      <c r="BB114" s="119">
        <v>54.06</v>
      </c>
      <c r="BC114" s="66">
        <v>47.612000000000002</v>
      </c>
      <c r="BD114" s="67">
        <v>45.877000000000002</v>
      </c>
      <c r="BE114" s="68">
        <v>46</v>
      </c>
      <c r="BF114" s="120"/>
      <c r="BG114" s="121"/>
      <c r="BH114" s="122"/>
      <c r="BI114" s="123">
        <v>10.9</v>
      </c>
      <c r="BJ114" s="121"/>
      <c r="BK114" s="124">
        <v>5.8000000000000003E-2</v>
      </c>
      <c r="BN114" s="125">
        <f t="shared" si="1"/>
        <v>3268.8130000000006</v>
      </c>
      <c r="BO114" s="126">
        <f t="shared" si="2"/>
        <v>3067.9219999999996</v>
      </c>
      <c r="BP114" s="127">
        <f t="shared" si="3"/>
        <v>3314.7709999999997</v>
      </c>
    </row>
    <row r="115" spans="1:68" ht="14.25" hidden="1" customHeight="1" outlineLevel="3" x14ac:dyDescent="0.25">
      <c r="A115" s="10" t="b">
        <f>$U96="Водоснабжение"</f>
        <v>1</v>
      </c>
      <c r="C115" s="136" t="s">
        <v>140</v>
      </c>
      <c r="D115" s="136" t="s">
        <v>141</v>
      </c>
      <c r="E115" s="116" t="s">
        <v>145</v>
      </c>
      <c r="F115" s="116" t="s">
        <v>74</v>
      </c>
      <c r="G115" s="116" t="s">
        <v>73</v>
      </c>
      <c r="H115" s="116" t="s">
        <v>73</v>
      </c>
      <c r="I115" s="116" t="s">
        <v>73</v>
      </c>
      <c r="J115" s="116" t="s">
        <v>73</v>
      </c>
      <c r="K115" s="116" t="s">
        <v>73</v>
      </c>
      <c r="L115" s="116"/>
      <c r="M115" s="5" t="str">
        <f t="array" ref="M115">Y96</f>
        <v>1ХВС::1.1</v>
      </c>
      <c r="N115" s="116"/>
      <c r="Y115" s="10">
        <f>COUNT($Y113:Y114)+1</f>
        <v>3</v>
      </c>
      <c r="AB115" s="29" t="str">
        <f>AB110&amp;"."&amp;Y115</f>
        <v>2.3</v>
      </c>
      <c r="AC115" s="71" t="str">
        <f>IF($T96="Тариф на транспортировку воды","Принято воды для передачи (транспортировки)","Получено воды со стороны")</f>
        <v>Получено воды со стороны</v>
      </c>
      <c r="AD115" s="118" t="s">
        <v>137</v>
      </c>
      <c r="AE115" s="66">
        <v>1069.5930000000001</v>
      </c>
      <c r="AF115" s="67">
        <v>1280.47</v>
      </c>
      <c r="AG115" s="68">
        <v>1066.671</v>
      </c>
      <c r="AH115" s="66"/>
      <c r="AI115" s="67"/>
      <c r="AJ115" s="68"/>
      <c r="AK115" s="66">
        <v>0</v>
      </c>
      <c r="AL115" s="67">
        <v>0</v>
      </c>
      <c r="AM115" s="68">
        <v>0</v>
      </c>
      <c r="AN115" s="66">
        <v>0</v>
      </c>
      <c r="AO115" s="67">
        <v>0</v>
      </c>
      <c r="AP115" s="119">
        <v>0</v>
      </c>
      <c r="AQ115" s="66">
        <v>399.11</v>
      </c>
      <c r="AR115" s="67">
        <v>493.2</v>
      </c>
      <c r="AS115" s="119">
        <v>415.79</v>
      </c>
      <c r="AT115" s="66">
        <v>0</v>
      </c>
      <c r="AU115" s="67">
        <v>0</v>
      </c>
      <c r="AV115" s="119">
        <v>0</v>
      </c>
      <c r="AW115" s="66">
        <v>0</v>
      </c>
      <c r="AX115" s="67">
        <v>0</v>
      </c>
      <c r="AY115" s="119">
        <v>0</v>
      </c>
      <c r="AZ115" s="66">
        <v>0</v>
      </c>
      <c r="BA115" s="67">
        <v>0</v>
      </c>
      <c r="BB115" s="119">
        <v>0</v>
      </c>
      <c r="BC115" s="66">
        <v>0</v>
      </c>
      <c r="BD115" s="67">
        <v>0</v>
      </c>
      <c r="BE115" s="68">
        <v>0</v>
      </c>
      <c r="BF115" s="120"/>
      <c r="BG115" s="121"/>
      <c r="BH115" s="122"/>
      <c r="BI115" s="123"/>
      <c r="BJ115" s="121"/>
      <c r="BK115" s="124"/>
      <c r="BN115" s="125">
        <f t="shared" si="1"/>
        <v>1468.703</v>
      </c>
      <c r="BO115" s="126">
        <f t="shared" si="2"/>
        <v>1773.67</v>
      </c>
      <c r="BP115" s="127">
        <f t="shared" si="3"/>
        <v>1482.461</v>
      </c>
    </row>
    <row r="116" spans="1:68" ht="38.25" hidden="1" customHeight="1" outlineLevel="3" x14ac:dyDescent="0.25">
      <c r="A116" s="10" t="b">
        <f t="array" ref="A116">A115</f>
        <v>1</v>
      </c>
      <c r="C116" s="136" t="s">
        <v>140</v>
      </c>
      <c r="D116" s="136" t="s">
        <v>141</v>
      </c>
      <c r="E116" s="116" t="s">
        <v>146</v>
      </c>
      <c r="F116" s="116" t="s">
        <v>74</v>
      </c>
      <c r="G116" s="116" t="s">
        <v>73</v>
      </c>
      <c r="H116" s="116" t="s">
        <v>73</v>
      </c>
      <c r="I116" s="116" t="s">
        <v>73</v>
      </c>
      <c r="J116" s="116" t="s">
        <v>73</v>
      </c>
      <c r="K116" s="116" t="s">
        <v>73</v>
      </c>
      <c r="L116" s="116"/>
      <c r="M116" s="5" t="str">
        <f t="array" ref="M116">Y96</f>
        <v>1ХВС::1.1</v>
      </c>
      <c r="N116" s="116"/>
      <c r="Y116" s="10">
        <f>COUNT($Y113:Y115)+1</f>
        <v>4</v>
      </c>
      <c r="AB116" s="29" t="str">
        <f>AB110&amp;"."&amp;Y116</f>
        <v>2.4</v>
      </c>
      <c r="AC116" s="80" t="s">
        <v>146</v>
      </c>
      <c r="AD116" s="118" t="s">
        <v>137</v>
      </c>
      <c r="AE116" s="66">
        <f>AE120+AE117+AE118</f>
        <v>49872.825999999994</v>
      </c>
      <c r="AF116" s="67">
        <f>AF120+AF117+AF118</f>
        <v>51738.709000000003</v>
      </c>
      <c r="AG116" s="68">
        <f>AG120+AG117+AG118</f>
        <v>50472.614000000001</v>
      </c>
      <c r="AH116" s="66">
        <v>47.103999999999999</v>
      </c>
      <c r="AI116" s="67">
        <f>AI120+AI117+AI118</f>
        <v>153.42000000000002</v>
      </c>
      <c r="AJ116" s="68">
        <f>AJ120+AJ117+AJ118</f>
        <v>54.092999999999996</v>
      </c>
      <c r="AK116" s="66">
        <f>AK120+AK117+AK118</f>
        <v>1080.5329999999999</v>
      </c>
      <c r="AL116" s="67">
        <f>AL120+AL117+AL118</f>
        <v>1298.3599999999999</v>
      </c>
      <c r="AM116" s="68">
        <f>AM120+AM117+AM118</f>
        <v>1275.5500000000002</v>
      </c>
      <c r="AN116" s="66">
        <v>2622.2220000000002</v>
      </c>
      <c r="AO116" s="67">
        <v>2230.19</v>
      </c>
      <c r="AP116" s="119">
        <v>2510.08</v>
      </c>
      <c r="AQ116" s="66">
        <f>AQ120+AQ117+AQ118</f>
        <v>399.11</v>
      </c>
      <c r="AR116" s="67">
        <f>AR120+AR117+AR118</f>
        <v>493.2</v>
      </c>
      <c r="AS116" s="119">
        <f>AS120+AS117+AS118</f>
        <v>415.79</v>
      </c>
      <c r="AT116" s="66">
        <v>7733.2</v>
      </c>
      <c r="AU116" s="67">
        <v>3502.03</v>
      </c>
      <c r="AV116" s="119">
        <v>7474.4679999999998</v>
      </c>
      <c r="AW116" s="66">
        <v>1228.79</v>
      </c>
      <c r="AX116" s="67">
        <f t="shared" ref="AX116:BK116" si="6">AX120+AX117+AX118</f>
        <v>711.46</v>
      </c>
      <c r="AY116" s="119">
        <f t="shared" si="6"/>
        <v>1207.5650000000001</v>
      </c>
      <c r="AZ116" s="66">
        <f t="shared" si="6"/>
        <v>7569.5010000000002</v>
      </c>
      <c r="BA116" s="67">
        <f t="shared" si="6"/>
        <v>3530.9299999999994</v>
      </c>
      <c r="BB116" s="119">
        <f t="shared" si="6"/>
        <v>6883.7970000000005</v>
      </c>
      <c r="BC116" s="66">
        <f t="shared" si="6"/>
        <v>4553.2780000000002</v>
      </c>
      <c r="BD116" s="67">
        <f t="shared" si="6"/>
        <v>4496.8109999999997</v>
      </c>
      <c r="BE116" s="68">
        <f t="shared" si="6"/>
        <v>4593.9389999999994</v>
      </c>
      <c r="BF116" s="120">
        <f t="shared" si="6"/>
        <v>266.57</v>
      </c>
      <c r="BG116" s="121">
        <f t="shared" si="6"/>
        <v>204.50000000000003</v>
      </c>
      <c r="BH116" s="122">
        <f t="shared" si="6"/>
        <v>256.42400000000004</v>
      </c>
      <c r="BI116" s="123">
        <f t="shared" si="6"/>
        <v>456.62</v>
      </c>
      <c r="BJ116" s="121">
        <f t="shared" si="6"/>
        <v>400</v>
      </c>
      <c r="BK116" s="124">
        <f t="shared" si="6"/>
        <v>450</v>
      </c>
      <c r="BN116" s="125">
        <f t="shared" si="1"/>
        <v>75829.754000000001</v>
      </c>
      <c r="BO116" s="126">
        <f t="shared" si="2"/>
        <v>68759.61</v>
      </c>
      <c r="BP116" s="127">
        <f t="shared" si="3"/>
        <v>75594.320000000007</v>
      </c>
    </row>
    <row r="117" spans="1:68" ht="14.25" hidden="1" customHeight="1" outlineLevel="3" x14ac:dyDescent="0.25">
      <c r="A117" s="10" t="b">
        <f>AND($U96="Водоснабжение",$AD$51&lt;&gt;"ФАС")</f>
        <v>0</v>
      </c>
      <c r="C117" s="136" t="s">
        <v>140</v>
      </c>
      <c r="D117" s="136" t="s">
        <v>141</v>
      </c>
      <c r="E117" s="116" t="s">
        <v>147</v>
      </c>
      <c r="F117" s="116" t="s">
        <v>74</v>
      </c>
      <c r="G117" s="116" t="s">
        <v>73</v>
      </c>
      <c r="H117" s="116" t="s">
        <v>73</v>
      </c>
      <c r="I117" s="116" t="s">
        <v>73</v>
      </c>
      <c r="J117" s="116" t="s">
        <v>73</v>
      </c>
      <c r="K117" s="116" t="s">
        <v>73</v>
      </c>
      <c r="L117" s="116"/>
      <c r="M117" s="5" t="str">
        <f t="array" ref="M117">Y96</f>
        <v>1ХВС::1.1</v>
      </c>
      <c r="N117" s="116"/>
      <c r="Z117" s="6"/>
      <c r="AA117" s="6"/>
      <c r="AB117" s="29"/>
      <c r="AC117" s="87"/>
      <c r="AD117" s="51"/>
      <c r="AE117" s="66"/>
      <c r="AF117" s="67"/>
      <c r="AG117" s="68"/>
      <c r="AH117" s="66"/>
      <c r="AI117" s="67"/>
      <c r="AJ117" s="68"/>
      <c r="AK117" s="66"/>
      <c r="AL117" s="67"/>
      <c r="AM117" s="68"/>
      <c r="AN117" s="66"/>
      <c r="AO117" s="67"/>
      <c r="AP117" s="119"/>
      <c r="AQ117" s="66"/>
      <c r="AR117" s="67"/>
      <c r="AS117" s="119"/>
      <c r="AT117" s="66"/>
      <c r="AU117" s="67"/>
      <c r="AV117" s="119"/>
      <c r="AW117" s="66"/>
      <c r="AX117" s="67"/>
      <c r="AY117" s="119"/>
      <c r="AZ117" s="66"/>
      <c r="BA117" s="67"/>
      <c r="BB117" s="119"/>
      <c r="BC117" s="66"/>
      <c r="BD117" s="67"/>
      <c r="BE117" s="68"/>
      <c r="BF117" s="120"/>
      <c r="BG117" s="121"/>
      <c r="BH117" s="122"/>
      <c r="BI117" s="123"/>
      <c r="BJ117" s="121"/>
      <c r="BK117" s="124"/>
      <c r="BN117" s="125">
        <f t="shared" si="1"/>
        <v>0</v>
      </c>
      <c r="BO117" s="126">
        <f t="shared" si="2"/>
        <v>0</v>
      </c>
      <c r="BP117" s="127">
        <f t="shared" si="3"/>
        <v>0</v>
      </c>
    </row>
    <row r="118" spans="1:68" ht="14.25" hidden="1" customHeight="1" outlineLevel="3" x14ac:dyDescent="0.25">
      <c r="A118" s="10" t="b">
        <f>$U96="Водоснабжение"</f>
        <v>1</v>
      </c>
      <c r="C118" s="136" t="s">
        <v>140</v>
      </c>
      <c r="D118" s="136" t="s">
        <v>141</v>
      </c>
      <c r="E118" s="116" t="s">
        <v>148</v>
      </c>
      <c r="F118" s="116" t="s">
        <v>74</v>
      </c>
      <c r="G118" s="116" t="s">
        <v>73</v>
      </c>
      <c r="H118" s="116" t="s">
        <v>73</v>
      </c>
      <c r="I118" s="116" t="s">
        <v>73</v>
      </c>
      <c r="J118" s="116" t="s">
        <v>73</v>
      </c>
      <c r="K118" s="116" t="s">
        <v>73</v>
      </c>
      <c r="L118" s="116"/>
      <c r="M118" s="5" t="str">
        <f t="array" ref="M118">Y96</f>
        <v>1ХВС::1.1</v>
      </c>
      <c r="N118" s="116"/>
      <c r="AB118" s="29" t="str">
        <f>IF($AD$51="ФАС",AB116&amp;".1",AB116&amp;".2")</f>
        <v>2.4.1</v>
      </c>
      <c r="AC118" s="87" t="s">
        <v>148</v>
      </c>
      <c r="AD118" s="118" t="s">
        <v>137</v>
      </c>
      <c r="AE118" s="66">
        <v>11173.951999999999</v>
      </c>
      <c r="AF118" s="67">
        <v>11770.556</v>
      </c>
      <c r="AG118" s="68">
        <v>11276.268</v>
      </c>
      <c r="AH118" s="66">
        <v>3.4319999999999999</v>
      </c>
      <c r="AI118" s="67">
        <v>6.8</v>
      </c>
      <c r="AJ118" s="68">
        <v>5.641</v>
      </c>
      <c r="AK118" s="66">
        <v>116.56100000000001</v>
      </c>
      <c r="AL118" s="67">
        <v>41.42</v>
      </c>
      <c r="AM118" s="68">
        <v>94.236000000000004</v>
      </c>
      <c r="AN118" s="66">
        <v>547.89300000000003</v>
      </c>
      <c r="AO118" s="67">
        <v>214.87</v>
      </c>
      <c r="AP118" s="119">
        <v>520.1</v>
      </c>
      <c r="AQ118" s="66">
        <v>1.91</v>
      </c>
      <c r="AR118" s="67">
        <v>41.82</v>
      </c>
      <c r="AS118" s="119">
        <v>11.66</v>
      </c>
      <c r="AT118" s="66">
        <v>5327.91</v>
      </c>
      <c r="AU118" s="67">
        <v>432.85</v>
      </c>
      <c r="AV118" s="119">
        <v>5211.4679999999998</v>
      </c>
      <c r="AW118" s="66">
        <v>538.58000000000004</v>
      </c>
      <c r="AX118" s="67">
        <v>0</v>
      </c>
      <c r="AY118" s="119">
        <v>508.87099999999998</v>
      </c>
      <c r="AZ118" s="66">
        <v>4547.75</v>
      </c>
      <c r="BA118" s="67">
        <v>399.7</v>
      </c>
      <c r="BB118" s="119">
        <v>3796.7170000000001</v>
      </c>
      <c r="BC118" s="66">
        <v>1693.1479999999999</v>
      </c>
      <c r="BD118" s="67">
        <v>1874.703</v>
      </c>
      <c r="BE118" s="68">
        <v>1692.4069999999999</v>
      </c>
      <c r="BF118" s="120">
        <v>119.05</v>
      </c>
      <c r="BG118" s="121">
        <v>28.16</v>
      </c>
      <c r="BH118" s="122">
        <v>107.324</v>
      </c>
      <c r="BI118" s="123">
        <v>167.9</v>
      </c>
      <c r="BJ118" s="121">
        <v>33.24</v>
      </c>
      <c r="BK118" s="124">
        <v>158.96</v>
      </c>
      <c r="BN118" s="125">
        <f t="shared" si="1"/>
        <v>24238.086000000003</v>
      </c>
      <c r="BO118" s="126">
        <f t="shared" si="2"/>
        <v>14844.119000000001</v>
      </c>
      <c r="BP118" s="127">
        <f t="shared" si="3"/>
        <v>23383.651999999998</v>
      </c>
    </row>
    <row r="119" spans="1:68" ht="14.25" hidden="1" customHeight="1" outlineLevel="3" x14ac:dyDescent="0.25">
      <c r="A119" s="10" t="b">
        <f t="array" ref="A119">A118</f>
        <v>1</v>
      </c>
      <c r="C119" s="136" t="s">
        <v>149</v>
      </c>
      <c r="D119" s="136" t="s">
        <v>150</v>
      </c>
      <c r="E119" s="116" t="s">
        <v>73</v>
      </c>
      <c r="F119" s="116" t="s">
        <v>74</v>
      </c>
      <c r="G119" s="116" t="s">
        <v>73</v>
      </c>
      <c r="H119" s="116" t="s">
        <v>73</v>
      </c>
      <c r="I119" s="116" t="s">
        <v>73</v>
      </c>
      <c r="J119" s="116" t="s">
        <v>73</v>
      </c>
      <c r="K119" s="116" t="s">
        <v>73</v>
      </c>
      <c r="L119" s="116"/>
      <c r="M119" s="5" t="str">
        <f t="array" ref="M119">Y96</f>
        <v>1ХВС::1.1</v>
      </c>
      <c r="N119" s="116"/>
      <c r="AB119" s="29" t="str">
        <f>AB118&amp;".1"</f>
        <v>2.4.1.1</v>
      </c>
      <c r="AC119" s="137" t="s">
        <v>151</v>
      </c>
      <c r="AD119" s="118" t="s">
        <v>119</v>
      </c>
      <c r="AE119" s="72">
        <f t="shared" ref="AE119:AP119" si="7">(AE118*100)/AE116</f>
        <v>22.404890390610714</v>
      </c>
      <c r="AF119" s="73">
        <f t="shared" si="7"/>
        <v>22.749999424995316</v>
      </c>
      <c r="AG119" s="74">
        <f t="shared" si="7"/>
        <v>22.341359217099395</v>
      </c>
      <c r="AH119" s="72">
        <f t="shared" si="7"/>
        <v>7.2860054347826084</v>
      </c>
      <c r="AI119" s="73">
        <f t="shared" si="7"/>
        <v>4.432277408421327</v>
      </c>
      <c r="AJ119" s="74">
        <f t="shared" si="7"/>
        <v>10.428336383635592</v>
      </c>
      <c r="AK119" s="72">
        <f t="shared" si="7"/>
        <v>10.787361422557202</v>
      </c>
      <c r="AL119" s="73">
        <f t="shared" si="7"/>
        <v>3.1901783788779694</v>
      </c>
      <c r="AM119" s="74">
        <f t="shared" si="7"/>
        <v>7.3878718983967691</v>
      </c>
      <c r="AN119" s="72">
        <f t="shared" si="7"/>
        <v>20.894226346968335</v>
      </c>
      <c r="AO119" s="73">
        <f t="shared" si="7"/>
        <v>9.6346051233302994</v>
      </c>
      <c r="AP119" s="138">
        <f t="shared" si="7"/>
        <v>20.720455124936258</v>
      </c>
      <c r="AQ119" s="72">
        <v>0.48</v>
      </c>
      <c r="AR119" s="73">
        <v>8.48</v>
      </c>
      <c r="AS119" s="138">
        <v>2.8</v>
      </c>
      <c r="AT119" s="72">
        <f t="shared" ref="AT119:BK119" si="8">(AT118*100)/AT116</f>
        <v>68.896575803031084</v>
      </c>
      <c r="AU119" s="73">
        <f t="shared" si="8"/>
        <v>12.359974072180991</v>
      </c>
      <c r="AV119" s="138">
        <f t="shared" si="8"/>
        <v>69.723597719596896</v>
      </c>
      <c r="AW119" s="72">
        <f t="shared" si="8"/>
        <v>43.830109294509242</v>
      </c>
      <c r="AX119" s="73">
        <f t="shared" si="8"/>
        <v>0</v>
      </c>
      <c r="AY119" s="138">
        <f t="shared" si="8"/>
        <v>42.140257460260933</v>
      </c>
      <c r="AZ119" s="72">
        <f t="shared" si="8"/>
        <v>60.079918081786367</v>
      </c>
      <c r="BA119" s="73">
        <f t="shared" si="8"/>
        <v>11.319963862211941</v>
      </c>
      <c r="BB119" s="138">
        <f t="shared" si="8"/>
        <v>55.154400979575662</v>
      </c>
      <c r="BC119" s="72">
        <f t="shared" si="8"/>
        <v>37.185254227833219</v>
      </c>
      <c r="BD119" s="73">
        <f t="shared" si="8"/>
        <v>41.689610704118984</v>
      </c>
      <c r="BE119" s="74">
        <f t="shared" si="8"/>
        <v>36.839997222427201</v>
      </c>
      <c r="BF119" s="139">
        <f t="shared" si="8"/>
        <v>44.659939227970142</v>
      </c>
      <c r="BG119" s="140">
        <f t="shared" si="8"/>
        <v>13.770171149144252</v>
      </c>
      <c r="BH119" s="141">
        <f t="shared" si="8"/>
        <v>41.854116619349199</v>
      </c>
      <c r="BI119" s="142">
        <f t="shared" si="8"/>
        <v>36.770180894397967</v>
      </c>
      <c r="BJ119" s="140">
        <f t="shared" si="8"/>
        <v>8.31</v>
      </c>
      <c r="BK119" s="143">
        <f t="shared" si="8"/>
        <v>35.324444444444445</v>
      </c>
      <c r="BN119" s="125">
        <f t="shared" si="1"/>
        <v>353.27446112444687</v>
      </c>
      <c r="BO119" s="126">
        <f t="shared" si="2"/>
        <v>135.93678012328107</v>
      </c>
      <c r="BP119" s="127">
        <f t="shared" si="3"/>
        <v>344.71483706972236</v>
      </c>
    </row>
    <row r="120" spans="1:68" s="115" customFormat="1" ht="28.5" hidden="1" customHeight="1" outlineLevel="3" x14ac:dyDescent="0.25">
      <c r="A120" s="99" t="b">
        <f t="array" ref="A120">A119</f>
        <v>1</v>
      </c>
      <c r="B120" s="100"/>
      <c r="C120" s="128" t="s">
        <v>140</v>
      </c>
      <c r="D120" s="128" t="s">
        <v>141</v>
      </c>
      <c r="E120" s="129" t="s">
        <v>152</v>
      </c>
      <c r="F120" s="129" t="s">
        <v>74</v>
      </c>
      <c r="G120" s="129" t="s">
        <v>73</v>
      </c>
      <c r="H120" s="129" t="s">
        <v>73</v>
      </c>
      <c r="I120" s="129" t="s">
        <v>73</v>
      </c>
      <c r="J120" s="129" t="s">
        <v>73</v>
      </c>
      <c r="K120" s="129" t="s">
        <v>73</v>
      </c>
      <c r="L120" s="129"/>
      <c r="M120" s="100" t="str">
        <f t="array" ref="M120">Y96</f>
        <v>1ХВС::1.1</v>
      </c>
      <c r="N120" s="129"/>
      <c r="O120" s="100"/>
      <c r="P120" s="100"/>
      <c r="Q120" s="100"/>
      <c r="R120" s="100"/>
      <c r="S120" s="100"/>
      <c r="T120" s="100"/>
      <c r="U120" s="100"/>
      <c r="V120" s="100"/>
      <c r="W120" s="100"/>
      <c r="X120" s="100"/>
      <c r="Y120" s="99">
        <f>COUNT($Y113:Y119)+1</f>
        <v>5</v>
      </c>
      <c r="Z120" s="100"/>
      <c r="AA120" s="100"/>
      <c r="AB120" s="103" t="str">
        <f>AB110&amp;"."&amp;Y120</f>
        <v>2.5</v>
      </c>
      <c r="AC120" s="130" t="s">
        <v>153</v>
      </c>
      <c r="AD120" s="105" t="s">
        <v>137</v>
      </c>
      <c r="AE120" s="106">
        <f>AE121+AE122</f>
        <v>38698.873999999996</v>
      </c>
      <c r="AF120" s="107">
        <f>AF121+AF122</f>
        <v>39968.152999999998</v>
      </c>
      <c r="AG120" s="108">
        <f>AG121+AG122</f>
        <v>39196.345999999998</v>
      </c>
      <c r="AH120" s="106">
        <v>43.671999999999997</v>
      </c>
      <c r="AI120" s="107">
        <v>146.62</v>
      </c>
      <c r="AJ120" s="108">
        <f t="shared" ref="AJ120:BK120" si="9">AJ121+AJ122</f>
        <v>48.451999999999998</v>
      </c>
      <c r="AK120" s="106">
        <f t="shared" si="9"/>
        <v>963.97199999999998</v>
      </c>
      <c r="AL120" s="107">
        <f t="shared" si="9"/>
        <v>1256.9399999999998</v>
      </c>
      <c r="AM120" s="108">
        <f t="shared" si="9"/>
        <v>1181.3140000000001</v>
      </c>
      <c r="AN120" s="106">
        <f t="shared" si="9"/>
        <v>2074.3290000000002</v>
      </c>
      <c r="AO120" s="107">
        <f t="shared" si="9"/>
        <v>2015.32</v>
      </c>
      <c r="AP120" s="109">
        <f t="shared" si="9"/>
        <v>1989.98</v>
      </c>
      <c r="AQ120" s="106">
        <f t="shared" si="9"/>
        <v>397.2</v>
      </c>
      <c r="AR120" s="107">
        <f t="shared" si="9"/>
        <v>451.38</v>
      </c>
      <c r="AS120" s="109">
        <f t="shared" si="9"/>
        <v>404.13</v>
      </c>
      <c r="AT120" s="106">
        <f t="shared" si="9"/>
        <v>2405.29</v>
      </c>
      <c r="AU120" s="107">
        <f t="shared" si="9"/>
        <v>3069.1800000000003</v>
      </c>
      <c r="AV120" s="109">
        <f t="shared" si="9"/>
        <v>2263</v>
      </c>
      <c r="AW120" s="106">
        <f t="shared" si="9"/>
        <v>690.21</v>
      </c>
      <c r="AX120" s="107">
        <f t="shared" si="9"/>
        <v>711.46</v>
      </c>
      <c r="AY120" s="109">
        <f t="shared" si="9"/>
        <v>698.69400000000007</v>
      </c>
      <c r="AZ120" s="106">
        <f t="shared" si="9"/>
        <v>3021.7509999999997</v>
      </c>
      <c r="BA120" s="107">
        <f t="shared" si="9"/>
        <v>3131.2299999999996</v>
      </c>
      <c r="BB120" s="109">
        <f t="shared" si="9"/>
        <v>3087.08</v>
      </c>
      <c r="BC120" s="106">
        <f t="shared" si="9"/>
        <v>2860.13</v>
      </c>
      <c r="BD120" s="107">
        <f t="shared" si="9"/>
        <v>2622.1080000000002</v>
      </c>
      <c r="BE120" s="108">
        <f t="shared" si="9"/>
        <v>2901.5319999999997</v>
      </c>
      <c r="BF120" s="131">
        <f t="shared" si="9"/>
        <v>147.51999999999998</v>
      </c>
      <c r="BG120" s="132">
        <f t="shared" si="9"/>
        <v>176.34000000000003</v>
      </c>
      <c r="BH120" s="133">
        <f t="shared" si="9"/>
        <v>149.10000000000002</v>
      </c>
      <c r="BI120" s="134">
        <f t="shared" si="9"/>
        <v>288.71999999999997</v>
      </c>
      <c r="BJ120" s="132">
        <f t="shared" si="9"/>
        <v>366.76</v>
      </c>
      <c r="BK120" s="135">
        <f t="shared" si="9"/>
        <v>291.03999999999996</v>
      </c>
      <c r="BL120" s="111"/>
      <c r="BM120" s="100"/>
      <c r="BN120" s="112">
        <f t="shared" si="1"/>
        <v>51591.667999999983</v>
      </c>
      <c r="BO120" s="113">
        <f t="shared" si="2"/>
        <v>53915.490999999995</v>
      </c>
      <c r="BP120" s="114">
        <f t="shared" si="3"/>
        <v>52210.667999999998</v>
      </c>
    </row>
    <row r="121" spans="1:68" ht="14.25" hidden="1" customHeight="1" outlineLevel="3" x14ac:dyDescent="0.25">
      <c r="A121" s="10" t="b">
        <f t="array" ref="A121">A120</f>
        <v>1</v>
      </c>
      <c r="C121" s="136" t="s">
        <v>140</v>
      </c>
      <c r="D121" s="136" t="s">
        <v>141</v>
      </c>
      <c r="E121" s="116" t="s">
        <v>154</v>
      </c>
      <c r="F121" s="116" t="s">
        <v>74</v>
      </c>
      <c r="G121" s="116" t="s">
        <v>73</v>
      </c>
      <c r="H121" s="116" t="s">
        <v>73</v>
      </c>
      <c r="I121" s="116" t="s">
        <v>73</v>
      </c>
      <c r="J121" s="116" t="s">
        <v>73</v>
      </c>
      <c r="K121" s="116" t="s">
        <v>73</v>
      </c>
      <c r="L121" s="116"/>
      <c r="M121" s="5" t="str">
        <f t="array" ref="M121">Y96</f>
        <v>1ХВС::1.1</v>
      </c>
      <c r="N121" s="116"/>
      <c r="AB121" s="29" t="str">
        <f>AB120&amp;".1"</f>
        <v>2.5.1</v>
      </c>
      <c r="AC121" s="87" t="s">
        <v>155</v>
      </c>
      <c r="AD121" s="118" t="s">
        <v>137</v>
      </c>
      <c r="AE121" s="66">
        <v>31.957999999999998</v>
      </c>
      <c r="AF121" s="67">
        <v>0</v>
      </c>
      <c r="AG121" s="68">
        <v>31.347999999999999</v>
      </c>
      <c r="AH121" s="66"/>
      <c r="AI121" s="67"/>
      <c r="AJ121" s="68"/>
      <c r="AK121" s="66">
        <v>0</v>
      </c>
      <c r="AL121" s="67">
        <v>0</v>
      </c>
      <c r="AM121" s="68">
        <v>0</v>
      </c>
      <c r="AN121" s="66">
        <v>0</v>
      </c>
      <c r="AO121" s="67">
        <v>0</v>
      </c>
      <c r="AP121" s="119">
        <v>0</v>
      </c>
      <c r="AQ121" s="66">
        <v>0</v>
      </c>
      <c r="AR121" s="67">
        <v>0</v>
      </c>
      <c r="AS121" s="119">
        <v>0</v>
      </c>
      <c r="AT121" s="66">
        <v>0</v>
      </c>
      <c r="AU121" s="67">
        <v>0</v>
      </c>
      <c r="AV121" s="119">
        <v>0</v>
      </c>
      <c r="AW121" s="66">
        <v>0</v>
      </c>
      <c r="AX121" s="67">
        <v>0</v>
      </c>
      <c r="AY121" s="119">
        <v>0.47399999999999998</v>
      </c>
      <c r="AZ121" s="66">
        <v>0</v>
      </c>
      <c r="BA121" s="67">
        <v>0</v>
      </c>
      <c r="BB121" s="119">
        <v>0</v>
      </c>
      <c r="BC121" s="66">
        <v>0</v>
      </c>
      <c r="BD121" s="67">
        <v>0</v>
      </c>
      <c r="BE121" s="68">
        <v>0</v>
      </c>
      <c r="BF121" s="120"/>
      <c r="BG121" s="121"/>
      <c r="BH121" s="122">
        <v>0.05</v>
      </c>
      <c r="BI121" s="123"/>
      <c r="BJ121" s="121"/>
      <c r="BK121" s="124"/>
      <c r="BN121" s="125">
        <f t="shared" si="1"/>
        <v>31.957999999999998</v>
      </c>
      <c r="BO121" s="126">
        <f t="shared" si="2"/>
        <v>0</v>
      </c>
      <c r="BP121" s="127">
        <f t="shared" si="3"/>
        <v>31.872</v>
      </c>
    </row>
    <row r="122" spans="1:68" ht="14.25" hidden="1" customHeight="1" outlineLevel="3" x14ac:dyDescent="0.25">
      <c r="A122" s="10" t="b">
        <f t="array" ref="A122">A121</f>
        <v>1</v>
      </c>
      <c r="C122" s="136" t="s">
        <v>140</v>
      </c>
      <c r="D122" s="136" t="s">
        <v>141</v>
      </c>
      <c r="E122" s="116" t="s">
        <v>156</v>
      </c>
      <c r="F122" s="116" t="s">
        <v>74</v>
      </c>
      <c r="G122" s="116" t="s">
        <v>73</v>
      </c>
      <c r="H122" s="116" t="s">
        <v>73</v>
      </c>
      <c r="I122" s="116" t="s">
        <v>73</v>
      </c>
      <c r="J122" s="116" t="s">
        <v>73</v>
      </c>
      <c r="K122" s="116" t="s">
        <v>73</v>
      </c>
      <c r="L122" s="116"/>
      <c r="M122" s="5" t="str">
        <f t="array" ref="M122">Y96</f>
        <v>1ХВС::1.1</v>
      </c>
      <c r="N122" s="116"/>
      <c r="AB122" s="29" t="str">
        <f>AB120&amp;".2"</f>
        <v>2.5.2</v>
      </c>
      <c r="AC122" s="87" t="s">
        <v>157</v>
      </c>
      <c r="AD122" s="118" t="s">
        <v>137</v>
      </c>
      <c r="AE122" s="66">
        <f>SUM(AE123:AE126)</f>
        <v>38666.915999999997</v>
      </c>
      <c r="AF122" s="67">
        <f>SUM(AF123:AF126)</f>
        <v>39968.152999999998</v>
      </c>
      <c r="AG122" s="68">
        <f>SUM(AG123:AG126)</f>
        <v>39164.998</v>
      </c>
      <c r="AH122" s="66">
        <v>43.671999999999997</v>
      </c>
      <c r="AI122" s="67">
        <f t="shared" ref="AI122:BK122" si="10">SUM(AI123:AI126)</f>
        <v>146.62</v>
      </c>
      <c r="AJ122" s="68">
        <f t="shared" si="10"/>
        <v>48.451999999999998</v>
      </c>
      <c r="AK122" s="66">
        <f t="shared" si="10"/>
        <v>963.97199999999998</v>
      </c>
      <c r="AL122" s="67">
        <f t="shared" si="10"/>
        <v>1256.9399999999998</v>
      </c>
      <c r="AM122" s="68">
        <f t="shared" si="10"/>
        <v>1181.3140000000001</v>
      </c>
      <c r="AN122" s="66">
        <f t="shared" si="10"/>
        <v>2074.3290000000002</v>
      </c>
      <c r="AO122" s="67">
        <f t="shared" si="10"/>
        <v>2015.32</v>
      </c>
      <c r="AP122" s="119">
        <f t="shared" si="10"/>
        <v>1989.98</v>
      </c>
      <c r="AQ122" s="66">
        <f t="shared" si="10"/>
        <v>397.2</v>
      </c>
      <c r="AR122" s="67">
        <f t="shared" si="10"/>
        <v>451.38</v>
      </c>
      <c r="AS122" s="119">
        <f t="shared" si="10"/>
        <v>404.13</v>
      </c>
      <c r="AT122" s="66">
        <f t="shared" si="10"/>
        <v>2405.29</v>
      </c>
      <c r="AU122" s="67">
        <f t="shared" si="10"/>
        <v>3069.1800000000003</v>
      </c>
      <c r="AV122" s="119">
        <f t="shared" si="10"/>
        <v>2263</v>
      </c>
      <c r="AW122" s="66">
        <f t="shared" si="10"/>
        <v>690.21</v>
      </c>
      <c r="AX122" s="67">
        <f t="shared" si="10"/>
        <v>711.46</v>
      </c>
      <c r="AY122" s="119">
        <f t="shared" si="10"/>
        <v>698.22</v>
      </c>
      <c r="AZ122" s="66">
        <f t="shared" si="10"/>
        <v>3021.7509999999997</v>
      </c>
      <c r="BA122" s="67">
        <f t="shared" si="10"/>
        <v>3131.2299999999996</v>
      </c>
      <c r="BB122" s="119">
        <f t="shared" si="10"/>
        <v>3087.08</v>
      </c>
      <c r="BC122" s="66">
        <f t="shared" si="10"/>
        <v>2860.13</v>
      </c>
      <c r="BD122" s="67">
        <f t="shared" si="10"/>
        <v>2622.1080000000002</v>
      </c>
      <c r="BE122" s="68">
        <f t="shared" si="10"/>
        <v>2901.5319999999997</v>
      </c>
      <c r="BF122" s="120">
        <f t="shared" si="10"/>
        <v>147.51999999999998</v>
      </c>
      <c r="BG122" s="121">
        <f t="shared" si="10"/>
        <v>176.34000000000003</v>
      </c>
      <c r="BH122" s="122">
        <f t="shared" si="10"/>
        <v>149.05000000000001</v>
      </c>
      <c r="BI122" s="123">
        <f t="shared" si="10"/>
        <v>288.71999999999997</v>
      </c>
      <c r="BJ122" s="121">
        <f t="shared" si="10"/>
        <v>366.76</v>
      </c>
      <c r="BK122" s="124">
        <f t="shared" si="10"/>
        <v>291.03999999999996</v>
      </c>
      <c r="BN122" s="125">
        <f t="shared" si="1"/>
        <v>51559.709999999985</v>
      </c>
      <c r="BO122" s="126">
        <f t="shared" si="2"/>
        <v>53915.490999999995</v>
      </c>
      <c r="BP122" s="127">
        <f t="shared" si="3"/>
        <v>52178.796000000002</v>
      </c>
    </row>
    <row r="123" spans="1:68" ht="14.25" hidden="1" customHeight="1" outlineLevel="3" x14ac:dyDescent="0.25">
      <c r="A123" s="10" t="b">
        <f t="array" ref="A123">A122</f>
        <v>1</v>
      </c>
      <c r="C123" s="136" t="s">
        <v>140</v>
      </c>
      <c r="D123" s="136" t="s">
        <v>141</v>
      </c>
      <c r="E123" s="116" t="s">
        <v>158</v>
      </c>
      <c r="F123" s="116" t="s">
        <v>74</v>
      </c>
      <c r="G123" s="116" t="s">
        <v>73</v>
      </c>
      <c r="H123" s="116" t="s">
        <v>73</v>
      </c>
      <c r="I123" s="116" t="s">
        <v>73</v>
      </c>
      <c r="J123" s="116" t="s">
        <v>73</v>
      </c>
      <c r="K123" s="116" t="s">
        <v>73</v>
      </c>
      <c r="L123" s="116"/>
      <c r="M123" s="5" t="str">
        <f t="array" ref="M123">Y96</f>
        <v>1ХВС::1.1</v>
      </c>
      <c r="N123" s="116"/>
      <c r="AB123" s="29" t="str">
        <f>AB122&amp;".1"</f>
        <v>2.5.2.1</v>
      </c>
      <c r="AC123" s="92" t="s">
        <v>159</v>
      </c>
      <c r="AD123" s="118" t="s">
        <v>137</v>
      </c>
      <c r="AE123" s="66">
        <v>29418.454000000002</v>
      </c>
      <c r="AF123" s="67">
        <v>29071.255000000001</v>
      </c>
      <c r="AG123" s="68">
        <v>30012.547999999999</v>
      </c>
      <c r="AH123" s="66"/>
      <c r="AI123" s="67"/>
      <c r="AJ123" s="68"/>
      <c r="AK123" s="66">
        <v>642.47500000000002</v>
      </c>
      <c r="AL123" s="67">
        <v>1024.56</v>
      </c>
      <c r="AM123" s="68">
        <v>783</v>
      </c>
      <c r="AN123" s="66">
        <v>1061.6880000000001</v>
      </c>
      <c r="AO123" s="67">
        <v>1206.78</v>
      </c>
      <c r="AP123" s="119">
        <v>1100.77</v>
      </c>
      <c r="AQ123" s="66">
        <v>260.20999999999998</v>
      </c>
      <c r="AR123" s="67">
        <v>256.95</v>
      </c>
      <c r="AS123" s="119">
        <v>260.20999999999998</v>
      </c>
      <c r="AT123" s="66">
        <v>2000.14</v>
      </c>
      <c r="AU123" s="67">
        <v>2135.73</v>
      </c>
      <c r="AV123" s="119">
        <v>1887.1</v>
      </c>
      <c r="AW123" s="66">
        <v>525.98</v>
      </c>
      <c r="AX123" s="67">
        <v>624.97</v>
      </c>
      <c r="AY123" s="119">
        <v>525.76</v>
      </c>
      <c r="AZ123" s="66">
        <v>2752.8249999999998</v>
      </c>
      <c r="BA123" s="67">
        <v>3010.18</v>
      </c>
      <c r="BB123" s="119">
        <v>2773.68</v>
      </c>
      <c r="BC123" s="66">
        <v>1752.47</v>
      </c>
      <c r="BD123" s="67">
        <v>1954.56</v>
      </c>
      <c r="BE123" s="68">
        <v>1772.84</v>
      </c>
      <c r="BF123" s="120">
        <v>127.96</v>
      </c>
      <c r="BG123" s="121">
        <v>166.58</v>
      </c>
      <c r="BH123" s="144">
        <v>129.09</v>
      </c>
      <c r="BI123" s="123">
        <v>270.12</v>
      </c>
      <c r="BJ123" s="121">
        <v>345.56</v>
      </c>
      <c r="BK123" s="124">
        <v>268.33</v>
      </c>
      <c r="BN123" s="125">
        <f t="shared" si="1"/>
        <v>38812.322</v>
      </c>
      <c r="BO123" s="126">
        <f t="shared" si="2"/>
        <v>39797.125</v>
      </c>
      <c r="BP123" s="127">
        <f t="shared" si="3"/>
        <v>39513.327999999994</v>
      </c>
    </row>
    <row r="124" spans="1:68" ht="14.25" hidden="1" customHeight="1" outlineLevel="3" x14ac:dyDescent="0.25">
      <c r="A124" s="10" t="b">
        <f t="array" ref="A124">A123</f>
        <v>1</v>
      </c>
      <c r="C124" s="136" t="s">
        <v>140</v>
      </c>
      <c r="D124" s="136" t="s">
        <v>141</v>
      </c>
      <c r="E124" s="116" t="s">
        <v>160</v>
      </c>
      <c r="F124" s="116" t="s">
        <v>74</v>
      </c>
      <c r="G124" s="116" t="s">
        <v>73</v>
      </c>
      <c r="H124" s="116" t="s">
        <v>73</v>
      </c>
      <c r="I124" s="116" t="s">
        <v>73</v>
      </c>
      <c r="J124" s="116" t="s">
        <v>73</v>
      </c>
      <c r="K124" s="116" t="s">
        <v>73</v>
      </c>
      <c r="L124" s="116"/>
      <c r="M124" s="5" t="str">
        <f t="array" ref="M124">Y96</f>
        <v>1ХВС::1.1</v>
      </c>
      <c r="N124" s="116"/>
      <c r="AB124" s="29" t="str">
        <f>AB122&amp;".2"</f>
        <v>2.5.2.2</v>
      </c>
      <c r="AC124" s="92" t="s">
        <v>161</v>
      </c>
      <c r="AD124" s="118" t="s">
        <v>137</v>
      </c>
      <c r="AE124" s="66">
        <v>1799.6</v>
      </c>
      <c r="AF124" s="67">
        <v>1378.732</v>
      </c>
      <c r="AG124" s="68">
        <v>1917.635</v>
      </c>
      <c r="AH124" s="66"/>
      <c r="AI124" s="67"/>
      <c r="AJ124" s="68"/>
      <c r="AK124" s="66">
        <v>53.606999999999999</v>
      </c>
      <c r="AL124" s="67">
        <v>52.53</v>
      </c>
      <c r="AM124" s="68">
        <v>65</v>
      </c>
      <c r="AN124" s="66">
        <v>414.02600000000001</v>
      </c>
      <c r="AO124" s="67">
        <v>414.72</v>
      </c>
      <c r="AP124" s="119">
        <v>385.61</v>
      </c>
      <c r="AQ124" s="66">
        <v>14.37</v>
      </c>
      <c r="AR124" s="67">
        <v>14.23</v>
      </c>
      <c r="AS124" s="119">
        <v>14.37</v>
      </c>
      <c r="AT124" s="66">
        <v>89.91</v>
      </c>
      <c r="AU124" s="67">
        <v>135.41999999999999</v>
      </c>
      <c r="AV124" s="119">
        <v>111.4</v>
      </c>
      <c r="AW124" s="66">
        <v>39.5</v>
      </c>
      <c r="AX124" s="67">
        <v>56.8</v>
      </c>
      <c r="AY124" s="119">
        <v>44.7</v>
      </c>
      <c r="AZ124" s="66">
        <v>78.47</v>
      </c>
      <c r="BA124" s="67">
        <v>44.7</v>
      </c>
      <c r="BB124" s="119">
        <v>88.61</v>
      </c>
      <c r="BC124" s="66">
        <v>220.98</v>
      </c>
      <c r="BD124" s="67">
        <v>205.87799999999999</v>
      </c>
      <c r="BE124" s="68">
        <v>223.56</v>
      </c>
      <c r="BF124" s="120">
        <v>14.21</v>
      </c>
      <c r="BG124" s="145">
        <v>4.96</v>
      </c>
      <c r="BH124" s="144">
        <v>14.35</v>
      </c>
      <c r="BI124" s="123">
        <v>3.9</v>
      </c>
      <c r="BJ124" s="121">
        <v>11.39</v>
      </c>
      <c r="BK124" s="124">
        <v>7.65</v>
      </c>
      <c r="BN124" s="125">
        <f t="shared" si="1"/>
        <v>2728.5729999999994</v>
      </c>
      <c r="BO124" s="126">
        <f t="shared" si="2"/>
        <v>2319.36</v>
      </c>
      <c r="BP124" s="127">
        <f t="shared" si="3"/>
        <v>2872.8849999999998</v>
      </c>
    </row>
    <row r="125" spans="1:68" ht="14.25" hidden="1" customHeight="1" outlineLevel="3" x14ac:dyDescent="0.25">
      <c r="A125" s="10" t="b">
        <f t="array" ref="A125">A124</f>
        <v>1</v>
      </c>
      <c r="C125" s="136" t="s">
        <v>140</v>
      </c>
      <c r="D125" s="136" t="s">
        <v>141</v>
      </c>
      <c r="E125" s="116" t="s">
        <v>162</v>
      </c>
      <c r="F125" s="116" t="s">
        <v>74</v>
      </c>
      <c r="G125" s="116" t="s">
        <v>73</v>
      </c>
      <c r="H125" s="116" t="s">
        <v>73</v>
      </c>
      <c r="I125" s="116" t="s">
        <v>73</v>
      </c>
      <c r="J125" s="116" t="s">
        <v>73</v>
      </c>
      <c r="K125" s="116" t="s">
        <v>73</v>
      </c>
      <c r="L125" s="116"/>
      <c r="M125" s="5" t="str">
        <f t="array" ref="M125">Y96</f>
        <v>1ХВС::1.1</v>
      </c>
      <c r="N125" s="116"/>
      <c r="AB125" s="29" t="str">
        <f>AB122&amp;".3"</f>
        <v>2.5.2.3</v>
      </c>
      <c r="AC125" s="92" t="s">
        <v>163</v>
      </c>
      <c r="AD125" s="118" t="s">
        <v>137</v>
      </c>
      <c r="AE125" s="66">
        <v>7126.5889999999999</v>
      </c>
      <c r="AF125" s="67">
        <v>9069.4779999999992</v>
      </c>
      <c r="AG125" s="68">
        <v>6929.6909999999998</v>
      </c>
      <c r="AH125" s="66">
        <v>43.671999999999997</v>
      </c>
      <c r="AI125" s="67">
        <v>146.62</v>
      </c>
      <c r="AJ125" s="68">
        <v>48.451999999999998</v>
      </c>
      <c r="AK125" s="66">
        <v>267.89</v>
      </c>
      <c r="AL125" s="67">
        <v>179.85</v>
      </c>
      <c r="AM125" s="68">
        <v>333.31400000000002</v>
      </c>
      <c r="AN125" s="66">
        <v>598.61500000000001</v>
      </c>
      <c r="AO125" s="67">
        <v>393.82</v>
      </c>
      <c r="AP125" s="119">
        <v>503.6</v>
      </c>
      <c r="AQ125" s="66">
        <v>122.62</v>
      </c>
      <c r="AR125" s="67">
        <v>180.2</v>
      </c>
      <c r="AS125" s="119">
        <v>129.55000000000001</v>
      </c>
      <c r="AT125" s="66">
        <v>315.24</v>
      </c>
      <c r="AU125" s="67">
        <v>798.03</v>
      </c>
      <c r="AV125" s="119">
        <v>264.5</v>
      </c>
      <c r="AW125" s="66">
        <v>124.73</v>
      </c>
      <c r="AX125" s="67">
        <v>29.69</v>
      </c>
      <c r="AY125" s="119">
        <v>127.76</v>
      </c>
      <c r="AZ125" s="66">
        <v>190.45599999999999</v>
      </c>
      <c r="BA125" s="67">
        <v>76.349999999999994</v>
      </c>
      <c r="BB125" s="119">
        <v>224.79</v>
      </c>
      <c r="BC125" s="66">
        <v>886.68</v>
      </c>
      <c r="BD125" s="67">
        <v>461.67</v>
      </c>
      <c r="BE125" s="68">
        <v>905.13199999999995</v>
      </c>
      <c r="BF125" s="120">
        <v>5.35</v>
      </c>
      <c r="BG125" s="145">
        <v>4.8</v>
      </c>
      <c r="BH125" s="144">
        <v>5.61</v>
      </c>
      <c r="BI125" s="123">
        <v>14.7</v>
      </c>
      <c r="BJ125" s="121">
        <v>9.81</v>
      </c>
      <c r="BK125" s="124">
        <v>15.06</v>
      </c>
      <c r="BN125" s="125">
        <f t="shared" si="1"/>
        <v>9696.5420000000013</v>
      </c>
      <c r="BO125" s="126">
        <f t="shared" si="2"/>
        <v>11350.318000000001</v>
      </c>
      <c r="BP125" s="127">
        <f t="shared" si="3"/>
        <v>9487.4590000000007</v>
      </c>
    </row>
    <row r="126" spans="1:68" ht="14.25" hidden="1" customHeight="1" outlineLevel="3" x14ac:dyDescent="0.25">
      <c r="A126" s="10" t="b">
        <f t="array" ref="A126">A125</f>
        <v>1</v>
      </c>
      <c r="C126" s="136" t="s">
        <v>140</v>
      </c>
      <c r="D126" s="136" t="s">
        <v>141</v>
      </c>
      <c r="E126" s="116" t="s">
        <v>164</v>
      </c>
      <c r="F126" s="116" t="s">
        <v>74</v>
      </c>
      <c r="G126" s="116" t="s">
        <v>73</v>
      </c>
      <c r="H126" s="116" t="s">
        <v>73</v>
      </c>
      <c r="I126" s="116" t="s">
        <v>73</v>
      </c>
      <c r="J126" s="116" t="s">
        <v>73</v>
      </c>
      <c r="K126" s="116" t="s">
        <v>73</v>
      </c>
      <c r="L126" s="116"/>
      <c r="M126" s="5" t="str">
        <f t="array" ref="M126">Y96</f>
        <v>1ХВС::1.1</v>
      </c>
      <c r="N126" s="116"/>
      <c r="AB126" s="29" t="str">
        <f>AB122&amp;".4"</f>
        <v>2.5.2.4</v>
      </c>
      <c r="AC126" s="92" t="s">
        <v>165</v>
      </c>
      <c r="AD126" s="118" t="s">
        <v>137</v>
      </c>
      <c r="AE126" s="66">
        <v>322.27300000000002</v>
      </c>
      <c r="AF126" s="67">
        <v>448.68799999999999</v>
      </c>
      <c r="AG126" s="68">
        <v>305.12400000000002</v>
      </c>
      <c r="AH126" s="66"/>
      <c r="AI126" s="67"/>
      <c r="AJ126" s="68"/>
      <c r="AK126" s="66">
        <v>0</v>
      </c>
      <c r="AL126" s="67">
        <v>0</v>
      </c>
      <c r="AM126" s="68">
        <v>0</v>
      </c>
      <c r="AN126" s="66">
        <v>0</v>
      </c>
      <c r="AO126" s="67">
        <v>0</v>
      </c>
      <c r="AP126" s="119">
        <v>0</v>
      </c>
      <c r="AQ126" s="66">
        <v>0</v>
      </c>
      <c r="AR126" s="67">
        <v>0</v>
      </c>
      <c r="AS126" s="119">
        <v>0</v>
      </c>
      <c r="AT126" s="66"/>
      <c r="AU126" s="67"/>
      <c r="AV126" s="119"/>
      <c r="AW126" s="66">
        <v>0</v>
      </c>
      <c r="AX126" s="67">
        <v>0</v>
      </c>
      <c r="AY126" s="119"/>
      <c r="AZ126" s="66"/>
      <c r="BA126" s="67"/>
      <c r="BB126" s="119"/>
      <c r="BC126" s="66">
        <v>0</v>
      </c>
      <c r="BD126" s="67">
        <v>0</v>
      </c>
      <c r="BE126" s="68">
        <v>0</v>
      </c>
      <c r="BF126" s="146"/>
      <c r="BG126" s="67"/>
      <c r="BH126" s="119"/>
      <c r="BI126" s="66"/>
      <c r="BJ126" s="67"/>
      <c r="BK126" s="68"/>
      <c r="BN126" s="125">
        <f t="shared" si="1"/>
        <v>322.27300000000002</v>
      </c>
      <c r="BO126" s="126">
        <f t="shared" si="2"/>
        <v>448.68799999999999</v>
      </c>
      <c r="BP126" s="127">
        <f t="shared" si="3"/>
        <v>305.12400000000002</v>
      </c>
    </row>
    <row r="127" spans="1:68" ht="14.25" hidden="1" customHeight="1" collapsed="1" x14ac:dyDescent="0.25">
      <c r="A127" s="10" t="b">
        <f>$U96="Водоотведение"</f>
        <v>0</v>
      </c>
      <c r="C127" s="5" t="s">
        <v>166</v>
      </c>
      <c r="D127" s="5" t="s">
        <v>167</v>
      </c>
      <c r="E127" s="8" t="s">
        <v>73</v>
      </c>
      <c r="F127" s="116" t="s">
        <v>74</v>
      </c>
      <c r="G127" s="116" t="s">
        <v>73</v>
      </c>
      <c r="H127" s="116" t="s">
        <v>73</v>
      </c>
      <c r="I127" s="116" t="s">
        <v>73</v>
      </c>
      <c r="J127" s="116" t="s">
        <v>73</v>
      </c>
      <c r="K127" s="116" t="s">
        <v>73</v>
      </c>
      <c r="L127" s="116"/>
      <c r="M127" s="5" t="str">
        <f t="array" ref="M127">Y96</f>
        <v>1ХВС::1.1</v>
      </c>
      <c r="Z127" s="6"/>
      <c r="AA127" s="6"/>
      <c r="AB127" s="65"/>
      <c r="AC127" s="62"/>
      <c r="AD127" s="51"/>
      <c r="AE127" s="147"/>
      <c r="AF127" s="148"/>
      <c r="AG127" s="149"/>
      <c r="AH127" s="147"/>
      <c r="AI127" s="148"/>
      <c r="AJ127" s="149"/>
      <c r="AK127" s="147"/>
      <c r="AL127" s="148"/>
      <c r="AM127" s="149"/>
      <c r="AN127" s="147"/>
      <c r="AO127" s="148"/>
      <c r="AP127" s="150"/>
      <c r="AQ127" s="147"/>
      <c r="AR127" s="148"/>
      <c r="AS127" s="150"/>
      <c r="AT127" s="147"/>
      <c r="AU127" s="148"/>
      <c r="AV127" s="150"/>
      <c r="AW127" s="147"/>
      <c r="AX127" s="148"/>
      <c r="AY127" s="150"/>
      <c r="AZ127" s="147"/>
      <c r="BA127" s="148"/>
      <c r="BB127" s="150"/>
      <c r="BC127" s="147"/>
      <c r="BD127" s="148"/>
      <c r="BE127" s="149"/>
      <c r="BF127" s="151"/>
      <c r="BG127" s="148"/>
      <c r="BH127" s="150"/>
      <c r="BI127" s="147"/>
      <c r="BJ127" s="148"/>
      <c r="BK127" s="149"/>
      <c r="BN127" s="125">
        <f t="shared" si="1"/>
        <v>0</v>
      </c>
      <c r="BO127" s="126">
        <f t="shared" si="2"/>
        <v>0</v>
      </c>
      <c r="BP127" s="127">
        <f t="shared" si="3"/>
        <v>0</v>
      </c>
    </row>
    <row r="128" spans="1:68" ht="14.25" hidden="1" customHeight="1" outlineLevel="2" x14ac:dyDescent="0.25">
      <c r="A128" s="10" t="b">
        <f>AND(A127)</f>
        <v>0</v>
      </c>
      <c r="B128" s="5" t="b">
        <f>AND(OR(isFIRST_PERIOD="да",$AD$56="нет"),A127)</f>
        <v>0</v>
      </c>
      <c r="C128" s="8" t="s">
        <v>168</v>
      </c>
      <c r="D128" s="152" t="s">
        <v>169</v>
      </c>
      <c r="E128" s="8" t="s">
        <v>73</v>
      </c>
      <c r="F128" s="8" t="s">
        <v>74</v>
      </c>
      <c r="G128" s="8" t="s">
        <v>73</v>
      </c>
      <c r="H128" s="8" t="s">
        <v>73</v>
      </c>
      <c r="I128" s="8" t="s">
        <v>73</v>
      </c>
      <c r="J128" s="8" t="s">
        <v>73</v>
      </c>
      <c r="K128" s="8" t="s">
        <v>73</v>
      </c>
      <c r="L128" s="8"/>
      <c r="M128" s="5" t="str">
        <f t="array" ref="M128">Y96</f>
        <v>1ХВС::1.1</v>
      </c>
      <c r="N128" s="4"/>
      <c r="Z128" s="6"/>
      <c r="AA128" s="6"/>
      <c r="AB128" s="29"/>
      <c r="AC128" s="117"/>
      <c r="AD128" s="51"/>
      <c r="AE128" s="66"/>
      <c r="AF128" s="67"/>
      <c r="AG128" s="68"/>
      <c r="AH128" s="66"/>
      <c r="AI128" s="67"/>
      <c r="AJ128" s="68"/>
      <c r="AK128" s="66"/>
      <c r="AL128" s="67"/>
      <c r="AM128" s="68"/>
      <c r="AN128" s="66"/>
      <c r="AO128" s="67"/>
      <c r="AP128" s="119"/>
      <c r="AQ128" s="66"/>
      <c r="AR128" s="67"/>
      <c r="AS128" s="119"/>
      <c r="AT128" s="66"/>
      <c r="AU128" s="67"/>
      <c r="AV128" s="119"/>
      <c r="AW128" s="66"/>
      <c r="AX128" s="67"/>
      <c r="AY128" s="119"/>
      <c r="AZ128" s="66"/>
      <c r="BA128" s="67"/>
      <c r="BB128" s="119"/>
      <c r="BC128" s="66"/>
      <c r="BD128" s="67"/>
      <c r="BE128" s="68"/>
      <c r="BF128" s="146"/>
      <c r="BG128" s="67"/>
      <c r="BH128" s="119"/>
      <c r="BI128" s="66"/>
      <c r="BJ128" s="67"/>
      <c r="BK128" s="68"/>
      <c r="BN128" s="125">
        <f t="shared" si="1"/>
        <v>0</v>
      </c>
      <c r="BO128" s="126">
        <f t="shared" si="2"/>
        <v>0</v>
      </c>
      <c r="BP128" s="127">
        <f t="shared" si="3"/>
        <v>0</v>
      </c>
    </row>
    <row r="129" spans="1:68" ht="14.25" hidden="1" customHeight="1" outlineLevel="2" x14ac:dyDescent="0.25">
      <c r="A129" s="10" t="b">
        <f>AND(A127)</f>
        <v>0</v>
      </c>
      <c r="B129" s="5" t="b">
        <f>AND(OR(isFIRST_PERIOD="да",$AD$56="нет"),A127)</f>
        <v>0</v>
      </c>
      <c r="C129" s="8" t="s">
        <v>170</v>
      </c>
      <c r="D129" s="152" t="s">
        <v>171</v>
      </c>
      <c r="E129" s="8" t="s">
        <v>73</v>
      </c>
      <c r="F129" s="8" t="s">
        <v>74</v>
      </c>
      <c r="G129" s="8" t="s">
        <v>73</v>
      </c>
      <c r="H129" s="8" t="s">
        <v>73</v>
      </c>
      <c r="I129" s="8" t="s">
        <v>73</v>
      </c>
      <c r="J129" s="8" t="s">
        <v>73</v>
      </c>
      <c r="K129" s="8" t="s">
        <v>73</v>
      </c>
      <c r="L129" s="8"/>
      <c r="M129" s="5" t="str">
        <f t="array" ref="M129">Y96</f>
        <v>1ХВС::1.1</v>
      </c>
      <c r="N129" s="4"/>
      <c r="Z129" s="6"/>
      <c r="AA129" s="6"/>
      <c r="AB129" s="29"/>
      <c r="AC129" s="117"/>
      <c r="AD129" s="51"/>
      <c r="AE129" s="66"/>
      <c r="AF129" s="67"/>
      <c r="AG129" s="68"/>
      <c r="AH129" s="66"/>
      <c r="AI129" s="67"/>
      <c r="AJ129" s="68"/>
      <c r="AK129" s="66"/>
      <c r="AL129" s="67"/>
      <c r="AM129" s="68"/>
      <c r="AN129" s="66"/>
      <c r="AO129" s="67"/>
      <c r="AP129" s="119"/>
      <c r="AQ129" s="66"/>
      <c r="AR129" s="67"/>
      <c r="AS129" s="119"/>
      <c r="AT129" s="66"/>
      <c r="AU129" s="67"/>
      <c r="AV129" s="119"/>
      <c r="AW129" s="66"/>
      <c r="AX129" s="67"/>
      <c r="AY129" s="119"/>
      <c r="AZ129" s="66"/>
      <c r="BA129" s="67"/>
      <c r="BB129" s="119"/>
      <c r="BC129" s="66"/>
      <c r="BD129" s="67"/>
      <c r="BE129" s="68"/>
      <c r="BF129" s="146"/>
      <c r="BG129" s="67"/>
      <c r="BH129" s="119"/>
      <c r="BI129" s="66"/>
      <c r="BJ129" s="67"/>
      <c r="BK129" s="68"/>
      <c r="BN129" s="125">
        <f t="shared" si="1"/>
        <v>0</v>
      </c>
      <c r="BO129" s="126">
        <f t="shared" si="2"/>
        <v>0</v>
      </c>
      <c r="BP129" s="127">
        <f t="shared" si="3"/>
        <v>0</v>
      </c>
    </row>
    <row r="130" spans="1:68" ht="14.25" hidden="1" customHeight="1" outlineLevel="3" x14ac:dyDescent="0.25">
      <c r="A130" s="10" t="b">
        <f>AND(A127,region_name="Республика Татарстан")</f>
        <v>0</v>
      </c>
      <c r="C130" s="8" t="s">
        <v>140</v>
      </c>
      <c r="D130" s="8" t="s">
        <v>141</v>
      </c>
      <c r="E130" s="8" t="s">
        <v>172</v>
      </c>
      <c r="F130" s="8" t="s">
        <v>74</v>
      </c>
      <c r="G130" s="8" t="s">
        <v>73</v>
      </c>
      <c r="H130" s="8" t="s">
        <v>73</v>
      </c>
      <c r="I130" s="8" t="s">
        <v>73</v>
      </c>
      <c r="J130" s="8" t="s">
        <v>73</v>
      </c>
      <c r="K130" s="8" t="s">
        <v>73</v>
      </c>
      <c r="L130" s="8"/>
      <c r="M130" s="5" t="str">
        <f t="array" ref="M130">Y96</f>
        <v>1ХВС::1.1</v>
      </c>
      <c r="N130" s="4"/>
      <c r="Z130" s="6"/>
      <c r="AA130" s="6"/>
      <c r="AB130" s="29"/>
      <c r="AC130" s="71"/>
      <c r="AD130" s="51"/>
      <c r="AE130" s="66"/>
      <c r="AF130" s="67"/>
      <c r="AG130" s="68"/>
      <c r="AH130" s="66"/>
      <c r="AI130" s="67"/>
      <c r="AJ130" s="68"/>
      <c r="AK130" s="66"/>
      <c r="AL130" s="67"/>
      <c r="AM130" s="68"/>
      <c r="AN130" s="66"/>
      <c r="AO130" s="67"/>
      <c r="AP130" s="119"/>
      <c r="AQ130" s="66"/>
      <c r="AR130" s="67"/>
      <c r="AS130" s="119"/>
      <c r="AT130" s="66"/>
      <c r="AU130" s="67"/>
      <c r="AV130" s="119"/>
      <c r="AW130" s="66"/>
      <c r="AX130" s="67"/>
      <c r="AY130" s="119"/>
      <c r="AZ130" s="66"/>
      <c r="BA130" s="67"/>
      <c r="BB130" s="119"/>
      <c r="BC130" s="66"/>
      <c r="BD130" s="67"/>
      <c r="BE130" s="68"/>
      <c r="BF130" s="146"/>
      <c r="BG130" s="67"/>
      <c r="BH130" s="119"/>
      <c r="BI130" s="66"/>
      <c r="BJ130" s="67"/>
      <c r="BK130" s="68"/>
      <c r="BN130" s="125">
        <f t="shared" si="1"/>
        <v>0</v>
      </c>
      <c r="BO130" s="126">
        <f t="shared" si="2"/>
        <v>0</v>
      </c>
      <c r="BP130" s="127">
        <f t="shared" si="3"/>
        <v>0</v>
      </c>
    </row>
    <row r="131" spans="1:68" ht="14.25" hidden="1" customHeight="1" outlineLevel="3" x14ac:dyDescent="0.25">
      <c r="A131" s="10" t="b">
        <f>AND(A127,region_name="Республика Татарстан")</f>
        <v>0</v>
      </c>
      <c r="C131" s="8" t="s">
        <v>140</v>
      </c>
      <c r="D131" s="8" t="s">
        <v>141</v>
      </c>
      <c r="E131" s="8" t="s">
        <v>173</v>
      </c>
      <c r="F131" s="8" t="s">
        <v>74</v>
      </c>
      <c r="G131" s="8" t="s">
        <v>73</v>
      </c>
      <c r="H131" s="8" t="s">
        <v>73</v>
      </c>
      <c r="I131" s="8" t="s">
        <v>73</v>
      </c>
      <c r="J131" s="8" t="s">
        <v>73</v>
      </c>
      <c r="K131" s="8" t="s">
        <v>73</v>
      </c>
      <c r="L131" s="8"/>
      <c r="M131" s="5" t="str">
        <f t="array" ref="M131">Y96</f>
        <v>1ХВС::1.1</v>
      </c>
      <c r="N131" s="4"/>
      <c r="Z131" s="6"/>
      <c r="AA131" s="6"/>
      <c r="AB131" s="29"/>
      <c r="AC131" s="87"/>
      <c r="AD131" s="51"/>
      <c r="AE131" s="66"/>
      <c r="AF131" s="67"/>
      <c r="AG131" s="68"/>
      <c r="AH131" s="66"/>
      <c r="AI131" s="67"/>
      <c r="AJ131" s="68"/>
      <c r="AK131" s="66"/>
      <c r="AL131" s="67"/>
      <c r="AM131" s="68"/>
      <c r="AN131" s="66"/>
      <c r="AO131" s="67"/>
      <c r="AP131" s="119"/>
      <c r="AQ131" s="66"/>
      <c r="AR131" s="67"/>
      <c r="AS131" s="119"/>
      <c r="AT131" s="66"/>
      <c r="AU131" s="67"/>
      <c r="AV131" s="119"/>
      <c r="AW131" s="66"/>
      <c r="AX131" s="67"/>
      <c r="AY131" s="119"/>
      <c r="AZ131" s="66"/>
      <c r="BA131" s="67"/>
      <c r="BB131" s="119"/>
      <c r="BC131" s="66"/>
      <c r="BD131" s="67"/>
      <c r="BE131" s="68"/>
      <c r="BF131" s="146"/>
      <c r="BG131" s="67"/>
      <c r="BH131" s="119"/>
      <c r="BI131" s="66"/>
      <c r="BJ131" s="67"/>
      <c r="BK131" s="68"/>
      <c r="BN131" s="125">
        <f t="shared" si="1"/>
        <v>0</v>
      </c>
      <c r="BO131" s="126">
        <f t="shared" si="2"/>
        <v>0</v>
      </c>
      <c r="BP131" s="127">
        <f t="shared" si="3"/>
        <v>0</v>
      </c>
    </row>
    <row r="132" spans="1:68" ht="14.25" hidden="1" customHeight="1" outlineLevel="3" x14ac:dyDescent="0.25">
      <c r="A132" s="10" t="b">
        <f t="array" ref="A132">A127</f>
        <v>0</v>
      </c>
      <c r="C132" s="8" t="s">
        <v>140</v>
      </c>
      <c r="D132" s="8" t="s">
        <v>141</v>
      </c>
      <c r="E132" s="8" t="s">
        <v>174</v>
      </c>
      <c r="F132" s="8" t="s">
        <v>74</v>
      </c>
      <c r="G132" s="8" t="s">
        <v>73</v>
      </c>
      <c r="H132" s="8" t="s">
        <v>73</v>
      </c>
      <c r="I132" s="8" t="s">
        <v>73</v>
      </c>
      <c r="J132" s="8" t="s">
        <v>73</v>
      </c>
      <c r="K132" s="8" t="s">
        <v>73</v>
      </c>
      <c r="L132" s="8"/>
      <c r="M132" s="5" t="str">
        <f t="array" ref="M132">Y96</f>
        <v>1ХВС::1.1</v>
      </c>
      <c r="N132" s="4"/>
      <c r="Z132" s="6"/>
      <c r="AA132" s="6"/>
      <c r="AB132" s="29"/>
      <c r="AC132" s="71"/>
      <c r="AD132" s="51"/>
      <c r="AE132" s="66"/>
      <c r="AF132" s="67"/>
      <c r="AG132" s="68"/>
      <c r="AH132" s="66"/>
      <c r="AI132" s="67"/>
      <c r="AJ132" s="68"/>
      <c r="AK132" s="66"/>
      <c r="AL132" s="67"/>
      <c r="AM132" s="68"/>
      <c r="AN132" s="66"/>
      <c r="AO132" s="67"/>
      <c r="AP132" s="119"/>
      <c r="AQ132" s="66"/>
      <c r="AR132" s="67"/>
      <c r="AS132" s="119"/>
      <c r="AT132" s="66"/>
      <c r="AU132" s="67"/>
      <c r="AV132" s="119"/>
      <c r="AW132" s="66"/>
      <c r="AX132" s="67"/>
      <c r="AY132" s="119"/>
      <c r="AZ132" s="66"/>
      <c r="BA132" s="67"/>
      <c r="BB132" s="119"/>
      <c r="BC132" s="66"/>
      <c r="BD132" s="67"/>
      <c r="BE132" s="68"/>
      <c r="BF132" s="146"/>
      <c r="BG132" s="67"/>
      <c r="BH132" s="119"/>
      <c r="BI132" s="66"/>
      <c r="BJ132" s="67"/>
      <c r="BK132" s="68"/>
      <c r="BN132" s="125">
        <f t="shared" si="1"/>
        <v>0</v>
      </c>
      <c r="BO132" s="126">
        <f t="shared" si="2"/>
        <v>0</v>
      </c>
      <c r="BP132" s="127">
        <f t="shared" si="3"/>
        <v>0</v>
      </c>
    </row>
    <row r="133" spans="1:68" ht="14.25" hidden="1" customHeight="1" outlineLevel="3" x14ac:dyDescent="0.25">
      <c r="A133" s="10" t="b">
        <f t="array" ref="A133">A132</f>
        <v>0</v>
      </c>
      <c r="C133" s="8" t="s">
        <v>140</v>
      </c>
      <c r="D133" s="8" t="s">
        <v>141</v>
      </c>
      <c r="E133" s="8" t="s">
        <v>175</v>
      </c>
      <c r="F133" s="8" t="s">
        <v>74</v>
      </c>
      <c r="G133" s="8" t="s">
        <v>73</v>
      </c>
      <c r="H133" s="8" t="s">
        <v>73</v>
      </c>
      <c r="I133" s="8" t="s">
        <v>73</v>
      </c>
      <c r="J133" s="8" t="s">
        <v>73</v>
      </c>
      <c r="K133" s="8" t="s">
        <v>73</v>
      </c>
      <c r="L133" s="8"/>
      <c r="M133" s="5" t="str">
        <f t="array" ref="M133">Y96</f>
        <v>1ХВС::1.1</v>
      </c>
      <c r="N133" s="4"/>
      <c r="Z133" s="6"/>
      <c r="AA133" s="6"/>
      <c r="AB133" s="29"/>
      <c r="AC133" s="87"/>
      <c r="AD133" s="51"/>
      <c r="AE133" s="66"/>
      <c r="AF133" s="67"/>
      <c r="AG133" s="68"/>
      <c r="AH133" s="66"/>
      <c r="AI133" s="67"/>
      <c r="AJ133" s="68"/>
      <c r="AK133" s="66"/>
      <c r="AL133" s="67"/>
      <c r="AM133" s="68"/>
      <c r="AN133" s="66"/>
      <c r="AO133" s="67"/>
      <c r="AP133" s="119"/>
      <c r="AQ133" s="66"/>
      <c r="AR133" s="67"/>
      <c r="AS133" s="119"/>
      <c r="AT133" s="66"/>
      <c r="AU133" s="67"/>
      <c r="AV133" s="119"/>
      <c r="AW133" s="66"/>
      <c r="AX133" s="67"/>
      <c r="AY133" s="119"/>
      <c r="AZ133" s="66"/>
      <c r="BA133" s="67"/>
      <c r="BB133" s="119"/>
      <c r="BC133" s="66"/>
      <c r="BD133" s="67"/>
      <c r="BE133" s="68"/>
      <c r="BF133" s="146"/>
      <c r="BG133" s="67"/>
      <c r="BH133" s="119"/>
      <c r="BI133" s="66"/>
      <c r="BJ133" s="67"/>
      <c r="BK133" s="68"/>
      <c r="BN133" s="125">
        <f t="shared" si="1"/>
        <v>0</v>
      </c>
      <c r="BO133" s="126">
        <f t="shared" si="2"/>
        <v>0</v>
      </c>
      <c r="BP133" s="127">
        <f t="shared" si="3"/>
        <v>0</v>
      </c>
    </row>
    <row r="134" spans="1:68" ht="14.25" hidden="1" customHeight="1" outlineLevel="3" x14ac:dyDescent="0.25">
      <c r="A134" s="10" t="b">
        <f t="array" ref="A134">A133</f>
        <v>0</v>
      </c>
      <c r="C134" s="8" t="s">
        <v>140</v>
      </c>
      <c r="D134" s="8" t="s">
        <v>141</v>
      </c>
      <c r="E134" s="8" t="s">
        <v>176</v>
      </c>
      <c r="F134" s="8" t="s">
        <v>74</v>
      </c>
      <c r="G134" s="8" t="s">
        <v>73</v>
      </c>
      <c r="H134" s="8" t="s">
        <v>73</v>
      </c>
      <c r="I134" s="8" t="s">
        <v>73</v>
      </c>
      <c r="J134" s="8" t="s">
        <v>73</v>
      </c>
      <c r="K134" s="8" t="s">
        <v>73</v>
      </c>
      <c r="L134" s="8"/>
      <c r="M134" s="5" t="str">
        <f t="array" ref="M134">Y96</f>
        <v>1ХВС::1.1</v>
      </c>
      <c r="N134" s="4"/>
      <c r="Z134" s="6"/>
      <c r="AA134" s="6"/>
      <c r="AB134" s="29"/>
      <c r="AC134" s="87"/>
      <c r="AD134" s="51"/>
      <c r="AE134" s="66"/>
      <c r="AF134" s="67"/>
      <c r="AG134" s="68"/>
      <c r="AH134" s="66"/>
      <c r="AI134" s="67"/>
      <c r="AJ134" s="68"/>
      <c r="AK134" s="66"/>
      <c r="AL134" s="67"/>
      <c r="AM134" s="68"/>
      <c r="AN134" s="66"/>
      <c r="AO134" s="67"/>
      <c r="AP134" s="119"/>
      <c r="AQ134" s="66"/>
      <c r="AR134" s="67"/>
      <c r="AS134" s="119"/>
      <c r="AT134" s="66"/>
      <c r="AU134" s="67"/>
      <c r="AV134" s="119"/>
      <c r="AW134" s="66"/>
      <c r="AX134" s="67"/>
      <c r="AY134" s="119"/>
      <c r="AZ134" s="66"/>
      <c r="BA134" s="67"/>
      <c r="BB134" s="119"/>
      <c r="BC134" s="66"/>
      <c r="BD134" s="67"/>
      <c r="BE134" s="68"/>
      <c r="BF134" s="146"/>
      <c r="BG134" s="67"/>
      <c r="BH134" s="119"/>
      <c r="BI134" s="66"/>
      <c r="BJ134" s="67"/>
      <c r="BK134" s="68"/>
      <c r="BN134" s="125">
        <f t="shared" si="1"/>
        <v>0</v>
      </c>
      <c r="BO134" s="126">
        <f t="shared" si="2"/>
        <v>0</v>
      </c>
      <c r="BP134" s="127">
        <f t="shared" si="3"/>
        <v>0</v>
      </c>
    </row>
    <row r="135" spans="1:68" ht="14.25" hidden="1" customHeight="1" outlineLevel="3" x14ac:dyDescent="0.25">
      <c r="A135" s="10" t="b">
        <f t="array" ref="A135">A134</f>
        <v>0</v>
      </c>
      <c r="C135" s="116" t="s">
        <v>140</v>
      </c>
      <c r="D135" s="116" t="s">
        <v>141</v>
      </c>
      <c r="E135" s="116" t="s">
        <v>177</v>
      </c>
      <c r="F135" s="116" t="s">
        <v>74</v>
      </c>
      <c r="G135" s="116" t="s">
        <v>73</v>
      </c>
      <c r="H135" s="116" t="s">
        <v>73</v>
      </c>
      <c r="I135" s="116" t="s">
        <v>73</v>
      </c>
      <c r="J135" s="116" t="s">
        <v>73</v>
      </c>
      <c r="K135" s="116" t="s">
        <v>73</v>
      </c>
      <c r="L135" s="116"/>
      <c r="M135" s="5" t="str">
        <f t="array" ref="M135">Y96</f>
        <v>1ХВС::1.1</v>
      </c>
      <c r="N135" s="116"/>
      <c r="Z135" s="6"/>
      <c r="AA135" s="6"/>
      <c r="AB135" s="29"/>
      <c r="AC135" s="92"/>
      <c r="AD135" s="51"/>
      <c r="AE135" s="66"/>
      <c r="AF135" s="67"/>
      <c r="AG135" s="68"/>
      <c r="AH135" s="66"/>
      <c r="AI135" s="67"/>
      <c r="AJ135" s="68"/>
      <c r="AK135" s="66"/>
      <c r="AL135" s="67"/>
      <c r="AM135" s="68"/>
      <c r="AN135" s="66"/>
      <c r="AO135" s="67"/>
      <c r="AP135" s="119"/>
      <c r="AQ135" s="66"/>
      <c r="AR135" s="67"/>
      <c r="AS135" s="119"/>
      <c r="AT135" s="66"/>
      <c r="AU135" s="67"/>
      <c r="AV135" s="119"/>
      <c r="AW135" s="66"/>
      <c r="AX135" s="67"/>
      <c r="AY135" s="119"/>
      <c r="AZ135" s="66"/>
      <c r="BA135" s="67"/>
      <c r="BB135" s="119"/>
      <c r="BC135" s="66"/>
      <c r="BD135" s="67"/>
      <c r="BE135" s="68"/>
      <c r="BF135" s="146"/>
      <c r="BG135" s="67"/>
      <c r="BH135" s="119"/>
      <c r="BI135" s="66"/>
      <c r="BJ135" s="67"/>
      <c r="BK135" s="68"/>
      <c r="BN135" s="125">
        <f t="shared" si="1"/>
        <v>0</v>
      </c>
      <c r="BO135" s="126">
        <f t="shared" si="2"/>
        <v>0</v>
      </c>
      <c r="BP135" s="127">
        <f t="shared" si="3"/>
        <v>0</v>
      </c>
    </row>
    <row r="136" spans="1:68" ht="14.25" hidden="1" customHeight="1" outlineLevel="3" x14ac:dyDescent="0.25">
      <c r="A136" s="10" t="b">
        <f t="array" ref="A136">A135</f>
        <v>0</v>
      </c>
      <c r="C136" s="116" t="s">
        <v>140</v>
      </c>
      <c r="D136" s="116" t="s">
        <v>141</v>
      </c>
      <c r="E136" s="116" t="s">
        <v>178</v>
      </c>
      <c r="F136" s="116" t="s">
        <v>74</v>
      </c>
      <c r="G136" s="116" t="s">
        <v>73</v>
      </c>
      <c r="H136" s="116" t="s">
        <v>73</v>
      </c>
      <c r="I136" s="116" t="s">
        <v>73</v>
      </c>
      <c r="J136" s="116" t="s">
        <v>73</v>
      </c>
      <c r="K136" s="116" t="s">
        <v>73</v>
      </c>
      <c r="L136" s="116"/>
      <c r="M136" s="5" t="str">
        <f t="array" ref="M136">Y96</f>
        <v>1ХВС::1.1</v>
      </c>
      <c r="N136" s="116"/>
      <c r="Z136" s="6"/>
      <c r="AA136" s="6"/>
      <c r="AB136" s="29"/>
      <c r="AC136" s="153"/>
      <c r="AD136" s="51"/>
      <c r="AE136" s="66"/>
      <c r="AF136" s="67"/>
      <c r="AG136" s="68"/>
      <c r="AH136" s="66"/>
      <c r="AI136" s="67"/>
      <c r="AJ136" s="68"/>
      <c r="AK136" s="66"/>
      <c r="AL136" s="67"/>
      <c r="AM136" s="68"/>
      <c r="AN136" s="66"/>
      <c r="AO136" s="67"/>
      <c r="AP136" s="119"/>
      <c r="AQ136" s="66"/>
      <c r="AR136" s="67"/>
      <c r="AS136" s="119"/>
      <c r="AT136" s="66"/>
      <c r="AU136" s="67"/>
      <c r="AV136" s="119"/>
      <c r="AW136" s="66"/>
      <c r="AX136" s="67"/>
      <c r="AY136" s="119"/>
      <c r="AZ136" s="66"/>
      <c r="BA136" s="67"/>
      <c r="BB136" s="119"/>
      <c r="BC136" s="66"/>
      <c r="BD136" s="67"/>
      <c r="BE136" s="68"/>
      <c r="BF136" s="146"/>
      <c r="BG136" s="67"/>
      <c r="BH136" s="119"/>
      <c r="BI136" s="66"/>
      <c r="BJ136" s="67"/>
      <c r="BK136" s="68"/>
      <c r="BN136" s="125">
        <f t="shared" si="1"/>
        <v>0</v>
      </c>
      <c r="BO136" s="126">
        <f t="shared" si="2"/>
        <v>0</v>
      </c>
      <c r="BP136" s="127">
        <f t="shared" si="3"/>
        <v>0</v>
      </c>
    </row>
    <row r="137" spans="1:68" ht="14.25" hidden="1" customHeight="1" outlineLevel="3" x14ac:dyDescent="0.25">
      <c r="A137" s="10" t="b">
        <f t="array" ref="A137">A136</f>
        <v>0</v>
      </c>
      <c r="C137" s="116" t="s">
        <v>140</v>
      </c>
      <c r="D137" s="116" t="s">
        <v>141</v>
      </c>
      <c r="E137" s="116" t="s">
        <v>179</v>
      </c>
      <c r="F137" s="116" t="s">
        <v>74</v>
      </c>
      <c r="G137" s="116" t="s">
        <v>73</v>
      </c>
      <c r="H137" s="116" t="s">
        <v>73</v>
      </c>
      <c r="I137" s="116" t="s">
        <v>73</v>
      </c>
      <c r="J137" s="116" t="s">
        <v>73</v>
      </c>
      <c r="K137" s="116" t="s">
        <v>73</v>
      </c>
      <c r="L137" s="116"/>
      <c r="M137" s="5" t="str">
        <f t="array" ref="M137">Y96</f>
        <v>1ХВС::1.1</v>
      </c>
      <c r="N137" s="116"/>
      <c r="Z137" s="6"/>
      <c r="AA137" s="6"/>
      <c r="AB137" s="29"/>
      <c r="AC137" s="153"/>
      <c r="AD137" s="51"/>
      <c r="AE137" s="66"/>
      <c r="AF137" s="67"/>
      <c r="AG137" s="68"/>
      <c r="AH137" s="66"/>
      <c r="AI137" s="67"/>
      <c r="AJ137" s="68"/>
      <c r="AK137" s="66"/>
      <c r="AL137" s="67"/>
      <c r="AM137" s="68"/>
      <c r="AN137" s="66"/>
      <c r="AO137" s="67"/>
      <c r="AP137" s="119"/>
      <c r="AQ137" s="66"/>
      <c r="AR137" s="67"/>
      <c r="AS137" s="119"/>
      <c r="AT137" s="66"/>
      <c r="AU137" s="67"/>
      <c r="AV137" s="119"/>
      <c r="AW137" s="66"/>
      <c r="AX137" s="67"/>
      <c r="AY137" s="119"/>
      <c r="AZ137" s="66"/>
      <c r="BA137" s="67"/>
      <c r="BB137" s="119"/>
      <c r="BC137" s="66"/>
      <c r="BD137" s="67"/>
      <c r="BE137" s="68"/>
      <c r="BF137" s="146"/>
      <c r="BG137" s="67"/>
      <c r="BH137" s="119"/>
      <c r="BI137" s="66"/>
      <c r="BJ137" s="67"/>
      <c r="BK137" s="68"/>
      <c r="BN137" s="125">
        <f t="shared" si="1"/>
        <v>0</v>
      </c>
      <c r="BO137" s="126">
        <f t="shared" si="2"/>
        <v>0</v>
      </c>
      <c r="BP137" s="127">
        <f t="shared" si="3"/>
        <v>0</v>
      </c>
    </row>
    <row r="138" spans="1:68" ht="14.25" hidden="1" customHeight="1" outlineLevel="3" x14ac:dyDescent="0.25">
      <c r="A138" s="10" t="b">
        <f t="array" ref="A138">A137</f>
        <v>0</v>
      </c>
      <c r="C138" s="116" t="s">
        <v>140</v>
      </c>
      <c r="D138" s="116" t="s">
        <v>141</v>
      </c>
      <c r="E138" s="116" t="s">
        <v>180</v>
      </c>
      <c r="F138" s="116" t="s">
        <v>74</v>
      </c>
      <c r="G138" s="116" t="s">
        <v>73</v>
      </c>
      <c r="H138" s="116" t="s">
        <v>73</v>
      </c>
      <c r="I138" s="116" t="s">
        <v>73</v>
      </c>
      <c r="J138" s="116" t="s">
        <v>73</v>
      </c>
      <c r="K138" s="116" t="s">
        <v>73</v>
      </c>
      <c r="L138" s="116"/>
      <c r="M138" s="5" t="str">
        <f t="array" ref="M138">Y96</f>
        <v>1ХВС::1.1</v>
      </c>
      <c r="N138" s="116"/>
      <c r="Z138" s="6"/>
      <c r="AA138" s="6"/>
      <c r="AB138" s="29"/>
      <c r="AC138" s="153"/>
      <c r="AD138" s="51"/>
      <c r="AE138" s="66"/>
      <c r="AF138" s="67"/>
      <c r="AG138" s="68"/>
      <c r="AH138" s="66"/>
      <c r="AI138" s="67"/>
      <c r="AJ138" s="68"/>
      <c r="AK138" s="66"/>
      <c r="AL138" s="67"/>
      <c r="AM138" s="68"/>
      <c r="AN138" s="66"/>
      <c r="AO138" s="67"/>
      <c r="AP138" s="119"/>
      <c r="AQ138" s="66"/>
      <c r="AR138" s="67"/>
      <c r="AS138" s="119"/>
      <c r="AT138" s="66"/>
      <c r="AU138" s="67"/>
      <c r="AV138" s="119"/>
      <c r="AW138" s="66"/>
      <c r="AX138" s="67"/>
      <c r="AY138" s="119"/>
      <c r="AZ138" s="66"/>
      <c r="BA138" s="67"/>
      <c r="BB138" s="119"/>
      <c r="BC138" s="66"/>
      <c r="BD138" s="67"/>
      <c r="BE138" s="68"/>
      <c r="BF138" s="146"/>
      <c r="BG138" s="67"/>
      <c r="BH138" s="119"/>
      <c r="BI138" s="66"/>
      <c r="BJ138" s="67"/>
      <c r="BK138" s="68"/>
      <c r="BN138" s="125">
        <f t="shared" si="1"/>
        <v>0</v>
      </c>
      <c r="BO138" s="126">
        <f t="shared" si="2"/>
        <v>0</v>
      </c>
      <c r="BP138" s="127">
        <f t="shared" si="3"/>
        <v>0</v>
      </c>
    </row>
    <row r="139" spans="1:68" ht="14.25" hidden="1" customHeight="1" outlineLevel="3" x14ac:dyDescent="0.25">
      <c r="A139" s="10" t="b">
        <f t="array" ref="A139">A138</f>
        <v>0</v>
      </c>
      <c r="C139" s="116" t="s">
        <v>140</v>
      </c>
      <c r="D139" s="116" t="s">
        <v>141</v>
      </c>
      <c r="E139" s="116" t="s">
        <v>181</v>
      </c>
      <c r="F139" s="116" t="s">
        <v>74</v>
      </c>
      <c r="G139" s="116" t="s">
        <v>73</v>
      </c>
      <c r="H139" s="116" t="s">
        <v>73</v>
      </c>
      <c r="I139" s="116" t="s">
        <v>73</v>
      </c>
      <c r="J139" s="116" t="s">
        <v>73</v>
      </c>
      <c r="K139" s="116" t="s">
        <v>73</v>
      </c>
      <c r="L139" s="116"/>
      <c r="M139" s="5" t="str">
        <f t="array" ref="M139">Y96</f>
        <v>1ХВС::1.1</v>
      </c>
      <c r="N139" s="116"/>
      <c r="Z139" s="6"/>
      <c r="AA139" s="6"/>
      <c r="AB139" s="29"/>
      <c r="AC139" s="92"/>
      <c r="AD139" s="51"/>
      <c r="AE139" s="66"/>
      <c r="AF139" s="67"/>
      <c r="AG139" s="68"/>
      <c r="AH139" s="66"/>
      <c r="AI139" s="67"/>
      <c r="AJ139" s="68"/>
      <c r="AK139" s="66"/>
      <c r="AL139" s="67"/>
      <c r="AM139" s="68"/>
      <c r="AN139" s="66"/>
      <c r="AO139" s="67"/>
      <c r="AP139" s="119"/>
      <c r="AQ139" s="66"/>
      <c r="AR139" s="67"/>
      <c r="AS139" s="119"/>
      <c r="AT139" s="66"/>
      <c r="AU139" s="67"/>
      <c r="AV139" s="119"/>
      <c r="AW139" s="66"/>
      <c r="AX139" s="67"/>
      <c r="AY139" s="119"/>
      <c r="AZ139" s="66"/>
      <c r="BA139" s="67"/>
      <c r="BB139" s="119"/>
      <c r="BC139" s="66"/>
      <c r="BD139" s="67"/>
      <c r="BE139" s="68"/>
      <c r="BF139" s="146"/>
      <c r="BG139" s="67"/>
      <c r="BH139" s="119"/>
      <c r="BI139" s="66"/>
      <c r="BJ139" s="67"/>
      <c r="BK139" s="68"/>
      <c r="BN139" s="125">
        <f t="shared" si="1"/>
        <v>0</v>
      </c>
      <c r="BO139" s="126">
        <f t="shared" si="2"/>
        <v>0</v>
      </c>
      <c r="BP139" s="127">
        <f t="shared" si="3"/>
        <v>0</v>
      </c>
    </row>
    <row r="140" spans="1:68" ht="14.25" hidden="1" customHeight="1" outlineLevel="3" x14ac:dyDescent="0.25">
      <c r="A140" s="10" t="b">
        <f t="array" ref="A140">A139</f>
        <v>0</v>
      </c>
      <c r="C140" s="116" t="s">
        <v>140</v>
      </c>
      <c r="D140" s="116" t="s">
        <v>141</v>
      </c>
      <c r="E140" s="116" t="s">
        <v>182</v>
      </c>
      <c r="F140" s="116" t="s">
        <v>74</v>
      </c>
      <c r="G140" s="116" t="s">
        <v>73</v>
      </c>
      <c r="H140" s="116" t="s">
        <v>73</v>
      </c>
      <c r="I140" s="116" t="s">
        <v>73</v>
      </c>
      <c r="J140" s="116" t="s">
        <v>73</v>
      </c>
      <c r="K140" s="116" t="s">
        <v>73</v>
      </c>
      <c r="L140" s="116"/>
      <c r="M140" s="5" t="str">
        <f t="array" ref="M140">Y96</f>
        <v>1ХВС::1.1</v>
      </c>
      <c r="N140" s="116"/>
      <c r="Z140" s="6"/>
      <c r="AA140" s="6"/>
      <c r="AB140" s="29"/>
      <c r="AC140" s="87"/>
      <c r="AD140" s="51"/>
      <c r="AE140" s="66"/>
      <c r="AF140" s="67"/>
      <c r="AG140" s="68"/>
      <c r="AH140" s="66"/>
      <c r="AI140" s="67"/>
      <c r="AJ140" s="68"/>
      <c r="AK140" s="66"/>
      <c r="AL140" s="67"/>
      <c r="AM140" s="68"/>
      <c r="AN140" s="66"/>
      <c r="AO140" s="67"/>
      <c r="AP140" s="119"/>
      <c r="AQ140" s="66"/>
      <c r="AR140" s="67"/>
      <c r="AS140" s="119"/>
      <c r="AT140" s="66"/>
      <c r="AU140" s="67"/>
      <c r="AV140" s="119"/>
      <c r="AW140" s="66"/>
      <c r="AX140" s="67"/>
      <c r="AY140" s="119"/>
      <c r="AZ140" s="66"/>
      <c r="BA140" s="67"/>
      <c r="BB140" s="119"/>
      <c r="BC140" s="66"/>
      <c r="BD140" s="67"/>
      <c r="BE140" s="68"/>
      <c r="BF140" s="146"/>
      <c r="BG140" s="67"/>
      <c r="BH140" s="119"/>
      <c r="BI140" s="66"/>
      <c r="BJ140" s="67"/>
      <c r="BK140" s="68"/>
      <c r="BN140" s="125">
        <f t="shared" si="1"/>
        <v>0</v>
      </c>
      <c r="BO140" s="126">
        <f t="shared" si="2"/>
        <v>0</v>
      </c>
      <c r="BP140" s="127">
        <f t="shared" si="3"/>
        <v>0</v>
      </c>
    </row>
    <row r="141" spans="1:68" ht="14.25" hidden="1" customHeight="1" outlineLevel="3" x14ac:dyDescent="0.25">
      <c r="A141" s="10" t="b">
        <f t="array" ref="A141">A140</f>
        <v>0</v>
      </c>
      <c r="C141" s="116" t="s">
        <v>140</v>
      </c>
      <c r="D141" s="116" t="s">
        <v>141</v>
      </c>
      <c r="E141" s="116" t="s">
        <v>183</v>
      </c>
      <c r="F141" s="116" t="s">
        <v>74</v>
      </c>
      <c r="G141" s="116" t="s">
        <v>73</v>
      </c>
      <c r="H141" s="116" t="s">
        <v>73</v>
      </c>
      <c r="I141" s="116" t="s">
        <v>73</v>
      </c>
      <c r="J141" s="116" t="s">
        <v>73</v>
      </c>
      <c r="K141" s="116" t="s">
        <v>73</v>
      </c>
      <c r="L141" s="116"/>
      <c r="M141" s="5" t="str">
        <f t="array" ref="M141">Y96</f>
        <v>1ХВС::1.1</v>
      </c>
      <c r="N141" s="116"/>
      <c r="Z141" s="6"/>
      <c r="AA141" s="6"/>
      <c r="AB141" s="29"/>
      <c r="AC141" s="71"/>
      <c r="AD141" s="51"/>
      <c r="AE141" s="66"/>
      <c r="AF141" s="67"/>
      <c r="AG141" s="68"/>
      <c r="AH141" s="66"/>
      <c r="AI141" s="67"/>
      <c r="AJ141" s="68"/>
      <c r="AK141" s="66"/>
      <c r="AL141" s="67"/>
      <c r="AM141" s="68"/>
      <c r="AN141" s="66"/>
      <c r="AO141" s="67"/>
      <c r="AP141" s="119"/>
      <c r="AQ141" s="66"/>
      <c r="AR141" s="67"/>
      <c r="AS141" s="119"/>
      <c r="AT141" s="66"/>
      <c r="AU141" s="67"/>
      <c r="AV141" s="119"/>
      <c r="AW141" s="66"/>
      <c r="AX141" s="67"/>
      <c r="AY141" s="119"/>
      <c r="AZ141" s="66"/>
      <c r="BA141" s="67"/>
      <c r="BB141" s="119"/>
      <c r="BC141" s="66"/>
      <c r="BD141" s="67"/>
      <c r="BE141" s="68"/>
      <c r="BF141" s="146"/>
      <c r="BG141" s="67"/>
      <c r="BH141" s="119"/>
      <c r="BI141" s="66"/>
      <c r="BJ141" s="67"/>
      <c r="BK141" s="68"/>
      <c r="BN141" s="125">
        <f t="shared" si="1"/>
        <v>0</v>
      </c>
      <c r="BO141" s="126">
        <f t="shared" si="2"/>
        <v>0</v>
      </c>
      <c r="BP141" s="127">
        <f t="shared" si="3"/>
        <v>0</v>
      </c>
    </row>
    <row r="142" spans="1:68" ht="14.25" hidden="1" customHeight="1" outlineLevel="3" x14ac:dyDescent="0.25">
      <c r="A142" s="10" t="b">
        <f t="array" ref="A142">A141</f>
        <v>0</v>
      </c>
      <c r="C142" s="116" t="s">
        <v>140</v>
      </c>
      <c r="D142" s="116" t="s">
        <v>141</v>
      </c>
      <c r="E142" s="116" t="s">
        <v>184</v>
      </c>
      <c r="F142" s="116" t="s">
        <v>74</v>
      </c>
      <c r="G142" s="116" t="s">
        <v>73</v>
      </c>
      <c r="H142" s="116" t="s">
        <v>73</v>
      </c>
      <c r="I142" s="116" t="s">
        <v>73</v>
      </c>
      <c r="J142" s="116" t="s">
        <v>73</v>
      </c>
      <c r="K142" s="116" t="s">
        <v>73</v>
      </c>
      <c r="L142" s="116"/>
      <c r="M142" s="5" t="str">
        <f t="array" ref="M142">Y96</f>
        <v>1ХВС::1.1</v>
      </c>
      <c r="N142" s="116"/>
      <c r="Z142" s="6"/>
      <c r="AA142" s="6"/>
      <c r="AB142" s="29"/>
      <c r="AC142" s="87"/>
      <c r="AD142" s="51"/>
      <c r="AE142" s="66"/>
      <c r="AF142" s="67"/>
      <c r="AG142" s="68"/>
      <c r="AH142" s="66"/>
      <c r="AI142" s="67"/>
      <c r="AJ142" s="68"/>
      <c r="AK142" s="66"/>
      <c r="AL142" s="67"/>
      <c r="AM142" s="68"/>
      <c r="AN142" s="66"/>
      <c r="AO142" s="67"/>
      <c r="AP142" s="119"/>
      <c r="AQ142" s="66"/>
      <c r="AR142" s="67"/>
      <c r="AS142" s="119"/>
      <c r="AT142" s="66"/>
      <c r="AU142" s="67"/>
      <c r="AV142" s="119"/>
      <c r="AW142" s="66"/>
      <c r="AX142" s="67"/>
      <c r="AY142" s="119"/>
      <c r="AZ142" s="66"/>
      <c r="BA142" s="67"/>
      <c r="BB142" s="119"/>
      <c r="BC142" s="66"/>
      <c r="BD142" s="67"/>
      <c r="BE142" s="68"/>
      <c r="BF142" s="146"/>
      <c r="BG142" s="67"/>
      <c r="BH142" s="119"/>
      <c r="BI142" s="66"/>
      <c r="BJ142" s="67"/>
      <c r="BK142" s="68"/>
      <c r="BN142" s="125">
        <f t="shared" si="1"/>
        <v>0</v>
      </c>
      <c r="BO142" s="126">
        <f t="shared" si="2"/>
        <v>0</v>
      </c>
      <c r="BP142" s="127">
        <f t="shared" si="3"/>
        <v>0</v>
      </c>
    </row>
    <row r="143" spans="1:68" ht="14.25" hidden="1" customHeight="1" outlineLevel="3" x14ac:dyDescent="0.25">
      <c r="A143" s="10" t="b">
        <f t="array" ref="A143">A142</f>
        <v>0</v>
      </c>
      <c r="C143" s="116" t="s">
        <v>140</v>
      </c>
      <c r="D143" s="116" t="s">
        <v>141</v>
      </c>
      <c r="E143" s="116" t="s">
        <v>185</v>
      </c>
      <c r="F143" s="116" t="s">
        <v>74</v>
      </c>
      <c r="G143" s="116" t="s">
        <v>73</v>
      </c>
      <c r="H143" s="116" t="s">
        <v>73</v>
      </c>
      <c r="I143" s="116" t="s">
        <v>73</v>
      </c>
      <c r="J143" s="116" t="s">
        <v>73</v>
      </c>
      <c r="K143" s="116" t="s">
        <v>73</v>
      </c>
      <c r="L143" s="116"/>
      <c r="M143" s="5" t="str">
        <f t="array" ref="M143">Y96</f>
        <v>1ХВС::1.1</v>
      </c>
      <c r="N143" s="116"/>
      <c r="Z143" s="6"/>
      <c r="AA143" s="6"/>
      <c r="AB143" s="29"/>
      <c r="AC143" s="87"/>
      <c r="AD143" s="51"/>
      <c r="AE143" s="66"/>
      <c r="AF143" s="67"/>
      <c r="AG143" s="68"/>
      <c r="AH143" s="66"/>
      <c r="AI143" s="67"/>
      <c r="AJ143" s="68"/>
      <c r="AK143" s="66"/>
      <c r="AL143" s="67"/>
      <c r="AM143" s="68"/>
      <c r="AN143" s="66"/>
      <c r="AO143" s="67"/>
      <c r="AP143" s="119"/>
      <c r="AQ143" s="66"/>
      <c r="AR143" s="67"/>
      <c r="AS143" s="119"/>
      <c r="AT143" s="66"/>
      <c r="AU143" s="67"/>
      <c r="AV143" s="119"/>
      <c r="AW143" s="66"/>
      <c r="AX143" s="67"/>
      <c r="AY143" s="119"/>
      <c r="AZ143" s="66"/>
      <c r="BA143" s="67"/>
      <c r="BB143" s="119"/>
      <c r="BC143" s="66"/>
      <c r="BD143" s="67"/>
      <c r="BE143" s="68"/>
      <c r="BF143" s="146"/>
      <c r="BG143" s="67"/>
      <c r="BH143" s="119"/>
      <c r="BI143" s="66"/>
      <c r="BJ143" s="67"/>
      <c r="BK143" s="68"/>
      <c r="BN143" s="125">
        <f t="shared" si="1"/>
        <v>0</v>
      </c>
      <c r="BO143" s="126">
        <f t="shared" si="2"/>
        <v>0</v>
      </c>
      <c r="BP143" s="127">
        <f t="shared" si="3"/>
        <v>0</v>
      </c>
    </row>
    <row r="144" spans="1:68" ht="14.25" hidden="1" customHeight="1" outlineLevel="3" x14ac:dyDescent="0.25">
      <c r="A144" s="10" t="b">
        <f t="array" ref="A144">A143</f>
        <v>0</v>
      </c>
      <c r="C144" s="154" t="s">
        <v>140</v>
      </c>
      <c r="D144" s="154" t="s">
        <v>141</v>
      </c>
      <c r="E144" s="154" t="s">
        <v>186</v>
      </c>
      <c r="F144" s="116" t="s">
        <v>74</v>
      </c>
      <c r="G144" s="154" t="s">
        <v>73</v>
      </c>
      <c r="H144" s="154" t="s">
        <v>73</v>
      </c>
      <c r="I144" s="154" t="s">
        <v>73</v>
      </c>
      <c r="J144" s="154" t="s">
        <v>73</v>
      </c>
      <c r="K144" s="154" t="s">
        <v>73</v>
      </c>
      <c r="L144" s="154"/>
      <c r="M144" s="5" t="str">
        <f t="array" ref="M144">Y96</f>
        <v>1ХВС::1.1</v>
      </c>
      <c r="N144" s="116"/>
      <c r="Z144" s="6"/>
      <c r="AA144" s="6"/>
      <c r="AB144" s="29"/>
      <c r="AC144" s="71"/>
      <c r="AD144" s="51"/>
      <c r="AE144" s="66"/>
      <c r="AF144" s="67"/>
      <c r="AG144" s="68"/>
      <c r="AH144" s="66"/>
      <c r="AI144" s="67"/>
      <c r="AJ144" s="68"/>
      <c r="AK144" s="66"/>
      <c r="AL144" s="67"/>
      <c r="AM144" s="68"/>
      <c r="AN144" s="66"/>
      <c r="AO144" s="67"/>
      <c r="AP144" s="119"/>
      <c r="AQ144" s="66"/>
      <c r="AR144" s="67"/>
      <c r="AS144" s="119"/>
      <c r="AT144" s="66"/>
      <c r="AU144" s="67"/>
      <c r="AV144" s="119"/>
      <c r="AW144" s="66"/>
      <c r="AX144" s="67"/>
      <c r="AY144" s="119"/>
      <c r="AZ144" s="66"/>
      <c r="BA144" s="67"/>
      <c r="BB144" s="119"/>
      <c r="BC144" s="66"/>
      <c r="BD144" s="67"/>
      <c r="BE144" s="68"/>
      <c r="BF144" s="146"/>
      <c r="BG144" s="67"/>
      <c r="BH144" s="119"/>
      <c r="BI144" s="66"/>
      <c r="BJ144" s="67"/>
      <c r="BK144" s="68"/>
      <c r="BN144" s="125">
        <f t="shared" si="1"/>
        <v>0</v>
      </c>
      <c r="BO144" s="126">
        <f t="shared" si="2"/>
        <v>0</v>
      </c>
      <c r="BP144" s="127">
        <f t="shared" si="3"/>
        <v>0</v>
      </c>
    </row>
    <row r="145" spans="1:68" ht="22.5" customHeight="1" x14ac:dyDescent="0.25">
      <c r="C145" s="10" t="s">
        <v>83</v>
      </c>
      <c r="D145" s="10" t="s">
        <v>84</v>
      </c>
      <c r="E145" s="10" t="s">
        <v>73</v>
      </c>
      <c r="F145" s="10" t="s">
        <v>74</v>
      </c>
      <c r="G145" s="10" t="s">
        <v>187</v>
      </c>
      <c r="H145" s="10" t="s">
        <v>73</v>
      </c>
      <c r="I145" s="10" t="s">
        <v>73</v>
      </c>
      <c r="K145" s="12" t="s">
        <v>73</v>
      </c>
      <c r="L145" s="10" t="s">
        <v>133</v>
      </c>
      <c r="M145" s="5" t="str">
        <f t="array" ref="M145">Y96</f>
        <v>1ХВС::1.1</v>
      </c>
      <c r="AB145" s="155">
        <f t="array" ref="AB145">IF($U96="Водоснабжение",AB110,AB127)+1</f>
        <v>3</v>
      </c>
      <c r="AC145" s="156" t="s">
        <v>187</v>
      </c>
      <c r="AD145" s="157" t="s">
        <v>111</v>
      </c>
      <c r="AE145" s="158">
        <f t="shared" ref="AE145:BK145" si="11">AE146+AE375+AE376</f>
        <v>1611478.3340580531</v>
      </c>
      <c r="AF145" s="159">
        <f t="shared" si="11"/>
        <v>1509895.9553414218</v>
      </c>
      <c r="AG145" s="160">
        <f t="shared" si="11"/>
        <v>2108201.4407540257</v>
      </c>
      <c r="AH145" s="158">
        <f t="shared" si="11"/>
        <v>19586.074429200002</v>
      </c>
      <c r="AI145" s="159">
        <f t="shared" si="11"/>
        <v>6974.1399999999994</v>
      </c>
      <c r="AJ145" s="160">
        <f t="shared" si="11"/>
        <v>25961.180945100001</v>
      </c>
      <c r="AK145" s="158">
        <f t="shared" si="11"/>
        <v>64126.684430819994</v>
      </c>
      <c r="AL145" s="159">
        <f t="shared" si="11"/>
        <v>31079.618842399999</v>
      </c>
      <c r="AM145" s="161">
        <f t="shared" si="11"/>
        <v>80645.509894400006</v>
      </c>
      <c r="AN145" s="158">
        <f t="shared" si="11"/>
        <v>69469.992562080006</v>
      </c>
      <c r="AO145" s="159">
        <f t="shared" si="11"/>
        <v>48487.907376972005</v>
      </c>
      <c r="AP145" s="162">
        <f t="shared" si="11"/>
        <v>96014.934199979994</v>
      </c>
      <c r="AQ145" s="158">
        <f t="shared" si="11"/>
        <v>32157.999299119998</v>
      </c>
      <c r="AR145" s="159">
        <f t="shared" si="11"/>
        <v>12851.871695200001</v>
      </c>
      <c r="AS145" s="161">
        <f t="shared" si="11"/>
        <v>41954.514328000005</v>
      </c>
      <c r="AT145" s="158">
        <f t="shared" si="11"/>
        <v>86959.794469900022</v>
      </c>
      <c r="AU145" s="159">
        <f t="shared" si="11"/>
        <v>77463.975503769994</v>
      </c>
      <c r="AV145" s="162">
        <f t="shared" si="11"/>
        <v>119966.86742596999</v>
      </c>
      <c r="AW145" s="158">
        <f t="shared" si="11"/>
        <v>61298.975146209996</v>
      </c>
      <c r="AX145" s="159">
        <f t="shared" si="11"/>
        <v>25976.077903199999</v>
      </c>
      <c r="AY145" s="162">
        <f t="shared" si="11"/>
        <v>67277.24303920001</v>
      </c>
      <c r="AZ145" s="158">
        <f t="shared" si="11"/>
        <v>114764.74250909498</v>
      </c>
      <c r="BA145" s="159">
        <f t="shared" si="11"/>
        <v>128883.04728899999</v>
      </c>
      <c r="BB145" s="162">
        <f t="shared" si="11"/>
        <v>155405.88929939308</v>
      </c>
      <c r="BC145" s="158">
        <f t="shared" si="11"/>
        <v>167530.94175359997</v>
      </c>
      <c r="BD145" s="159">
        <f t="shared" si="11"/>
        <v>129364.31</v>
      </c>
      <c r="BE145" s="162">
        <f t="shared" si="11"/>
        <v>198835.967925</v>
      </c>
      <c r="BF145" s="158">
        <f t="shared" si="11"/>
        <v>34090.336577499998</v>
      </c>
      <c r="BG145" s="159">
        <f t="shared" si="11"/>
        <v>29812.439676000005</v>
      </c>
      <c r="BH145" s="162">
        <f t="shared" si="11"/>
        <v>37763.052646880002</v>
      </c>
      <c r="BI145" s="158">
        <f t="shared" si="11"/>
        <v>32257.124699309996</v>
      </c>
      <c r="BJ145" s="159">
        <f t="shared" si="11"/>
        <v>39399.137575200002</v>
      </c>
      <c r="BK145" s="160">
        <f t="shared" si="11"/>
        <v>46040.571460199993</v>
      </c>
      <c r="BN145" s="163">
        <f t="shared" si="1"/>
        <v>2293720.999934888</v>
      </c>
      <c r="BO145" s="164">
        <f t="shared" si="2"/>
        <v>2040188.4812031635</v>
      </c>
      <c r="BP145" s="165">
        <f t="shared" si="3"/>
        <v>2978067.1719181486</v>
      </c>
    </row>
    <row r="146" spans="1:68" s="171" customFormat="1" ht="18.75" customHeight="1" outlineLevel="1" x14ac:dyDescent="0.25">
      <c r="A146" s="166"/>
      <c r="B146" s="166"/>
      <c r="C146" s="167" t="s">
        <v>83</v>
      </c>
      <c r="D146" s="167" t="s">
        <v>84</v>
      </c>
      <c r="E146" s="167" t="s">
        <v>73</v>
      </c>
      <c r="F146" s="167" t="s">
        <v>74</v>
      </c>
      <c r="G146" s="167" t="s">
        <v>188</v>
      </c>
      <c r="H146" s="167" t="s">
        <v>73</v>
      </c>
      <c r="I146" s="167" t="s">
        <v>73</v>
      </c>
      <c r="J146" s="166"/>
      <c r="K146" s="168" t="s">
        <v>73</v>
      </c>
      <c r="L146" s="167" t="s">
        <v>133</v>
      </c>
      <c r="M146" s="166" t="str">
        <f t="array" ref="M146">Y96</f>
        <v>1ХВС::1.1</v>
      </c>
      <c r="N146" s="166"/>
      <c r="O146" s="166"/>
      <c r="P146" s="166"/>
      <c r="Q146" s="166"/>
      <c r="R146" s="166"/>
      <c r="S146" s="166"/>
      <c r="T146" s="166"/>
      <c r="U146" s="166"/>
      <c r="V146" s="166"/>
      <c r="W146" s="166"/>
      <c r="X146" s="166"/>
      <c r="Y146" s="166"/>
      <c r="Z146" s="166"/>
      <c r="AA146" s="166"/>
      <c r="AB146" s="155" t="str">
        <f>AB145&amp;".1"</f>
        <v>3.1</v>
      </c>
      <c r="AC146" s="169" t="s">
        <v>188</v>
      </c>
      <c r="AD146" s="157" t="s">
        <v>111</v>
      </c>
      <c r="AE146" s="158">
        <f t="shared" ref="AE146:BK146" si="12">AE147+AE322+AE339</f>
        <v>1403217.3980580531</v>
      </c>
      <c r="AF146" s="159">
        <f t="shared" si="12"/>
        <v>1459288.7953414219</v>
      </c>
      <c r="AG146" s="160">
        <f t="shared" si="12"/>
        <v>1904974.8107540258</v>
      </c>
      <c r="AH146" s="158">
        <f t="shared" si="12"/>
        <v>9616.8944291999996</v>
      </c>
      <c r="AI146" s="159">
        <f t="shared" si="12"/>
        <v>6974.1399999999994</v>
      </c>
      <c r="AJ146" s="160">
        <f t="shared" si="12"/>
        <v>19999.9809451</v>
      </c>
      <c r="AK146" s="158">
        <f t="shared" si="12"/>
        <v>50115.044430819995</v>
      </c>
      <c r="AL146" s="159">
        <f t="shared" si="12"/>
        <v>28499.618842399999</v>
      </c>
      <c r="AM146" s="161">
        <f t="shared" si="12"/>
        <v>66096.569894400003</v>
      </c>
      <c r="AN146" s="158">
        <f t="shared" si="12"/>
        <v>64643.032562079999</v>
      </c>
      <c r="AO146" s="159">
        <f t="shared" si="12"/>
        <v>47342.307376972007</v>
      </c>
      <c r="AP146" s="162">
        <f t="shared" si="12"/>
        <v>87381.864199979987</v>
      </c>
      <c r="AQ146" s="158">
        <f t="shared" si="12"/>
        <v>30194.149299119999</v>
      </c>
      <c r="AR146" s="159">
        <f t="shared" si="12"/>
        <v>12053.451695200001</v>
      </c>
      <c r="AS146" s="161">
        <f t="shared" si="12"/>
        <v>39668.904328000004</v>
      </c>
      <c r="AT146" s="158">
        <f t="shared" si="12"/>
        <v>84816.694469900016</v>
      </c>
      <c r="AU146" s="159">
        <f t="shared" si="12"/>
        <v>77280.895503769993</v>
      </c>
      <c r="AV146" s="162">
        <f t="shared" si="12"/>
        <v>116798.93742597</v>
      </c>
      <c r="AW146" s="158">
        <f t="shared" si="12"/>
        <v>56601.92514621</v>
      </c>
      <c r="AX146" s="159">
        <f t="shared" si="12"/>
        <v>24966.577903199999</v>
      </c>
      <c r="AY146" s="162">
        <f t="shared" si="12"/>
        <v>63737.403039199999</v>
      </c>
      <c r="AZ146" s="158">
        <f t="shared" si="12"/>
        <v>110356.16250909498</v>
      </c>
      <c r="BA146" s="159">
        <f t="shared" si="12"/>
        <v>128883.04728899999</v>
      </c>
      <c r="BB146" s="162">
        <f t="shared" si="12"/>
        <v>150303.02929939309</v>
      </c>
      <c r="BC146" s="158">
        <f t="shared" si="12"/>
        <v>149651.77175359998</v>
      </c>
      <c r="BD146" s="159">
        <f t="shared" si="12"/>
        <v>129364.31</v>
      </c>
      <c r="BE146" s="162">
        <f t="shared" si="12"/>
        <v>180155.60792499999</v>
      </c>
      <c r="BF146" s="158">
        <f t="shared" si="12"/>
        <v>33007.186577499997</v>
      </c>
      <c r="BG146" s="159">
        <f t="shared" si="12"/>
        <v>29812.439676000005</v>
      </c>
      <c r="BH146" s="162">
        <f t="shared" si="12"/>
        <v>36661.764646880001</v>
      </c>
      <c r="BI146" s="158">
        <f t="shared" si="12"/>
        <v>32016.884699309994</v>
      </c>
      <c r="BJ146" s="159">
        <f t="shared" si="12"/>
        <v>39399.137575200002</v>
      </c>
      <c r="BK146" s="160">
        <f t="shared" si="12"/>
        <v>45664.371460199996</v>
      </c>
      <c r="BL146" s="170"/>
      <c r="BM146" s="166"/>
      <c r="BN146" s="163">
        <f t="shared" si="1"/>
        <v>2024237.1439348883</v>
      </c>
      <c r="BO146" s="164">
        <f t="shared" si="2"/>
        <v>1983864.7212031637</v>
      </c>
      <c r="BP146" s="165">
        <f t="shared" si="3"/>
        <v>2711443.2439181493</v>
      </c>
    </row>
    <row r="147" spans="1:68" s="171" customFormat="1" ht="18.75" customHeight="1" outlineLevel="2" x14ac:dyDescent="0.25">
      <c r="A147" s="166"/>
      <c r="B147" s="166"/>
      <c r="C147" s="167" t="s">
        <v>83</v>
      </c>
      <c r="D147" s="167" t="s">
        <v>84</v>
      </c>
      <c r="E147" s="167" t="s">
        <v>73</v>
      </c>
      <c r="F147" s="167" t="s">
        <v>74</v>
      </c>
      <c r="G147" s="167" t="s">
        <v>189</v>
      </c>
      <c r="H147" s="167" t="s">
        <v>73</v>
      </c>
      <c r="I147" s="167" t="s">
        <v>73</v>
      </c>
      <c r="J147" s="166"/>
      <c r="K147" s="168" t="s">
        <v>73</v>
      </c>
      <c r="L147" s="167" t="s">
        <v>133</v>
      </c>
      <c r="M147" s="166" t="str">
        <f t="array" ref="M147">Y96</f>
        <v>1ХВС::1.1</v>
      </c>
      <c r="N147" s="166"/>
      <c r="O147" s="166"/>
      <c r="P147" s="166"/>
      <c r="Q147" s="166"/>
      <c r="R147" s="166"/>
      <c r="S147" s="166"/>
      <c r="T147" s="166"/>
      <c r="U147" s="166"/>
      <c r="V147" s="166"/>
      <c r="W147" s="166"/>
      <c r="X147" s="166"/>
      <c r="Y147" s="166"/>
      <c r="Z147" s="166"/>
      <c r="AA147" s="166"/>
      <c r="AB147" s="155" t="str">
        <f>AB146&amp;".1"</f>
        <v>3.1.1</v>
      </c>
      <c r="AC147" s="172" t="s">
        <v>190</v>
      </c>
      <c r="AD147" s="157" t="s">
        <v>111</v>
      </c>
      <c r="AE147" s="158">
        <f t="shared" ref="AE147:BK147" si="13">AE148+AE249+AE258+AE308</f>
        <v>886833.83142000006</v>
      </c>
      <c r="AF147" s="159">
        <f t="shared" si="13"/>
        <v>884936.7414854219</v>
      </c>
      <c r="AG147" s="160">
        <f t="shared" si="13"/>
        <v>1207724.7015860002</v>
      </c>
      <c r="AH147" s="158">
        <f t="shared" si="13"/>
        <v>5699.3708999999999</v>
      </c>
      <c r="AI147" s="159">
        <f t="shared" si="13"/>
        <v>3331.06</v>
      </c>
      <c r="AJ147" s="160">
        <f t="shared" si="13"/>
        <v>15698.69146</v>
      </c>
      <c r="AK147" s="158">
        <f t="shared" si="13"/>
        <v>36764.981</v>
      </c>
      <c r="AL147" s="159">
        <f t="shared" si="13"/>
        <v>19803.109</v>
      </c>
      <c r="AM147" s="161">
        <f t="shared" si="13"/>
        <v>52008.419200000004</v>
      </c>
      <c r="AN147" s="158">
        <f t="shared" si="13"/>
        <v>44767.455000000002</v>
      </c>
      <c r="AO147" s="159">
        <f t="shared" si="13"/>
        <v>31388.088000000003</v>
      </c>
      <c r="AP147" s="162">
        <f t="shared" si="13"/>
        <v>60640.994875999997</v>
      </c>
      <c r="AQ147" s="158">
        <f t="shared" si="13"/>
        <v>25558.322</v>
      </c>
      <c r="AR147" s="159">
        <f t="shared" si="13"/>
        <v>3620.5415000000003</v>
      </c>
      <c r="AS147" s="161">
        <f t="shared" si="13"/>
        <v>32317.866138000001</v>
      </c>
      <c r="AT147" s="158">
        <f t="shared" si="13"/>
        <v>56297.509000000013</v>
      </c>
      <c r="AU147" s="159">
        <f t="shared" si="13"/>
        <v>59519.09</v>
      </c>
      <c r="AV147" s="162">
        <f t="shared" si="13"/>
        <v>75343.876900000003</v>
      </c>
      <c r="AW147" s="158">
        <f t="shared" si="13"/>
        <v>47635.282317999998</v>
      </c>
      <c r="AX147" s="159">
        <f t="shared" si="13"/>
        <v>4903.8679032</v>
      </c>
      <c r="AY147" s="162">
        <f t="shared" si="13"/>
        <v>51739.685586</v>
      </c>
      <c r="AZ147" s="158">
        <f t="shared" si="13"/>
        <v>80789.667527999991</v>
      </c>
      <c r="BA147" s="159">
        <f t="shared" si="13"/>
        <v>93202.627288999996</v>
      </c>
      <c r="BB147" s="162">
        <f t="shared" si="13"/>
        <v>105132.69905544311</v>
      </c>
      <c r="BC147" s="158">
        <f t="shared" si="13"/>
        <v>121300.52916999999</v>
      </c>
      <c r="BD147" s="159">
        <f t="shared" si="13"/>
        <v>96758.67</v>
      </c>
      <c r="BE147" s="162">
        <f t="shared" si="13"/>
        <v>152326.3254</v>
      </c>
      <c r="BF147" s="158">
        <f t="shared" si="13"/>
        <v>29463.174979999996</v>
      </c>
      <c r="BG147" s="159">
        <f t="shared" si="13"/>
        <v>25771.510840000003</v>
      </c>
      <c r="BH147" s="162">
        <f t="shared" si="13"/>
        <v>32131.482659999998</v>
      </c>
      <c r="BI147" s="158">
        <f t="shared" si="13"/>
        <v>28494.770159999996</v>
      </c>
      <c r="BJ147" s="159">
        <f t="shared" si="13"/>
        <v>33266.639660000001</v>
      </c>
      <c r="BK147" s="160">
        <f t="shared" si="13"/>
        <v>41047.524008</v>
      </c>
      <c r="BL147" s="170"/>
      <c r="BM147" s="166"/>
      <c r="BN147" s="163">
        <f t="shared" si="1"/>
        <v>1363604.8934760001</v>
      </c>
      <c r="BO147" s="164">
        <f t="shared" si="2"/>
        <v>1256501.945677622</v>
      </c>
      <c r="BP147" s="165">
        <f t="shared" si="3"/>
        <v>1826112.2668694432</v>
      </c>
    </row>
    <row r="148" spans="1:68" s="171" customFormat="1" ht="28.5" customHeight="1" outlineLevel="3" x14ac:dyDescent="0.25">
      <c r="A148" s="166"/>
      <c r="B148" s="166"/>
      <c r="C148" s="167" t="s">
        <v>83</v>
      </c>
      <c r="D148" s="167" t="s">
        <v>84</v>
      </c>
      <c r="E148" s="167" t="s">
        <v>73</v>
      </c>
      <c r="F148" s="167" t="s">
        <v>74</v>
      </c>
      <c r="G148" s="167" t="s">
        <v>191</v>
      </c>
      <c r="H148" s="167" t="s">
        <v>73</v>
      </c>
      <c r="I148" s="167" t="s">
        <v>73</v>
      </c>
      <c r="J148" s="166"/>
      <c r="K148" s="168" t="s">
        <v>73</v>
      </c>
      <c r="L148" s="167" t="s">
        <v>192</v>
      </c>
      <c r="M148" s="166" t="str">
        <f t="array" ref="M148">Y96</f>
        <v>1ХВС::1.1</v>
      </c>
      <c r="N148" s="166"/>
      <c r="O148" s="166"/>
      <c r="P148" s="166"/>
      <c r="Q148" s="166"/>
      <c r="R148" s="166"/>
      <c r="S148" s="166"/>
      <c r="T148" s="166"/>
      <c r="U148" s="166"/>
      <c r="V148" s="166"/>
      <c r="W148" s="166"/>
      <c r="X148" s="166"/>
      <c r="Y148" s="166"/>
      <c r="Z148" s="166"/>
      <c r="AA148" s="166"/>
      <c r="AB148" s="155" t="str">
        <f>AB147&amp;".1"</f>
        <v>3.1.1.1</v>
      </c>
      <c r="AC148" s="173" t="s">
        <v>193</v>
      </c>
      <c r="AD148" s="157" t="s">
        <v>111</v>
      </c>
      <c r="AE148" s="158">
        <f t="shared" ref="AE148:BK148" si="14">AE149+AE153+AE154+AE160+AE161+AE169</f>
        <v>584187.9828</v>
      </c>
      <c r="AF148" s="159">
        <f t="shared" si="14"/>
        <v>563453.43999999994</v>
      </c>
      <c r="AG148" s="160">
        <f t="shared" si="14"/>
        <v>710591.9645</v>
      </c>
      <c r="AH148" s="158">
        <f t="shared" si="14"/>
        <v>5129.2454200000002</v>
      </c>
      <c r="AI148" s="159">
        <f t="shared" si="14"/>
        <v>2536.17</v>
      </c>
      <c r="AJ148" s="160">
        <f t="shared" si="14"/>
        <v>13280.91138</v>
      </c>
      <c r="AK148" s="158">
        <f t="shared" si="14"/>
        <v>18206.5</v>
      </c>
      <c r="AL148" s="159">
        <f t="shared" si="14"/>
        <v>5356.1190000000006</v>
      </c>
      <c r="AM148" s="161">
        <f t="shared" si="14"/>
        <v>22321.29</v>
      </c>
      <c r="AN148" s="158">
        <f t="shared" si="14"/>
        <v>23801.628000000001</v>
      </c>
      <c r="AO148" s="159">
        <f t="shared" si="14"/>
        <v>16836.534000000003</v>
      </c>
      <c r="AP148" s="160">
        <f t="shared" si="14"/>
        <v>32878.92</v>
      </c>
      <c r="AQ148" s="158">
        <f t="shared" si="14"/>
        <v>9789.6929999999993</v>
      </c>
      <c r="AR148" s="159">
        <f t="shared" si="14"/>
        <v>1424.3799999999999</v>
      </c>
      <c r="AS148" s="161">
        <f t="shared" si="14"/>
        <v>8888.7580000000016</v>
      </c>
      <c r="AT148" s="158">
        <f t="shared" si="14"/>
        <v>22890.160000000003</v>
      </c>
      <c r="AU148" s="159">
        <f t="shared" si="14"/>
        <v>18639.379999999997</v>
      </c>
      <c r="AV148" s="160">
        <f t="shared" si="14"/>
        <v>31948.17</v>
      </c>
      <c r="AW148" s="158">
        <f t="shared" si="14"/>
        <v>18600.532500000001</v>
      </c>
      <c r="AX148" s="159">
        <f t="shared" si="14"/>
        <v>2192.920842</v>
      </c>
      <c r="AY148" s="160">
        <f t="shared" si="14"/>
        <v>20681.640919999998</v>
      </c>
      <c r="AZ148" s="158">
        <f t="shared" si="14"/>
        <v>44108.413140000004</v>
      </c>
      <c r="BA148" s="159">
        <f t="shared" si="14"/>
        <v>35543.101115999998</v>
      </c>
      <c r="BB148" s="160">
        <f t="shared" si="14"/>
        <v>46173.580839999995</v>
      </c>
      <c r="BC148" s="158">
        <f t="shared" si="14"/>
        <v>40757.041560000005</v>
      </c>
      <c r="BD148" s="159">
        <f t="shared" si="14"/>
        <v>46219.75</v>
      </c>
      <c r="BE148" s="160">
        <f t="shared" si="14"/>
        <v>66693.939999999988</v>
      </c>
      <c r="BF148" s="158">
        <f t="shared" si="14"/>
        <v>8487.2479999999996</v>
      </c>
      <c r="BG148" s="159">
        <f t="shared" si="14"/>
        <v>5415.08</v>
      </c>
      <c r="BH148" s="160">
        <f t="shared" si="14"/>
        <v>8282.36</v>
      </c>
      <c r="BI148" s="158">
        <f t="shared" si="14"/>
        <v>9039.2722000000012</v>
      </c>
      <c r="BJ148" s="159">
        <f t="shared" si="14"/>
        <v>10895.7734</v>
      </c>
      <c r="BK148" s="160">
        <f t="shared" si="14"/>
        <v>14218.58598</v>
      </c>
      <c r="BL148" s="170"/>
      <c r="BM148" s="166"/>
      <c r="BN148" s="163">
        <f t="shared" si="1"/>
        <v>784997.71662000008</v>
      </c>
      <c r="BO148" s="164">
        <f t="shared" si="2"/>
        <v>708512.64835799986</v>
      </c>
      <c r="BP148" s="165">
        <f t="shared" si="3"/>
        <v>975960.12161999999</v>
      </c>
    </row>
    <row r="149" spans="1:68" ht="23.25" customHeight="1" outlineLevel="4" x14ac:dyDescent="0.25">
      <c r="C149" s="10" t="s">
        <v>83</v>
      </c>
      <c r="D149" s="10" t="s">
        <v>84</v>
      </c>
      <c r="E149" s="10" t="s">
        <v>73</v>
      </c>
      <c r="F149" s="10" t="s">
        <v>74</v>
      </c>
      <c r="G149" s="10" t="s">
        <v>194</v>
      </c>
      <c r="H149" s="10" t="s">
        <v>73</v>
      </c>
      <c r="I149" s="10" t="s">
        <v>73</v>
      </c>
      <c r="K149" s="12" t="s">
        <v>73</v>
      </c>
      <c r="L149" s="10" t="s">
        <v>192</v>
      </c>
      <c r="M149" s="5" t="str">
        <f t="array" ref="M149">Y96</f>
        <v>1ХВС::1.1</v>
      </c>
      <c r="AB149" s="29" t="str">
        <f>AB148&amp;".1"</f>
        <v>3.1.1.1.1</v>
      </c>
      <c r="AC149" s="174" t="s">
        <v>195</v>
      </c>
      <c r="AD149" s="51" t="s">
        <v>111</v>
      </c>
      <c r="AE149" s="175">
        <f t="shared" ref="AE149:BK149" si="15">AE150+AE151+AE152</f>
        <v>21233.123</v>
      </c>
      <c r="AF149" s="73">
        <f t="shared" si="15"/>
        <v>16910.75</v>
      </c>
      <c r="AG149" s="176">
        <f t="shared" si="15"/>
        <v>23597.98</v>
      </c>
      <c r="AH149" s="175">
        <f t="shared" si="15"/>
        <v>392.18</v>
      </c>
      <c r="AI149" s="73">
        <f t="shared" si="15"/>
        <v>35.909999999999997</v>
      </c>
      <c r="AJ149" s="176">
        <f t="shared" si="15"/>
        <v>429.65999999999997</v>
      </c>
      <c r="AK149" s="175">
        <f t="shared" si="15"/>
        <v>1995.27</v>
      </c>
      <c r="AL149" s="73">
        <f t="shared" si="15"/>
        <v>658.88</v>
      </c>
      <c r="AM149" s="176">
        <f t="shared" si="15"/>
        <v>2195.4499999999998</v>
      </c>
      <c r="AN149" s="175">
        <f t="shared" si="15"/>
        <v>2497.75</v>
      </c>
      <c r="AO149" s="73">
        <f t="shared" si="15"/>
        <v>2023.92</v>
      </c>
      <c r="AP149" s="176">
        <f t="shared" si="15"/>
        <v>2674.45</v>
      </c>
      <c r="AQ149" s="175">
        <f t="shared" si="15"/>
        <v>446.99</v>
      </c>
      <c r="AR149" s="73">
        <f t="shared" si="15"/>
        <v>219.39</v>
      </c>
      <c r="AS149" s="176">
        <f t="shared" si="15"/>
        <v>491.81</v>
      </c>
      <c r="AT149" s="175">
        <f t="shared" si="15"/>
        <v>2214.6099999999997</v>
      </c>
      <c r="AU149" s="73">
        <f t="shared" si="15"/>
        <v>0</v>
      </c>
      <c r="AV149" s="176">
        <f t="shared" si="15"/>
        <v>2391.9499999999998</v>
      </c>
      <c r="AW149" s="175">
        <f t="shared" si="15"/>
        <v>2369.433</v>
      </c>
      <c r="AX149" s="73">
        <f t="shared" si="15"/>
        <v>0</v>
      </c>
      <c r="AY149" s="176">
        <f t="shared" si="15"/>
        <v>1826.9549999999999</v>
      </c>
      <c r="AZ149" s="175">
        <f t="shared" si="15"/>
        <v>6516.4400000000005</v>
      </c>
      <c r="BA149" s="73">
        <f t="shared" si="15"/>
        <v>189.85400000000001</v>
      </c>
      <c r="BB149" s="176">
        <f t="shared" si="15"/>
        <v>7159.32</v>
      </c>
      <c r="BC149" s="175">
        <f t="shared" si="15"/>
        <v>5664.4459999999999</v>
      </c>
      <c r="BD149" s="73">
        <f t="shared" si="15"/>
        <v>2515.69</v>
      </c>
      <c r="BE149" s="176">
        <f t="shared" si="15"/>
        <v>8333</v>
      </c>
      <c r="BF149" s="175">
        <f t="shared" si="15"/>
        <v>781.39800000000002</v>
      </c>
      <c r="BG149" s="73">
        <f t="shared" si="15"/>
        <v>777.63</v>
      </c>
      <c r="BH149" s="176">
        <f t="shared" si="15"/>
        <v>714.38</v>
      </c>
      <c r="BI149" s="175">
        <f t="shared" si="15"/>
        <v>557.6</v>
      </c>
      <c r="BJ149" s="73">
        <f t="shared" si="15"/>
        <v>421.96999999999997</v>
      </c>
      <c r="BK149" s="176">
        <f t="shared" si="15"/>
        <v>616.22</v>
      </c>
      <c r="BN149" s="125">
        <f t="shared" si="1"/>
        <v>44669.24</v>
      </c>
      <c r="BO149" s="126">
        <f t="shared" si="2"/>
        <v>23753.993999999999</v>
      </c>
      <c r="BP149" s="127">
        <f t="shared" si="3"/>
        <v>50431.175000000003</v>
      </c>
    </row>
    <row r="150" spans="1:68" ht="18.75" hidden="1" customHeight="1" outlineLevel="4" x14ac:dyDescent="0.25">
      <c r="C150" s="10" t="s">
        <v>83</v>
      </c>
      <c r="D150" s="10" t="s">
        <v>84</v>
      </c>
      <c r="E150" s="10" t="s">
        <v>73</v>
      </c>
      <c r="F150" s="10" t="s">
        <v>74</v>
      </c>
      <c r="G150" s="10" t="s">
        <v>196</v>
      </c>
      <c r="H150" s="10" t="s">
        <v>73</v>
      </c>
      <c r="I150" s="10" t="s">
        <v>73</v>
      </c>
      <c r="K150" s="12" t="s">
        <v>73</v>
      </c>
      <c r="L150" s="10" t="s">
        <v>192</v>
      </c>
      <c r="M150" s="5" t="str">
        <f t="array" ref="M150">Y96</f>
        <v>1ХВС::1.1</v>
      </c>
      <c r="AB150" s="29" t="str">
        <f>AB149&amp;".1"</f>
        <v>3.1.1.1.1.1</v>
      </c>
      <c r="AC150" s="177" t="s">
        <v>196</v>
      </c>
      <c r="AD150" s="51" t="s">
        <v>111</v>
      </c>
      <c r="AE150" s="72"/>
      <c r="AF150" s="178"/>
      <c r="AG150" s="74"/>
      <c r="AH150" s="72"/>
      <c r="AI150" s="178"/>
      <c r="AJ150" s="74"/>
      <c r="AK150" s="72"/>
      <c r="AL150" s="178"/>
      <c r="AM150" s="74"/>
      <c r="AN150" s="72"/>
      <c r="AO150" s="178"/>
      <c r="AP150" s="138"/>
      <c r="AQ150" s="72"/>
      <c r="AR150" s="178"/>
      <c r="AS150" s="138"/>
      <c r="AT150" s="72"/>
      <c r="AU150" s="178"/>
      <c r="AV150" s="138"/>
      <c r="AW150" s="72"/>
      <c r="AX150" s="178"/>
      <c r="AY150" s="138"/>
      <c r="AZ150" s="72"/>
      <c r="BA150" s="178"/>
      <c r="BB150" s="138"/>
      <c r="BC150" s="72"/>
      <c r="BD150" s="178"/>
      <c r="BE150" s="74"/>
      <c r="BF150" s="179"/>
      <c r="BG150" s="178"/>
      <c r="BH150" s="138"/>
      <c r="BI150" s="72"/>
      <c r="BJ150" s="178"/>
      <c r="BK150" s="74"/>
      <c r="BN150" s="125">
        <f t="shared" si="1"/>
        <v>0</v>
      </c>
      <c r="BO150" s="126">
        <f t="shared" si="2"/>
        <v>0</v>
      </c>
      <c r="BP150" s="127">
        <f t="shared" si="3"/>
        <v>0</v>
      </c>
    </row>
    <row r="151" spans="1:68" ht="18" customHeight="1" outlineLevel="4" x14ac:dyDescent="0.25">
      <c r="C151" s="10" t="s">
        <v>83</v>
      </c>
      <c r="D151" s="10" t="s">
        <v>84</v>
      </c>
      <c r="E151" s="10" t="s">
        <v>73</v>
      </c>
      <c r="F151" s="10" t="s">
        <v>74</v>
      </c>
      <c r="G151" s="10" t="s">
        <v>197</v>
      </c>
      <c r="H151" s="10" t="s">
        <v>73</v>
      </c>
      <c r="I151" s="10" t="s">
        <v>73</v>
      </c>
      <c r="K151" s="12" t="s">
        <v>73</v>
      </c>
      <c r="L151" s="10" t="s">
        <v>192</v>
      </c>
      <c r="M151" s="5" t="str">
        <f t="array" ref="M151">Y96</f>
        <v>1ХВС::1.1</v>
      </c>
      <c r="AB151" s="29" t="str">
        <f>AB149&amp;".2"</f>
        <v>3.1.1.1.1.2</v>
      </c>
      <c r="AC151" s="177" t="s">
        <v>197</v>
      </c>
      <c r="AD151" s="51" t="s">
        <v>111</v>
      </c>
      <c r="AE151" s="95">
        <v>8574.41</v>
      </c>
      <c r="AF151" s="178">
        <v>6452.37</v>
      </c>
      <c r="AG151" s="96">
        <v>9434.9599999999991</v>
      </c>
      <c r="AH151" s="180">
        <v>165.24</v>
      </c>
      <c r="AI151" s="178">
        <v>2.94</v>
      </c>
      <c r="AJ151" s="96">
        <v>180.96</v>
      </c>
      <c r="AK151" s="95">
        <v>435.98</v>
      </c>
      <c r="AL151" s="178">
        <v>255.31</v>
      </c>
      <c r="AM151" s="96">
        <v>479.73</v>
      </c>
      <c r="AN151" s="95">
        <v>318.04000000000002</v>
      </c>
      <c r="AO151" s="178">
        <v>211.67</v>
      </c>
      <c r="AP151" s="181">
        <v>349.95</v>
      </c>
      <c r="AQ151" s="95">
        <v>158.19</v>
      </c>
      <c r="AR151" s="178">
        <f>180.59</f>
        <v>180.59</v>
      </c>
      <c r="AS151" s="181">
        <v>174.06</v>
      </c>
      <c r="AT151" s="95">
        <f>659.29+5.45</f>
        <v>664.74</v>
      </c>
      <c r="AU151" s="178"/>
      <c r="AV151" s="181">
        <v>687.23</v>
      </c>
      <c r="AW151" s="95">
        <v>1149.2329999999999</v>
      </c>
      <c r="AX151" s="178"/>
      <c r="AY151" s="181">
        <v>1264.5170000000001</v>
      </c>
      <c r="AZ151" s="95">
        <v>2053.89</v>
      </c>
      <c r="BA151" s="178">
        <v>189.85400000000001</v>
      </c>
      <c r="BB151" s="181">
        <v>2249.09</v>
      </c>
      <c r="BC151" s="95">
        <v>2789.6</v>
      </c>
      <c r="BD151" s="178">
        <v>2398.3000000000002</v>
      </c>
      <c r="BE151" s="96">
        <v>4069.47</v>
      </c>
      <c r="BF151" s="182">
        <v>176.428</v>
      </c>
      <c r="BG151" s="183">
        <v>51.93</v>
      </c>
      <c r="BH151" s="184">
        <v>101.41</v>
      </c>
      <c r="BI151" s="185">
        <v>86.12</v>
      </c>
      <c r="BJ151" s="183">
        <v>51.14</v>
      </c>
      <c r="BK151" s="186">
        <v>93.12</v>
      </c>
      <c r="BN151" s="125">
        <f t="shared" si="1"/>
        <v>16571.870999999999</v>
      </c>
      <c r="BO151" s="126">
        <f t="shared" si="2"/>
        <v>9794.1039999999994</v>
      </c>
      <c r="BP151" s="127">
        <f t="shared" si="3"/>
        <v>19084.496999999996</v>
      </c>
    </row>
    <row r="152" spans="1:68" ht="18" customHeight="1" outlineLevel="4" x14ac:dyDescent="0.25">
      <c r="C152" s="10" t="s">
        <v>83</v>
      </c>
      <c r="D152" s="10" t="s">
        <v>84</v>
      </c>
      <c r="E152" s="10" t="s">
        <v>73</v>
      </c>
      <c r="F152" s="10" t="s">
        <v>74</v>
      </c>
      <c r="G152" s="10" t="s">
        <v>198</v>
      </c>
      <c r="H152" s="10" t="s">
        <v>73</v>
      </c>
      <c r="I152" s="10" t="s">
        <v>73</v>
      </c>
      <c r="K152" s="12" t="s">
        <v>73</v>
      </c>
      <c r="L152" s="10" t="s">
        <v>192</v>
      </c>
      <c r="M152" s="5" t="str">
        <f t="array" ref="M152">Y96</f>
        <v>1ХВС::1.1</v>
      </c>
      <c r="AB152" s="29" t="str">
        <f>AB149&amp;".3"</f>
        <v>3.1.1.1.1.3</v>
      </c>
      <c r="AC152" s="177" t="s">
        <v>198</v>
      </c>
      <c r="AD152" s="51" t="s">
        <v>111</v>
      </c>
      <c r="AE152" s="95">
        <v>12658.713</v>
      </c>
      <c r="AF152" s="178">
        <f>11064.69-606.31</f>
        <v>10458.380000000001</v>
      </c>
      <c r="AG152" s="96">
        <f>13691.66+471.36</f>
        <v>14163.02</v>
      </c>
      <c r="AH152" s="95">
        <v>226.94</v>
      </c>
      <c r="AI152" s="178">
        <v>32.97</v>
      </c>
      <c r="AJ152" s="96">
        <v>248.7</v>
      </c>
      <c r="AK152" s="95">
        <v>1559.29</v>
      </c>
      <c r="AL152" s="178">
        <v>403.57</v>
      </c>
      <c r="AM152" s="96">
        <v>1715.72</v>
      </c>
      <c r="AN152" s="95">
        <v>2179.71</v>
      </c>
      <c r="AO152" s="178">
        <v>1812.25</v>
      </c>
      <c r="AP152" s="181">
        <v>2324.5</v>
      </c>
      <c r="AQ152" s="95">
        <v>288.8</v>
      </c>
      <c r="AR152" s="178">
        <v>38.799999999999997</v>
      </c>
      <c r="AS152" s="181">
        <v>317.75</v>
      </c>
      <c r="AT152" s="95">
        <v>1549.87</v>
      </c>
      <c r="AU152" s="178"/>
      <c r="AV152" s="181">
        <v>1704.72</v>
      </c>
      <c r="AW152" s="95">
        <v>1220.2</v>
      </c>
      <c r="AX152" s="178"/>
      <c r="AY152" s="181">
        <v>562.43799999999999</v>
      </c>
      <c r="AZ152" s="95">
        <v>4462.55</v>
      </c>
      <c r="BA152" s="178"/>
      <c r="BB152" s="181">
        <v>4910.2299999999996</v>
      </c>
      <c r="BC152" s="95">
        <v>2874.846</v>
      </c>
      <c r="BD152" s="178">
        <v>117.39</v>
      </c>
      <c r="BE152" s="96">
        <f>4163.25+100.28</f>
        <v>4263.53</v>
      </c>
      <c r="BF152" s="182">
        <v>604.97</v>
      </c>
      <c r="BG152" s="183">
        <v>725.7</v>
      </c>
      <c r="BH152" s="184">
        <v>612.97</v>
      </c>
      <c r="BI152" s="185">
        <v>471.48</v>
      </c>
      <c r="BJ152" s="183">
        <v>370.83</v>
      </c>
      <c r="BK152" s="186">
        <v>523.1</v>
      </c>
      <c r="BN152" s="125">
        <f t="shared" si="1"/>
        <v>28097.368999999999</v>
      </c>
      <c r="BO152" s="126">
        <f t="shared" si="2"/>
        <v>13959.89</v>
      </c>
      <c r="BP152" s="127">
        <f t="shared" si="3"/>
        <v>31346.678</v>
      </c>
    </row>
    <row r="153" spans="1:68" ht="22.5" hidden="1" customHeight="1" outlineLevel="4" x14ac:dyDescent="0.25">
      <c r="C153" s="10" t="s">
        <v>83</v>
      </c>
      <c r="D153" s="10" t="s">
        <v>84</v>
      </c>
      <c r="E153" s="10" t="s">
        <v>73</v>
      </c>
      <c r="F153" s="10" t="s">
        <v>74</v>
      </c>
      <c r="G153" s="10" t="s">
        <v>199</v>
      </c>
      <c r="H153" s="10" t="s">
        <v>73</v>
      </c>
      <c r="I153" s="10" t="s">
        <v>73</v>
      </c>
      <c r="K153" s="12" t="s">
        <v>73</v>
      </c>
      <c r="L153" s="10" t="s">
        <v>192</v>
      </c>
      <c r="M153" s="5" t="str">
        <f t="array" ref="M153">Y96</f>
        <v>1ХВС::1.1</v>
      </c>
      <c r="AB153" s="29" t="str">
        <f>AB148&amp;".2"</f>
        <v>3.1.1.1.2</v>
      </c>
      <c r="AC153" s="174" t="s">
        <v>200</v>
      </c>
      <c r="AD153" s="51" t="s">
        <v>111</v>
      </c>
      <c r="AE153" s="95"/>
      <c r="AF153" s="178"/>
      <c r="AG153" s="96"/>
      <c r="AH153" s="95"/>
      <c r="AI153" s="178"/>
      <c r="AJ153" s="96"/>
      <c r="AK153" s="95"/>
      <c r="AL153" s="178"/>
      <c r="AM153" s="96"/>
      <c r="AN153" s="95"/>
      <c r="AO153" s="178"/>
      <c r="AP153" s="181"/>
      <c r="AQ153" s="95"/>
      <c r="AR153" s="178"/>
      <c r="AS153" s="181"/>
      <c r="AT153" s="95"/>
      <c r="AU153" s="178"/>
      <c r="AV153" s="181"/>
      <c r="AW153" s="95"/>
      <c r="AX153" s="178"/>
      <c r="AY153" s="181"/>
      <c r="AZ153" s="95"/>
      <c r="BA153" s="178"/>
      <c r="BB153" s="181"/>
      <c r="BC153" s="95"/>
      <c r="BD153" s="178"/>
      <c r="BE153" s="96"/>
      <c r="BF153" s="187"/>
      <c r="BG153" s="178"/>
      <c r="BH153" s="181"/>
      <c r="BI153" s="95"/>
      <c r="BJ153" s="178"/>
      <c r="BK153" s="96"/>
      <c r="BN153" s="125">
        <f t="shared" si="1"/>
        <v>0</v>
      </c>
      <c r="BO153" s="126">
        <f t="shared" si="2"/>
        <v>0</v>
      </c>
      <c r="BP153" s="127">
        <f t="shared" si="3"/>
        <v>0</v>
      </c>
    </row>
    <row r="154" spans="1:68" ht="29.25" customHeight="1" outlineLevel="4" x14ac:dyDescent="0.25">
      <c r="C154" s="10" t="s">
        <v>83</v>
      </c>
      <c r="D154" s="10" t="s">
        <v>84</v>
      </c>
      <c r="E154" s="10" t="s">
        <v>73</v>
      </c>
      <c r="F154" s="10" t="s">
        <v>74</v>
      </c>
      <c r="G154" s="10" t="s">
        <v>201</v>
      </c>
      <c r="H154" s="10" t="s">
        <v>202</v>
      </c>
      <c r="I154" s="10" t="s">
        <v>73</v>
      </c>
      <c r="K154" s="12" t="s">
        <v>73</v>
      </c>
      <c r="L154" s="10" t="s">
        <v>192</v>
      </c>
      <c r="M154" s="5" t="str">
        <f t="array" ref="M154">Y96</f>
        <v>1ХВС::1.1</v>
      </c>
      <c r="AB154" s="29" t="str">
        <f>AB148&amp;".3"</f>
        <v>3.1.1.1.3</v>
      </c>
      <c r="AC154" s="174" t="s">
        <v>203</v>
      </c>
      <c r="AD154" s="51" t="s">
        <v>111</v>
      </c>
      <c r="AE154" s="72">
        <f t="shared" ref="AE154:BK154" si="16">AE155+AE158</f>
        <v>420938.26980000001</v>
      </c>
      <c r="AF154" s="73">
        <f t="shared" si="16"/>
        <v>505977.67</v>
      </c>
      <c r="AG154" s="74">
        <f t="shared" si="16"/>
        <v>585762.9645</v>
      </c>
      <c r="AH154" s="72">
        <f t="shared" si="16"/>
        <v>2699.9704200000001</v>
      </c>
      <c r="AI154" s="73">
        <f t="shared" si="16"/>
        <v>1835.9499999999998</v>
      </c>
      <c r="AJ154" s="74">
        <f t="shared" si="16"/>
        <v>9366.1843799999988</v>
      </c>
      <c r="AK154" s="72">
        <f t="shared" si="16"/>
        <v>12553.199999999999</v>
      </c>
      <c r="AL154" s="73">
        <f t="shared" si="16"/>
        <v>2713.1590000000001</v>
      </c>
      <c r="AM154" s="74">
        <f t="shared" si="16"/>
        <v>13317.27</v>
      </c>
      <c r="AN154" s="72">
        <f t="shared" si="16"/>
        <v>15592.438</v>
      </c>
      <c r="AO154" s="73">
        <f t="shared" si="16"/>
        <v>13906.740000000002</v>
      </c>
      <c r="AP154" s="74">
        <f t="shared" si="16"/>
        <v>20835.46</v>
      </c>
      <c r="AQ154" s="72">
        <f t="shared" si="16"/>
        <v>7100.2129999999997</v>
      </c>
      <c r="AR154" s="73">
        <f t="shared" si="16"/>
        <v>1152.8499999999999</v>
      </c>
      <c r="AS154" s="74">
        <f t="shared" si="16"/>
        <v>4398.4480000000003</v>
      </c>
      <c r="AT154" s="72">
        <f t="shared" si="16"/>
        <v>16259.95</v>
      </c>
      <c r="AU154" s="73">
        <f t="shared" si="16"/>
        <v>18639.379999999997</v>
      </c>
      <c r="AV154" s="74">
        <f t="shared" si="16"/>
        <v>21482.75</v>
      </c>
      <c r="AW154" s="72">
        <f t="shared" si="16"/>
        <v>10767.8655</v>
      </c>
      <c r="AX154" s="73">
        <f t="shared" si="16"/>
        <v>2192.920842</v>
      </c>
      <c r="AY154" s="74">
        <f t="shared" si="16"/>
        <v>9957.6439200000004</v>
      </c>
      <c r="AZ154" s="72">
        <f t="shared" si="16"/>
        <v>26057.668140000002</v>
      </c>
      <c r="BA154" s="73">
        <f t="shared" si="16"/>
        <v>34054.927115999999</v>
      </c>
      <c r="BB154" s="74">
        <f t="shared" si="16"/>
        <v>30564.996839999996</v>
      </c>
      <c r="BC154" s="72">
        <f t="shared" si="16"/>
        <v>26258.255560000001</v>
      </c>
      <c r="BD154" s="73">
        <f t="shared" si="16"/>
        <v>43330.549999999996</v>
      </c>
      <c r="BE154" s="74">
        <f t="shared" si="16"/>
        <v>46663.53</v>
      </c>
      <c r="BF154" s="72">
        <f t="shared" si="16"/>
        <v>3600.88</v>
      </c>
      <c r="BG154" s="73">
        <f t="shared" si="16"/>
        <v>3778.6899999999996</v>
      </c>
      <c r="BH154" s="74">
        <f t="shared" si="16"/>
        <v>2657.29</v>
      </c>
      <c r="BI154" s="72">
        <f t="shared" si="16"/>
        <v>7149.4122000000007</v>
      </c>
      <c r="BJ154" s="73">
        <f t="shared" si="16"/>
        <v>10346.6034</v>
      </c>
      <c r="BK154" s="74">
        <f t="shared" si="16"/>
        <v>11723.84598</v>
      </c>
      <c r="BN154" s="125">
        <f t="shared" si="1"/>
        <v>548978.12262000015</v>
      </c>
      <c r="BO154" s="126">
        <f t="shared" si="2"/>
        <v>637929.44035799999</v>
      </c>
      <c r="BP154" s="127">
        <f t="shared" si="3"/>
        <v>756730.38361999998</v>
      </c>
    </row>
    <row r="155" spans="1:68" ht="21.75" customHeight="1" outlineLevel="4" x14ac:dyDescent="0.25">
      <c r="C155" s="10" t="s">
        <v>83</v>
      </c>
      <c r="D155" s="10" t="s">
        <v>84</v>
      </c>
      <c r="E155" s="10" t="s">
        <v>73</v>
      </c>
      <c r="F155" s="10" t="s">
        <v>74</v>
      </c>
      <c r="G155" s="10" t="s">
        <v>204</v>
      </c>
      <c r="H155" s="10" t="s">
        <v>202</v>
      </c>
      <c r="I155" s="10" t="s">
        <v>73</v>
      </c>
      <c r="K155" s="12" t="s">
        <v>73</v>
      </c>
      <c r="L155" s="10" t="s">
        <v>192</v>
      </c>
      <c r="M155" s="5" t="str">
        <f t="array" ref="M155">Y96</f>
        <v>1ХВС::1.1</v>
      </c>
      <c r="AB155" s="29" t="str">
        <f>AB154&amp;".1"</f>
        <v>3.1.1.1.3.1</v>
      </c>
      <c r="AC155" s="177" t="s">
        <v>205</v>
      </c>
      <c r="AD155" s="51" t="s">
        <v>111</v>
      </c>
      <c r="AE155" s="95">
        <f>327234.341-10241.72/2</f>
        <v>322113.48100000003</v>
      </c>
      <c r="AF155" s="178">
        <v>388135.97</v>
      </c>
      <c r="AG155" s="96">
        <v>449894.75</v>
      </c>
      <c r="AH155" s="95">
        <v>2073.71</v>
      </c>
      <c r="AI155" s="178">
        <v>1410.1</v>
      </c>
      <c r="AJ155" s="96">
        <v>7193.69</v>
      </c>
      <c r="AK155" s="95">
        <v>9641.48</v>
      </c>
      <c r="AL155" s="178">
        <v>2083.8389999999999</v>
      </c>
      <c r="AM155" s="96">
        <v>10228.32</v>
      </c>
      <c r="AN155" s="95">
        <v>11975.758</v>
      </c>
      <c r="AO155" s="178">
        <f>10183.03+498.03</f>
        <v>10681.060000000001</v>
      </c>
      <c r="AP155" s="181">
        <v>16002.66</v>
      </c>
      <c r="AQ155" s="95">
        <v>5453.3130000000001</v>
      </c>
      <c r="AR155" s="178">
        <v>885.45</v>
      </c>
      <c r="AS155" s="181">
        <v>3378.2280000000001</v>
      </c>
      <c r="AT155" s="95">
        <v>12488.44</v>
      </c>
      <c r="AU155" s="178">
        <v>14315.96</v>
      </c>
      <c r="AV155" s="181">
        <v>16499.810000000001</v>
      </c>
      <c r="AW155" s="95">
        <v>8270.25</v>
      </c>
      <c r="AX155" s="178">
        <v>1684.271</v>
      </c>
      <c r="AY155" s="181">
        <v>7647.96</v>
      </c>
      <c r="AZ155" s="95">
        <v>20013.57</v>
      </c>
      <c r="BA155" s="178">
        <v>26155.858</v>
      </c>
      <c r="BB155" s="181">
        <v>23475.42</v>
      </c>
      <c r="BC155" s="95">
        <v>20167.631000000001</v>
      </c>
      <c r="BD155" s="178">
        <v>33279.99</v>
      </c>
      <c r="BE155" s="96">
        <v>35839.879999999997</v>
      </c>
      <c r="BF155" s="182">
        <v>2765.65</v>
      </c>
      <c r="BG155" s="183">
        <v>2902.22</v>
      </c>
      <c r="BH155" s="184">
        <v>2040.93</v>
      </c>
      <c r="BI155" s="185">
        <v>5491.1</v>
      </c>
      <c r="BJ155" s="183">
        <v>7946.7</v>
      </c>
      <c r="BK155" s="186">
        <v>9004.49</v>
      </c>
      <c r="BN155" s="125">
        <f t="shared" si="1"/>
        <v>420454.38300000003</v>
      </c>
      <c r="BO155" s="126">
        <f t="shared" si="2"/>
        <v>489481.41799999995</v>
      </c>
      <c r="BP155" s="127">
        <f t="shared" si="3"/>
        <v>581206.13800000004</v>
      </c>
    </row>
    <row r="156" spans="1:68" s="115" customFormat="1" ht="17.25" customHeight="1" outlineLevel="4" x14ac:dyDescent="0.25">
      <c r="A156" s="100"/>
      <c r="B156" s="100"/>
      <c r="C156" s="99" t="s">
        <v>206</v>
      </c>
      <c r="D156" s="99" t="s">
        <v>207</v>
      </c>
      <c r="E156" s="99" t="s">
        <v>73</v>
      </c>
      <c r="F156" s="99" t="s">
        <v>74</v>
      </c>
      <c r="G156" s="99" t="s">
        <v>73</v>
      </c>
      <c r="H156" s="99" t="s">
        <v>202</v>
      </c>
      <c r="I156" s="99" t="s">
        <v>73</v>
      </c>
      <c r="J156" s="100"/>
      <c r="K156" s="102" t="s">
        <v>73</v>
      </c>
      <c r="L156" s="99" t="s">
        <v>192</v>
      </c>
      <c r="M156" s="100" t="str">
        <f t="array" ref="M156">Y96</f>
        <v>1ХВС::1.1</v>
      </c>
      <c r="N156" s="100"/>
      <c r="O156" s="100"/>
      <c r="P156" s="100"/>
      <c r="Q156" s="100"/>
      <c r="R156" s="100"/>
      <c r="S156" s="100"/>
      <c r="T156" s="100"/>
      <c r="U156" s="100"/>
      <c r="V156" s="100"/>
      <c r="W156" s="100"/>
      <c r="X156" s="100"/>
      <c r="Y156" s="100"/>
      <c r="Z156" s="100"/>
      <c r="AA156" s="100"/>
      <c r="AB156" s="103" t="str">
        <f>AB155&amp;".1"</f>
        <v>3.1.1.1.3.1.1</v>
      </c>
      <c r="AC156" s="188" t="s">
        <v>208</v>
      </c>
      <c r="AD156" s="189" t="s">
        <v>209</v>
      </c>
      <c r="AE156" s="190">
        <f t="shared" ref="AE156:BK156" si="17">(AE155/AE157)/12*1000</f>
        <v>54315.641609334962</v>
      </c>
      <c r="AF156" s="191">
        <f t="shared" si="17"/>
        <v>51830.244638517208</v>
      </c>
      <c r="AG156" s="192">
        <f t="shared" si="17"/>
        <v>53330.340208629677</v>
      </c>
      <c r="AH156" s="190">
        <f t="shared" si="17"/>
        <v>35267.176870748292</v>
      </c>
      <c r="AI156" s="191">
        <f t="shared" si="17"/>
        <v>11990.646258503399</v>
      </c>
      <c r="AJ156" s="192">
        <f t="shared" si="17"/>
        <v>44405.493827160491</v>
      </c>
      <c r="AK156" s="190">
        <f t="shared" si="17"/>
        <v>46496.334876543209</v>
      </c>
      <c r="AL156" s="191">
        <f t="shared" si="17"/>
        <v>25425.073206442165</v>
      </c>
      <c r="AM156" s="192">
        <f t="shared" si="17"/>
        <v>37715.044247787613</v>
      </c>
      <c r="AN156" s="190">
        <f t="shared" si="17"/>
        <v>55443.324074074073</v>
      </c>
      <c r="AO156" s="191">
        <f t="shared" si="17"/>
        <v>34905.424836601313</v>
      </c>
      <c r="AP156" s="193">
        <f t="shared" si="17"/>
        <v>43017.903225806454</v>
      </c>
      <c r="AQ156" s="190">
        <f t="shared" si="17"/>
        <v>50270.215707964613</v>
      </c>
      <c r="AR156" s="191">
        <f t="shared" si="17"/>
        <v>31265.88983050848</v>
      </c>
      <c r="AS156" s="193">
        <f t="shared" si="17"/>
        <v>45406.290322580644</v>
      </c>
      <c r="AT156" s="190">
        <f t="shared" si="17"/>
        <v>48676.488930464613</v>
      </c>
      <c r="AU156" s="191">
        <f t="shared" si="17"/>
        <v>39437.906336088156</v>
      </c>
      <c r="AV156" s="193">
        <f t="shared" si="17"/>
        <v>39854.613526570058</v>
      </c>
      <c r="AW156" s="190">
        <f t="shared" si="17"/>
        <v>47011.425648021825</v>
      </c>
      <c r="AX156" s="191">
        <f t="shared" si="17"/>
        <v>43186.435897435898</v>
      </c>
      <c r="AY156" s="193">
        <f t="shared" si="17"/>
        <v>43953.793103448275</v>
      </c>
      <c r="AZ156" s="190">
        <f t="shared" si="17"/>
        <v>55042.821782178216</v>
      </c>
      <c r="BA156" s="191">
        <f t="shared" si="17"/>
        <v>40642.454471999503</v>
      </c>
      <c r="BB156" s="193">
        <f t="shared" si="17"/>
        <v>48907.125</v>
      </c>
      <c r="BC156" s="190">
        <f t="shared" si="17"/>
        <v>46120.63437614344</v>
      </c>
      <c r="BD156" s="191">
        <f t="shared" si="17"/>
        <v>44731.169354838705</v>
      </c>
      <c r="BE156" s="192">
        <f t="shared" si="17"/>
        <v>48171.881720430101</v>
      </c>
      <c r="BF156" s="194">
        <f t="shared" si="17"/>
        <v>50102.355072463775</v>
      </c>
      <c r="BG156" s="195">
        <f t="shared" si="17"/>
        <v>32246.888888888883</v>
      </c>
      <c r="BH156" s="196">
        <f t="shared" si="17"/>
        <v>40018.23529411765</v>
      </c>
      <c r="BI156" s="197">
        <f t="shared" si="17"/>
        <v>51999.053030303032</v>
      </c>
      <c r="BJ156" s="195">
        <f t="shared" si="17"/>
        <v>42477.549711353429</v>
      </c>
      <c r="BK156" s="198">
        <f t="shared" si="17"/>
        <v>46176.871794871797</v>
      </c>
      <c r="BL156" s="111"/>
      <c r="BM156" s="100"/>
      <c r="BN156" s="112">
        <f>(BN155/BN157)/12*1000</f>
        <v>53119.868480897538</v>
      </c>
      <c r="BO156" s="113">
        <f>(BO155/BO157)/12*1000</f>
        <v>48515.769264316412</v>
      </c>
      <c r="BP156" s="114">
        <f>(BP155/BP157)/12*1000</f>
        <v>51101.33449391574</v>
      </c>
    </row>
    <row r="157" spans="1:68" s="115" customFormat="1" ht="22.5" customHeight="1" outlineLevel="4" x14ac:dyDescent="0.25">
      <c r="A157" s="100"/>
      <c r="B157" s="100"/>
      <c r="C157" s="99" t="s">
        <v>210</v>
      </c>
      <c r="D157" s="99" t="s">
        <v>211</v>
      </c>
      <c r="E157" s="99" t="s">
        <v>73</v>
      </c>
      <c r="F157" s="99" t="s">
        <v>74</v>
      </c>
      <c r="G157" s="99" t="s">
        <v>73</v>
      </c>
      <c r="H157" s="99" t="s">
        <v>202</v>
      </c>
      <c r="I157" s="99" t="s">
        <v>73</v>
      </c>
      <c r="J157" s="100"/>
      <c r="K157" s="102" t="s">
        <v>73</v>
      </c>
      <c r="L157" s="99" t="s">
        <v>192</v>
      </c>
      <c r="M157" s="100" t="str">
        <f t="array" ref="M157">Y96</f>
        <v>1ХВС::1.1</v>
      </c>
      <c r="N157" s="100"/>
      <c r="O157" s="100"/>
      <c r="P157" s="100"/>
      <c r="Q157" s="100"/>
      <c r="R157" s="100"/>
      <c r="S157" s="100"/>
      <c r="T157" s="100"/>
      <c r="U157" s="100"/>
      <c r="V157" s="100"/>
      <c r="W157" s="100"/>
      <c r="X157" s="100"/>
      <c r="Y157" s="100"/>
      <c r="Z157" s="100"/>
      <c r="AA157" s="100"/>
      <c r="AB157" s="103" t="str">
        <f>AB155&amp;".2"</f>
        <v>3.1.1.1.3.1.2</v>
      </c>
      <c r="AC157" s="188" t="s">
        <v>212</v>
      </c>
      <c r="AD157" s="189" t="s">
        <v>213</v>
      </c>
      <c r="AE157" s="199">
        <v>494.2</v>
      </c>
      <c r="AF157" s="200">
        <v>624.04999999999995</v>
      </c>
      <c r="AG157" s="201">
        <v>703</v>
      </c>
      <c r="AH157" s="199">
        <v>4.9000000000000004</v>
      </c>
      <c r="AI157" s="200">
        <v>9.8000000000000007</v>
      </c>
      <c r="AJ157" s="201">
        <v>13.5</v>
      </c>
      <c r="AK157" s="199">
        <v>17.28</v>
      </c>
      <c r="AL157" s="200">
        <v>6.83</v>
      </c>
      <c r="AM157" s="201">
        <v>22.6</v>
      </c>
      <c r="AN157" s="199">
        <v>18</v>
      </c>
      <c r="AO157" s="200">
        <v>25.5</v>
      </c>
      <c r="AP157" s="202">
        <v>31</v>
      </c>
      <c r="AQ157" s="199">
        <v>9.0399999999999991</v>
      </c>
      <c r="AR157" s="200">
        <v>2.36</v>
      </c>
      <c r="AS157" s="202">
        <v>6.2</v>
      </c>
      <c r="AT157" s="199">
        <v>21.38</v>
      </c>
      <c r="AU157" s="200">
        <v>30.25</v>
      </c>
      <c r="AV157" s="202">
        <v>34.5</v>
      </c>
      <c r="AW157" s="199">
        <v>14.66</v>
      </c>
      <c r="AX157" s="200">
        <v>3.25</v>
      </c>
      <c r="AY157" s="202">
        <v>14.5</v>
      </c>
      <c r="AZ157" s="199">
        <v>30.3</v>
      </c>
      <c r="BA157" s="200">
        <v>53.63</v>
      </c>
      <c r="BB157" s="202">
        <f>57.8-17.8</f>
        <v>40</v>
      </c>
      <c r="BC157" s="199">
        <v>36.44</v>
      </c>
      <c r="BD157" s="200">
        <v>62</v>
      </c>
      <c r="BE157" s="201">
        <v>62</v>
      </c>
      <c r="BF157" s="203">
        <v>4.5999999999999996</v>
      </c>
      <c r="BG157" s="204">
        <v>7.5</v>
      </c>
      <c r="BH157" s="205">
        <v>4.25</v>
      </c>
      <c r="BI157" s="206">
        <v>8.8000000000000007</v>
      </c>
      <c r="BJ157" s="204">
        <v>15.59</v>
      </c>
      <c r="BK157" s="207">
        <v>16.25</v>
      </c>
      <c r="BL157" s="111"/>
      <c r="BM157" s="100"/>
      <c r="BN157" s="112">
        <f t="shared" ref="BN157:BP158" si="18">AE157+AH157+AK157+AN157+AQ157+AT157+AW157+AZ157+BC157+BF157+BI157</f>
        <v>659.5999999999998</v>
      </c>
      <c r="BO157" s="113">
        <f t="shared" si="18"/>
        <v>840.76</v>
      </c>
      <c r="BP157" s="114">
        <f t="shared" si="18"/>
        <v>947.80000000000007</v>
      </c>
    </row>
    <row r="158" spans="1:68" ht="29.25" customHeight="1" outlineLevel="4" x14ac:dyDescent="0.25">
      <c r="C158" s="10" t="s">
        <v>83</v>
      </c>
      <c r="D158" s="10" t="s">
        <v>84</v>
      </c>
      <c r="E158" s="10" t="s">
        <v>73</v>
      </c>
      <c r="F158" s="10" t="s">
        <v>74</v>
      </c>
      <c r="G158" s="10" t="s">
        <v>214</v>
      </c>
      <c r="H158" s="10" t="s">
        <v>202</v>
      </c>
      <c r="I158" s="10" t="s">
        <v>73</v>
      </c>
      <c r="K158" s="12" t="s">
        <v>73</v>
      </c>
      <c r="L158" s="10" t="s">
        <v>192</v>
      </c>
      <c r="M158" s="5" t="str">
        <f t="array" ref="M158">Y96</f>
        <v>1ХВС::1.1</v>
      </c>
      <c r="AB158" s="29" t="str">
        <f>AB154&amp;".2"</f>
        <v>3.1.1.1.3.2</v>
      </c>
      <c r="AC158" s="177" t="s">
        <v>215</v>
      </c>
      <c r="AD158" s="51" t="s">
        <v>111</v>
      </c>
      <c r="AE158" s="95">
        <f>327234.4*0.302</f>
        <v>98824.788800000009</v>
      </c>
      <c r="AF158" s="178">
        <v>117841.7</v>
      </c>
      <c r="AG158" s="96">
        <f>AG155/100*30.2</f>
        <v>135868.2145</v>
      </c>
      <c r="AH158" s="95">
        <f>AH155*0.302</f>
        <v>626.26041999999995</v>
      </c>
      <c r="AI158" s="178">
        <v>425.85</v>
      </c>
      <c r="AJ158" s="96">
        <f>AJ155*0.302</f>
        <v>2172.4943799999996</v>
      </c>
      <c r="AK158" s="95">
        <v>2911.72</v>
      </c>
      <c r="AL158" s="178">
        <v>629.32000000000005</v>
      </c>
      <c r="AM158" s="96">
        <v>3088.95</v>
      </c>
      <c r="AN158" s="95">
        <v>3616.68</v>
      </c>
      <c r="AO158" s="178">
        <f>3075.28+150.4</f>
        <v>3225.6800000000003</v>
      </c>
      <c r="AP158" s="181">
        <v>4832.8</v>
      </c>
      <c r="AQ158" s="95">
        <v>1646.9</v>
      </c>
      <c r="AR158" s="178">
        <v>267.39999999999998</v>
      </c>
      <c r="AS158" s="181">
        <v>1020.22</v>
      </c>
      <c r="AT158" s="95">
        <v>3771.51</v>
      </c>
      <c r="AU158" s="178">
        <v>4323.42</v>
      </c>
      <c r="AV158" s="181">
        <v>4982.9399999999996</v>
      </c>
      <c r="AW158" s="95">
        <f t="shared" ref="AW158:BB158" si="19">AW155*30.2%</f>
        <v>2497.6154999999999</v>
      </c>
      <c r="AX158" s="178">
        <f t="shared" si="19"/>
        <v>508.64984199999998</v>
      </c>
      <c r="AY158" s="181">
        <f t="shared" si="19"/>
        <v>2309.6839199999999</v>
      </c>
      <c r="AZ158" s="95">
        <f t="shared" si="19"/>
        <v>6044.0981400000001</v>
      </c>
      <c r="BA158" s="178">
        <f t="shared" si="19"/>
        <v>7899.0691159999997</v>
      </c>
      <c r="BB158" s="181">
        <f t="shared" si="19"/>
        <v>7089.5768399999988</v>
      </c>
      <c r="BC158" s="95">
        <v>6090.6245600000002</v>
      </c>
      <c r="BD158" s="178">
        <v>10050.56</v>
      </c>
      <c r="BE158" s="96">
        <v>10823.65</v>
      </c>
      <c r="BF158" s="182">
        <v>835.23</v>
      </c>
      <c r="BG158" s="183">
        <v>876.47</v>
      </c>
      <c r="BH158" s="184">
        <v>616.36</v>
      </c>
      <c r="BI158" s="185">
        <f>BI155*BI159/100</f>
        <v>1658.3122000000001</v>
      </c>
      <c r="BJ158" s="183">
        <f>BJ155*BJ159/100</f>
        <v>2399.9034000000001</v>
      </c>
      <c r="BK158" s="186">
        <f>BK155*BK159/100</f>
        <v>2719.3559799999998</v>
      </c>
      <c r="BN158" s="125">
        <f t="shared" si="18"/>
        <v>128523.73961999999</v>
      </c>
      <c r="BO158" s="126">
        <f t="shared" si="18"/>
        <v>148448.02235800002</v>
      </c>
      <c r="BP158" s="127">
        <f t="shared" si="18"/>
        <v>175524.24561999997</v>
      </c>
    </row>
    <row r="159" spans="1:68" ht="21.75" customHeight="1" outlineLevel="4" x14ac:dyDescent="0.25">
      <c r="C159" s="10" t="s">
        <v>216</v>
      </c>
      <c r="D159" s="10" t="s">
        <v>217</v>
      </c>
      <c r="E159" s="10" t="s">
        <v>73</v>
      </c>
      <c r="F159" s="10" t="s">
        <v>74</v>
      </c>
      <c r="G159" s="10" t="s">
        <v>73</v>
      </c>
      <c r="H159" s="10" t="s">
        <v>202</v>
      </c>
      <c r="I159" s="10" t="s">
        <v>73</v>
      </c>
      <c r="K159" s="12" t="s">
        <v>73</v>
      </c>
      <c r="L159" s="10" t="s">
        <v>192</v>
      </c>
      <c r="M159" s="5" t="str">
        <f t="array" ref="M159">Y96</f>
        <v>1ХВС::1.1</v>
      </c>
      <c r="AB159" s="29" t="str">
        <f>AB158&amp;".1"</f>
        <v>3.1.1.1.3.2.1</v>
      </c>
      <c r="AC159" s="208" t="s">
        <v>218</v>
      </c>
      <c r="AD159" s="51" t="s">
        <v>119</v>
      </c>
      <c r="AE159" s="72">
        <v>30.2</v>
      </c>
      <c r="AF159" s="73">
        <v>30.2</v>
      </c>
      <c r="AG159" s="74">
        <v>30.2</v>
      </c>
      <c r="AH159" s="72">
        <v>30.2</v>
      </c>
      <c r="AI159" s="73">
        <v>30.2</v>
      </c>
      <c r="AJ159" s="74">
        <v>30.2</v>
      </c>
      <c r="AK159" s="72">
        <v>30.2</v>
      </c>
      <c r="AL159" s="73">
        <v>30.2</v>
      </c>
      <c r="AM159" s="74">
        <v>30.2</v>
      </c>
      <c r="AN159" s="72">
        <v>30.2</v>
      </c>
      <c r="AO159" s="73">
        <v>30.2</v>
      </c>
      <c r="AP159" s="138">
        <v>30.2</v>
      </c>
      <c r="AQ159" s="72">
        <v>30.2</v>
      </c>
      <c r="AR159" s="73">
        <v>30.2</v>
      </c>
      <c r="AS159" s="138">
        <v>30.2</v>
      </c>
      <c r="AT159" s="72">
        <v>30.2</v>
      </c>
      <c r="AU159" s="73">
        <v>30.2</v>
      </c>
      <c r="AV159" s="138">
        <v>30.2</v>
      </c>
      <c r="AW159" s="72">
        <v>30.2</v>
      </c>
      <c r="AX159" s="73">
        <v>30.2</v>
      </c>
      <c r="AY159" s="138">
        <v>30.2</v>
      </c>
      <c r="AZ159" s="72">
        <v>30.2</v>
      </c>
      <c r="BA159" s="73">
        <v>30.2</v>
      </c>
      <c r="BB159" s="138">
        <v>30.2</v>
      </c>
      <c r="BC159" s="72">
        <v>30.2</v>
      </c>
      <c r="BD159" s="73">
        <v>30.2</v>
      </c>
      <c r="BE159" s="74">
        <v>30.2</v>
      </c>
      <c r="BF159" s="139">
        <v>30.2</v>
      </c>
      <c r="BG159" s="140">
        <v>30.2</v>
      </c>
      <c r="BH159" s="141">
        <v>30.2</v>
      </c>
      <c r="BI159" s="142">
        <v>30.2</v>
      </c>
      <c r="BJ159" s="140">
        <v>30.2</v>
      </c>
      <c r="BK159" s="143">
        <v>30.2</v>
      </c>
      <c r="BN159" s="125">
        <v>30.2</v>
      </c>
      <c r="BO159" s="126">
        <v>30.2</v>
      </c>
      <c r="BP159" s="127">
        <v>30.2</v>
      </c>
    </row>
    <row r="160" spans="1:68" s="211" customFormat="1" ht="21" customHeight="1" outlineLevel="4" x14ac:dyDescent="0.25">
      <c r="A160" s="6"/>
      <c r="B160" s="6"/>
      <c r="C160" s="116" t="s">
        <v>83</v>
      </c>
      <c r="D160" s="116" t="s">
        <v>84</v>
      </c>
      <c r="E160" s="116" t="s">
        <v>73</v>
      </c>
      <c r="F160" s="116" t="s">
        <v>74</v>
      </c>
      <c r="G160" s="116" t="s">
        <v>219</v>
      </c>
      <c r="H160" s="116" t="s">
        <v>73</v>
      </c>
      <c r="I160" s="116" t="s">
        <v>73</v>
      </c>
      <c r="J160" s="6"/>
      <c r="K160" s="209" t="s">
        <v>73</v>
      </c>
      <c r="L160" s="116" t="s">
        <v>192</v>
      </c>
      <c r="M160" s="6" t="str">
        <f t="array" ref="M160">Y96</f>
        <v>1ХВС::1.1</v>
      </c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29" t="str">
        <f>AB148&amp;".4"</f>
        <v>3.1.1.1.4</v>
      </c>
      <c r="AC160" s="174" t="s">
        <v>220</v>
      </c>
      <c r="AD160" s="51" t="s">
        <v>111</v>
      </c>
      <c r="AE160" s="95">
        <v>42307.98</v>
      </c>
      <c r="AF160" s="178"/>
      <c r="AG160" s="96"/>
      <c r="AH160" s="180">
        <v>65.457999999999998</v>
      </c>
      <c r="AI160" s="178"/>
      <c r="AJ160" s="96">
        <v>119.37</v>
      </c>
      <c r="AK160" s="95">
        <v>894.6</v>
      </c>
      <c r="AL160" s="178">
        <v>28</v>
      </c>
      <c r="AM160" s="96">
        <v>1631.49</v>
      </c>
      <c r="AN160" s="95">
        <v>1941.93</v>
      </c>
      <c r="AO160" s="178"/>
      <c r="AP160" s="181">
        <v>3541.52</v>
      </c>
      <c r="AQ160" s="95">
        <v>283.64999999999998</v>
      </c>
      <c r="AR160" s="178">
        <v>0</v>
      </c>
      <c r="AS160" s="181">
        <v>517.29999999999995</v>
      </c>
      <c r="AT160" s="95">
        <v>2138.31</v>
      </c>
      <c r="AU160" s="178"/>
      <c r="AV160" s="181">
        <v>3899.64</v>
      </c>
      <c r="AW160" s="72">
        <v>512.75800000000004</v>
      </c>
      <c r="AX160" s="178"/>
      <c r="AY160" s="181">
        <v>935.11900000000003</v>
      </c>
      <c r="AZ160" s="72">
        <v>2825.623</v>
      </c>
      <c r="BA160" s="178"/>
      <c r="BB160" s="210">
        <v>3140.59</v>
      </c>
      <c r="BC160" s="95">
        <v>2291.0500000000002</v>
      </c>
      <c r="BD160" s="178"/>
      <c r="BE160" s="96">
        <f>2478+2145.73</f>
        <v>4623.7299999999996</v>
      </c>
      <c r="BF160" s="139">
        <v>141.83000000000001</v>
      </c>
      <c r="BG160" s="183"/>
      <c r="BH160" s="184">
        <v>258.64999999999998</v>
      </c>
      <c r="BI160" s="142">
        <v>261.83</v>
      </c>
      <c r="BJ160" s="183"/>
      <c r="BK160" s="186">
        <v>477.51</v>
      </c>
      <c r="BL160" s="6"/>
      <c r="BM160" s="6"/>
      <c r="BN160" s="125">
        <f t="shared" ref="BN160:BN191" si="20">AE160+AH160+AK160+AN160+AQ160+AT160+AW160+AZ160+BC160+BF160+BI160</f>
        <v>53665.019000000008</v>
      </c>
      <c r="BO160" s="126">
        <f t="shared" ref="BO160:BO191" si="21">AF160+AI160+AL160+AO160+AR160+AU160+AX160+BA160+BD160+BG160+BJ160</f>
        <v>28</v>
      </c>
      <c r="BP160" s="127">
        <f t="shared" ref="BP160:BP191" si="22">AG160+AJ160+AM160+AP160+AS160+AV160+AY160+BB160+BE160+BH160+BK160</f>
        <v>19144.918999999998</v>
      </c>
    </row>
    <row r="161" spans="1:68" ht="26.25" hidden="1" customHeight="1" outlineLevel="4" x14ac:dyDescent="0.25">
      <c r="C161" s="10" t="s">
        <v>83</v>
      </c>
      <c r="D161" s="10" t="s">
        <v>84</v>
      </c>
      <c r="E161" s="10" t="s">
        <v>73</v>
      </c>
      <c r="F161" s="10" t="s">
        <v>74</v>
      </c>
      <c r="G161" s="10" t="s">
        <v>221</v>
      </c>
      <c r="H161" s="10" t="s">
        <v>73</v>
      </c>
      <c r="I161" s="10" t="s">
        <v>73</v>
      </c>
      <c r="K161" s="12" t="s">
        <v>73</v>
      </c>
      <c r="L161" s="10" t="s">
        <v>192</v>
      </c>
      <c r="M161" s="5" t="str">
        <f t="array" ref="M161">Y96</f>
        <v>1ХВС::1.1</v>
      </c>
      <c r="AB161" s="65" t="str">
        <f>AB148&amp;".5"</f>
        <v>3.1.1.1.5</v>
      </c>
      <c r="AC161" s="174" t="s">
        <v>222</v>
      </c>
      <c r="AD161" s="51" t="s">
        <v>111</v>
      </c>
      <c r="AE161" s="72"/>
      <c r="AF161" s="178"/>
      <c r="AG161" s="96"/>
      <c r="AH161" s="72"/>
      <c r="AI161" s="178"/>
      <c r="AJ161" s="96"/>
      <c r="AK161" s="72"/>
      <c r="AL161" s="73"/>
      <c r="AM161" s="96"/>
      <c r="AN161" s="72"/>
      <c r="AO161" s="178"/>
      <c r="AP161" s="181"/>
      <c r="AQ161" s="72"/>
      <c r="AR161" s="178"/>
      <c r="AS161" s="181"/>
      <c r="AT161" s="72"/>
      <c r="AU161" s="178"/>
      <c r="AV161" s="181"/>
      <c r="AW161" s="72"/>
      <c r="AX161" s="178"/>
      <c r="AY161" s="181"/>
      <c r="AZ161" s="72"/>
      <c r="BA161" s="178"/>
      <c r="BB161" s="181"/>
      <c r="BC161" s="72"/>
      <c r="BD161" s="178"/>
      <c r="BE161" s="96"/>
      <c r="BF161" s="139"/>
      <c r="BG161" s="183"/>
      <c r="BH161" s="184"/>
      <c r="BI161" s="142"/>
      <c r="BJ161" s="183"/>
      <c r="BK161" s="186"/>
      <c r="BN161" s="125">
        <f t="shared" si="20"/>
        <v>0</v>
      </c>
      <c r="BO161" s="126">
        <f t="shared" si="21"/>
        <v>0</v>
      </c>
      <c r="BP161" s="127">
        <f t="shared" si="22"/>
        <v>0</v>
      </c>
    </row>
    <row r="162" spans="1:68" ht="31.5" hidden="1" customHeight="1" outlineLevel="4" x14ac:dyDescent="0.25">
      <c r="A162" s="5" t="b">
        <f>ИТОГ!$AD$55="нет"</f>
        <v>1</v>
      </c>
      <c r="C162" s="10" t="s">
        <v>83</v>
      </c>
      <c r="D162" s="10" t="s">
        <v>84</v>
      </c>
      <c r="E162" s="10" t="s">
        <v>73</v>
      </c>
      <c r="F162" s="10" t="s">
        <v>74</v>
      </c>
      <c r="G162" s="10" t="s">
        <v>201</v>
      </c>
      <c r="H162" s="10" t="s">
        <v>223</v>
      </c>
      <c r="I162" s="10" t="s">
        <v>73</v>
      </c>
      <c r="K162" s="12" t="s">
        <v>73</v>
      </c>
      <c r="L162" s="10" t="s">
        <v>224</v>
      </c>
      <c r="M162" s="5" t="str">
        <f t="array" ref="M162">Y96</f>
        <v>1ХВС::1.1</v>
      </c>
      <c r="AB162" s="29" t="str">
        <f>AB161&amp;".1"</f>
        <v>3.1.1.1.5.1</v>
      </c>
      <c r="AC162" s="177" t="s">
        <v>225</v>
      </c>
      <c r="AD162" s="51" t="s">
        <v>111</v>
      </c>
      <c r="AE162" s="72"/>
      <c r="AF162" s="73"/>
      <c r="AG162" s="74"/>
      <c r="AH162" s="72"/>
      <c r="AI162" s="73"/>
      <c r="AJ162" s="74"/>
      <c r="AK162" s="72"/>
      <c r="AL162" s="73"/>
      <c r="AM162" s="74"/>
      <c r="AN162" s="72"/>
      <c r="AO162" s="73"/>
      <c r="AP162" s="138"/>
      <c r="AQ162" s="72"/>
      <c r="AR162" s="73"/>
      <c r="AS162" s="138"/>
      <c r="AT162" s="72"/>
      <c r="AU162" s="73"/>
      <c r="AV162" s="138"/>
      <c r="AW162" s="72"/>
      <c r="AX162" s="73"/>
      <c r="AY162" s="138"/>
      <c r="AZ162" s="72"/>
      <c r="BA162" s="73"/>
      <c r="BB162" s="138"/>
      <c r="BC162" s="72"/>
      <c r="BD162" s="73"/>
      <c r="BE162" s="74"/>
      <c r="BF162" s="139"/>
      <c r="BG162" s="140"/>
      <c r="BH162" s="141"/>
      <c r="BI162" s="142"/>
      <c r="BJ162" s="140"/>
      <c r="BK162" s="143"/>
      <c r="BN162" s="125">
        <f t="shared" si="20"/>
        <v>0</v>
      </c>
      <c r="BO162" s="126">
        <f t="shared" si="21"/>
        <v>0</v>
      </c>
      <c r="BP162" s="127">
        <f t="shared" si="22"/>
        <v>0</v>
      </c>
    </row>
    <row r="163" spans="1:68" ht="29.25" hidden="1" customHeight="1" outlineLevel="4" x14ac:dyDescent="0.25">
      <c r="A163" s="5" t="b">
        <f t="array" ref="A163">A162</f>
        <v>1</v>
      </c>
      <c r="C163" s="10" t="s">
        <v>83</v>
      </c>
      <c r="D163" s="10" t="s">
        <v>84</v>
      </c>
      <c r="E163" s="10" t="s">
        <v>73</v>
      </c>
      <c r="F163" s="10" t="s">
        <v>74</v>
      </c>
      <c r="G163" s="10" t="s">
        <v>204</v>
      </c>
      <c r="H163" s="10" t="s">
        <v>223</v>
      </c>
      <c r="I163" s="10" t="s">
        <v>73</v>
      </c>
      <c r="K163" s="12" t="s">
        <v>73</v>
      </c>
      <c r="L163" s="10" t="s">
        <v>224</v>
      </c>
      <c r="M163" s="5" t="str">
        <f t="array" ref="M163">Y96</f>
        <v>1ХВС::1.1</v>
      </c>
      <c r="AB163" s="29" t="str">
        <f>AB162&amp;".1"</f>
        <v>3.1.1.1.5.1.1</v>
      </c>
      <c r="AC163" s="212" t="s">
        <v>226</v>
      </c>
      <c r="AD163" s="51" t="s">
        <v>111</v>
      </c>
      <c r="AE163" s="72"/>
      <c r="AF163" s="178"/>
      <c r="AG163" s="96"/>
      <c r="AH163" s="72"/>
      <c r="AI163" s="178"/>
      <c r="AJ163" s="96"/>
      <c r="AK163" s="72"/>
      <c r="AL163" s="178"/>
      <c r="AM163" s="96"/>
      <c r="AN163" s="72"/>
      <c r="AO163" s="178"/>
      <c r="AP163" s="181"/>
      <c r="AQ163" s="72"/>
      <c r="AR163" s="178"/>
      <c r="AS163" s="181"/>
      <c r="AT163" s="72"/>
      <c r="AU163" s="178"/>
      <c r="AV163" s="181"/>
      <c r="AW163" s="72"/>
      <c r="AX163" s="178"/>
      <c r="AY163" s="181"/>
      <c r="AZ163" s="72"/>
      <c r="BA163" s="178"/>
      <c r="BB163" s="181"/>
      <c r="BC163" s="72"/>
      <c r="BD163" s="178"/>
      <c r="BE163" s="96"/>
      <c r="BF163" s="139"/>
      <c r="BG163" s="183"/>
      <c r="BH163" s="184"/>
      <c r="BI163" s="142"/>
      <c r="BJ163" s="183"/>
      <c r="BK163" s="186"/>
      <c r="BN163" s="125">
        <f t="shared" si="20"/>
        <v>0</v>
      </c>
      <c r="BO163" s="126">
        <f t="shared" si="21"/>
        <v>0</v>
      </c>
      <c r="BP163" s="127">
        <f t="shared" si="22"/>
        <v>0</v>
      </c>
    </row>
    <row r="164" spans="1:68" ht="14.25" hidden="1" customHeight="1" outlineLevel="4" x14ac:dyDescent="0.25">
      <c r="A164" s="5" t="b">
        <f t="array" ref="A164">A163</f>
        <v>1</v>
      </c>
      <c r="C164" s="10" t="s">
        <v>206</v>
      </c>
      <c r="D164" s="10" t="s">
        <v>207</v>
      </c>
      <c r="E164" s="10" t="s">
        <v>73</v>
      </c>
      <c r="F164" s="10" t="s">
        <v>74</v>
      </c>
      <c r="G164" s="10" t="s">
        <v>73</v>
      </c>
      <c r="H164" s="10" t="s">
        <v>223</v>
      </c>
      <c r="I164" s="10" t="s">
        <v>73</v>
      </c>
      <c r="K164" s="12" t="s">
        <v>73</v>
      </c>
      <c r="L164" s="10" t="s">
        <v>224</v>
      </c>
      <c r="M164" s="5" t="str">
        <f t="array" ref="M164">Y96</f>
        <v>1ХВС::1.1</v>
      </c>
      <c r="AB164" s="29" t="str">
        <f>AB163&amp;".1"</f>
        <v>3.1.1.1.5.1.1.1</v>
      </c>
      <c r="AC164" s="208" t="s">
        <v>208</v>
      </c>
      <c r="AD164" s="51" t="s">
        <v>209</v>
      </c>
      <c r="AE164" s="72"/>
      <c r="AF164" s="73"/>
      <c r="AG164" s="74"/>
      <c r="AH164" s="72"/>
      <c r="AI164" s="73"/>
      <c r="AJ164" s="74"/>
      <c r="AK164" s="72"/>
      <c r="AL164" s="73"/>
      <c r="AM164" s="74"/>
      <c r="AN164" s="72"/>
      <c r="AO164" s="73"/>
      <c r="AP164" s="138"/>
      <c r="AQ164" s="72"/>
      <c r="AR164" s="73"/>
      <c r="AS164" s="138"/>
      <c r="AT164" s="72"/>
      <c r="AU164" s="73"/>
      <c r="AV164" s="138"/>
      <c r="AW164" s="72"/>
      <c r="AX164" s="73"/>
      <c r="AY164" s="138"/>
      <c r="AZ164" s="72"/>
      <c r="BA164" s="73"/>
      <c r="BB164" s="138"/>
      <c r="BC164" s="72"/>
      <c r="BD164" s="73"/>
      <c r="BE164" s="74"/>
      <c r="BF164" s="139"/>
      <c r="BG164" s="140"/>
      <c r="BH164" s="141"/>
      <c r="BI164" s="142"/>
      <c r="BJ164" s="140"/>
      <c r="BK164" s="143"/>
      <c r="BN164" s="125">
        <f t="shared" si="20"/>
        <v>0</v>
      </c>
      <c r="BO164" s="126">
        <f t="shared" si="21"/>
        <v>0</v>
      </c>
      <c r="BP164" s="127">
        <f t="shared" si="22"/>
        <v>0</v>
      </c>
    </row>
    <row r="165" spans="1:68" ht="14.25" hidden="1" customHeight="1" outlineLevel="4" x14ac:dyDescent="0.25">
      <c r="A165" s="5" t="b">
        <f t="array" ref="A165">A164</f>
        <v>1</v>
      </c>
      <c r="C165" s="10" t="s">
        <v>210</v>
      </c>
      <c r="D165" s="10" t="s">
        <v>211</v>
      </c>
      <c r="E165" s="10" t="s">
        <v>73</v>
      </c>
      <c r="F165" s="10" t="s">
        <v>74</v>
      </c>
      <c r="G165" s="10" t="s">
        <v>73</v>
      </c>
      <c r="H165" s="10" t="s">
        <v>223</v>
      </c>
      <c r="I165" s="10" t="s">
        <v>73</v>
      </c>
      <c r="K165" s="12" t="s">
        <v>73</v>
      </c>
      <c r="L165" s="10" t="s">
        <v>224</v>
      </c>
      <c r="M165" s="5" t="str">
        <f t="array" ref="M165">Y96</f>
        <v>1ХВС::1.1</v>
      </c>
      <c r="AB165" s="29" t="str">
        <f>AB163&amp;".2"</f>
        <v>3.1.1.1.5.1.1.2</v>
      </c>
      <c r="AC165" s="208" t="s">
        <v>212</v>
      </c>
      <c r="AD165" s="51" t="s">
        <v>213</v>
      </c>
      <c r="AE165" s="72"/>
      <c r="AF165" s="178"/>
      <c r="AG165" s="96"/>
      <c r="AH165" s="72"/>
      <c r="AI165" s="178"/>
      <c r="AJ165" s="96"/>
      <c r="AK165" s="72"/>
      <c r="AL165" s="178"/>
      <c r="AM165" s="96"/>
      <c r="AN165" s="72"/>
      <c r="AO165" s="178"/>
      <c r="AP165" s="181"/>
      <c r="AQ165" s="72"/>
      <c r="AR165" s="178"/>
      <c r="AS165" s="181"/>
      <c r="AT165" s="72"/>
      <c r="AU165" s="178"/>
      <c r="AV165" s="181"/>
      <c r="AW165" s="72"/>
      <c r="AX165" s="178"/>
      <c r="AY165" s="181"/>
      <c r="AZ165" s="72"/>
      <c r="BA165" s="178"/>
      <c r="BB165" s="181"/>
      <c r="BC165" s="72"/>
      <c r="BD165" s="178"/>
      <c r="BE165" s="96"/>
      <c r="BF165" s="139"/>
      <c r="BG165" s="183"/>
      <c r="BH165" s="184"/>
      <c r="BI165" s="142"/>
      <c r="BJ165" s="183"/>
      <c r="BK165" s="186"/>
      <c r="BN165" s="125">
        <f t="shared" si="20"/>
        <v>0</v>
      </c>
      <c r="BO165" s="126">
        <f t="shared" si="21"/>
        <v>0</v>
      </c>
      <c r="BP165" s="127">
        <f t="shared" si="22"/>
        <v>0</v>
      </c>
    </row>
    <row r="166" spans="1:68" ht="14.25" hidden="1" customHeight="1" outlineLevel="4" x14ac:dyDescent="0.25">
      <c r="A166" s="5" t="b">
        <f t="array" ref="A166">A165</f>
        <v>1</v>
      </c>
      <c r="C166" s="10" t="s">
        <v>83</v>
      </c>
      <c r="D166" s="10" t="s">
        <v>84</v>
      </c>
      <c r="E166" s="10" t="s">
        <v>73</v>
      </c>
      <c r="F166" s="10" t="s">
        <v>74</v>
      </c>
      <c r="G166" s="10" t="s">
        <v>214</v>
      </c>
      <c r="H166" s="10" t="s">
        <v>223</v>
      </c>
      <c r="I166" s="10" t="s">
        <v>73</v>
      </c>
      <c r="K166" s="12" t="s">
        <v>73</v>
      </c>
      <c r="L166" s="10" t="s">
        <v>224</v>
      </c>
      <c r="M166" s="5" t="str">
        <f t="array" ref="M166">Y96</f>
        <v>1ХВС::1.1</v>
      </c>
      <c r="AB166" s="29" t="str">
        <f>AB162&amp;".2"</f>
        <v>3.1.1.1.5.1.2</v>
      </c>
      <c r="AC166" s="212" t="s">
        <v>227</v>
      </c>
      <c r="AD166" s="51" t="s">
        <v>111</v>
      </c>
      <c r="AE166" s="72"/>
      <c r="AF166" s="178"/>
      <c r="AG166" s="96"/>
      <c r="AH166" s="72"/>
      <c r="AI166" s="178"/>
      <c r="AJ166" s="96"/>
      <c r="AK166" s="72"/>
      <c r="AL166" s="178"/>
      <c r="AM166" s="96"/>
      <c r="AN166" s="72"/>
      <c r="AO166" s="178"/>
      <c r="AP166" s="181"/>
      <c r="AQ166" s="72"/>
      <c r="AR166" s="178"/>
      <c r="AS166" s="181"/>
      <c r="AT166" s="72"/>
      <c r="AU166" s="178"/>
      <c r="AV166" s="181"/>
      <c r="AW166" s="72"/>
      <c r="AX166" s="178"/>
      <c r="AY166" s="181"/>
      <c r="AZ166" s="72"/>
      <c r="BA166" s="178"/>
      <c r="BB166" s="181"/>
      <c r="BC166" s="72"/>
      <c r="BD166" s="178"/>
      <c r="BE166" s="96"/>
      <c r="BF166" s="139"/>
      <c r="BG166" s="183"/>
      <c r="BH166" s="184"/>
      <c r="BI166" s="142"/>
      <c r="BJ166" s="183"/>
      <c r="BK166" s="186"/>
      <c r="BN166" s="125">
        <f t="shared" si="20"/>
        <v>0</v>
      </c>
      <c r="BO166" s="126">
        <f t="shared" si="21"/>
        <v>0</v>
      </c>
      <c r="BP166" s="127">
        <f t="shared" si="22"/>
        <v>0</v>
      </c>
    </row>
    <row r="167" spans="1:68" ht="14.25" hidden="1" customHeight="1" outlineLevel="4" x14ac:dyDescent="0.25">
      <c r="A167" s="5" t="b">
        <f t="array" ref="A167">A166</f>
        <v>1</v>
      </c>
      <c r="C167" s="10" t="s">
        <v>216</v>
      </c>
      <c r="D167" s="10" t="s">
        <v>217</v>
      </c>
      <c r="E167" s="10" t="s">
        <v>73</v>
      </c>
      <c r="F167" s="10" t="s">
        <v>74</v>
      </c>
      <c r="G167" s="10" t="s">
        <v>73</v>
      </c>
      <c r="H167" s="10" t="s">
        <v>223</v>
      </c>
      <c r="I167" s="10" t="s">
        <v>73</v>
      </c>
      <c r="K167" s="12" t="s">
        <v>73</v>
      </c>
      <c r="L167" s="10" t="s">
        <v>224</v>
      </c>
      <c r="M167" s="5" t="str">
        <f t="array" ref="M167">Y96</f>
        <v>1ХВС::1.1</v>
      </c>
      <c r="AB167" s="29" t="str">
        <f>AB166&amp;".1"</f>
        <v>3.1.1.1.5.1.2.1</v>
      </c>
      <c r="AC167" s="208" t="s">
        <v>218</v>
      </c>
      <c r="AD167" s="51" t="s">
        <v>119</v>
      </c>
      <c r="AE167" s="72"/>
      <c r="AF167" s="73"/>
      <c r="AG167" s="74"/>
      <c r="AH167" s="72"/>
      <c r="AI167" s="73"/>
      <c r="AJ167" s="74"/>
      <c r="AK167" s="72"/>
      <c r="AL167" s="73"/>
      <c r="AM167" s="74"/>
      <c r="AN167" s="72"/>
      <c r="AO167" s="73"/>
      <c r="AP167" s="138"/>
      <c r="AQ167" s="72"/>
      <c r="AR167" s="73"/>
      <c r="AS167" s="138"/>
      <c r="AT167" s="72"/>
      <c r="AU167" s="73"/>
      <c r="AV167" s="138"/>
      <c r="AW167" s="72"/>
      <c r="AX167" s="73"/>
      <c r="AY167" s="138"/>
      <c r="AZ167" s="72"/>
      <c r="BA167" s="73"/>
      <c r="BB167" s="138"/>
      <c r="BC167" s="72"/>
      <c r="BD167" s="73"/>
      <c r="BE167" s="74"/>
      <c r="BF167" s="139"/>
      <c r="BG167" s="140"/>
      <c r="BH167" s="141"/>
      <c r="BI167" s="142"/>
      <c r="BJ167" s="140"/>
      <c r="BK167" s="143"/>
      <c r="BN167" s="125">
        <f t="shared" si="20"/>
        <v>0</v>
      </c>
      <c r="BO167" s="126">
        <f t="shared" si="21"/>
        <v>0</v>
      </c>
      <c r="BP167" s="127">
        <f t="shared" si="22"/>
        <v>0</v>
      </c>
    </row>
    <row r="168" spans="1:68" ht="14.25" hidden="1" customHeight="1" outlineLevel="4" x14ac:dyDescent="0.25">
      <c r="A168" s="5" t="b">
        <f t="array" ref="A168">A167</f>
        <v>1</v>
      </c>
      <c r="C168" s="79" t="s">
        <v>83</v>
      </c>
      <c r="D168" s="79" t="s">
        <v>84</v>
      </c>
      <c r="E168" s="79" t="s">
        <v>73</v>
      </c>
      <c r="F168" s="10" t="s">
        <v>74</v>
      </c>
      <c r="G168" s="79" t="s">
        <v>228</v>
      </c>
      <c r="H168" s="79" t="s">
        <v>73</v>
      </c>
      <c r="I168" s="79" t="s">
        <v>73</v>
      </c>
      <c r="J168" s="79"/>
      <c r="K168" s="213" t="s">
        <v>73</v>
      </c>
      <c r="L168" s="79" t="s">
        <v>192</v>
      </c>
      <c r="M168" s="5" t="str">
        <f t="array" ref="M168">Y96</f>
        <v>1ХВС::1.1</v>
      </c>
      <c r="AB168" s="65" t="str">
        <f>AB161&amp;".2"</f>
        <v>3.1.1.1.5.2</v>
      </c>
      <c r="AC168" s="177" t="s">
        <v>229</v>
      </c>
      <c r="AD168" s="51" t="s">
        <v>111</v>
      </c>
      <c r="AE168" s="72"/>
      <c r="AF168" s="73"/>
      <c r="AG168" s="74"/>
      <c r="AH168" s="72"/>
      <c r="AI168" s="73"/>
      <c r="AJ168" s="74"/>
      <c r="AK168" s="72"/>
      <c r="AL168" s="73"/>
      <c r="AM168" s="74"/>
      <c r="AN168" s="72"/>
      <c r="AO168" s="73"/>
      <c r="AP168" s="138"/>
      <c r="AQ168" s="72"/>
      <c r="AR168" s="73"/>
      <c r="AS168" s="138"/>
      <c r="AT168" s="72"/>
      <c r="AU168" s="73"/>
      <c r="AV168" s="138"/>
      <c r="AW168" s="72"/>
      <c r="AX168" s="73"/>
      <c r="AY168" s="138"/>
      <c r="AZ168" s="72"/>
      <c r="BA168" s="73"/>
      <c r="BB168" s="138"/>
      <c r="BC168" s="72"/>
      <c r="BD168" s="73"/>
      <c r="BE168" s="74"/>
      <c r="BF168" s="139"/>
      <c r="BG168" s="140"/>
      <c r="BH168" s="141"/>
      <c r="BI168" s="142"/>
      <c r="BJ168" s="140"/>
      <c r="BK168" s="143"/>
      <c r="BN168" s="125">
        <f t="shared" si="20"/>
        <v>0</v>
      </c>
      <c r="BO168" s="126">
        <f t="shared" si="21"/>
        <v>0</v>
      </c>
      <c r="BP168" s="127">
        <f t="shared" si="22"/>
        <v>0</v>
      </c>
    </row>
    <row r="169" spans="1:68" s="214" customFormat="1" ht="24" customHeight="1" outlineLevel="4" x14ac:dyDescent="0.25">
      <c r="A169" s="5"/>
      <c r="B169" s="5"/>
      <c r="C169" s="10" t="s">
        <v>83</v>
      </c>
      <c r="D169" s="10" t="s">
        <v>84</v>
      </c>
      <c r="E169" s="10" t="s">
        <v>73</v>
      </c>
      <c r="F169" s="10" t="s">
        <v>74</v>
      </c>
      <c r="G169" s="10" t="s">
        <v>230</v>
      </c>
      <c r="H169" s="10" t="s">
        <v>73</v>
      </c>
      <c r="I169" s="10" t="s">
        <v>73</v>
      </c>
      <c r="J169" s="5"/>
      <c r="K169" s="12" t="s">
        <v>73</v>
      </c>
      <c r="L169" s="10" t="s">
        <v>192</v>
      </c>
      <c r="M169" s="5" t="str">
        <f t="array" ref="M169">Y96</f>
        <v>1ХВС::1.1</v>
      </c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65" t="str">
        <f>AB148&amp;".6"</f>
        <v>3.1.1.1.6</v>
      </c>
      <c r="AC169" s="174" t="s">
        <v>231</v>
      </c>
      <c r="AD169" s="51" t="s">
        <v>111</v>
      </c>
      <c r="AE169" s="72">
        <f t="shared" ref="AE169:BK169" si="23">AE170+AE171+AE172+AE173+AE174+AE175+AE176+AE196</f>
        <v>99708.610000000015</v>
      </c>
      <c r="AF169" s="73">
        <f t="shared" si="23"/>
        <v>40565.020000000004</v>
      </c>
      <c r="AG169" s="74">
        <f t="shared" si="23"/>
        <v>101231.01999999999</v>
      </c>
      <c r="AH169" s="72">
        <f t="shared" si="23"/>
        <v>1971.6370000000002</v>
      </c>
      <c r="AI169" s="73">
        <f t="shared" si="23"/>
        <v>664.31</v>
      </c>
      <c r="AJ169" s="74">
        <f t="shared" si="23"/>
        <v>3365.6970000000001</v>
      </c>
      <c r="AK169" s="72">
        <f t="shared" si="23"/>
        <v>2763.43</v>
      </c>
      <c r="AL169" s="73">
        <f t="shared" si="23"/>
        <v>1956.08</v>
      </c>
      <c r="AM169" s="74">
        <f t="shared" si="23"/>
        <v>5177.08</v>
      </c>
      <c r="AN169" s="72">
        <f t="shared" si="23"/>
        <v>3769.5099999999998</v>
      </c>
      <c r="AO169" s="73">
        <f t="shared" si="23"/>
        <v>905.87399999999991</v>
      </c>
      <c r="AP169" s="74">
        <f t="shared" si="23"/>
        <v>5827.4900000000007</v>
      </c>
      <c r="AQ169" s="72">
        <f t="shared" si="23"/>
        <v>1958.84</v>
      </c>
      <c r="AR169" s="73">
        <f t="shared" si="23"/>
        <v>52.14</v>
      </c>
      <c r="AS169" s="74">
        <f t="shared" si="23"/>
        <v>3481.2000000000003</v>
      </c>
      <c r="AT169" s="72">
        <f t="shared" si="23"/>
        <v>2277.2900000000004</v>
      </c>
      <c r="AU169" s="73">
        <f t="shared" si="23"/>
        <v>0</v>
      </c>
      <c r="AV169" s="74">
        <f t="shared" si="23"/>
        <v>4173.83</v>
      </c>
      <c r="AW169" s="72">
        <f t="shared" si="23"/>
        <v>4950.4760000000006</v>
      </c>
      <c r="AX169" s="73">
        <f t="shared" si="23"/>
        <v>0</v>
      </c>
      <c r="AY169" s="74">
        <f t="shared" si="23"/>
        <v>7961.9229999999989</v>
      </c>
      <c r="AZ169" s="72">
        <f t="shared" si="23"/>
        <v>8708.6819999999989</v>
      </c>
      <c r="BA169" s="73">
        <f t="shared" si="23"/>
        <v>1298.3199999999997</v>
      </c>
      <c r="BB169" s="74">
        <f t="shared" si="23"/>
        <v>5308.6739999999991</v>
      </c>
      <c r="BC169" s="72">
        <f t="shared" si="23"/>
        <v>6543.2899999999991</v>
      </c>
      <c r="BD169" s="73">
        <f t="shared" si="23"/>
        <v>373.51</v>
      </c>
      <c r="BE169" s="74">
        <f t="shared" si="23"/>
        <v>7073.6799999999994</v>
      </c>
      <c r="BF169" s="72">
        <f t="shared" si="23"/>
        <v>3963.1400000000003</v>
      </c>
      <c r="BG169" s="73">
        <f t="shared" si="23"/>
        <v>858.76</v>
      </c>
      <c r="BH169" s="74">
        <f t="shared" si="23"/>
        <v>4652.04</v>
      </c>
      <c r="BI169" s="72">
        <f t="shared" si="23"/>
        <v>1070.43</v>
      </c>
      <c r="BJ169" s="73">
        <f t="shared" si="23"/>
        <v>127.2</v>
      </c>
      <c r="BK169" s="74">
        <f t="shared" si="23"/>
        <v>1401.0100000000002</v>
      </c>
      <c r="BL169" s="6"/>
      <c r="BM169" s="5"/>
      <c r="BN169" s="125">
        <f t="shared" si="20"/>
        <v>137685.33499999999</v>
      </c>
      <c r="BO169" s="126">
        <f t="shared" si="21"/>
        <v>46801.214000000007</v>
      </c>
      <c r="BP169" s="127">
        <f t="shared" si="22"/>
        <v>149653.644</v>
      </c>
    </row>
    <row r="170" spans="1:68" ht="32.25" hidden="1" customHeight="1" outlineLevel="4" x14ac:dyDescent="0.25">
      <c r="C170" s="10" t="s">
        <v>83</v>
      </c>
      <c r="D170" s="10" t="s">
        <v>84</v>
      </c>
      <c r="E170" s="10" t="s">
        <v>73</v>
      </c>
      <c r="F170" s="10" t="s">
        <v>74</v>
      </c>
      <c r="G170" s="10" t="s">
        <v>232</v>
      </c>
      <c r="H170" s="10" t="s">
        <v>73</v>
      </c>
      <c r="I170" s="10" t="s">
        <v>73</v>
      </c>
      <c r="K170" s="12" t="s">
        <v>73</v>
      </c>
      <c r="L170" s="10" t="s">
        <v>192</v>
      </c>
      <c r="M170" s="5" t="str">
        <f t="array" ref="M170">Y96</f>
        <v>1ХВС::1.1</v>
      </c>
      <c r="AB170" s="29" t="str">
        <f>AB169&amp;".1"</f>
        <v>3.1.1.1.6.1</v>
      </c>
      <c r="AC170" s="177" t="s">
        <v>233</v>
      </c>
      <c r="AD170" s="51" t="s">
        <v>111</v>
      </c>
      <c r="AE170" s="95"/>
      <c r="AF170" s="178"/>
      <c r="AG170" s="96"/>
      <c r="AH170" s="95"/>
      <c r="AI170" s="178"/>
      <c r="AJ170" s="96"/>
      <c r="AK170" s="95"/>
      <c r="AL170" s="178"/>
      <c r="AM170" s="96"/>
      <c r="AN170" s="95"/>
      <c r="AO170" s="178"/>
      <c r="AP170" s="181"/>
      <c r="AQ170" s="95"/>
      <c r="AR170" s="178"/>
      <c r="AS170" s="181"/>
      <c r="AT170" s="95"/>
      <c r="AU170" s="178"/>
      <c r="AV170" s="181"/>
      <c r="AW170" s="95"/>
      <c r="AX170" s="178"/>
      <c r="AY170" s="181"/>
      <c r="AZ170" s="95"/>
      <c r="BA170" s="178"/>
      <c r="BB170" s="181"/>
      <c r="BC170" s="95"/>
      <c r="BD170" s="178"/>
      <c r="BE170" s="96"/>
      <c r="BF170" s="182"/>
      <c r="BG170" s="183"/>
      <c r="BH170" s="184"/>
      <c r="BI170" s="185"/>
      <c r="BJ170" s="183"/>
      <c r="BK170" s="186"/>
      <c r="BN170" s="125">
        <f t="shared" si="20"/>
        <v>0</v>
      </c>
      <c r="BO170" s="126">
        <f t="shared" si="21"/>
        <v>0</v>
      </c>
      <c r="BP170" s="127">
        <f t="shared" si="22"/>
        <v>0</v>
      </c>
    </row>
    <row r="171" spans="1:68" ht="30.75" hidden="1" customHeight="1" outlineLevel="4" x14ac:dyDescent="0.25">
      <c r="C171" s="10" t="s">
        <v>83</v>
      </c>
      <c r="D171" s="10" t="s">
        <v>84</v>
      </c>
      <c r="E171" s="10" t="s">
        <v>73</v>
      </c>
      <c r="F171" s="10" t="s">
        <v>74</v>
      </c>
      <c r="G171" s="10" t="s">
        <v>234</v>
      </c>
      <c r="H171" s="10" t="s">
        <v>73</v>
      </c>
      <c r="I171" s="10" t="s">
        <v>73</v>
      </c>
      <c r="K171" s="12" t="s">
        <v>73</v>
      </c>
      <c r="L171" s="10" t="s">
        <v>192</v>
      </c>
      <c r="M171" s="5" t="str">
        <f t="array" ref="M171">Y96</f>
        <v>1ХВС::1.1</v>
      </c>
      <c r="AB171" s="29" t="str">
        <f>AB169&amp;".2"</f>
        <v>3.1.1.1.6.2</v>
      </c>
      <c r="AC171" s="177" t="s">
        <v>235</v>
      </c>
      <c r="AD171" s="51" t="s">
        <v>111</v>
      </c>
      <c r="AE171" s="95"/>
      <c r="AF171" s="178"/>
      <c r="AG171" s="96"/>
      <c r="AH171" s="95"/>
      <c r="AI171" s="178"/>
      <c r="AJ171" s="96"/>
      <c r="AK171" s="95"/>
      <c r="AL171" s="178"/>
      <c r="AM171" s="96"/>
      <c r="AN171" s="95"/>
      <c r="AO171" s="178"/>
      <c r="AP171" s="181"/>
      <c r="AQ171" s="95"/>
      <c r="AR171" s="178"/>
      <c r="AS171" s="181"/>
      <c r="AT171" s="95"/>
      <c r="AU171" s="178"/>
      <c r="AV171" s="181"/>
      <c r="AW171" s="95"/>
      <c r="AX171" s="178"/>
      <c r="AY171" s="181"/>
      <c r="AZ171" s="95"/>
      <c r="BA171" s="178"/>
      <c r="BB171" s="181"/>
      <c r="BC171" s="95"/>
      <c r="BD171" s="178"/>
      <c r="BE171" s="96"/>
      <c r="BF171" s="182"/>
      <c r="BG171" s="183"/>
      <c r="BH171" s="184"/>
      <c r="BI171" s="185"/>
      <c r="BJ171" s="183"/>
      <c r="BK171" s="186"/>
      <c r="BN171" s="125">
        <f t="shared" si="20"/>
        <v>0</v>
      </c>
      <c r="BO171" s="126">
        <f t="shared" si="21"/>
        <v>0</v>
      </c>
      <c r="BP171" s="127">
        <f t="shared" si="22"/>
        <v>0</v>
      </c>
    </row>
    <row r="172" spans="1:68" s="211" customFormat="1" ht="30" hidden="1" customHeight="1" outlineLevel="4" x14ac:dyDescent="0.25">
      <c r="A172" s="6"/>
      <c r="B172" s="6"/>
      <c r="C172" s="116" t="s">
        <v>83</v>
      </c>
      <c r="D172" s="116" t="s">
        <v>84</v>
      </c>
      <c r="E172" s="116" t="s">
        <v>73</v>
      </c>
      <c r="F172" s="116" t="s">
        <v>74</v>
      </c>
      <c r="G172" s="116" t="s">
        <v>236</v>
      </c>
      <c r="H172" s="116" t="s">
        <v>73</v>
      </c>
      <c r="I172" s="116" t="s">
        <v>73</v>
      </c>
      <c r="J172" s="6"/>
      <c r="K172" s="209" t="s">
        <v>73</v>
      </c>
      <c r="L172" s="116" t="s">
        <v>192</v>
      </c>
      <c r="M172" s="6" t="str">
        <f t="array" ref="M172">Y96</f>
        <v>1ХВС::1.1</v>
      </c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29" t="str">
        <f>AB169&amp;".3"</f>
        <v>3.1.1.1.6.3</v>
      </c>
      <c r="AC172" s="177" t="s">
        <v>237</v>
      </c>
      <c r="AD172" s="51" t="s">
        <v>111</v>
      </c>
      <c r="AE172" s="95"/>
      <c r="AF172" s="178"/>
      <c r="AG172" s="96"/>
      <c r="AH172" s="95"/>
      <c r="AI172" s="178"/>
      <c r="AJ172" s="96"/>
      <c r="AK172" s="95"/>
      <c r="AL172" s="178"/>
      <c r="AM172" s="96"/>
      <c r="AN172" s="95"/>
      <c r="AO172" s="178"/>
      <c r="AP172" s="181"/>
      <c r="AQ172" s="95"/>
      <c r="AR172" s="178"/>
      <c r="AS172" s="181"/>
      <c r="AT172" s="95"/>
      <c r="AU172" s="178"/>
      <c r="AV172" s="181"/>
      <c r="AW172" s="95"/>
      <c r="AX172" s="178"/>
      <c r="AY172" s="181"/>
      <c r="AZ172" s="95"/>
      <c r="BA172" s="178"/>
      <c r="BB172" s="181"/>
      <c r="BC172" s="95"/>
      <c r="BD172" s="178"/>
      <c r="BE172" s="96"/>
      <c r="BF172" s="182"/>
      <c r="BG172" s="183"/>
      <c r="BH172" s="184"/>
      <c r="BI172" s="185"/>
      <c r="BJ172" s="183"/>
      <c r="BK172" s="186"/>
      <c r="BL172" s="6"/>
      <c r="BM172" s="6"/>
      <c r="BN172" s="125">
        <f t="shared" si="20"/>
        <v>0</v>
      </c>
      <c r="BO172" s="126">
        <f t="shared" si="21"/>
        <v>0</v>
      </c>
      <c r="BP172" s="127">
        <f t="shared" si="22"/>
        <v>0</v>
      </c>
    </row>
    <row r="173" spans="1:68" s="211" customFormat="1" ht="35.25" hidden="1" customHeight="1" outlineLevel="4" x14ac:dyDescent="0.25">
      <c r="A173" s="6"/>
      <c r="B173" s="6"/>
      <c r="C173" s="116" t="s">
        <v>83</v>
      </c>
      <c r="D173" s="116" t="s">
        <v>84</v>
      </c>
      <c r="E173" s="116" t="s">
        <v>73</v>
      </c>
      <c r="F173" s="116" t="s">
        <v>74</v>
      </c>
      <c r="G173" s="116" t="s">
        <v>238</v>
      </c>
      <c r="H173" s="116" t="s">
        <v>73</v>
      </c>
      <c r="I173" s="116" t="s">
        <v>73</v>
      </c>
      <c r="J173" s="6"/>
      <c r="K173" s="209" t="s">
        <v>73</v>
      </c>
      <c r="L173" s="116" t="s">
        <v>192</v>
      </c>
      <c r="M173" s="6" t="str">
        <f t="array" ref="M173">Y96</f>
        <v>1ХВС::1.1</v>
      </c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5" t="str">
        <f>AB169&amp;".4"</f>
        <v>3.1.1.1.6.4</v>
      </c>
      <c r="AC173" s="177" t="s">
        <v>239</v>
      </c>
      <c r="AD173" s="51" t="s">
        <v>111</v>
      </c>
      <c r="AE173" s="95"/>
      <c r="AF173" s="178"/>
      <c r="AG173" s="96"/>
      <c r="AH173" s="95"/>
      <c r="AI173" s="178"/>
      <c r="AJ173" s="96"/>
      <c r="AK173" s="95"/>
      <c r="AL173" s="178"/>
      <c r="AM173" s="96"/>
      <c r="AN173" s="95"/>
      <c r="AO173" s="178"/>
      <c r="AP173" s="181"/>
      <c r="AQ173" s="95"/>
      <c r="AR173" s="178"/>
      <c r="AS173" s="181"/>
      <c r="AT173" s="95"/>
      <c r="AU173" s="178"/>
      <c r="AV173" s="181"/>
      <c r="AW173" s="95"/>
      <c r="AX173" s="178"/>
      <c r="AY173" s="181"/>
      <c r="AZ173" s="95"/>
      <c r="BA173" s="178"/>
      <c r="BB173" s="181"/>
      <c r="BC173" s="95"/>
      <c r="BD173" s="178"/>
      <c r="BE173" s="96"/>
      <c r="BF173" s="182"/>
      <c r="BG173" s="183"/>
      <c r="BH173" s="184"/>
      <c r="BI173" s="185"/>
      <c r="BJ173" s="183"/>
      <c r="BK173" s="186"/>
      <c r="BL173" s="6"/>
      <c r="BM173" s="6"/>
      <c r="BN173" s="125">
        <f t="shared" si="20"/>
        <v>0</v>
      </c>
      <c r="BO173" s="126">
        <f t="shared" si="21"/>
        <v>0</v>
      </c>
      <c r="BP173" s="127">
        <f t="shared" si="22"/>
        <v>0</v>
      </c>
    </row>
    <row r="174" spans="1:68" ht="84.75" customHeight="1" outlineLevel="4" x14ac:dyDescent="0.25">
      <c r="C174" s="10" t="s">
        <v>83</v>
      </c>
      <c r="D174" s="10" t="s">
        <v>84</v>
      </c>
      <c r="E174" s="10" t="s">
        <v>73</v>
      </c>
      <c r="F174" s="10" t="s">
        <v>74</v>
      </c>
      <c r="G174" s="10" t="s">
        <v>240</v>
      </c>
      <c r="H174" s="10" t="s">
        <v>73</v>
      </c>
      <c r="I174" s="10" t="s">
        <v>73</v>
      </c>
      <c r="K174" s="12" t="s">
        <v>73</v>
      </c>
      <c r="L174" s="10" t="s">
        <v>192</v>
      </c>
      <c r="M174" s="5" t="str">
        <f t="array" ref="M174">Y96</f>
        <v>1ХВС::1.1</v>
      </c>
      <c r="AB174" s="65" t="str">
        <f>AB169&amp;".5"</f>
        <v>3.1.1.1.6.5</v>
      </c>
      <c r="AC174" s="177" t="s">
        <v>241</v>
      </c>
      <c r="AD174" s="51" t="s">
        <v>111</v>
      </c>
      <c r="AE174" s="95">
        <v>4648.5200000000004</v>
      </c>
      <c r="AF174" s="178">
        <v>2559.0100000000002</v>
      </c>
      <c r="AG174" s="96">
        <v>5114.87</v>
      </c>
      <c r="AH174" s="95">
        <v>343.39</v>
      </c>
      <c r="AI174" s="178"/>
      <c r="AJ174" s="96">
        <v>407.55900000000003</v>
      </c>
      <c r="AK174" s="95"/>
      <c r="AL174" s="178"/>
      <c r="AM174" s="96">
        <v>66.650000000000006</v>
      </c>
      <c r="AN174" s="95"/>
      <c r="AO174" s="178"/>
      <c r="AP174" s="181">
        <v>255.69</v>
      </c>
      <c r="AQ174" s="95"/>
      <c r="AR174" s="178">
        <v>50.42</v>
      </c>
      <c r="AS174" s="181"/>
      <c r="AT174" s="95"/>
      <c r="AU174" s="178"/>
      <c r="AV174" s="181">
        <v>13.23</v>
      </c>
      <c r="AW174" s="95"/>
      <c r="AX174" s="178"/>
      <c r="AY174" s="181"/>
      <c r="AZ174" s="95">
        <v>24.55</v>
      </c>
      <c r="BA174" s="178"/>
      <c r="BB174" s="181">
        <v>27.01</v>
      </c>
      <c r="BC174" s="95">
        <v>365.76</v>
      </c>
      <c r="BD174" s="178">
        <v>314.23</v>
      </c>
      <c r="BE174" s="96">
        <v>338.4</v>
      </c>
      <c r="BF174" s="182"/>
      <c r="BG174" s="183"/>
      <c r="BH174" s="184"/>
      <c r="BI174" s="185">
        <v>130.97999999999999</v>
      </c>
      <c r="BJ174" s="183">
        <v>51.58</v>
      </c>
      <c r="BK174" s="186">
        <v>222.13</v>
      </c>
      <c r="BN174" s="125">
        <f t="shared" si="20"/>
        <v>5513.2000000000007</v>
      </c>
      <c r="BO174" s="126">
        <f t="shared" si="21"/>
        <v>2975.2400000000002</v>
      </c>
      <c r="BP174" s="127">
        <f t="shared" si="22"/>
        <v>6445.5389999999989</v>
      </c>
    </row>
    <row r="175" spans="1:68" ht="32.25" hidden="1" customHeight="1" outlineLevel="4" x14ac:dyDescent="0.25">
      <c r="C175" s="10" t="s">
        <v>83</v>
      </c>
      <c r="D175" s="10" t="s">
        <v>84</v>
      </c>
      <c r="E175" s="10" t="s">
        <v>73</v>
      </c>
      <c r="F175" s="10" t="s">
        <v>74</v>
      </c>
      <c r="G175" s="10" t="s">
        <v>242</v>
      </c>
      <c r="H175" s="10" t="s">
        <v>73</v>
      </c>
      <c r="I175" s="10" t="s">
        <v>73</v>
      </c>
      <c r="K175" s="12" t="s">
        <v>73</v>
      </c>
      <c r="L175" s="10" t="s">
        <v>192</v>
      </c>
      <c r="M175" s="5" t="str">
        <f t="array" ref="M175">Y96</f>
        <v>1ХВС::1.1</v>
      </c>
      <c r="AB175" s="65" t="str">
        <f>AB169&amp;".6"</f>
        <v>3.1.1.1.6.6</v>
      </c>
      <c r="AC175" s="177" t="s">
        <v>243</v>
      </c>
      <c r="AD175" s="51" t="s">
        <v>111</v>
      </c>
      <c r="AE175" s="95"/>
      <c r="AF175" s="178"/>
      <c r="AG175" s="96"/>
      <c r="AH175" s="95"/>
      <c r="AI175" s="178"/>
      <c r="AJ175" s="96"/>
      <c r="AK175" s="95"/>
      <c r="AL175" s="178"/>
      <c r="AM175" s="96"/>
      <c r="AN175" s="95"/>
      <c r="AO175" s="178"/>
      <c r="AP175" s="181"/>
      <c r="AQ175" s="95"/>
      <c r="AR175" s="178"/>
      <c r="AS175" s="181"/>
      <c r="AT175" s="95"/>
      <c r="AU175" s="178"/>
      <c r="AV175" s="181"/>
      <c r="AW175" s="95"/>
      <c r="AX175" s="178"/>
      <c r="AY175" s="181"/>
      <c r="AZ175" s="95"/>
      <c r="BA175" s="178"/>
      <c r="BB175" s="181"/>
      <c r="BC175" s="95"/>
      <c r="BD175" s="178"/>
      <c r="BE175" s="96"/>
      <c r="BF175" s="182"/>
      <c r="BG175" s="183"/>
      <c r="BH175" s="184"/>
      <c r="BI175" s="185"/>
      <c r="BJ175" s="183"/>
      <c r="BK175" s="186"/>
      <c r="BN175" s="125">
        <f t="shared" si="20"/>
        <v>0</v>
      </c>
      <c r="BO175" s="126">
        <f t="shared" si="21"/>
        <v>0</v>
      </c>
      <c r="BP175" s="127">
        <f t="shared" si="22"/>
        <v>0</v>
      </c>
    </row>
    <row r="176" spans="1:68" s="214" customFormat="1" ht="24" customHeight="1" outlineLevel="4" x14ac:dyDescent="0.25">
      <c r="A176" s="5"/>
      <c r="B176" s="5"/>
      <c r="C176" s="10" t="s">
        <v>83</v>
      </c>
      <c r="D176" s="10" t="s">
        <v>84</v>
      </c>
      <c r="E176" s="10" t="s">
        <v>73</v>
      </c>
      <c r="F176" s="10" t="s">
        <v>74</v>
      </c>
      <c r="G176" s="10" t="s">
        <v>244</v>
      </c>
      <c r="H176" s="10" t="s">
        <v>73</v>
      </c>
      <c r="I176" s="10" t="s">
        <v>73</v>
      </c>
      <c r="J176" s="5"/>
      <c r="K176" s="12" t="s">
        <v>73</v>
      </c>
      <c r="L176" s="10" t="s">
        <v>192</v>
      </c>
      <c r="M176" s="5" t="str">
        <f t="array" ref="M176">Y96</f>
        <v>1ХВС::1.1</v>
      </c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65" t="str">
        <f>AB169&amp;".7"</f>
        <v>3.1.1.1.6.7</v>
      </c>
      <c r="AC176" s="177" t="s">
        <v>245</v>
      </c>
      <c r="AD176" s="51" t="s">
        <v>111</v>
      </c>
      <c r="AE176" s="72">
        <f t="shared" ref="AE176:BK176" si="24">SUM(AE177:AE195)</f>
        <v>15576.52</v>
      </c>
      <c r="AF176" s="73">
        <f t="shared" si="24"/>
        <v>10910.78</v>
      </c>
      <c r="AG176" s="74">
        <f t="shared" si="24"/>
        <v>11738.56</v>
      </c>
      <c r="AH176" s="72">
        <f t="shared" si="24"/>
        <v>0</v>
      </c>
      <c r="AI176" s="73">
        <f t="shared" si="24"/>
        <v>0</v>
      </c>
      <c r="AJ176" s="74">
        <f t="shared" si="24"/>
        <v>63.940000000000005</v>
      </c>
      <c r="AK176" s="72">
        <f t="shared" si="24"/>
        <v>0</v>
      </c>
      <c r="AL176" s="73">
        <f t="shared" si="24"/>
        <v>0</v>
      </c>
      <c r="AM176" s="74">
        <f t="shared" si="24"/>
        <v>0</v>
      </c>
      <c r="AN176" s="72">
        <f t="shared" si="24"/>
        <v>0</v>
      </c>
      <c r="AO176" s="73">
        <f t="shared" si="24"/>
        <v>0</v>
      </c>
      <c r="AP176" s="74">
        <f t="shared" si="24"/>
        <v>0</v>
      </c>
      <c r="AQ176" s="72">
        <f t="shared" si="24"/>
        <v>0</v>
      </c>
      <c r="AR176" s="73">
        <f t="shared" si="24"/>
        <v>0</v>
      </c>
      <c r="AS176" s="74">
        <f t="shared" si="24"/>
        <v>0</v>
      </c>
      <c r="AT176" s="72">
        <f t="shared" si="24"/>
        <v>0</v>
      </c>
      <c r="AU176" s="73">
        <f t="shared" si="24"/>
        <v>0</v>
      </c>
      <c r="AV176" s="74">
        <f t="shared" si="24"/>
        <v>0</v>
      </c>
      <c r="AW176" s="72">
        <f t="shared" si="24"/>
        <v>0</v>
      </c>
      <c r="AX176" s="73">
        <f t="shared" si="24"/>
        <v>0</v>
      </c>
      <c r="AY176" s="74">
        <f t="shared" si="24"/>
        <v>0</v>
      </c>
      <c r="AZ176" s="72">
        <f t="shared" si="24"/>
        <v>0</v>
      </c>
      <c r="BA176" s="73">
        <f t="shared" si="24"/>
        <v>0</v>
      </c>
      <c r="BB176" s="74">
        <f t="shared" si="24"/>
        <v>0</v>
      </c>
      <c r="BC176" s="72">
        <f t="shared" si="24"/>
        <v>0</v>
      </c>
      <c r="BD176" s="73">
        <f t="shared" si="24"/>
        <v>0</v>
      </c>
      <c r="BE176" s="74">
        <f t="shared" si="24"/>
        <v>0</v>
      </c>
      <c r="BF176" s="72">
        <f t="shared" si="24"/>
        <v>0</v>
      </c>
      <c r="BG176" s="73">
        <f t="shared" si="24"/>
        <v>0</v>
      </c>
      <c r="BH176" s="74">
        <f t="shared" si="24"/>
        <v>0</v>
      </c>
      <c r="BI176" s="72">
        <f t="shared" si="24"/>
        <v>0</v>
      </c>
      <c r="BJ176" s="73">
        <f t="shared" si="24"/>
        <v>0</v>
      </c>
      <c r="BK176" s="74">
        <f t="shared" si="24"/>
        <v>0</v>
      </c>
      <c r="BL176" s="6"/>
      <c r="BM176" s="5"/>
      <c r="BN176" s="125">
        <f t="shared" si="20"/>
        <v>15576.52</v>
      </c>
      <c r="BO176" s="126">
        <f t="shared" si="21"/>
        <v>10910.78</v>
      </c>
      <c r="BP176" s="127">
        <f t="shared" si="22"/>
        <v>11802.5</v>
      </c>
    </row>
    <row r="177" spans="1:68" s="230" customFormat="1" ht="17.25" customHeight="1" outlineLevel="5" x14ac:dyDescent="0.25">
      <c r="A177" s="215"/>
      <c r="B177" s="215"/>
      <c r="C177" s="216"/>
      <c r="D177" s="216"/>
      <c r="E177" s="216"/>
      <c r="F177" s="216"/>
      <c r="G177" s="216"/>
      <c r="H177" s="216"/>
      <c r="I177" s="216"/>
      <c r="J177" s="215"/>
      <c r="K177" s="217"/>
      <c r="L177" s="216"/>
      <c r="M177" s="215"/>
      <c r="N177" s="215"/>
      <c r="O177" s="215"/>
      <c r="P177" s="215"/>
      <c r="Q177" s="215"/>
      <c r="R177" s="215"/>
      <c r="S177" s="215"/>
      <c r="T177" s="215"/>
      <c r="U177" s="215"/>
      <c r="V177" s="215"/>
      <c r="W177" s="215"/>
      <c r="X177" s="215"/>
      <c r="Y177" s="215"/>
      <c r="Z177" s="215"/>
      <c r="AA177" s="215"/>
      <c r="AB177" s="218"/>
      <c r="AC177" s="219" t="s">
        <v>246</v>
      </c>
      <c r="AD177" s="220" t="s">
        <v>247</v>
      </c>
      <c r="AE177" s="221">
        <v>249.15</v>
      </c>
      <c r="AF177" s="222">
        <v>249.15</v>
      </c>
      <c r="AG177" s="223">
        <v>249.15</v>
      </c>
      <c r="AH177" s="224"/>
      <c r="AI177" s="225"/>
      <c r="AJ177" s="226"/>
      <c r="AK177" s="224"/>
      <c r="AL177" s="225"/>
      <c r="AM177" s="226"/>
      <c r="AN177" s="224"/>
      <c r="AO177" s="225"/>
      <c r="AP177" s="227"/>
      <c r="AQ177" s="224"/>
      <c r="AR177" s="225"/>
      <c r="AS177" s="227"/>
      <c r="AT177" s="224"/>
      <c r="AU177" s="225"/>
      <c r="AV177" s="227"/>
      <c r="AW177" s="224"/>
      <c r="AX177" s="225"/>
      <c r="AY177" s="227"/>
      <c r="AZ177" s="224"/>
      <c r="BA177" s="225"/>
      <c r="BB177" s="227"/>
      <c r="BC177" s="224"/>
      <c r="BD177" s="225"/>
      <c r="BE177" s="226"/>
      <c r="BF177" s="228"/>
      <c r="BG177" s="225"/>
      <c r="BH177" s="227"/>
      <c r="BI177" s="224"/>
      <c r="BJ177" s="225"/>
      <c r="BK177" s="226"/>
      <c r="BL177" s="229"/>
      <c r="BM177" s="215"/>
      <c r="BN177" s="125">
        <f t="shared" si="20"/>
        <v>249.15</v>
      </c>
      <c r="BO177" s="126">
        <f t="shared" si="21"/>
        <v>249.15</v>
      </c>
      <c r="BP177" s="127">
        <f t="shared" si="22"/>
        <v>249.15</v>
      </c>
    </row>
    <row r="178" spans="1:68" s="230" customFormat="1" ht="17.25" customHeight="1" outlineLevel="5" x14ac:dyDescent="0.25">
      <c r="A178" s="215"/>
      <c r="B178" s="215"/>
      <c r="C178" s="216"/>
      <c r="D178" s="216"/>
      <c r="E178" s="216"/>
      <c r="F178" s="216"/>
      <c r="G178" s="216"/>
      <c r="H178" s="216"/>
      <c r="I178" s="216"/>
      <c r="J178" s="215"/>
      <c r="K178" s="217"/>
      <c r="L178" s="216"/>
      <c r="M178" s="215"/>
      <c r="N178" s="215"/>
      <c r="O178" s="215"/>
      <c r="P178" s="215"/>
      <c r="Q178" s="215"/>
      <c r="R178" s="215"/>
      <c r="S178" s="215"/>
      <c r="T178" s="215"/>
      <c r="U178" s="215"/>
      <c r="V178" s="215"/>
      <c r="W178" s="215"/>
      <c r="X178" s="215"/>
      <c r="Y178" s="215"/>
      <c r="Z178" s="215"/>
      <c r="AA178" s="215"/>
      <c r="AB178" s="218"/>
      <c r="AC178" s="219" t="s">
        <v>248</v>
      </c>
      <c r="AD178" s="220" t="s">
        <v>247</v>
      </c>
      <c r="AE178" s="221">
        <v>576.55999999999995</v>
      </c>
      <c r="AF178" s="222">
        <v>576.55999999999995</v>
      </c>
      <c r="AG178" s="223">
        <v>576.55999999999995</v>
      </c>
      <c r="AH178" s="224"/>
      <c r="AI178" s="225"/>
      <c r="AJ178" s="226"/>
      <c r="AK178" s="224"/>
      <c r="AL178" s="225"/>
      <c r="AM178" s="226"/>
      <c r="AN178" s="224"/>
      <c r="AO178" s="225"/>
      <c r="AP178" s="227"/>
      <c r="AQ178" s="224"/>
      <c r="AR178" s="225"/>
      <c r="AS178" s="227"/>
      <c r="AT178" s="224"/>
      <c r="AU178" s="225"/>
      <c r="AV178" s="227"/>
      <c r="AW178" s="224"/>
      <c r="AX178" s="225"/>
      <c r="AY178" s="227"/>
      <c r="AZ178" s="224"/>
      <c r="BA178" s="225"/>
      <c r="BB178" s="227"/>
      <c r="BC178" s="224"/>
      <c r="BD178" s="225"/>
      <c r="BE178" s="226"/>
      <c r="BF178" s="228"/>
      <c r="BG178" s="225"/>
      <c r="BH178" s="227"/>
      <c r="BI178" s="224"/>
      <c r="BJ178" s="225"/>
      <c r="BK178" s="226"/>
      <c r="BL178" s="229"/>
      <c r="BM178" s="215"/>
      <c r="BN178" s="125">
        <f t="shared" si="20"/>
        <v>576.55999999999995</v>
      </c>
      <c r="BO178" s="126">
        <f t="shared" si="21"/>
        <v>576.55999999999995</v>
      </c>
      <c r="BP178" s="127">
        <f t="shared" si="22"/>
        <v>576.55999999999995</v>
      </c>
    </row>
    <row r="179" spans="1:68" s="230" customFormat="1" ht="17.25" customHeight="1" outlineLevel="5" x14ac:dyDescent="0.25">
      <c r="A179" s="215"/>
      <c r="B179" s="215"/>
      <c r="C179" s="216"/>
      <c r="D179" s="216"/>
      <c r="E179" s="216"/>
      <c r="F179" s="216"/>
      <c r="G179" s="216"/>
      <c r="H179" s="216"/>
      <c r="I179" s="216"/>
      <c r="J179" s="215"/>
      <c r="K179" s="217"/>
      <c r="L179" s="216"/>
      <c r="M179" s="215"/>
      <c r="N179" s="215"/>
      <c r="O179" s="215"/>
      <c r="P179" s="215"/>
      <c r="Q179" s="215"/>
      <c r="R179" s="215"/>
      <c r="S179" s="215"/>
      <c r="T179" s="215"/>
      <c r="U179" s="215"/>
      <c r="V179" s="215"/>
      <c r="W179" s="215"/>
      <c r="X179" s="215"/>
      <c r="Y179" s="215"/>
      <c r="Z179" s="215"/>
      <c r="AA179" s="215"/>
      <c r="AB179" s="218"/>
      <c r="AC179" s="219" t="s">
        <v>249</v>
      </c>
      <c r="AD179" s="220" t="s">
        <v>247</v>
      </c>
      <c r="AE179" s="221">
        <v>1559.27</v>
      </c>
      <c r="AF179" s="222">
        <v>1559.27</v>
      </c>
      <c r="AG179" s="223">
        <v>1559.27</v>
      </c>
      <c r="AH179" s="224"/>
      <c r="AI179" s="225"/>
      <c r="AJ179" s="226"/>
      <c r="AK179" s="224"/>
      <c r="AL179" s="225"/>
      <c r="AM179" s="226"/>
      <c r="AN179" s="224"/>
      <c r="AO179" s="225"/>
      <c r="AP179" s="227"/>
      <c r="AQ179" s="224"/>
      <c r="AR179" s="225"/>
      <c r="AS179" s="227"/>
      <c r="AT179" s="224"/>
      <c r="AU179" s="225"/>
      <c r="AV179" s="227"/>
      <c r="AW179" s="224"/>
      <c r="AX179" s="225"/>
      <c r="AY179" s="227"/>
      <c r="AZ179" s="224"/>
      <c r="BA179" s="225"/>
      <c r="BB179" s="227"/>
      <c r="BC179" s="224"/>
      <c r="BD179" s="225"/>
      <c r="BE179" s="226"/>
      <c r="BF179" s="228"/>
      <c r="BG179" s="225"/>
      <c r="BH179" s="227"/>
      <c r="BI179" s="224"/>
      <c r="BJ179" s="225"/>
      <c r="BK179" s="226"/>
      <c r="BL179" s="229"/>
      <c r="BM179" s="215"/>
      <c r="BN179" s="125">
        <f t="shared" si="20"/>
        <v>1559.27</v>
      </c>
      <c r="BO179" s="126">
        <f t="shared" si="21"/>
        <v>1559.27</v>
      </c>
      <c r="BP179" s="127">
        <f t="shared" si="22"/>
        <v>1559.27</v>
      </c>
    </row>
    <row r="180" spans="1:68" s="230" customFormat="1" ht="17.25" customHeight="1" outlineLevel="5" x14ac:dyDescent="0.25">
      <c r="A180" s="215"/>
      <c r="B180" s="215"/>
      <c r="C180" s="216"/>
      <c r="D180" s="216"/>
      <c r="E180" s="216"/>
      <c r="F180" s="216"/>
      <c r="G180" s="216"/>
      <c r="H180" s="216"/>
      <c r="I180" s="216"/>
      <c r="J180" s="215"/>
      <c r="K180" s="217"/>
      <c r="L180" s="216"/>
      <c r="M180" s="215"/>
      <c r="N180" s="215"/>
      <c r="O180" s="215"/>
      <c r="P180" s="215"/>
      <c r="Q180" s="215"/>
      <c r="R180" s="215"/>
      <c r="S180" s="215"/>
      <c r="T180" s="215"/>
      <c r="U180" s="215"/>
      <c r="V180" s="215"/>
      <c r="W180" s="215"/>
      <c r="X180" s="215"/>
      <c r="Y180" s="215"/>
      <c r="Z180" s="215"/>
      <c r="AA180" s="215"/>
      <c r="AB180" s="218"/>
      <c r="AC180" s="219" t="s">
        <v>250</v>
      </c>
      <c r="AD180" s="220" t="s">
        <v>247</v>
      </c>
      <c r="AE180" s="221">
        <v>317.01</v>
      </c>
      <c r="AF180" s="222">
        <v>317.01</v>
      </c>
      <c r="AG180" s="223">
        <v>317.01</v>
      </c>
      <c r="AH180" s="224"/>
      <c r="AI180" s="225"/>
      <c r="AJ180" s="226"/>
      <c r="AK180" s="224"/>
      <c r="AL180" s="225"/>
      <c r="AM180" s="226"/>
      <c r="AN180" s="224"/>
      <c r="AO180" s="225"/>
      <c r="AP180" s="227"/>
      <c r="AQ180" s="224"/>
      <c r="AR180" s="225"/>
      <c r="AS180" s="227"/>
      <c r="AT180" s="224"/>
      <c r="AU180" s="225"/>
      <c r="AV180" s="227"/>
      <c r="AW180" s="224"/>
      <c r="AX180" s="225"/>
      <c r="AY180" s="227"/>
      <c r="AZ180" s="224"/>
      <c r="BA180" s="225"/>
      <c r="BB180" s="227"/>
      <c r="BC180" s="224"/>
      <c r="BD180" s="225"/>
      <c r="BE180" s="226"/>
      <c r="BF180" s="228"/>
      <c r="BG180" s="225"/>
      <c r="BH180" s="227"/>
      <c r="BI180" s="224"/>
      <c r="BJ180" s="225"/>
      <c r="BK180" s="226"/>
      <c r="BL180" s="229"/>
      <c r="BM180" s="215"/>
      <c r="BN180" s="125">
        <f t="shared" si="20"/>
        <v>317.01</v>
      </c>
      <c r="BO180" s="126">
        <f t="shared" si="21"/>
        <v>317.01</v>
      </c>
      <c r="BP180" s="127">
        <f t="shared" si="22"/>
        <v>317.01</v>
      </c>
    </row>
    <row r="181" spans="1:68" s="230" customFormat="1" ht="17.25" customHeight="1" outlineLevel="5" x14ac:dyDescent="0.25">
      <c r="A181" s="215"/>
      <c r="B181" s="215"/>
      <c r="C181" s="216"/>
      <c r="D181" s="216"/>
      <c r="E181" s="216"/>
      <c r="F181" s="216"/>
      <c r="G181" s="216"/>
      <c r="H181" s="216"/>
      <c r="I181" s="216"/>
      <c r="J181" s="215"/>
      <c r="K181" s="217"/>
      <c r="L181" s="216"/>
      <c r="M181" s="215"/>
      <c r="N181" s="215"/>
      <c r="O181" s="215"/>
      <c r="P181" s="215"/>
      <c r="Q181" s="215"/>
      <c r="R181" s="215"/>
      <c r="S181" s="215"/>
      <c r="T181" s="215"/>
      <c r="U181" s="215"/>
      <c r="V181" s="215"/>
      <c r="W181" s="215"/>
      <c r="X181" s="215"/>
      <c r="Y181" s="215"/>
      <c r="Z181" s="215"/>
      <c r="AA181" s="215"/>
      <c r="AB181" s="218"/>
      <c r="AC181" s="219" t="s">
        <v>251</v>
      </c>
      <c r="AD181" s="220" t="s">
        <v>247</v>
      </c>
      <c r="AE181" s="221">
        <v>55.46</v>
      </c>
      <c r="AF181" s="222">
        <v>55.46</v>
      </c>
      <c r="AG181" s="223">
        <v>55.46</v>
      </c>
      <c r="AH181" s="224"/>
      <c r="AI181" s="225"/>
      <c r="AJ181" s="226"/>
      <c r="AK181" s="224"/>
      <c r="AL181" s="225"/>
      <c r="AM181" s="226"/>
      <c r="AN181" s="224"/>
      <c r="AO181" s="225"/>
      <c r="AP181" s="227"/>
      <c r="AQ181" s="224"/>
      <c r="AR181" s="225"/>
      <c r="AS181" s="227"/>
      <c r="AT181" s="224"/>
      <c r="AU181" s="225"/>
      <c r="AV181" s="227"/>
      <c r="AW181" s="224"/>
      <c r="AX181" s="225"/>
      <c r="AY181" s="227"/>
      <c r="AZ181" s="224"/>
      <c r="BA181" s="225"/>
      <c r="BB181" s="227"/>
      <c r="BC181" s="224"/>
      <c r="BD181" s="225"/>
      <c r="BE181" s="226"/>
      <c r="BF181" s="228"/>
      <c r="BG181" s="225"/>
      <c r="BH181" s="227"/>
      <c r="BI181" s="224"/>
      <c r="BJ181" s="225"/>
      <c r="BK181" s="226"/>
      <c r="BL181" s="229"/>
      <c r="BM181" s="215"/>
      <c r="BN181" s="125">
        <f t="shared" si="20"/>
        <v>55.46</v>
      </c>
      <c r="BO181" s="126">
        <f t="shared" si="21"/>
        <v>55.46</v>
      </c>
      <c r="BP181" s="127">
        <f t="shared" si="22"/>
        <v>55.46</v>
      </c>
    </row>
    <row r="182" spans="1:68" s="230" customFormat="1" ht="17.25" customHeight="1" outlineLevel="5" x14ac:dyDescent="0.25">
      <c r="A182" s="215"/>
      <c r="B182" s="215"/>
      <c r="C182" s="216"/>
      <c r="D182" s="216"/>
      <c r="E182" s="216"/>
      <c r="F182" s="216"/>
      <c r="G182" s="216"/>
      <c r="H182" s="216"/>
      <c r="I182" s="216"/>
      <c r="J182" s="215"/>
      <c r="K182" s="217"/>
      <c r="L182" s="216"/>
      <c r="M182" s="215"/>
      <c r="N182" s="215"/>
      <c r="O182" s="215"/>
      <c r="P182" s="215"/>
      <c r="Q182" s="215"/>
      <c r="R182" s="215"/>
      <c r="S182" s="215"/>
      <c r="T182" s="215"/>
      <c r="U182" s="215"/>
      <c r="V182" s="215"/>
      <c r="W182" s="215"/>
      <c r="X182" s="215"/>
      <c r="Y182" s="215"/>
      <c r="Z182" s="215"/>
      <c r="AA182" s="215"/>
      <c r="AB182" s="218"/>
      <c r="AC182" s="219" t="s">
        <v>252</v>
      </c>
      <c r="AD182" s="220" t="s">
        <v>247</v>
      </c>
      <c r="AE182" s="221">
        <v>86.37</v>
      </c>
      <c r="AF182" s="222">
        <v>86.37</v>
      </c>
      <c r="AG182" s="223">
        <v>86.37</v>
      </c>
      <c r="AH182" s="224"/>
      <c r="AI182" s="225"/>
      <c r="AJ182" s="226"/>
      <c r="AK182" s="224"/>
      <c r="AL182" s="225"/>
      <c r="AM182" s="226"/>
      <c r="AN182" s="224"/>
      <c r="AO182" s="225"/>
      <c r="AP182" s="227"/>
      <c r="AQ182" s="224"/>
      <c r="AR182" s="225"/>
      <c r="AS182" s="227"/>
      <c r="AT182" s="224"/>
      <c r="AU182" s="225"/>
      <c r="AV182" s="227"/>
      <c r="AW182" s="224"/>
      <c r="AX182" s="225"/>
      <c r="AY182" s="227"/>
      <c r="AZ182" s="224"/>
      <c r="BA182" s="225"/>
      <c r="BB182" s="227"/>
      <c r="BC182" s="224"/>
      <c r="BD182" s="225"/>
      <c r="BE182" s="226"/>
      <c r="BF182" s="228"/>
      <c r="BG182" s="225"/>
      <c r="BH182" s="227"/>
      <c r="BI182" s="224"/>
      <c r="BJ182" s="225"/>
      <c r="BK182" s="226"/>
      <c r="BL182" s="229"/>
      <c r="BM182" s="215"/>
      <c r="BN182" s="125">
        <f t="shared" si="20"/>
        <v>86.37</v>
      </c>
      <c r="BO182" s="126">
        <f t="shared" si="21"/>
        <v>86.37</v>
      </c>
      <c r="BP182" s="127">
        <f t="shared" si="22"/>
        <v>86.37</v>
      </c>
    </row>
    <row r="183" spans="1:68" s="230" customFormat="1" ht="17.25" customHeight="1" outlineLevel="5" x14ac:dyDescent="0.25">
      <c r="A183" s="215"/>
      <c r="B183" s="215"/>
      <c r="C183" s="216"/>
      <c r="D183" s="216"/>
      <c r="E183" s="216"/>
      <c r="F183" s="216"/>
      <c r="G183" s="216"/>
      <c r="H183" s="216"/>
      <c r="I183" s="216"/>
      <c r="J183" s="215"/>
      <c r="K183" s="217"/>
      <c r="L183" s="216"/>
      <c r="M183" s="215"/>
      <c r="N183" s="215"/>
      <c r="O183" s="215"/>
      <c r="P183" s="215"/>
      <c r="Q183" s="215"/>
      <c r="R183" s="215"/>
      <c r="S183" s="215"/>
      <c r="T183" s="215"/>
      <c r="U183" s="215"/>
      <c r="V183" s="215"/>
      <c r="W183" s="215"/>
      <c r="X183" s="215"/>
      <c r="Y183" s="215"/>
      <c r="Z183" s="215"/>
      <c r="AA183" s="215"/>
      <c r="AB183" s="218"/>
      <c r="AC183" s="219" t="s">
        <v>253</v>
      </c>
      <c r="AD183" s="220" t="s">
        <v>247</v>
      </c>
      <c r="AE183" s="221">
        <v>2731.94</v>
      </c>
      <c r="AF183" s="222">
        <v>2731.94</v>
      </c>
      <c r="AG183" s="223">
        <v>2731.94</v>
      </c>
      <c r="AH183" s="224"/>
      <c r="AI183" s="225"/>
      <c r="AJ183" s="226">
        <v>58.24</v>
      </c>
      <c r="AK183" s="224"/>
      <c r="AL183" s="225"/>
      <c r="AM183" s="226"/>
      <c r="AN183" s="224"/>
      <c r="AO183" s="225"/>
      <c r="AP183" s="227"/>
      <c r="AQ183" s="224"/>
      <c r="AR183" s="225"/>
      <c r="AS183" s="227"/>
      <c r="AT183" s="224"/>
      <c r="AU183" s="225"/>
      <c r="AV183" s="227"/>
      <c r="AW183" s="224"/>
      <c r="AX183" s="225"/>
      <c r="AY183" s="227"/>
      <c r="AZ183" s="224"/>
      <c r="BA183" s="225"/>
      <c r="BB183" s="227"/>
      <c r="BC183" s="224"/>
      <c r="BD183" s="225"/>
      <c r="BE183" s="226"/>
      <c r="BF183" s="228"/>
      <c r="BG183" s="225"/>
      <c r="BH183" s="227"/>
      <c r="BI183" s="224"/>
      <c r="BJ183" s="225"/>
      <c r="BK183" s="226"/>
      <c r="BL183" s="229"/>
      <c r="BM183" s="215"/>
      <c r="BN183" s="125">
        <f t="shared" si="20"/>
        <v>2731.94</v>
      </c>
      <c r="BO183" s="126">
        <f t="shared" si="21"/>
        <v>2731.94</v>
      </c>
      <c r="BP183" s="127">
        <f t="shared" si="22"/>
        <v>2790.18</v>
      </c>
    </row>
    <row r="184" spans="1:68" s="230" customFormat="1" ht="17.25" customHeight="1" outlineLevel="5" x14ac:dyDescent="0.25">
      <c r="A184" s="215"/>
      <c r="B184" s="215"/>
      <c r="C184" s="216"/>
      <c r="D184" s="216"/>
      <c r="E184" s="216"/>
      <c r="F184" s="216"/>
      <c r="G184" s="216"/>
      <c r="H184" s="216"/>
      <c r="I184" s="216"/>
      <c r="J184" s="215"/>
      <c r="K184" s="217"/>
      <c r="L184" s="216"/>
      <c r="M184" s="215"/>
      <c r="N184" s="215"/>
      <c r="O184" s="215"/>
      <c r="P184" s="215"/>
      <c r="Q184" s="215"/>
      <c r="R184" s="215"/>
      <c r="S184" s="215"/>
      <c r="T184" s="215"/>
      <c r="U184" s="215"/>
      <c r="V184" s="215"/>
      <c r="W184" s="215"/>
      <c r="X184" s="215"/>
      <c r="Y184" s="215"/>
      <c r="Z184" s="215"/>
      <c r="AA184" s="215"/>
      <c r="AB184" s="218"/>
      <c r="AC184" s="219" t="s">
        <v>254</v>
      </c>
      <c r="AD184" s="220" t="s">
        <v>247</v>
      </c>
      <c r="AE184" s="221">
        <v>53.3</v>
      </c>
      <c r="AF184" s="222">
        <v>53.3</v>
      </c>
      <c r="AG184" s="223">
        <v>53.3</v>
      </c>
      <c r="AH184" s="224"/>
      <c r="AI184" s="225"/>
      <c r="AJ184" s="226"/>
      <c r="AK184" s="224"/>
      <c r="AL184" s="225"/>
      <c r="AM184" s="226"/>
      <c r="AN184" s="224"/>
      <c r="AO184" s="225"/>
      <c r="AP184" s="227"/>
      <c r="AQ184" s="224"/>
      <c r="AR184" s="225"/>
      <c r="AS184" s="227"/>
      <c r="AT184" s="224"/>
      <c r="AU184" s="225"/>
      <c r="AV184" s="227"/>
      <c r="AW184" s="224"/>
      <c r="AX184" s="225"/>
      <c r="AY184" s="227"/>
      <c r="AZ184" s="224"/>
      <c r="BA184" s="225"/>
      <c r="BB184" s="227"/>
      <c r="BC184" s="224"/>
      <c r="BD184" s="225"/>
      <c r="BE184" s="226"/>
      <c r="BF184" s="228"/>
      <c r="BG184" s="225"/>
      <c r="BH184" s="227"/>
      <c r="BI184" s="224"/>
      <c r="BJ184" s="225"/>
      <c r="BK184" s="226"/>
      <c r="BL184" s="229"/>
      <c r="BM184" s="215"/>
      <c r="BN184" s="125">
        <f t="shared" si="20"/>
        <v>53.3</v>
      </c>
      <c r="BO184" s="126">
        <f t="shared" si="21"/>
        <v>53.3</v>
      </c>
      <c r="BP184" s="127">
        <f t="shared" si="22"/>
        <v>53.3</v>
      </c>
    </row>
    <row r="185" spans="1:68" s="230" customFormat="1" ht="17.25" customHeight="1" outlineLevel="5" x14ac:dyDescent="0.25">
      <c r="A185" s="215"/>
      <c r="B185" s="215"/>
      <c r="C185" s="216"/>
      <c r="D185" s="216"/>
      <c r="E185" s="216"/>
      <c r="F185" s="216"/>
      <c r="G185" s="216"/>
      <c r="H185" s="216"/>
      <c r="I185" s="216"/>
      <c r="J185" s="215"/>
      <c r="K185" s="217"/>
      <c r="L185" s="216"/>
      <c r="M185" s="215"/>
      <c r="N185" s="215"/>
      <c r="O185" s="215"/>
      <c r="P185" s="215"/>
      <c r="Q185" s="215"/>
      <c r="R185" s="215"/>
      <c r="S185" s="215"/>
      <c r="T185" s="215"/>
      <c r="U185" s="215"/>
      <c r="V185" s="215"/>
      <c r="W185" s="215"/>
      <c r="X185" s="215"/>
      <c r="Y185" s="215"/>
      <c r="Z185" s="215"/>
      <c r="AA185" s="215"/>
      <c r="AB185" s="218"/>
      <c r="AC185" s="219" t="s">
        <v>255</v>
      </c>
      <c r="AD185" s="220" t="s">
        <v>247</v>
      </c>
      <c r="AE185" s="221">
        <v>571.07000000000005</v>
      </c>
      <c r="AF185" s="222">
        <v>571.07000000000005</v>
      </c>
      <c r="AG185" s="223">
        <v>571.07000000000005</v>
      </c>
      <c r="AH185" s="224"/>
      <c r="AI185" s="225"/>
      <c r="AJ185" s="226">
        <v>5.7</v>
      </c>
      <c r="AK185" s="224"/>
      <c r="AL185" s="225"/>
      <c r="AM185" s="226"/>
      <c r="AN185" s="224"/>
      <c r="AO185" s="225"/>
      <c r="AP185" s="227"/>
      <c r="AQ185" s="224"/>
      <c r="AR185" s="225"/>
      <c r="AS185" s="227"/>
      <c r="AT185" s="224"/>
      <c r="AU185" s="225"/>
      <c r="AV185" s="227"/>
      <c r="AW185" s="224"/>
      <c r="AX185" s="225"/>
      <c r="AY185" s="227"/>
      <c r="AZ185" s="224"/>
      <c r="BA185" s="225"/>
      <c r="BB185" s="227"/>
      <c r="BC185" s="224"/>
      <c r="BD185" s="225"/>
      <c r="BE185" s="226"/>
      <c r="BF185" s="228"/>
      <c r="BG185" s="225"/>
      <c r="BH185" s="227"/>
      <c r="BI185" s="224"/>
      <c r="BJ185" s="225"/>
      <c r="BK185" s="226"/>
      <c r="BL185" s="229"/>
      <c r="BM185" s="215"/>
      <c r="BN185" s="125">
        <f t="shared" si="20"/>
        <v>571.07000000000005</v>
      </c>
      <c r="BO185" s="126">
        <f t="shared" si="21"/>
        <v>571.07000000000005</v>
      </c>
      <c r="BP185" s="127">
        <f t="shared" si="22"/>
        <v>576.7700000000001</v>
      </c>
    </row>
    <row r="186" spans="1:68" s="230" customFormat="1" ht="48.75" hidden="1" customHeight="1" outlineLevel="5" x14ac:dyDescent="0.25">
      <c r="A186" s="215"/>
      <c r="B186" s="215"/>
      <c r="C186" s="216"/>
      <c r="D186" s="216"/>
      <c r="E186" s="216"/>
      <c r="F186" s="216"/>
      <c r="G186" s="216"/>
      <c r="H186" s="216"/>
      <c r="I186" s="216"/>
      <c r="J186" s="215"/>
      <c r="K186" s="217"/>
      <c r="L186" s="216"/>
      <c r="M186" s="215"/>
      <c r="N186" s="215"/>
      <c r="O186" s="215"/>
      <c r="P186" s="215"/>
      <c r="Q186" s="215"/>
      <c r="R186" s="215"/>
      <c r="S186" s="215"/>
      <c r="T186" s="215"/>
      <c r="U186" s="215"/>
      <c r="V186" s="215"/>
      <c r="W186" s="215"/>
      <c r="X186" s="215"/>
      <c r="Y186" s="215"/>
      <c r="Z186" s="215"/>
      <c r="AA186" s="215"/>
      <c r="AB186" s="218"/>
      <c r="AC186" s="219" t="s">
        <v>256</v>
      </c>
      <c r="AD186" s="220" t="s">
        <v>247</v>
      </c>
      <c r="AE186" s="221"/>
      <c r="AF186" s="222"/>
      <c r="AG186" s="223"/>
      <c r="AH186" s="224"/>
      <c r="AI186" s="225"/>
      <c r="AJ186" s="226"/>
      <c r="AK186" s="224"/>
      <c r="AL186" s="225"/>
      <c r="AM186" s="226"/>
      <c r="AN186" s="224"/>
      <c r="AO186" s="225"/>
      <c r="AP186" s="227"/>
      <c r="AQ186" s="224"/>
      <c r="AR186" s="225"/>
      <c r="AS186" s="227"/>
      <c r="AT186" s="224"/>
      <c r="AU186" s="225"/>
      <c r="AV186" s="227"/>
      <c r="AW186" s="224"/>
      <c r="AX186" s="225"/>
      <c r="AY186" s="227"/>
      <c r="AZ186" s="224"/>
      <c r="BA186" s="225"/>
      <c r="BB186" s="227"/>
      <c r="BC186" s="224"/>
      <c r="BD186" s="225"/>
      <c r="BE186" s="226"/>
      <c r="BF186" s="228"/>
      <c r="BG186" s="225"/>
      <c r="BH186" s="227"/>
      <c r="BI186" s="224"/>
      <c r="BJ186" s="225"/>
      <c r="BK186" s="226"/>
      <c r="BL186" s="229"/>
      <c r="BM186" s="215"/>
      <c r="BN186" s="125">
        <f t="shared" si="20"/>
        <v>0</v>
      </c>
      <c r="BO186" s="126">
        <f t="shared" si="21"/>
        <v>0</v>
      </c>
      <c r="BP186" s="127">
        <f t="shared" si="22"/>
        <v>0</v>
      </c>
    </row>
    <row r="187" spans="1:68" s="230" customFormat="1" ht="17.25" customHeight="1" outlineLevel="5" x14ac:dyDescent="0.25">
      <c r="A187" s="215"/>
      <c r="B187" s="215"/>
      <c r="C187" s="216"/>
      <c r="D187" s="216"/>
      <c r="E187" s="216"/>
      <c r="F187" s="216"/>
      <c r="G187" s="216"/>
      <c r="H187" s="216"/>
      <c r="I187" s="216"/>
      <c r="J187" s="215"/>
      <c r="K187" s="217"/>
      <c r="L187" s="216"/>
      <c r="M187" s="215"/>
      <c r="N187" s="215"/>
      <c r="O187" s="215"/>
      <c r="P187" s="215"/>
      <c r="Q187" s="215"/>
      <c r="R187" s="215"/>
      <c r="S187" s="215"/>
      <c r="T187" s="215"/>
      <c r="U187" s="215"/>
      <c r="V187" s="215"/>
      <c r="W187" s="215"/>
      <c r="X187" s="215"/>
      <c r="Y187" s="215"/>
      <c r="Z187" s="215"/>
      <c r="AA187" s="215"/>
      <c r="AB187" s="218"/>
      <c r="AC187" s="219" t="s">
        <v>257</v>
      </c>
      <c r="AD187" s="220" t="s">
        <v>247</v>
      </c>
      <c r="AE187" s="221">
        <v>62.38</v>
      </c>
      <c r="AF187" s="222">
        <v>62.38</v>
      </c>
      <c r="AG187" s="223">
        <v>62.38</v>
      </c>
      <c r="AH187" s="224"/>
      <c r="AI187" s="225"/>
      <c r="AJ187" s="226"/>
      <c r="AK187" s="224"/>
      <c r="AL187" s="225"/>
      <c r="AM187" s="226"/>
      <c r="AN187" s="224"/>
      <c r="AO187" s="225"/>
      <c r="AP187" s="227"/>
      <c r="AQ187" s="224"/>
      <c r="AR187" s="225"/>
      <c r="AS187" s="227"/>
      <c r="AT187" s="224"/>
      <c r="AU187" s="225"/>
      <c r="AV187" s="227"/>
      <c r="AW187" s="224"/>
      <c r="AX187" s="225"/>
      <c r="AY187" s="227"/>
      <c r="AZ187" s="224"/>
      <c r="BA187" s="225"/>
      <c r="BB187" s="227"/>
      <c r="BC187" s="224"/>
      <c r="BD187" s="225"/>
      <c r="BE187" s="226"/>
      <c r="BF187" s="228"/>
      <c r="BG187" s="225"/>
      <c r="BH187" s="227"/>
      <c r="BI187" s="224"/>
      <c r="BJ187" s="225"/>
      <c r="BK187" s="226"/>
      <c r="BL187" s="229"/>
      <c r="BM187" s="215"/>
      <c r="BN187" s="125">
        <f t="shared" si="20"/>
        <v>62.38</v>
      </c>
      <c r="BO187" s="126">
        <f t="shared" si="21"/>
        <v>62.38</v>
      </c>
      <c r="BP187" s="127">
        <f t="shared" si="22"/>
        <v>62.38</v>
      </c>
    </row>
    <row r="188" spans="1:68" s="230" customFormat="1" ht="17.25" customHeight="1" outlineLevel="5" x14ac:dyDescent="0.25">
      <c r="A188" s="215"/>
      <c r="B188" s="215"/>
      <c r="C188" s="216"/>
      <c r="D188" s="216"/>
      <c r="E188" s="216"/>
      <c r="F188" s="216"/>
      <c r="G188" s="216"/>
      <c r="H188" s="216"/>
      <c r="I188" s="216"/>
      <c r="J188" s="215"/>
      <c r="K188" s="217"/>
      <c r="L188" s="216"/>
      <c r="M188" s="215"/>
      <c r="N188" s="215"/>
      <c r="O188" s="215"/>
      <c r="P188" s="215"/>
      <c r="Q188" s="215"/>
      <c r="R188" s="215"/>
      <c r="S188" s="215"/>
      <c r="T188" s="215"/>
      <c r="U188" s="215"/>
      <c r="V188" s="215"/>
      <c r="W188" s="215"/>
      <c r="X188" s="215"/>
      <c r="Y188" s="215"/>
      <c r="Z188" s="215"/>
      <c r="AA188" s="215"/>
      <c r="AB188" s="218"/>
      <c r="AC188" s="219" t="s">
        <v>258</v>
      </c>
      <c r="AD188" s="220" t="s">
        <v>247</v>
      </c>
      <c r="AE188" s="221">
        <v>199.83</v>
      </c>
      <c r="AF188" s="222">
        <v>199.83</v>
      </c>
      <c r="AG188" s="223">
        <v>199.83</v>
      </c>
      <c r="AH188" s="224"/>
      <c r="AI188" s="225"/>
      <c r="AJ188" s="226"/>
      <c r="AK188" s="224"/>
      <c r="AL188" s="225"/>
      <c r="AM188" s="226"/>
      <c r="AN188" s="224"/>
      <c r="AO188" s="225"/>
      <c r="AP188" s="227"/>
      <c r="AQ188" s="224"/>
      <c r="AR188" s="225"/>
      <c r="AS188" s="227"/>
      <c r="AT188" s="224"/>
      <c r="AU188" s="225"/>
      <c r="AV188" s="227"/>
      <c r="AW188" s="224"/>
      <c r="AX188" s="225"/>
      <c r="AY188" s="227"/>
      <c r="AZ188" s="224"/>
      <c r="BA188" s="225"/>
      <c r="BB188" s="227"/>
      <c r="BC188" s="224"/>
      <c r="BD188" s="225"/>
      <c r="BE188" s="226"/>
      <c r="BF188" s="228"/>
      <c r="BG188" s="225"/>
      <c r="BH188" s="227"/>
      <c r="BI188" s="224"/>
      <c r="BJ188" s="225"/>
      <c r="BK188" s="226"/>
      <c r="BL188" s="229"/>
      <c r="BM188" s="215"/>
      <c r="BN188" s="125">
        <f t="shared" si="20"/>
        <v>199.83</v>
      </c>
      <c r="BO188" s="126">
        <f t="shared" si="21"/>
        <v>199.83</v>
      </c>
      <c r="BP188" s="127">
        <f t="shared" si="22"/>
        <v>199.83</v>
      </c>
    </row>
    <row r="189" spans="1:68" s="230" customFormat="1" ht="17.25" customHeight="1" outlineLevel="5" x14ac:dyDescent="0.25">
      <c r="A189" s="215"/>
      <c r="B189" s="215"/>
      <c r="C189" s="216"/>
      <c r="D189" s="216"/>
      <c r="E189" s="216"/>
      <c r="F189" s="216"/>
      <c r="G189" s="216"/>
      <c r="H189" s="216"/>
      <c r="I189" s="216"/>
      <c r="J189" s="215"/>
      <c r="K189" s="217"/>
      <c r="L189" s="216"/>
      <c r="M189" s="215"/>
      <c r="N189" s="215"/>
      <c r="O189" s="215"/>
      <c r="P189" s="215"/>
      <c r="Q189" s="215"/>
      <c r="R189" s="215"/>
      <c r="S189" s="215"/>
      <c r="T189" s="215"/>
      <c r="U189" s="215"/>
      <c r="V189" s="215"/>
      <c r="W189" s="215"/>
      <c r="X189" s="215"/>
      <c r="Y189" s="215"/>
      <c r="Z189" s="215"/>
      <c r="AA189" s="215"/>
      <c r="AB189" s="218"/>
      <c r="AC189" s="219" t="s">
        <v>259</v>
      </c>
      <c r="AD189" s="220" t="s">
        <v>247</v>
      </c>
      <c r="AE189" s="221">
        <v>2.86</v>
      </c>
      <c r="AF189" s="222">
        <v>2.86</v>
      </c>
      <c r="AG189" s="223">
        <v>2.86</v>
      </c>
      <c r="AH189" s="224"/>
      <c r="AI189" s="225"/>
      <c r="AJ189" s="226"/>
      <c r="AK189" s="224"/>
      <c r="AL189" s="225"/>
      <c r="AM189" s="226"/>
      <c r="AN189" s="224"/>
      <c r="AO189" s="225"/>
      <c r="AP189" s="227"/>
      <c r="AQ189" s="224"/>
      <c r="AR189" s="225"/>
      <c r="AS189" s="227"/>
      <c r="AT189" s="224"/>
      <c r="AU189" s="225"/>
      <c r="AV189" s="227"/>
      <c r="AW189" s="224"/>
      <c r="AX189" s="225"/>
      <c r="AY189" s="227"/>
      <c r="AZ189" s="224"/>
      <c r="BA189" s="225"/>
      <c r="BB189" s="227"/>
      <c r="BC189" s="224"/>
      <c r="BD189" s="225"/>
      <c r="BE189" s="226"/>
      <c r="BF189" s="228"/>
      <c r="BG189" s="225"/>
      <c r="BH189" s="227"/>
      <c r="BI189" s="224"/>
      <c r="BJ189" s="225"/>
      <c r="BK189" s="226"/>
      <c r="BL189" s="229"/>
      <c r="BM189" s="215"/>
      <c r="BN189" s="125">
        <f t="shared" si="20"/>
        <v>2.86</v>
      </c>
      <c r="BO189" s="126">
        <f t="shared" si="21"/>
        <v>2.86</v>
      </c>
      <c r="BP189" s="127">
        <f t="shared" si="22"/>
        <v>2.86</v>
      </c>
    </row>
    <row r="190" spans="1:68" s="230" customFormat="1" ht="17.25" customHeight="1" outlineLevel="5" x14ac:dyDescent="0.25">
      <c r="A190" s="215"/>
      <c r="B190" s="215"/>
      <c r="C190" s="216"/>
      <c r="D190" s="216"/>
      <c r="E190" s="216"/>
      <c r="F190" s="216"/>
      <c r="G190" s="216"/>
      <c r="H190" s="216"/>
      <c r="I190" s="216"/>
      <c r="J190" s="215"/>
      <c r="K190" s="217"/>
      <c r="L190" s="216"/>
      <c r="M190" s="215"/>
      <c r="N190" s="215"/>
      <c r="O190" s="215"/>
      <c r="P190" s="215"/>
      <c r="Q190" s="215"/>
      <c r="R190" s="215"/>
      <c r="S190" s="215"/>
      <c r="T190" s="215"/>
      <c r="U190" s="215"/>
      <c r="V190" s="215"/>
      <c r="W190" s="215"/>
      <c r="X190" s="215"/>
      <c r="Y190" s="215"/>
      <c r="Z190" s="215"/>
      <c r="AA190" s="215"/>
      <c r="AB190" s="218"/>
      <c r="AC190" s="219" t="s">
        <v>260</v>
      </c>
      <c r="AD190" s="220" t="s">
        <v>247</v>
      </c>
      <c r="AE190" s="221">
        <v>1.86</v>
      </c>
      <c r="AF190" s="222">
        <v>1.86</v>
      </c>
      <c r="AG190" s="223">
        <v>1.86</v>
      </c>
      <c r="AH190" s="224"/>
      <c r="AI190" s="225"/>
      <c r="AJ190" s="226"/>
      <c r="AK190" s="224"/>
      <c r="AL190" s="225"/>
      <c r="AM190" s="226"/>
      <c r="AN190" s="224"/>
      <c r="AO190" s="225"/>
      <c r="AP190" s="227"/>
      <c r="AQ190" s="224"/>
      <c r="AR190" s="225"/>
      <c r="AS190" s="227"/>
      <c r="AT190" s="224"/>
      <c r="AU190" s="225"/>
      <c r="AV190" s="227"/>
      <c r="AW190" s="224"/>
      <c r="AX190" s="225"/>
      <c r="AY190" s="227"/>
      <c r="AZ190" s="224"/>
      <c r="BA190" s="225"/>
      <c r="BB190" s="227"/>
      <c r="BC190" s="224"/>
      <c r="BD190" s="225"/>
      <c r="BE190" s="226"/>
      <c r="BF190" s="228"/>
      <c r="BG190" s="225"/>
      <c r="BH190" s="227"/>
      <c r="BI190" s="224"/>
      <c r="BJ190" s="225"/>
      <c r="BK190" s="226"/>
      <c r="BL190" s="229"/>
      <c r="BM190" s="215"/>
      <c r="BN190" s="125">
        <f t="shared" si="20"/>
        <v>1.86</v>
      </c>
      <c r="BO190" s="126">
        <f t="shared" si="21"/>
        <v>1.86</v>
      </c>
      <c r="BP190" s="127">
        <f t="shared" si="22"/>
        <v>1.86</v>
      </c>
    </row>
    <row r="191" spans="1:68" s="230" customFormat="1" ht="17.25" customHeight="1" outlineLevel="5" x14ac:dyDescent="0.25">
      <c r="A191" s="215"/>
      <c r="B191" s="215"/>
      <c r="C191" s="216"/>
      <c r="D191" s="216"/>
      <c r="E191" s="216"/>
      <c r="F191" s="216"/>
      <c r="G191" s="216"/>
      <c r="H191" s="216"/>
      <c r="I191" s="216"/>
      <c r="J191" s="215"/>
      <c r="K191" s="217"/>
      <c r="L191" s="216"/>
      <c r="M191" s="215"/>
      <c r="N191" s="215"/>
      <c r="O191" s="215"/>
      <c r="P191" s="215"/>
      <c r="Q191" s="215"/>
      <c r="R191" s="215"/>
      <c r="S191" s="215"/>
      <c r="T191" s="215"/>
      <c r="U191" s="215"/>
      <c r="V191" s="215"/>
      <c r="W191" s="215"/>
      <c r="X191" s="215"/>
      <c r="Y191" s="215"/>
      <c r="Z191" s="215"/>
      <c r="AA191" s="215"/>
      <c r="AB191" s="218"/>
      <c r="AC191" s="219" t="s">
        <v>261</v>
      </c>
      <c r="AD191" s="220" t="s">
        <v>247</v>
      </c>
      <c r="AE191" s="221">
        <v>119.14</v>
      </c>
      <c r="AF191" s="222">
        <v>119.14</v>
      </c>
      <c r="AG191" s="223">
        <v>119.14</v>
      </c>
      <c r="AH191" s="224"/>
      <c r="AI191" s="225"/>
      <c r="AJ191" s="226"/>
      <c r="AK191" s="224"/>
      <c r="AL191" s="225"/>
      <c r="AM191" s="226"/>
      <c r="AN191" s="224"/>
      <c r="AO191" s="225"/>
      <c r="AP191" s="227"/>
      <c r="AQ191" s="224"/>
      <c r="AR191" s="225"/>
      <c r="AS191" s="227"/>
      <c r="AT191" s="224"/>
      <c r="AU191" s="225"/>
      <c r="AV191" s="227"/>
      <c r="AW191" s="224"/>
      <c r="AX191" s="225"/>
      <c r="AY191" s="227"/>
      <c r="AZ191" s="224"/>
      <c r="BA191" s="225"/>
      <c r="BB191" s="227"/>
      <c r="BC191" s="224"/>
      <c r="BD191" s="225"/>
      <c r="BE191" s="226"/>
      <c r="BF191" s="228"/>
      <c r="BG191" s="225"/>
      <c r="BH191" s="227"/>
      <c r="BI191" s="224"/>
      <c r="BJ191" s="225"/>
      <c r="BK191" s="226"/>
      <c r="BL191" s="229"/>
      <c r="BM191" s="215"/>
      <c r="BN191" s="125">
        <f t="shared" si="20"/>
        <v>119.14</v>
      </c>
      <c r="BO191" s="126">
        <f t="shared" si="21"/>
        <v>119.14</v>
      </c>
      <c r="BP191" s="127">
        <f t="shared" si="22"/>
        <v>119.14</v>
      </c>
    </row>
    <row r="192" spans="1:68" s="230" customFormat="1" ht="17.25" customHeight="1" outlineLevel="5" x14ac:dyDescent="0.25">
      <c r="A192" s="215"/>
      <c r="B192" s="215"/>
      <c r="C192" s="216"/>
      <c r="D192" s="216"/>
      <c r="E192" s="216"/>
      <c r="F192" s="216"/>
      <c r="G192" s="216"/>
      <c r="H192" s="216"/>
      <c r="I192" s="216"/>
      <c r="J192" s="215"/>
      <c r="K192" s="217"/>
      <c r="L192" s="216"/>
      <c r="M192" s="215"/>
      <c r="N192" s="215"/>
      <c r="O192" s="215"/>
      <c r="P192" s="215"/>
      <c r="Q192" s="215"/>
      <c r="R192" s="215"/>
      <c r="S192" s="215"/>
      <c r="T192" s="215"/>
      <c r="U192" s="215"/>
      <c r="V192" s="215"/>
      <c r="W192" s="215"/>
      <c r="X192" s="215"/>
      <c r="Y192" s="215"/>
      <c r="Z192" s="215"/>
      <c r="AA192" s="215"/>
      <c r="AB192" s="218"/>
      <c r="AC192" s="219" t="s">
        <v>262</v>
      </c>
      <c r="AD192" s="220" t="s">
        <v>247</v>
      </c>
      <c r="AE192" s="221"/>
      <c r="AF192" s="222"/>
      <c r="AG192" s="223"/>
      <c r="AH192" s="224"/>
      <c r="AI192" s="225"/>
      <c r="AJ192" s="226"/>
      <c r="AK192" s="224"/>
      <c r="AL192" s="225"/>
      <c r="AM192" s="226"/>
      <c r="AN192" s="224"/>
      <c r="AO192" s="225"/>
      <c r="AP192" s="227"/>
      <c r="AQ192" s="224"/>
      <c r="AR192" s="225"/>
      <c r="AS192" s="227"/>
      <c r="AT192" s="224"/>
      <c r="AU192" s="225"/>
      <c r="AV192" s="227"/>
      <c r="AW192" s="224"/>
      <c r="AX192" s="225"/>
      <c r="AY192" s="227"/>
      <c r="AZ192" s="224"/>
      <c r="BA192" s="225"/>
      <c r="BB192" s="227"/>
      <c r="BC192" s="224"/>
      <c r="BD192" s="225"/>
      <c r="BE192" s="226"/>
      <c r="BF192" s="228"/>
      <c r="BG192" s="225"/>
      <c r="BH192" s="227"/>
      <c r="BI192" s="224"/>
      <c r="BJ192" s="225"/>
      <c r="BK192" s="226"/>
      <c r="BL192" s="229"/>
      <c r="BM192" s="215"/>
      <c r="BN192" s="125">
        <f t="shared" ref="BN192:BN223" si="25">AE192+AH192+AK192+AN192+AQ192+AT192+AW192+AZ192+BC192+BF192+BI192</f>
        <v>0</v>
      </c>
      <c r="BO192" s="126">
        <f t="shared" ref="BO192:BO223" si="26">AF192+AI192+AL192+AO192+AR192+AU192+AX192+BA192+BD192+BG192+BJ192</f>
        <v>0</v>
      </c>
      <c r="BP192" s="127">
        <f t="shared" ref="BP192:BP223" si="27">AG192+AJ192+AM192+AP192+AS192+AV192+AY192+BB192+BE192+BH192+BK192</f>
        <v>0</v>
      </c>
    </row>
    <row r="193" spans="1:68" s="230" customFormat="1" ht="17.25" customHeight="1" outlineLevel="5" x14ac:dyDescent="0.25">
      <c r="A193" s="215"/>
      <c r="B193" s="215"/>
      <c r="C193" s="216"/>
      <c r="D193" s="216"/>
      <c r="E193" s="216"/>
      <c r="F193" s="216"/>
      <c r="G193" s="216"/>
      <c r="H193" s="216"/>
      <c r="I193" s="216"/>
      <c r="J193" s="215"/>
      <c r="K193" s="217"/>
      <c r="L193" s="216"/>
      <c r="M193" s="215"/>
      <c r="N193" s="215"/>
      <c r="O193" s="215"/>
      <c r="P193" s="215"/>
      <c r="Q193" s="215"/>
      <c r="R193" s="215"/>
      <c r="S193" s="215"/>
      <c r="T193" s="215"/>
      <c r="U193" s="215"/>
      <c r="V193" s="215"/>
      <c r="W193" s="215"/>
      <c r="X193" s="215"/>
      <c r="Y193" s="215"/>
      <c r="Z193" s="215"/>
      <c r="AA193" s="215"/>
      <c r="AB193" s="218"/>
      <c r="AC193" s="219" t="s">
        <v>263</v>
      </c>
      <c r="AD193" s="220" t="s">
        <v>247</v>
      </c>
      <c r="AE193" s="221">
        <v>629.04999999999995</v>
      </c>
      <c r="AF193" s="222">
        <v>629.04999999999995</v>
      </c>
      <c r="AG193" s="223">
        <v>629.04999999999995</v>
      </c>
      <c r="AH193" s="224"/>
      <c r="AI193" s="225"/>
      <c r="AJ193" s="226"/>
      <c r="AK193" s="224"/>
      <c r="AL193" s="225"/>
      <c r="AM193" s="226"/>
      <c r="AN193" s="224"/>
      <c r="AO193" s="225"/>
      <c r="AP193" s="227"/>
      <c r="AQ193" s="224"/>
      <c r="AR193" s="225"/>
      <c r="AS193" s="227"/>
      <c r="AT193" s="224"/>
      <c r="AU193" s="225"/>
      <c r="AV193" s="227"/>
      <c r="AW193" s="224"/>
      <c r="AX193" s="225"/>
      <c r="AY193" s="227"/>
      <c r="AZ193" s="224"/>
      <c r="BA193" s="225"/>
      <c r="BB193" s="227"/>
      <c r="BC193" s="224"/>
      <c r="BD193" s="225"/>
      <c r="BE193" s="226"/>
      <c r="BF193" s="228"/>
      <c r="BG193" s="225"/>
      <c r="BH193" s="227"/>
      <c r="BI193" s="224"/>
      <c r="BJ193" s="225"/>
      <c r="BK193" s="226"/>
      <c r="BL193" s="229"/>
      <c r="BM193" s="215"/>
      <c r="BN193" s="125">
        <f t="shared" si="25"/>
        <v>629.04999999999995</v>
      </c>
      <c r="BO193" s="126">
        <f t="shared" si="26"/>
        <v>629.04999999999995</v>
      </c>
      <c r="BP193" s="127">
        <f t="shared" si="27"/>
        <v>629.04999999999995</v>
      </c>
    </row>
    <row r="194" spans="1:68" s="230" customFormat="1" ht="17.25" customHeight="1" outlineLevel="5" x14ac:dyDescent="0.25">
      <c r="A194" s="215"/>
      <c r="B194" s="215"/>
      <c r="C194" s="216"/>
      <c r="D194" s="216"/>
      <c r="E194" s="216"/>
      <c r="F194" s="216"/>
      <c r="G194" s="216"/>
      <c r="H194" s="216"/>
      <c r="I194" s="216"/>
      <c r="J194" s="215"/>
      <c r="K194" s="217"/>
      <c r="L194" s="216"/>
      <c r="M194" s="215"/>
      <c r="N194" s="215"/>
      <c r="O194" s="215"/>
      <c r="P194" s="215"/>
      <c r="Q194" s="215"/>
      <c r="R194" s="215"/>
      <c r="S194" s="215"/>
      <c r="T194" s="215"/>
      <c r="U194" s="215"/>
      <c r="V194" s="215"/>
      <c r="W194" s="215"/>
      <c r="X194" s="215"/>
      <c r="Y194" s="215"/>
      <c r="Z194" s="215"/>
      <c r="AA194" s="215"/>
      <c r="AB194" s="218"/>
      <c r="AC194" s="219" t="s">
        <v>264</v>
      </c>
      <c r="AD194" s="220" t="s">
        <v>247</v>
      </c>
      <c r="AE194" s="221">
        <v>8295.9</v>
      </c>
      <c r="AF194" s="222">
        <v>3630.16</v>
      </c>
      <c r="AG194" s="223">
        <v>4457.9399999999996</v>
      </c>
      <c r="AH194" s="224"/>
      <c r="AI194" s="225"/>
      <c r="AJ194" s="226"/>
      <c r="AK194" s="224"/>
      <c r="AL194" s="225"/>
      <c r="AM194" s="226"/>
      <c r="AN194" s="224"/>
      <c r="AO194" s="225"/>
      <c r="AP194" s="227"/>
      <c r="AQ194" s="224"/>
      <c r="AR194" s="225"/>
      <c r="AS194" s="227"/>
      <c r="AT194" s="224"/>
      <c r="AU194" s="225"/>
      <c r="AV194" s="227"/>
      <c r="AW194" s="224"/>
      <c r="AX194" s="225"/>
      <c r="AY194" s="227"/>
      <c r="AZ194" s="224"/>
      <c r="BA194" s="225"/>
      <c r="BB194" s="227"/>
      <c r="BC194" s="224"/>
      <c r="BD194" s="225"/>
      <c r="BE194" s="226"/>
      <c r="BF194" s="228"/>
      <c r="BG194" s="225"/>
      <c r="BH194" s="227"/>
      <c r="BI194" s="224"/>
      <c r="BJ194" s="225"/>
      <c r="BK194" s="226"/>
      <c r="BL194" s="229"/>
      <c r="BM194" s="215"/>
      <c r="BN194" s="125">
        <f t="shared" si="25"/>
        <v>8295.9</v>
      </c>
      <c r="BO194" s="126">
        <f t="shared" si="26"/>
        <v>3630.16</v>
      </c>
      <c r="BP194" s="127">
        <f t="shared" si="27"/>
        <v>4457.9399999999996</v>
      </c>
    </row>
    <row r="195" spans="1:68" s="230" customFormat="1" ht="17.25" customHeight="1" outlineLevel="5" x14ac:dyDescent="0.25">
      <c r="A195" s="215"/>
      <c r="B195" s="215"/>
      <c r="C195" s="216"/>
      <c r="D195" s="216"/>
      <c r="E195" s="216"/>
      <c r="F195" s="216"/>
      <c r="G195" s="216"/>
      <c r="H195" s="216"/>
      <c r="I195" s="216"/>
      <c r="J195" s="215"/>
      <c r="K195" s="217"/>
      <c r="L195" s="216"/>
      <c r="M195" s="215"/>
      <c r="N195" s="215"/>
      <c r="O195" s="215"/>
      <c r="P195" s="215"/>
      <c r="Q195" s="215"/>
      <c r="R195" s="215"/>
      <c r="S195" s="215"/>
      <c r="T195" s="215"/>
      <c r="U195" s="215"/>
      <c r="V195" s="215"/>
      <c r="W195" s="215"/>
      <c r="X195" s="215"/>
      <c r="Y195" s="215"/>
      <c r="Z195" s="215"/>
      <c r="AA195" s="215"/>
      <c r="AB195" s="218"/>
      <c r="AC195" s="219" t="s">
        <v>265</v>
      </c>
      <c r="AD195" s="220" t="s">
        <v>247</v>
      </c>
      <c r="AE195" s="221">
        <v>65.37</v>
      </c>
      <c r="AF195" s="222">
        <v>65.37</v>
      </c>
      <c r="AG195" s="223">
        <v>65.37</v>
      </c>
      <c r="AH195" s="224"/>
      <c r="AI195" s="225"/>
      <c r="AJ195" s="226"/>
      <c r="AK195" s="224"/>
      <c r="AL195" s="225"/>
      <c r="AM195" s="226"/>
      <c r="AN195" s="224"/>
      <c r="AO195" s="225"/>
      <c r="AP195" s="227"/>
      <c r="AQ195" s="224"/>
      <c r="AR195" s="225"/>
      <c r="AS195" s="227"/>
      <c r="AT195" s="224"/>
      <c r="AU195" s="225"/>
      <c r="AV195" s="227"/>
      <c r="AW195" s="224"/>
      <c r="AX195" s="225"/>
      <c r="AY195" s="227"/>
      <c r="AZ195" s="224"/>
      <c r="BA195" s="225"/>
      <c r="BB195" s="227"/>
      <c r="BC195" s="224"/>
      <c r="BD195" s="225"/>
      <c r="BE195" s="226"/>
      <c r="BF195" s="228"/>
      <c r="BG195" s="225"/>
      <c r="BH195" s="227"/>
      <c r="BI195" s="224"/>
      <c r="BJ195" s="225"/>
      <c r="BK195" s="226"/>
      <c r="BL195" s="229"/>
      <c r="BM195" s="215"/>
      <c r="BN195" s="125">
        <f t="shared" si="25"/>
        <v>65.37</v>
      </c>
      <c r="BO195" s="126">
        <f t="shared" si="26"/>
        <v>65.37</v>
      </c>
      <c r="BP195" s="127">
        <f t="shared" si="27"/>
        <v>65.37</v>
      </c>
    </row>
    <row r="196" spans="1:68" s="214" customFormat="1" ht="23.25" customHeight="1" outlineLevel="4" x14ac:dyDescent="0.25">
      <c r="A196" s="10" t="b">
        <f>SETTING_OTHER_STRAIGHT="да"</f>
        <v>1</v>
      </c>
      <c r="B196" s="5"/>
      <c r="C196" s="10" t="s">
        <v>83</v>
      </c>
      <c r="D196" s="10" t="s">
        <v>84</v>
      </c>
      <c r="E196" s="10" t="s">
        <v>73</v>
      </c>
      <c r="F196" s="10" t="s">
        <v>74</v>
      </c>
      <c r="G196" s="10" t="str">
        <f>IF('[1]Общие настройки'!$M$13="Oracle","Прочие прямые расходы","Другие производственные расходы")</f>
        <v>Другие производственные расходы</v>
      </c>
      <c r="H196" s="10" t="s">
        <v>73</v>
      </c>
      <c r="I196" s="10" t="s">
        <v>73</v>
      </c>
      <c r="J196" s="5"/>
      <c r="K196" s="12" t="s">
        <v>73</v>
      </c>
      <c r="L196" s="10" t="s">
        <v>192</v>
      </c>
      <c r="M196" s="5" t="str">
        <f t="array" ref="M196">Y96</f>
        <v>1ХВС::1.1</v>
      </c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65" t="str">
        <f>AB169&amp;".8"</f>
        <v>3.1.1.1.6.8</v>
      </c>
      <c r="AC196" s="231" t="s">
        <v>266</v>
      </c>
      <c r="AD196" s="51" t="s">
        <v>111</v>
      </c>
      <c r="AE196" s="72">
        <f t="shared" ref="AE196:BK196" si="28">SUM(AE197:AE248)</f>
        <v>79483.570000000007</v>
      </c>
      <c r="AF196" s="73">
        <f t="shared" si="28"/>
        <v>27095.23</v>
      </c>
      <c r="AG196" s="74">
        <f t="shared" si="28"/>
        <v>84377.59</v>
      </c>
      <c r="AH196" s="72">
        <f t="shared" si="28"/>
        <v>1628.2470000000001</v>
      </c>
      <c r="AI196" s="73">
        <f t="shared" si="28"/>
        <v>664.31</v>
      </c>
      <c r="AJ196" s="74">
        <f t="shared" si="28"/>
        <v>2894.1979999999999</v>
      </c>
      <c r="AK196" s="72">
        <f t="shared" si="28"/>
        <v>2763.43</v>
      </c>
      <c r="AL196" s="73">
        <f t="shared" si="28"/>
        <v>1956.08</v>
      </c>
      <c r="AM196" s="74">
        <f t="shared" si="28"/>
        <v>5110.43</v>
      </c>
      <c r="AN196" s="72">
        <f t="shared" si="28"/>
        <v>3769.5099999999998</v>
      </c>
      <c r="AO196" s="73">
        <f t="shared" si="28"/>
        <v>905.87399999999991</v>
      </c>
      <c r="AP196" s="74">
        <f t="shared" si="28"/>
        <v>5571.8000000000011</v>
      </c>
      <c r="AQ196" s="72">
        <f t="shared" si="28"/>
        <v>1958.84</v>
      </c>
      <c r="AR196" s="73">
        <f t="shared" si="28"/>
        <v>1.72</v>
      </c>
      <c r="AS196" s="74">
        <f t="shared" si="28"/>
        <v>3481.2000000000003</v>
      </c>
      <c r="AT196" s="72">
        <f t="shared" si="28"/>
        <v>2277.2900000000004</v>
      </c>
      <c r="AU196" s="73">
        <f t="shared" si="28"/>
        <v>0</v>
      </c>
      <c r="AV196" s="74">
        <f t="shared" si="28"/>
        <v>4160.6000000000004</v>
      </c>
      <c r="AW196" s="72">
        <f t="shared" si="28"/>
        <v>4950.4760000000006</v>
      </c>
      <c r="AX196" s="73">
        <f t="shared" si="28"/>
        <v>0</v>
      </c>
      <c r="AY196" s="74">
        <f t="shared" si="28"/>
        <v>7961.9229999999989</v>
      </c>
      <c r="AZ196" s="72">
        <f t="shared" si="28"/>
        <v>8684.1319999999996</v>
      </c>
      <c r="BA196" s="73">
        <f t="shared" si="28"/>
        <v>1298.3199999999997</v>
      </c>
      <c r="BB196" s="74">
        <f t="shared" si="28"/>
        <v>5281.6639999999989</v>
      </c>
      <c r="BC196" s="72">
        <f t="shared" si="28"/>
        <v>6177.5299999999988</v>
      </c>
      <c r="BD196" s="73">
        <f t="shared" si="28"/>
        <v>59.28</v>
      </c>
      <c r="BE196" s="74">
        <f t="shared" si="28"/>
        <v>6735.28</v>
      </c>
      <c r="BF196" s="72">
        <f t="shared" si="28"/>
        <v>3963.1400000000003</v>
      </c>
      <c r="BG196" s="73">
        <f t="shared" si="28"/>
        <v>858.76</v>
      </c>
      <c r="BH196" s="74">
        <f t="shared" si="28"/>
        <v>4652.04</v>
      </c>
      <c r="BI196" s="72">
        <f t="shared" si="28"/>
        <v>939.45</v>
      </c>
      <c r="BJ196" s="73">
        <f t="shared" si="28"/>
        <v>75.62</v>
      </c>
      <c r="BK196" s="74">
        <f t="shared" si="28"/>
        <v>1178.8800000000001</v>
      </c>
      <c r="BL196" s="6"/>
      <c r="BM196" s="5"/>
      <c r="BN196" s="125">
        <f t="shared" si="25"/>
        <v>116595.61499999998</v>
      </c>
      <c r="BO196" s="126">
        <f t="shared" si="26"/>
        <v>32915.194000000003</v>
      </c>
      <c r="BP196" s="127">
        <f t="shared" si="27"/>
        <v>131405.60499999998</v>
      </c>
    </row>
    <row r="197" spans="1:68" s="230" customFormat="1" ht="19.5" customHeight="1" outlineLevel="5" x14ac:dyDescent="0.25">
      <c r="A197" s="216"/>
      <c r="B197" s="215"/>
      <c r="C197" s="216"/>
      <c r="D197" s="216"/>
      <c r="E197" s="216"/>
      <c r="F197" s="216"/>
      <c r="G197" s="216"/>
      <c r="H197" s="216"/>
      <c r="I197" s="216"/>
      <c r="J197" s="215"/>
      <c r="K197" s="217"/>
      <c r="L197" s="216"/>
      <c r="M197" s="215"/>
      <c r="N197" s="215"/>
      <c r="O197" s="215"/>
      <c r="P197" s="215"/>
      <c r="Q197" s="215"/>
      <c r="R197" s="215"/>
      <c r="S197" s="215"/>
      <c r="T197" s="215"/>
      <c r="U197" s="215"/>
      <c r="V197" s="215"/>
      <c r="W197" s="215"/>
      <c r="X197" s="215"/>
      <c r="Y197" s="215"/>
      <c r="Z197" s="215"/>
      <c r="AA197" s="215"/>
      <c r="AB197" s="232"/>
      <c r="AC197" s="219" t="s">
        <v>267</v>
      </c>
      <c r="AD197" s="220" t="s">
        <v>247</v>
      </c>
      <c r="AE197" s="221">
        <v>1058.1199999999999</v>
      </c>
      <c r="AF197" s="233">
        <v>142.53</v>
      </c>
      <c r="AG197" s="234">
        <v>1534.16</v>
      </c>
      <c r="AH197" s="235">
        <v>11.44</v>
      </c>
      <c r="AI197" s="225"/>
      <c r="AJ197" s="226">
        <v>27.92</v>
      </c>
      <c r="AK197" s="224">
        <v>36.01</v>
      </c>
      <c r="AL197" s="225">
        <v>35</v>
      </c>
      <c r="AM197" s="226">
        <v>114.48</v>
      </c>
      <c r="AN197" s="224">
        <v>66.36</v>
      </c>
      <c r="AO197" s="225">
        <f>58.04+102.36</f>
        <v>160.4</v>
      </c>
      <c r="AP197" s="227">
        <v>102.37</v>
      </c>
      <c r="AQ197" s="224">
        <v>23.4</v>
      </c>
      <c r="AR197" s="225"/>
      <c r="AS197" s="227">
        <v>38.92</v>
      </c>
      <c r="AT197" s="224">
        <v>60.32</v>
      </c>
      <c r="AU197" s="225"/>
      <c r="AV197" s="227">
        <v>86.43</v>
      </c>
      <c r="AW197" s="224">
        <f>8.819+192.524</f>
        <v>201.34299999999999</v>
      </c>
      <c r="AX197" s="225"/>
      <c r="AY197" s="227">
        <f>9.703+281.859</f>
        <v>291.56199999999995</v>
      </c>
      <c r="AZ197" s="224"/>
      <c r="BA197" s="225">
        <v>1086.58</v>
      </c>
      <c r="BB197" s="236">
        <v>197.78299999999999</v>
      </c>
      <c r="BC197" s="224">
        <v>124.18</v>
      </c>
      <c r="BD197" s="225"/>
      <c r="BE197" s="226">
        <v>204.29</v>
      </c>
      <c r="BF197" s="237">
        <v>14.28</v>
      </c>
      <c r="BG197" s="238"/>
      <c r="BH197" s="239">
        <v>67.989999999999995</v>
      </c>
      <c r="BI197" s="240">
        <v>15.45</v>
      </c>
      <c r="BJ197" s="238"/>
      <c r="BK197" s="241">
        <v>87.58</v>
      </c>
      <c r="BL197" s="229"/>
      <c r="BM197" s="215"/>
      <c r="BN197" s="125">
        <f t="shared" si="25"/>
        <v>1610.903</v>
      </c>
      <c r="BO197" s="126">
        <f t="shared" si="26"/>
        <v>1424.51</v>
      </c>
      <c r="BP197" s="127">
        <f t="shared" si="27"/>
        <v>2753.4850000000001</v>
      </c>
    </row>
    <row r="198" spans="1:68" s="230" customFormat="1" ht="19.5" customHeight="1" outlineLevel="5" x14ac:dyDescent="0.25">
      <c r="A198" s="216"/>
      <c r="B198" s="215"/>
      <c r="C198" s="216"/>
      <c r="D198" s="216"/>
      <c r="E198" s="216"/>
      <c r="F198" s="216"/>
      <c r="G198" s="216"/>
      <c r="H198" s="216"/>
      <c r="I198" s="216"/>
      <c r="J198" s="215"/>
      <c r="K198" s="217"/>
      <c r="L198" s="216"/>
      <c r="M198" s="215"/>
      <c r="N198" s="215"/>
      <c r="O198" s="215"/>
      <c r="P198" s="215"/>
      <c r="Q198" s="215"/>
      <c r="R198" s="215"/>
      <c r="S198" s="215"/>
      <c r="T198" s="215"/>
      <c r="U198" s="215"/>
      <c r="V198" s="215"/>
      <c r="W198" s="215"/>
      <c r="X198" s="215"/>
      <c r="Y198" s="215"/>
      <c r="Z198" s="215"/>
      <c r="AA198" s="215"/>
      <c r="AB198" s="232"/>
      <c r="AC198" s="219" t="s">
        <v>268</v>
      </c>
      <c r="AD198" s="220" t="s">
        <v>247</v>
      </c>
      <c r="AE198" s="221">
        <v>4744.63</v>
      </c>
      <c r="AF198" s="233">
        <v>2850</v>
      </c>
      <c r="AG198" s="234">
        <v>5430.25</v>
      </c>
      <c r="AH198" s="224">
        <v>53.33</v>
      </c>
      <c r="AI198" s="225"/>
      <c r="AJ198" s="226">
        <v>58.42</v>
      </c>
      <c r="AK198" s="224">
        <v>235.81</v>
      </c>
      <c r="AL198" s="225">
        <f>38+88.28</f>
        <v>126.28</v>
      </c>
      <c r="AM198" s="226">
        <v>259.47000000000003</v>
      </c>
      <c r="AN198" s="224">
        <v>270.58999999999997</v>
      </c>
      <c r="AO198" s="225"/>
      <c r="AP198" s="227">
        <v>472.85</v>
      </c>
      <c r="AQ198" s="224">
        <v>40.72</v>
      </c>
      <c r="AR198" s="225"/>
      <c r="AS198" s="227">
        <v>44.8</v>
      </c>
      <c r="AT198" s="224">
        <v>157.88999999999999</v>
      </c>
      <c r="AU198" s="225"/>
      <c r="AV198" s="227">
        <v>173.73</v>
      </c>
      <c r="AW198" s="224">
        <v>144.214</v>
      </c>
      <c r="AX198" s="225"/>
      <c r="AY198" s="227">
        <v>592.84500000000003</v>
      </c>
      <c r="AZ198" s="224">
        <v>583.89300000000003</v>
      </c>
      <c r="BA198" s="225"/>
      <c r="BB198" s="236">
        <v>825.78</v>
      </c>
      <c r="BC198" s="224">
        <v>526.29</v>
      </c>
      <c r="BD198" s="225"/>
      <c r="BE198" s="226">
        <v>772.42</v>
      </c>
      <c r="BF198" s="237">
        <v>97.24</v>
      </c>
      <c r="BG198" s="238">
        <v>17.72</v>
      </c>
      <c r="BH198" s="239">
        <v>132.59</v>
      </c>
      <c r="BI198" s="240">
        <v>91.87</v>
      </c>
      <c r="BJ198" s="238"/>
      <c r="BK198" s="241">
        <v>214.51</v>
      </c>
      <c r="BL198" s="229"/>
      <c r="BM198" s="215"/>
      <c r="BN198" s="125">
        <f t="shared" si="25"/>
        <v>6946.4770000000008</v>
      </c>
      <c r="BO198" s="126">
        <f t="shared" si="26"/>
        <v>2994</v>
      </c>
      <c r="BP198" s="127">
        <f t="shared" si="27"/>
        <v>8977.6650000000009</v>
      </c>
    </row>
    <row r="199" spans="1:68" s="230" customFormat="1" ht="19.5" customHeight="1" outlineLevel="5" x14ac:dyDescent="0.25">
      <c r="A199" s="216"/>
      <c r="B199" s="215"/>
      <c r="C199" s="216"/>
      <c r="D199" s="216"/>
      <c r="E199" s="216"/>
      <c r="F199" s="216"/>
      <c r="G199" s="216"/>
      <c r="H199" s="216"/>
      <c r="I199" s="216"/>
      <c r="J199" s="215"/>
      <c r="K199" s="217"/>
      <c r="L199" s="216"/>
      <c r="M199" s="215"/>
      <c r="N199" s="215"/>
      <c r="O199" s="215"/>
      <c r="P199" s="215"/>
      <c r="Q199" s="215"/>
      <c r="R199" s="215"/>
      <c r="S199" s="215"/>
      <c r="T199" s="215"/>
      <c r="U199" s="215"/>
      <c r="V199" s="215"/>
      <c r="W199" s="215"/>
      <c r="X199" s="215"/>
      <c r="Y199" s="215"/>
      <c r="Z199" s="215"/>
      <c r="AA199" s="215"/>
      <c r="AB199" s="232"/>
      <c r="AC199" s="219" t="s">
        <v>269</v>
      </c>
      <c r="AD199" s="220" t="s">
        <v>247</v>
      </c>
      <c r="AE199" s="221"/>
      <c r="AF199" s="233"/>
      <c r="AG199" s="234"/>
      <c r="AH199" s="190"/>
      <c r="AI199" s="225"/>
      <c r="AJ199" s="226"/>
      <c r="AK199" s="224"/>
      <c r="AL199" s="225"/>
      <c r="AM199" s="226"/>
      <c r="AN199" s="224"/>
      <c r="AO199" s="225">
        <v>12.45</v>
      </c>
      <c r="AP199" s="227"/>
      <c r="AQ199" s="190"/>
      <c r="AR199" s="225"/>
      <c r="AS199" s="227"/>
      <c r="AT199" s="190"/>
      <c r="AU199" s="225"/>
      <c r="AV199" s="227"/>
      <c r="AW199" s="224">
        <v>19.260000000000002</v>
      </c>
      <c r="AX199" s="225"/>
      <c r="AY199" s="227">
        <v>21.192</v>
      </c>
      <c r="AZ199" s="224">
        <v>9.6300000000000008</v>
      </c>
      <c r="BA199" s="225"/>
      <c r="BB199" s="236">
        <v>10.596</v>
      </c>
      <c r="BC199" s="190"/>
      <c r="BD199" s="225"/>
      <c r="BE199" s="226"/>
      <c r="BF199" s="237">
        <v>9.6300000000000008</v>
      </c>
      <c r="BG199" s="238">
        <v>1.1299999999999999</v>
      </c>
      <c r="BH199" s="239">
        <v>10.6</v>
      </c>
      <c r="BI199" s="240"/>
      <c r="BJ199" s="238"/>
      <c r="BK199" s="241"/>
      <c r="BL199" s="229"/>
      <c r="BM199" s="215"/>
      <c r="BN199" s="125">
        <f t="shared" si="25"/>
        <v>38.520000000000003</v>
      </c>
      <c r="BO199" s="126">
        <f t="shared" si="26"/>
        <v>13.579999999999998</v>
      </c>
      <c r="BP199" s="127">
        <f t="shared" si="27"/>
        <v>42.387999999999998</v>
      </c>
    </row>
    <row r="200" spans="1:68" s="230" customFormat="1" ht="19.5" customHeight="1" outlineLevel="5" x14ac:dyDescent="0.25">
      <c r="A200" s="216"/>
      <c r="B200" s="215"/>
      <c r="C200" s="216"/>
      <c r="D200" s="216"/>
      <c r="E200" s="216"/>
      <c r="F200" s="216"/>
      <c r="G200" s="216"/>
      <c r="H200" s="216"/>
      <c r="I200" s="216"/>
      <c r="J200" s="215"/>
      <c r="K200" s="217"/>
      <c r="L200" s="216"/>
      <c r="M200" s="215"/>
      <c r="N200" s="215"/>
      <c r="O200" s="215"/>
      <c r="P200" s="215"/>
      <c r="Q200" s="215"/>
      <c r="R200" s="215"/>
      <c r="S200" s="215"/>
      <c r="T200" s="215"/>
      <c r="U200" s="215"/>
      <c r="V200" s="215"/>
      <c r="W200" s="215"/>
      <c r="X200" s="215"/>
      <c r="Y200" s="215"/>
      <c r="Z200" s="215"/>
      <c r="AA200" s="215"/>
      <c r="AB200" s="232"/>
      <c r="AC200" s="219" t="s">
        <v>270</v>
      </c>
      <c r="AD200" s="220" t="s">
        <v>247</v>
      </c>
      <c r="AE200" s="221">
        <v>721.72</v>
      </c>
      <c r="AF200" s="233">
        <v>580</v>
      </c>
      <c r="AG200" s="234">
        <v>780.61</v>
      </c>
      <c r="AH200" s="190"/>
      <c r="AI200" s="225"/>
      <c r="AJ200" s="226"/>
      <c r="AK200" s="190"/>
      <c r="AL200" s="225"/>
      <c r="AM200" s="226"/>
      <c r="AN200" s="190"/>
      <c r="AO200" s="225"/>
      <c r="AP200" s="227"/>
      <c r="AQ200" s="190"/>
      <c r="AR200" s="225"/>
      <c r="AS200" s="227"/>
      <c r="AT200" s="190"/>
      <c r="AU200" s="225"/>
      <c r="AV200" s="227"/>
      <c r="AW200" s="190"/>
      <c r="AX200" s="225"/>
      <c r="AY200" s="227"/>
      <c r="AZ200" s="190"/>
      <c r="BA200" s="225"/>
      <c r="BB200" s="227"/>
      <c r="BC200" s="190"/>
      <c r="BD200" s="225"/>
      <c r="BE200" s="226"/>
      <c r="BF200" s="194"/>
      <c r="BG200" s="238"/>
      <c r="BH200" s="239"/>
      <c r="BI200" s="240"/>
      <c r="BJ200" s="238"/>
      <c r="BK200" s="241"/>
      <c r="BL200" s="229"/>
      <c r="BM200" s="215"/>
      <c r="BN200" s="125">
        <f t="shared" si="25"/>
        <v>721.72</v>
      </c>
      <c r="BO200" s="126">
        <f t="shared" si="26"/>
        <v>580</v>
      </c>
      <c r="BP200" s="127">
        <f t="shared" si="27"/>
        <v>780.61</v>
      </c>
    </row>
    <row r="201" spans="1:68" s="246" customFormat="1" ht="19.5" customHeight="1" outlineLevel="5" x14ac:dyDescent="0.25">
      <c r="A201" s="242"/>
      <c r="B201" s="229"/>
      <c r="C201" s="242"/>
      <c r="D201" s="242"/>
      <c r="E201" s="242"/>
      <c r="F201" s="242"/>
      <c r="G201" s="242"/>
      <c r="H201" s="242"/>
      <c r="I201" s="242"/>
      <c r="J201" s="229"/>
      <c r="K201" s="243"/>
      <c r="L201" s="242"/>
      <c r="M201" s="229"/>
      <c r="N201" s="229"/>
      <c r="O201" s="229"/>
      <c r="P201" s="229"/>
      <c r="Q201" s="229"/>
      <c r="R201" s="229"/>
      <c r="S201" s="229"/>
      <c r="T201" s="229"/>
      <c r="U201" s="229"/>
      <c r="V201" s="229"/>
      <c r="W201" s="229"/>
      <c r="X201" s="229"/>
      <c r="Y201" s="229"/>
      <c r="Z201" s="229"/>
      <c r="AA201" s="229"/>
      <c r="AB201" s="232"/>
      <c r="AC201" s="219" t="s">
        <v>271</v>
      </c>
      <c r="AD201" s="220" t="s">
        <v>247</v>
      </c>
      <c r="AE201" s="221">
        <v>8790.31</v>
      </c>
      <c r="AF201" s="233">
        <v>1020</v>
      </c>
      <c r="AG201" s="234">
        <v>0</v>
      </c>
      <c r="AH201" s="190"/>
      <c r="AI201" s="225"/>
      <c r="AJ201" s="226"/>
      <c r="AK201" s="190"/>
      <c r="AL201" s="225">
        <v>85.82</v>
      </c>
      <c r="AM201" s="226"/>
      <c r="AN201" s="190"/>
      <c r="AO201" s="225">
        <v>21.1</v>
      </c>
      <c r="AP201" s="227"/>
      <c r="AQ201" s="190"/>
      <c r="AR201" s="225"/>
      <c r="AS201" s="227"/>
      <c r="AT201" s="224">
        <v>127.49</v>
      </c>
      <c r="AU201" s="225"/>
      <c r="AV201" s="227">
        <v>140.28</v>
      </c>
      <c r="AW201" s="224">
        <v>130.82599999999999</v>
      </c>
      <c r="AX201" s="225"/>
      <c r="AY201" s="227">
        <v>161.60499999999999</v>
      </c>
      <c r="AZ201" s="190"/>
      <c r="BA201" s="225"/>
      <c r="BB201" s="227"/>
      <c r="BC201" s="235">
        <v>1122.4000000000001</v>
      </c>
      <c r="BD201" s="225"/>
      <c r="BE201" s="226">
        <f>1235+210.22</f>
        <v>1445.22</v>
      </c>
      <c r="BF201" s="244">
        <v>408.27</v>
      </c>
      <c r="BG201" s="238">
        <v>311.81</v>
      </c>
      <c r="BH201" s="239">
        <v>449.23</v>
      </c>
      <c r="BI201" s="245">
        <v>180.28</v>
      </c>
      <c r="BJ201" s="238"/>
      <c r="BK201" s="241">
        <v>198.36</v>
      </c>
      <c r="BL201" s="229"/>
      <c r="BM201" s="229"/>
      <c r="BN201" s="125">
        <f t="shared" si="25"/>
        <v>10759.575999999999</v>
      </c>
      <c r="BO201" s="126">
        <f t="shared" si="26"/>
        <v>1438.7299999999998</v>
      </c>
      <c r="BP201" s="127">
        <f t="shared" si="27"/>
        <v>2394.6950000000002</v>
      </c>
    </row>
    <row r="202" spans="1:68" s="230" customFormat="1" ht="19.5" customHeight="1" outlineLevel="5" x14ac:dyDescent="0.25">
      <c r="A202" s="216"/>
      <c r="B202" s="215"/>
      <c r="C202" s="216"/>
      <c r="D202" s="216"/>
      <c r="E202" s="216"/>
      <c r="F202" s="216"/>
      <c r="G202" s="216"/>
      <c r="H202" s="216"/>
      <c r="I202" s="216"/>
      <c r="J202" s="215"/>
      <c r="K202" s="217"/>
      <c r="L202" s="216"/>
      <c r="M202" s="215"/>
      <c r="N202" s="215"/>
      <c r="O202" s="215"/>
      <c r="P202" s="215"/>
      <c r="Q202" s="215"/>
      <c r="R202" s="215"/>
      <c r="S202" s="215"/>
      <c r="T202" s="215"/>
      <c r="U202" s="215"/>
      <c r="V202" s="215"/>
      <c r="W202" s="215"/>
      <c r="X202" s="215"/>
      <c r="Y202" s="215"/>
      <c r="Z202" s="215"/>
      <c r="AA202" s="215"/>
      <c r="AB202" s="232"/>
      <c r="AC202" s="219" t="s">
        <v>272</v>
      </c>
      <c r="AD202" s="220" t="s">
        <v>247</v>
      </c>
      <c r="AE202" s="221">
        <v>31.5</v>
      </c>
      <c r="AF202" s="233">
        <v>4.72</v>
      </c>
      <c r="AG202" s="234">
        <v>34.4</v>
      </c>
      <c r="AH202" s="190"/>
      <c r="AI202" s="225"/>
      <c r="AJ202" s="226"/>
      <c r="AK202" s="190"/>
      <c r="AL202" s="225"/>
      <c r="AM202" s="226"/>
      <c r="AN202" s="190"/>
      <c r="AO202" s="225"/>
      <c r="AP202" s="227"/>
      <c r="AQ202" s="190"/>
      <c r="AR202" s="225"/>
      <c r="AS202" s="227"/>
      <c r="AT202" s="190"/>
      <c r="AU202" s="225"/>
      <c r="AV202" s="227"/>
      <c r="AW202" s="190"/>
      <c r="AX202" s="225"/>
      <c r="AY202" s="227"/>
      <c r="AZ202" s="190"/>
      <c r="BA202" s="225"/>
      <c r="BB202" s="227"/>
      <c r="BC202" s="190"/>
      <c r="BD202" s="225"/>
      <c r="BE202" s="226"/>
      <c r="BF202" s="194"/>
      <c r="BG202" s="238"/>
      <c r="BH202" s="239"/>
      <c r="BI202" s="240"/>
      <c r="BJ202" s="238"/>
      <c r="BK202" s="241"/>
      <c r="BL202" s="229"/>
      <c r="BM202" s="215"/>
      <c r="BN202" s="125">
        <f t="shared" si="25"/>
        <v>31.5</v>
      </c>
      <c r="BO202" s="126">
        <f t="shared" si="26"/>
        <v>4.72</v>
      </c>
      <c r="BP202" s="127">
        <f t="shared" si="27"/>
        <v>34.4</v>
      </c>
    </row>
    <row r="203" spans="1:68" s="230" customFormat="1" ht="19.5" customHeight="1" outlineLevel="5" x14ac:dyDescent="0.25">
      <c r="A203" s="216"/>
      <c r="B203" s="215"/>
      <c r="C203" s="216"/>
      <c r="D203" s="216"/>
      <c r="E203" s="216"/>
      <c r="F203" s="216"/>
      <c r="G203" s="216"/>
      <c r="H203" s="216"/>
      <c r="I203" s="216"/>
      <c r="J203" s="215"/>
      <c r="K203" s="217"/>
      <c r="L203" s="216"/>
      <c r="M203" s="215"/>
      <c r="N203" s="215"/>
      <c r="O203" s="215"/>
      <c r="P203" s="215"/>
      <c r="Q203" s="215"/>
      <c r="R203" s="215"/>
      <c r="S203" s="215"/>
      <c r="T203" s="215"/>
      <c r="U203" s="215"/>
      <c r="V203" s="215"/>
      <c r="W203" s="215"/>
      <c r="X203" s="215"/>
      <c r="Y203" s="215"/>
      <c r="Z203" s="215"/>
      <c r="AA203" s="215"/>
      <c r="AB203" s="232"/>
      <c r="AC203" s="219" t="s">
        <v>273</v>
      </c>
      <c r="AD203" s="220" t="s">
        <v>247</v>
      </c>
      <c r="AE203" s="221">
        <v>66.010000000000005</v>
      </c>
      <c r="AF203" s="233">
        <v>67.680000000000007</v>
      </c>
      <c r="AG203" s="234">
        <v>72.819999999999993</v>
      </c>
      <c r="AH203" s="190"/>
      <c r="AI203" s="225"/>
      <c r="AJ203" s="226"/>
      <c r="AK203" s="190"/>
      <c r="AL203" s="225"/>
      <c r="AM203" s="226"/>
      <c r="AN203" s="190"/>
      <c r="AO203" s="225"/>
      <c r="AP203" s="227"/>
      <c r="AQ203" s="190"/>
      <c r="AR203" s="225"/>
      <c r="AS203" s="227"/>
      <c r="AT203" s="190"/>
      <c r="AU203" s="225"/>
      <c r="AV203" s="227"/>
      <c r="AW203" s="190"/>
      <c r="AX203" s="225"/>
      <c r="AY203" s="227"/>
      <c r="AZ203" s="190"/>
      <c r="BA203" s="225"/>
      <c r="BB203" s="227"/>
      <c r="BC203" s="190"/>
      <c r="BD203" s="225"/>
      <c r="BE203" s="226"/>
      <c r="BF203" s="194"/>
      <c r="BG203" s="238"/>
      <c r="BH203" s="239"/>
      <c r="BI203" s="240"/>
      <c r="BJ203" s="238"/>
      <c r="BK203" s="241"/>
      <c r="BL203" s="229"/>
      <c r="BM203" s="215"/>
      <c r="BN203" s="125">
        <f t="shared" si="25"/>
        <v>66.010000000000005</v>
      </c>
      <c r="BO203" s="126">
        <f t="shared" si="26"/>
        <v>67.680000000000007</v>
      </c>
      <c r="BP203" s="127">
        <f t="shared" si="27"/>
        <v>72.819999999999993</v>
      </c>
    </row>
    <row r="204" spans="1:68" s="230" customFormat="1" ht="19.5" customHeight="1" outlineLevel="5" x14ac:dyDescent="0.25">
      <c r="A204" s="216"/>
      <c r="B204" s="215"/>
      <c r="C204" s="216"/>
      <c r="D204" s="216"/>
      <c r="E204" s="216"/>
      <c r="F204" s="216"/>
      <c r="G204" s="216"/>
      <c r="H204" s="216"/>
      <c r="I204" s="216"/>
      <c r="J204" s="215"/>
      <c r="K204" s="217"/>
      <c r="L204" s="216"/>
      <c r="M204" s="215"/>
      <c r="N204" s="215"/>
      <c r="O204" s="215"/>
      <c r="P204" s="215"/>
      <c r="Q204" s="215"/>
      <c r="R204" s="215"/>
      <c r="S204" s="215"/>
      <c r="T204" s="215"/>
      <c r="U204" s="215"/>
      <c r="V204" s="215"/>
      <c r="W204" s="215"/>
      <c r="X204" s="215"/>
      <c r="Y204" s="215"/>
      <c r="Z204" s="215"/>
      <c r="AA204" s="215"/>
      <c r="AB204" s="232"/>
      <c r="AC204" s="219" t="s">
        <v>274</v>
      </c>
      <c r="AD204" s="220" t="s">
        <v>247</v>
      </c>
      <c r="AE204" s="221">
        <v>2196.4299999999998</v>
      </c>
      <c r="AF204" s="233">
        <v>550</v>
      </c>
      <c r="AG204" s="234">
        <v>2232.85</v>
      </c>
      <c r="AH204" s="235">
        <v>33.549999999999997</v>
      </c>
      <c r="AI204" s="225"/>
      <c r="AJ204" s="226">
        <v>34.89</v>
      </c>
      <c r="AK204" s="190"/>
      <c r="AL204" s="225"/>
      <c r="AM204" s="226"/>
      <c r="AN204" s="190"/>
      <c r="AO204" s="225"/>
      <c r="AP204" s="227"/>
      <c r="AQ204" s="190"/>
      <c r="AR204" s="225"/>
      <c r="AS204" s="227"/>
      <c r="AT204" s="190"/>
      <c r="AU204" s="225"/>
      <c r="AV204" s="227"/>
      <c r="AW204" s="190"/>
      <c r="AX204" s="225"/>
      <c r="AY204" s="227"/>
      <c r="AZ204" s="190"/>
      <c r="BA204" s="225"/>
      <c r="BB204" s="227"/>
      <c r="BC204" s="190"/>
      <c r="BD204" s="225"/>
      <c r="BE204" s="226"/>
      <c r="BF204" s="194"/>
      <c r="BG204" s="238"/>
      <c r="BH204" s="239"/>
      <c r="BI204" s="240"/>
      <c r="BJ204" s="238"/>
      <c r="BK204" s="241"/>
      <c r="BL204" s="229"/>
      <c r="BM204" s="215"/>
      <c r="BN204" s="125">
        <f t="shared" si="25"/>
        <v>2229.98</v>
      </c>
      <c r="BO204" s="126">
        <f t="shared" si="26"/>
        <v>550</v>
      </c>
      <c r="BP204" s="127">
        <f t="shared" si="27"/>
        <v>2267.7399999999998</v>
      </c>
    </row>
    <row r="205" spans="1:68" s="230" customFormat="1" ht="19.5" customHeight="1" outlineLevel="5" x14ac:dyDescent="0.25">
      <c r="A205" s="216"/>
      <c r="B205" s="215"/>
      <c r="C205" s="216"/>
      <c r="D205" s="216"/>
      <c r="E205" s="216"/>
      <c r="F205" s="216"/>
      <c r="G205" s="216"/>
      <c r="H205" s="216"/>
      <c r="I205" s="216"/>
      <c r="J205" s="215"/>
      <c r="K205" s="217"/>
      <c r="L205" s="216"/>
      <c r="M205" s="215"/>
      <c r="N205" s="215"/>
      <c r="O205" s="215"/>
      <c r="P205" s="215"/>
      <c r="Q205" s="215"/>
      <c r="R205" s="215"/>
      <c r="S205" s="215"/>
      <c r="T205" s="215"/>
      <c r="U205" s="215"/>
      <c r="V205" s="215"/>
      <c r="W205" s="215"/>
      <c r="X205" s="215"/>
      <c r="Y205" s="215"/>
      <c r="Z205" s="215"/>
      <c r="AA205" s="215"/>
      <c r="AB205" s="232"/>
      <c r="AC205" s="219" t="s">
        <v>275</v>
      </c>
      <c r="AD205" s="220" t="s">
        <v>247</v>
      </c>
      <c r="AE205" s="221">
        <v>14.18</v>
      </c>
      <c r="AF205" s="233">
        <v>1.52</v>
      </c>
      <c r="AG205" s="234">
        <v>2213.69</v>
      </c>
      <c r="AH205" s="190"/>
      <c r="AI205" s="225"/>
      <c r="AJ205" s="226"/>
      <c r="AK205" s="190"/>
      <c r="AL205" s="225"/>
      <c r="AM205" s="226"/>
      <c r="AN205" s="190"/>
      <c r="AO205" s="225">
        <v>2.65</v>
      </c>
      <c r="AP205" s="227"/>
      <c r="AQ205" s="190"/>
      <c r="AR205" s="225"/>
      <c r="AS205" s="227"/>
      <c r="AT205" s="224">
        <v>7.2</v>
      </c>
      <c r="AU205" s="225"/>
      <c r="AV205" s="227">
        <v>7.92</v>
      </c>
      <c r="AW205" s="190"/>
      <c r="AX205" s="225"/>
      <c r="AY205" s="227"/>
      <c r="AZ205" s="190"/>
      <c r="BA205" s="225"/>
      <c r="BB205" s="227"/>
      <c r="BC205" s="224">
        <v>3.35</v>
      </c>
      <c r="BD205" s="225"/>
      <c r="BE205" s="226"/>
      <c r="BF205" s="194"/>
      <c r="BG205" s="238"/>
      <c r="BH205" s="239"/>
      <c r="BI205" s="240">
        <v>3.35</v>
      </c>
      <c r="BJ205" s="238"/>
      <c r="BK205" s="241">
        <v>3.69</v>
      </c>
      <c r="BL205" s="229"/>
      <c r="BM205" s="215"/>
      <c r="BN205" s="125">
        <f t="shared" si="25"/>
        <v>28.080000000000002</v>
      </c>
      <c r="BO205" s="126">
        <f t="shared" si="26"/>
        <v>4.17</v>
      </c>
      <c r="BP205" s="127">
        <f t="shared" si="27"/>
        <v>2225.3000000000002</v>
      </c>
    </row>
    <row r="206" spans="1:68" s="230" customFormat="1" ht="19.5" customHeight="1" outlineLevel="5" x14ac:dyDescent="0.25">
      <c r="A206" s="216"/>
      <c r="B206" s="215"/>
      <c r="C206" s="216"/>
      <c r="D206" s="216"/>
      <c r="E206" s="216"/>
      <c r="F206" s="216"/>
      <c r="G206" s="216"/>
      <c r="H206" s="216"/>
      <c r="I206" s="216"/>
      <c r="J206" s="215"/>
      <c r="K206" s="217"/>
      <c r="L206" s="216"/>
      <c r="M206" s="215"/>
      <c r="N206" s="215"/>
      <c r="O206" s="215"/>
      <c r="P206" s="215"/>
      <c r="Q206" s="215"/>
      <c r="R206" s="215"/>
      <c r="S206" s="215"/>
      <c r="T206" s="215"/>
      <c r="U206" s="215"/>
      <c r="V206" s="215"/>
      <c r="W206" s="215"/>
      <c r="X206" s="215"/>
      <c r="Y206" s="215"/>
      <c r="Z206" s="215"/>
      <c r="AA206" s="215"/>
      <c r="AB206" s="232"/>
      <c r="AC206" s="219" t="s">
        <v>276</v>
      </c>
      <c r="AD206" s="220" t="s">
        <v>247</v>
      </c>
      <c r="AE206" s="221">
        <v>497.13</v>
      </c>
      <c r="AF206" s="233">
        <v>540.63</v>
      </c>
      <c r="AG206" s="234">
        <v>581.65</v>
      </c>
      <c r="AH206" s="190"/>
      <c r="AI206" s="225"/>
      <c r="AJ206" s="226"/>
      <c r="AK206" s="190"/>
      <c r="AL206" s="225"/>
      <c r="AM206" s="226"/>
      <c r="AN206" s="190"/>
      <c r="AO206" s="225"/>
      <c r="AP206" s="227"/>
      <c r="AQ206" s="190"/>
      <c r="AR206" s="225"/>
      <c r="AS206" s="227"/>
      <c r="AT206" s="190"/>
      <c r="AU206" s="225"/>
      <c r="AV206" s="227"/>
      <c r="AW206" s="190"/>
      <c r="AX206" s="225"/>
      <c r="AY206" s="227"/>
      <c r="AZ206" s="190"/>
      <c r="BA206" s="225"/>
      <c r="BB206" s="227"/>
      <c r="BC206" s="190"/>
      <c r="BD206" s="225"/>
      <c r="BE206" s="226"/>
      <c r="BF206" s="194"/>
      <c r="BG206" s="238"/>
      <c r="BH206" s="239"/>
      <c r="BI206" s="240"/>
      <c r="BJ206" s="238"/>
      <c r="BK206" s="241"/>
      <c r="BL206" s="229"/>
      <c r="BM206" s="215"/>
      <c r="BN206" s="125">
        <f t="shared" si="25"/>
        <v>497.13</v>
      </c>
      <c r="BO206" s="126">
        <f t="shared" si="26"/>
        <v>540.63</v>
      </c>
      <c r="BP206" s="127">
        <f t="shared" si="27"/>
        <v>581.65</v>
      </c>
    </row>
    <row r="207" spans="1:68" s="230" customFormat="1" ht="19.5" customHeight="1" outlineLevel="5" x14ac:dyDescent="0.25">
      <c r="A207" s="216"/>
      <c r="B207" s="215"/>
      <c r="C207" s="216"/>
      <c r="D207" s="216"/>
      <c r="E207" s="216"/>
      <c r="F207" s="216"/>
      <c r="G207" s="216"/>
      <c r="H207" s="216"/>
      <c r="I207" s="216"/>
      <c r="J207" s="215"/>
      <c r="K207" s="217"/>
      <c r="L207" s="216"/>
      <c r="M207" s="215"/>
      <c r="N207" s="215"/>
      <c r="O207" s="215"/>
      <c r="P207" s="215"/>
      <c r="Q207" s="215"/>
      <c r="R207" s="215"/>
      <c r="S207" s="215"/>
      <c r="T207" s="215"/>
      <c r="U207" s="215"/>
      <c r="V207" s="215"/>
      <c r="W207" s="215"/>
      <c r="X207" s="215"/>
      <c r="Y207" s="215"/>
      <c r="Z207" s="215"/>
      <c r="AA207" s="215"/>
      <c r="AB207" s="232"/>
      <c r="AC207" s="219" t="s">
        <v>277</v>
      </c>
      <c r="AD207" s="220" t="s">
        <v>247</v>
      </c>
      <c r="AE207" s="221">
        <v>706.46</v>
      </c>
      <c r="AF207" s="233">
        <v>680.71</v>
      </c>
      <c r="AG207" s="234">
        <v>814.14</v>
      </c>
      <c r="AH207" s="190"/>
      <c r="AI207" s="225"/>
      <c r="AJ207" s="226"/>
      <c r="AK207" s="224">
        <v>3.44</v>
      </c>
      <c r="AL207" s="225">
        <v>26.19</v>
      </c>
      <c r="AM207" s="226">
        <v>3.97</v>
      </c>
      <c r="AN207" s="224">
        <v>14.35</v>
      </c>
      <c r="AO207" s="225">
        <v>5.28</v>
      </c>
      <c r="AP207" s="227">
        <v>52.49</v>
      </c>
      <c r="AQ207" s="224">
        <v>2.85</v>
      </c>
      <c r="AR207" s="225"/>
      <c r="AS207" s="227">
        <v>3.14</v>
      </c>
      <c r="AT207" s="224">
        <v>25.83</v>
      </c>
      <c r="AU207" s="225"/>
      <c r="AV207" s="227">
        <v>30.46</v>
      </c>
      <c r="AW207" s="224">
        <v>2.29</v>
      </c>
      <c r="AX207" s="225"/>
      <c r="AY207" s="227">
        <v>2.839</v>
      </c>
      <c r="AZ207" s="224">
        <v>10.691000000000001</v>
      </c>
      <c r="BA207" s="225"/>
      <c r="BB207" s="236">
        <v>14.01</v>
      </c>
      <c r="BC207" s="224">
        <v>35.57</v>
      </c>
      <c r="BD207" s="225"/>
      <c r="BE207" s="226">
        <v>41.23</v>
      </c>
      <c r="BF207" s="194"/>
      <c r="BG207" s="238"/>
      <c r="BH207" s="239"/>
      <c r="BI207" s="240">
        <v>30.14</v>
      </c>
      <c r="BJ207" s="238"/>
      <c r="BK207" s="241">
        <v>34.270000000000003</v>
      </c>
      <c r="BL207" s="229"/>
      <c r="BM207" s="215"/>
      <c r="BN207" s="125">
        <f t="shared" si="25"/>
        <v>831.62100000000021</v>
      </c>
      <c r="BO207" s="126">
        <f t="shared" si="26"/>
        <v>712.18000000000006</v>
      </c>
      <c r="BP207" s="127">
        <f t="shared" si="27"/>
        <v>996.54900000000009</v>
      </c>
    </row>
    <row r="208" spans="1:68" s="230" customFormat="1" ht="19.5" customHeight="1" outlineLevel="5" x14ac:dyDescent="0.25">
      <c r="A208" s="216"/>
      <c r="B208" s="215"/>
      <c r="C208" s="216"/>
      <c r="D208" s="216"/>
      <c r="E208" s="216"/>
      <c r="F208" s="216"/>
      <c r="G208" s="216"/>
      <c r="H208" s="216"/>
      <c r="I208" s="216"/>
      <c r="J208" s="215"/>
      <c r="K208" s="217"/>
      <c r="L208" s="216"/>
      <c r="M208" s="215"/>
      <c r="N208" s="215"/>
      <c r="O208" s="215"/>
      <c r="P208" s="215"/>
      <c r="Q208" s="215"/>
      <c r="R208" s="215"/>
      <c r="S208" s="215"/>
      <c r="T208" s="215"/>
      <c r="U208" s="215"/>
      <c r="V208" s="215"/>
      <c r="W208" s="215"/>
      <c r="X208" s="215"/>
      <c r="Y208" s="215"/>
      <c r="Z208" s="215"/>
      <c r="AA208" s="215"/>
      <c r="AB208" s="232"/>
      <c r="AC208" s="219" t="s">
        <v>278</v>
      </c>
      <c r="AD208" s="220" t="s">
        <v>247</v>
      </c>
      <c r="AE208" s="221">
        <v>1646.61</v>
      </c>
      <c r="AF208" s="233">
        <v>756</v>
      </c>
      <c r="AG208" s="234">
        <v>2354.7800000000002</v>
      </c>
      <c r="AH208" s="235">
        <v>101.73</v>
      </c>
      <c r="AI208" s="225"/>
      <c r="AJ208" s="226">
        <v>1.2</v>
      </c>
      <c r="AK208" s="190"/>
      <c r="AL208" s="225"/>
      <c r="AM208" s="226"/>
      <c r="AN208" s="190"/>
      <c r="AO208" s="225"/>
      <c r="AP208" s="227"/>
      <c r="AQ208" s="190"/>
      <c r="AR208" s="225"/>
      <c r="AS208" s="227"/>
      <c r="AT208" s="190"/>
      <c r="AU208" s="225"/>
      <c r="AV208" s="227"/>
      <c r="AW208" s="190"/>
      <c r="AX208" s="225"/>
      <c r="AY208" s="227"/>
      <c r="AZ208" s="190"/>
      <c r="BA208" s="225">
        <v>106.85</v>
      </c>
      <c r="BB208" s="227"/>
      <c r="BC208" s="190"/>
      <c r="BD208" s="225"/>
      <c r="BE208" s="226"/>
      <c r="BF208" s="194"/>
      <c r="BG208" s="238"/>
      <c r="BH208" s="239"/>
      <c r="BI208" s="240"/>
      <c r="BJ208" s="238"/>
      <c r="BK208" s="241"/>
      <c r="BL208" s="229"/>
      <c r="BM208" s="215"/>
      <c r="BN208" s="125">
        <f t="shared" si="25"/>
        <v>1748.34</v>
      </c>
      <c r="BO208" s="126">
        <f t="shared" si="26"/>
        <v>862.85</v>
      </c>
      <c r="BP208" s="127">
        <f t="shared" si="27"/>
        <v>2355.98</v>
      </c>
    </row>
    <row r="209" spans="1:68" s="230" customFormat="1" ht="19.5" customHeight="1" outlineLevel="5" x14ac:dyDescent="0.25">
      <c r="A209" s="216"/>
      <c r="B209" s="215"/>
      <c r="C209" s="216"/>
      <c r="D209" s="216"/>
      <c r="E209" s="216"/>
      <c r="F209" s="216"/>
      <c r="G209" s="216"/>
      <c r="H209" s="216"/>
      <c r="I209" s="216"/>
      <c r="J209" s="215"/>
      <c r="K209" s="217"/>
      <c r="L209" s="216"/>
      <c r="M209" s="215"/>
      <c r="N209" s="215"/>
      <c r="O209" s="215"/>
      <c r="P209" s="215"/>
      <c r="Q209" s="215"/>
      <c r="R209" s="215"/>
      <c r="S209" s="215"/>
      <c r="T209" s="215"/>
      <c r="U209" s="215"/>
      <c r="V209" s="215"/>
      <c r="W209" s="215"/>
      <c r="X209" s="215"/>
      <c r="Y209" s="215"/>
      <c r="Z209" s="215"/>
      <c r="AA209" s="215"/>
      <c r="AB209" s="232"/>
      <c r="AC209" s="219" t="s">
        <v>254</v>
      </c>
      <c r="AD209" s="220" t="s">
        <v>247</v>
      </c>
      <c r="AE209" s="221">
        <v>53.3</v>
      </c>
      <c r="AF209" s="233">
        <v>42.45</v>
      </c>
      <c r="AG209" s="234">
        <v>43.71</v>
      </c>
      <c r="AH209" s="190"/>
      <c r="AI209" s="225"/>
      <c r="AJ209" s="226"/>
      <c r="AK209" s="190"/>
      <c r="AL209" s="225"/>
      <c r="AM209" s="226"/>
      <c r="AN209" s="190"/>
      <c r="AO209" s="225">
        <v>73.87</v>
      </c>
      <c r="AP209" s="227"/>
      <c r="AQ209" s="190"/>
      <c r="AR209" s="225"/>
      <c r="AS209" s="227"/>
      <c r="AT209" s="190"/>
      <c r="AU209" s="225"/>
      <c r="AV209" s="227"/>
      <c r="AW209" s="190"/>
      <c r="AX209" s="225"/>
      <c r="AY209" s="227"/>
      <c r="AZ209" s="190"/>
      <c r="BA209" s="225"/>
      <c r="BB209" s="227"/>
      <c r="BC209" s="190"/>
      <c r="BD209" s="225"/>
      <c r="BE209" s="226"/>
      <c r="BF209" s="194"/>
      <c r="BG209" s="238"/>
      <c r="BH209" s="239"/>
      <c r="BI209" s="240"/>
      <c r="BJ209" s="238"/>
      <c r="BK209" s="241"/>
      <c r="BL209" s="229"/>
      <c r="BM209" s="215"/>
      <c r="BN209" s="125">
        <f t="shared" si="25"/>
        <v>53.3</v>
      </c>
      <c r="BO209" s="126">
        <f t="shared" si="26"/>
        <v>116.32000000000001</v>
      </c>
      <c r="BP209" s="127">
        <f t="shared" si="27"/>
        <v>43.71</v>
      </c>
    </row>
    <row r="210" spans="1:68" s="230" customFormat="1" ht="19.5" customHeight="1" outlineLevel="5" x14ac:dyDescent="0.25">
      <c r="A210" s="216"/>
      <c r="B210" s="215"/>
      <c r="C210" s="216"/>
      <c r="D210" s="216"/>
      <c r="E210" s="216"/>
      <c r="F210" s="216"/>
      <c r="G210" s="216"/>
      <c r="H210" s="216"/>
      <c r="I210" s="216"/>
      <c r="J210" s="215"/>
      <c r="K210" s="217"/>
      <c r="L210" s="216"/>
      <c r="M210" s="215"/>
      <c r="N210" s="215"/>
      <c r="O210" s="215"/>
      <c r="P210" s="215"/>
      <c r="Q210" s="215"/>
      <c r="R210" s="215"/>
      <c r="S210" s="215"/>
      <c r="T210" s="215"/>
      <c r="U210" s="215"/>
      <c r="V210" s="215"/>
      <c r="W210" s="215"/>
      <c r="X210" s="215"/>
      <c r="Y210" s="215"/>
      <c r="Z210" s="215"/>
      <c r="AA210" s="215"/>
      <c r="AB210" s="247"/>
      <c r="AC210" s="219" t="s">
        <v>279</v>
      </c>
      <c r="AD210" s="220" t="s">
        <v>247</v>
      </c>
      <c r="AE210" s="221">
        <v>3480.41</v>
      </c>
      <c r="AF210" s="233">
        <v>0</v>
      </c>
      <c r="AG210" s="234">
        <v>4244.75</v>
      </c>
      <c r="AH210" s="190"/>
      <c r="AI210" s="225"/>
      <c r="AJ210" s="226">
        <v>196</v>
      </c>
      <c r="AK210" s="224">
        <v>492.39</v>
      </c>
      <c r="AL210" s="225">
        <v>257</v>
      </c>
      <c r="AM210" s="226">
        <v>784</v>
      </c>
      <c r="AN210" s="224">
        <v>466.05</v>
      </c>
      <c r="AO210" s="225">
        <v>31.654</v>
      </c>
      <c r="AP210" s="227">
        <v>568.5</v>
      </c>
      <c r="AQ210" s="224">
        <v>81.45</v>
      </c>
      <c r="AR210" s="225"/>
      <c r="AS210" s="227">
        <v>269.5</v>
      </c>
      <c r="AT210" s="224">
        <v>149.54</v>
      </c>
      <c r="AU210" s="225"/>
      <c r="AV210" s="227">
        <v>309.89999999999998</v>
      </c>
      <c r="AW210" s="224">
        <v>361.51</v>
      </c>
      <c r="AX210" s="225"/>
      <c r="AY210" s="227">
        <v>563.5</v>
      </c>
      <c r="AZ210" s="190"/>
      <c r="BA210" s="225"/>
      <c r="BB210" s="227"/>
      <c r="BC210" s="224">
        <v>407.41</v>
      </c>
      <c r="BD210" s="225"/>
      <c r="BE210" s="226">
        <v>394.17</v>
      </c>
      <c r="BF210" s="194"/>
      <c r="BG210" s="238"/>
      <c r="BH210" s="239"/>
      <c r="BI210" s="240"/>
      <c r="BJ210" s="238"/>
      <c r="BK210" s="241"/>
      <c r="BL210" s="229"/>
      <c r="BM210" s="215"/>
      <c r="BN210" s="125">
        <f t="shared" si="25"/>
        <v>5438.7599999999993</v>
      </c>
      <c r="BO210" s="126">
        <f t="shared" si="26"/>
        <v>288.654</v>
      </c>
      <c r="BP210" s="127">
        <f t="shared" si="27"/>
        <v>7330.32</v>
      </c>
    </row>
    <row r="211" spans="1:68" s="230" customFormat="1" ht="19.5" customHeight="1" outlineLevel="5" x14ac:dyDescent="0.25">
      <c r="A211" s="216"/>
      <c r="B211" s="215"/>
      <c r="C211" s="216"/>
      <c r="D211" s="216"/>
      <c r="E211" s="216"/>
      <c r="F211" s="216"/>
      <c r="G211" s="216"/>
      <c r="H211" s="216"/>
      <c r="I211" s="216"/>
      <c r="J211" s="215"/>
      <c r="K211" s="217"/>
      <c r="L211" s="216"/>
      <c r="M211" s="215"/>
      <c r="N211" s="215"/>
      <c r="O211" s="215"/>
      <c r="P211" s="215"/>
      <c r="Q211" s="215"/>
      <c r="R211" s="215"/>
      <c r="S211" s="215"/>
      <c r="T211" s="215"/>
      <c r="U211" s="215"/>
      <c r="V211" s="215"/>
      <c r="W211" s="215"/>
      <c r="X211" s="215"/>
      <c r="Y211" s="215"/>
      <c r="Z211" s="215"/>
      <c r="AA211" s="215"/>
      <c r="AB211" s="247"/>
      <c r="AC211" s="219" t="s">
        <v>280</v>
      </c>
      <c r="AD211" s="220" t="s">
        <v>247</v>
      </c>
      <c r="AE211" s="221">
        <v>917.28</v>
      </c>
      <c r="AF211" s="233">
        <v>923.53</v>
      </c>
      <c r="AG211" s="234">
        <v>993.59</v>
      </c>
      <c r="AH211" s="190"/>
      <c r="AI211" s="225"/>
      <c r="AJ211" s="226"/>
      <c r="AK211" s="224">
        <v>29.24</v>
      </c>
      <c r="AL211" s="225">
        <v>0</v>
      </c>
      <c r="AM211" s="226">
        <v>32.15</v>
      </c>
      <c r="AN211" s="224">
        <v>11.8</v>
      </c>
      <c r="AO211" s="225">
        <f>126.62</f>
        <v>126.62</v>
      </c>
      <c r="AP211" s="227">
        <v>12.98</v>
      </c>
      <c r="AQ211" s="190"/>
      <c r="AR211" s="225"/>
      <c r="AS211" s="227"/>
      <c r="AT211" s="224">
        <v>7.0000000000000007E-2</v>
      </c>
      <c r="AU211" s="225"/>
      <c r="AV211" s="227">
        <v>7.0000000000000007E-2</v>
      </c>
      <c r="AW211" s="190"/>
      <c r="AX211" s="225"/>
      <c r="AY211" s="227"/>
      <c r="AZ211" s="190"/>
      <c r="BA211" s="225"/>
      <c r="BB211" s="227"/>
      <c r="BC211" s="190"/>
      <c r="BD211" s="225"/>
      <c r="BE211" s="226"/>
      <c r="BF211" s="194"/>
      <c r="BG211" s="238"/>
      <c r="BH211" s="239"/>
      <c r="BI211" s="197"/>
      <c r="BJ211" s="238"/>
      <c r="BK211" s="241"/>
      <c r="BL211" s="229"/>
      <c r="BM211" s="215"/>
      <c r="BN211" s="125">
        <f t="shared" si="25"/>
        <v>958.39</v>
      </c>
      <c r="BO211" s="126">
        <f t="shared" si="26"/>
        <v>1050.1500000000001</v>
      </c>
      <c r="BP211" s="127">
        <f t="shared" si="27"/>
        <v>1038.79</v>
      </c>
    </row>
    <row r="212" spans="1:68" s="230" customFormat="1" ht="19.5" customHeight="1" outlineLevel="5" x14ac:dyDescent="0.25">
      <c r="A212" s="216"/>
      <c r="B212" s="215"/>
      <c r="C212" s="216"/>
      <c r="D212" s="216"/>
      <c r="E212" s="216"/>
      <c r="F212" s="216"/>
      <c r="G212" s="216"/>
      <c r="H212" s="216"/>
      <c r="I212" s="216"/>
      <c r="J212" s="215"/>
      <c r="K212" s="217"/>
      <c r="L212" s="216"/>
      <c r="M212" s="215"/>
      <c r="N212" s="215"/>
      <c r="O212" s="215"/>
      <c r="P212" s="215"/>
      <c r="Q212" s="215"/>
      <c r="R212" s="215"/>
      <c r="S212" s="215"/>
      <c r="T212" s="215"/>
      <c r="U212" s="215"/>
      <c r="V212" s="215"/>
      <c r="W212" s="215"/>
      <c r="X212" s="215"/>
      <c r="Y212" s="215"/>
      <c r="Z212" s="215"/>
      <c r="AA212" s="215"/>
      <c r="AB212" s="247"/>
      <c r="AC212" s="219" t="s">
        <v>281</v>
      </c>
      <c r="AD212" s="220" t="s">
        <v>247</v>
      </c>
      <c r="AE212" s="221">
        <v>2878.87</v>
      </c>
      <c r="AF212" s="233">
        <v>0</v>
      </c>
      <c r="AG212" s="234">
        <v>0</v>
      </c>
      <c r="AH212" s="224"/>
      <c r="AI212" s="225"/>
      <c r="AJ212" s="226"/>
      <c r="AK212" s="224">
        <v>88.62</v>
      </c>
      <c r="AL212" s="225">
        <v>30.5</v>
      </c>
      <c r="AM212" s="226">
        <v>97.51</v>
      </c>
      <c r="AN212" s="224">
        <v>9.82</v>
      </c>
      <c r="AO212" s="225"/>
      <c r="AP212" s="227">
        <v>10.8</v>
      </c>
      <c r="AQ212" s="224">
        <v>14.36</v>
      </c>
      <c r="AR212" s="225"/>
      <c r="AS212" s="227">
        <v>15.8</v>
      </c>
      <c r="AT212" s="224">
        <v>2.31</v>
      </c>
      <c r="AU212" s="225"/>
      <c r="AV212" s="227">
        <v>2.54</v>
      </c>
      <c r="AW212" s="224">
        <v>146.084</v>
      </c>
      <c r="AX212" s="225"/>
      <c r="AY212" s="227">
        <v>29.658999999999999</v>
      </c>
      <c r="AZ212" s="224">
        <v>103.855</v>
      </c>
      <c r="BA212" s="225">
        <v>8.06</v>
      </c>
      <c r="BB212" s="236">
        <v>24.847999999999999</v>
      </c>
      <c r="BC212" s="224">
        <v>99.25</v>
      </c>
      <c r="BD212" s="225"/>
      <c r="BE212" s="226">
        <v>59.84</v>
      </c>
      <c r="BF212" s="237">
        <v>8.9550000000000001</v>
      </c>
      <c r="BG212" s="238"/>
      <c r="BH212" s="239">
        <v>6.1849999999999996</v>
      </c>
      <c r="BI212" s="240">
        <v>5.76</v>
      </c>
      <c r="BJ212" s="238"/>
      <c r="BK212" s="241">
        <v>6.33</v>
      </c>
      <c r="BL212" s="229"/>
      <c r="BM212" s="215"/>
      <c r="BN212" s="125">
        <f t="shared" si="25"/>
        <v>3357.884</v>
      </c>
      <c r="BO212" s="126">
        <f t="shared" si="26"/>
        <v>38.56</v>
      </c>
      <c r="BP212" s="127">
        <f t="shared" si="27"/>
        <v>253.512</v>
      </c>
    </row>
    <row r="213" spans="1:68" s="230" customFormat="1" ht="19.5" customHeight="1" outlineLevel="5" x14ac:dyDescent="0.25">
      <c r="A213" s="216"/>
      <c r="B213" s="215"/>
      <c r="C213" s="216"/>
      <c r="D213" s="216"/>
      <c r="E213" s="216"/>
      <c r="F213" s="216"/>
      <c r="G213" s="216"/>
      <c r="H213" s="216"/>
      <c r="I213" s="216"/>
      <c r="J213" s="215"/>
      <c r="K213" s="217"/>
      <c r="L213" s="216"/>
      <c r="M213" s="215"/>
      <c r="N213" s="215"/>
      <c r="O213" s="215"/>
      <c r="P213" s="215"/>
      <c r="Q213" s="215"/>
      <c r="R213" s="215"/>
      <c r="S213" s="215"/>
      <c r="T213" s="215"/>
      <c r="U213" s="215"/>
      <c r="V213" s="215"/>
      <c r="W213" s="215"/>
      <c r="X213" s="215"/>
      <c r="Y213" s="215"/>
      <c r="Z213" s="215"/>
      <c r="AA213" s="215"/>
      <c r="AB213" s="247"/>
      <c r="AC213" s="219" t="s">
        <v>282</v>
      </c>
      <c r="AD213" s="220" t="s">
        <v>247</v>
      </c>
      <c r="AE213" s="221"/>
      <c r="AF213" s="233"/>
      <c r="AG213" s="234"/>
      <c r="AH213" s="224"/>
      <c r="AI213" s="225"/>
      <c r="AJ213" s="226"/>
      <c r="AK213" s="224"/>
      <c r="AL213" s="225">
        <v>4.33</v>
      </c>
      <c r="AM213" s="226"/>
      <c r="AN213" s="224"/>
      <c r="AO213" s="225">
        <v>96.03</v>
      </c>
      <c r="AP213" s="227"/>
      <c r="AQ213" s="224"/>
      <c r="AR213" s="225"/>
      <c r="AS213" s="227"/>
      <c r="AT213" s="224"/>
      <c r="AU213" s="225"/>
      <c r="AV213" s="227"/>
      <c r="AW213" s="224"/>
      <c r="AX213" s="225"/>
      <c r="AY213" s="227"/>
      <c r="AZ213" s="224"/>
      <c r="BA213" s="225"/>
      <c r="BB213" s="227"/>
      <c r="BC213" s="224"/>
      <c r="BD213" s="225"/>
      <c r="BE213" s="226"/>
      <c r="BF213" s="237"/>
      <c r="BG213" s="238"/>
      <c r="BH213" s="239"/>
      <c r="BI213" s="240"/>
      <c r="BJ213" s="238"/>
      <c r="BK213" s="241"/>
      <c r="BL213" s="229"/>
      <c r="BM213" s="215"/>
      <c r="BN213" s="125">
        <f t="shared" si="25"/>
        <v>0</v>
      </c>
      <c r="BO213" s="126">
        <f t="shared" si="26"/>
        <v>100.36</v>
      </c>
      <c r="BP213" s="127">
        <f t="shared" si="27"/>
        <v>0</v>
      </c>
    </row>
    <row r="214" spans="1:68" s="230" customFormat="1" ht="19.5" customHeight="1" outlineLevel="5" x14ac:dyDescent="0.25">
      <c r="A214" s="216"/>
      <c r="B214" s="215"/>
      <c r="C214" s="216"/>
      <c r="D214" s="216"/>
      <c r="E214" s="216"/>
      <c r="F214" s="216"/>
      <c r="G214" s="216"/>
      <c r="H214" s="216"/>
      <c r="I214" s="216"/>
      <c r="J214" s="215"/>
      <c r="K214" s="217"/>
      <c r="L214" s="216"/>
      <c r="M214" s="215"/>
      <c r="N214" s="215"/>
      <c r="O214" s="215"/>
      <c r="P214" s="215"/>
      <c r="Q214" s="215"/>
      <c r="R214" s="215"/>
      <c r="S214" s="215"/>
      <c r="T214" s="215"/>
      <c r="U214" s="215"/>
      <c r="V214" s="215"/>
      <c r="W214" s="215"/>
      <c r="X214" s="215"/>
      <c r="Y214" s="215"/>
      <c r="Z214" s="215"/>
      <c r="AA214" s="215"/>
      <c r="AB214" s="247"/>
      <c r="AC214" s="219" t="s">
        <v>248</v>
      </c>
      <c r="AD214" s="220" t="s">
        <v>247</v>
      </c>
      <c r="AE214" s="221"/>
      <c r="AF214" s="248"/>
      <c r="AG214" s="249"/>
      <c r="AH214" s="224"/>
      <c r="AI214" s="225"/>
      <c r="AJ214" s="226"/>
      <c r="AK214" s="224">
        <v>9.06</v>
      </c>
      <c r="AL214" s="225">
        <v>29.4</v>
      </c>
      <c r="AM214" s="226">
        <v>9.9700000000000006</v>
      </c>
      <c r="AN214" s="224">
        <v>16.3</v>
      </c>
      <c r="AO214" s="225">
        <v>21.1</v>
      </c>
      <c r="AP214" s="227">
        <v>17.940000000000001</v>
      </c>
      <c r="AQ214" s="224">
        <v>23.66</v>
      </c>
      <c r="AR214" s="225"/>
      <c r="AS214" s="227">
        <v>26.04</v>
      </c>
      <c r="AT214" s="224"/>
      <c r="AU214" s="225"/>
      <c r="AV214" s="227"/>
      <c r="AW214" s="224">
        <v>20.619</v>
      </c>
      <c r="AX214" s="225"/>
      <c r="AY214" s="227">
        <v>20</v>
      </c>
      <c r="AZ214" s="224">
        <v>21.6</v>
      </c>
      <c r="BA214" s="225"/>
      <c r="BB214" s="236">
        <v>23.766999999999999</v>
      </c>
      <c r="BC214" s="224">
        <v>50.86</v>
      </c>
      <c r="BD214" s="225"/>
      <c r="BE214" s="226"/>
      <c r="BF214" s="237"/>
      <c r="BG214" s="238"/>
      <c r="BH214" s="239"/>
      <c r="BI214" s="240">
        <v>9.06</v>
      </c>
      <c r="BJ214" s="238"/>
      <c r="BK214" s="241">
        <v>9.9700000000000006</v>
      </c>
      <c r="BL214" s="229"/>
      <c r="BM214" s="215"/>
      <c r="BN214" s="125">
        <f t="shared" si="25"/>
        <v>151.15899999999999</v>
      </c>
      <c r="BO214" s="126">
        <f t="shared" si="26"/>
        <v>50.5</v>
      </c>
      <c r="BP214" s="127">
        <f t="shared" si="27"/>
        <v>107.687</v>
      </c>
    </row>
    <row r="215" spans="1:68" s="230" customFormat="1" ht="19.5" customHeight="1" outlineLevel="5" x14ac:dyDescent="0.25">
      <c r="A215" s="216"/>
      <c r="B215" s="215"/>
      <c r="C215" s="216"/>
      <c r="D215" s="216"/>
      <c r="E215" s="216"/>
      <c r="F215" s="216"/>
      <c r="G215" s="216"/>
      <c r="H215" s="216"/>
      <c r="I215" s="216"/>
      <c r="J215" s="215"/>
      <c r="K215" s="217"/>
      <c r="L215" s="216"/>
      <c r="M215" s="215"/>
      <c r="N215" s="215"/>
      <c r="O215" s="215"/>
      <c r="P215" s="215"/>
      <c r="Q215" s="215"/>
      <c r="R215" s="215"/>
      <c r="S215" s="215"/>
      <c r="T215" s="215"/>
      <c r="U215" s="215"/>
      <c r="V215" s="215"/>
      <c r="W215" s="215"/>
      <c r="X215" s="215"/>
      <c r="Y215" s="215"/>
      <c r="Z215" s="215"/>
      <c r="AA215" s="215"/>
      <c r="AB215" s="247"/>
      <c r="AC215" s="219" t="s">
        <v>255</v>
      </c>
      <c r="AD215" s="220" t="s">
        <v>247</v>
      </c>
      <c r="AE215" s="221"/>
      <c r="AF215" s="248"/>
      <c r="AG215" s="249"/>
      <c r="AH215" s="224"/>
      <c r="AI215" s="225"/>
      <c r="AJ215" s="226"/>
      <c r="AK215" s="224">
        <v>123.65</v>
      </c>
      <c r="AL215" s="225">
        <v>80</v>
      </c>
      <c r="AM215" s="226">
        <v>136.05000000000001</v>
      </c>
      <c r="AN215" s="224">
        <v>35.82</v>
      </c>
      <c r="AO215" s="225">
        <v>36.93</v>
      </c>
      <c r="AP215" s="227">
        <v>39.42</v>
      </c>
      <c r="AQ215" s="224"/>
      <c r="AR215" s="225"/>
      <c r="AS215" s="227"/>
      <c r="AT215" s="224">
        <v>202.23</v>
      </c>
      <c r="AU215" s="225"/>
      <c r="AV215" s="227">
        <f>222.52+39.66</f>
        <v>262.18</v>
      </c>
      <c r="AW215" s="224">
        <v>319.48700000000002</v>
      </c>
      <c r="AX215" s="225"/>
      <c r="AY215" s="227">
        <v>351.53699999999998</v>
      </c>
      <c r="AZ215" s="224">
        <v>99.683000000000007</v>
      </c>
      <c r="BA215" s="225"/>
      <c r="BB215" s="236">
        <v>109.68300000000001</v>
      </c>
      <c r="BC215" s="224">
        <v>195.54</v>
      </c>
      <c r="BD215" s="225"/>
      <c r="BE215" s="226"/>
      <c r="BF215" s="237"/>
      <c r="BG215" s="238"/>
      <c r="BH215" s="239"/>
      <c r="BI215" s="240">
        <v>265.33999999999997</v>
      </c>
      <c r="BJ215" s="238"/>
      <c r="BK215" s="241">
        <v>275.45</v>
      </c>
      <c r="BL215" s="229"/>
      <c r="BM215" s="215"/>
      <c r="BN215" s="125">
        <f t="shared" si="25"/>
        <v>1241.75</v>
      </c>
      <c r="BO215" s="126">
        <f t="shared" si="26"/>
        <v>116.93</v>
      </c>
      <c r="BP215" s="127">
        <f t="shared" si="27"/>
        <v>1174.32</v>
      </c>
    </row>
    <row r="216" spans="1:68" s="230" customFormat="1" ht="19.5" customHeight="1" outlineLevel="5" x14ac:dyDescent="0.25">
      <c r="A216" s="216"/>
      <c r="B216" s="215"/>
      <c r="C216" s="216"/>
      <c r="D216" s="216"/>
      <c r="E216" s="216"/>
      <c r="F216" s="216"/>
      <c r="G216" s="216"/>
      <c r="H216" s="216"/>
      <c r="I216" s="216"/>
      <c r="J216" s="215"/>
      <c r="K216" s="217"/>
      <c r="L216" s="216"/>
      <c r="M216" s="215"/>
      <c r="N216" s="215"/>
      <c r="O216" s="215"/>
      <c r="P216" s="215"/>
      <c r="Q216" s="215"/>
      <c r="R216" s="215"/>
      <c r="S216" s="215"/>
      <c r="T216" s="215"/>
      <c r="U216" s="215"/>
      <c r="V216" s="215"/>
      <c r="W216" s="215"/>
      <c r="X216" s="215"/>
      <c r="Y216" s="215"/>
      <c r="Z216" s="215"/>
      <c r="AA216" s="215"/>
      <c r="AB216" s="247"/>
      <c r="AC216" s="219" t="s">
        <v>253</v>
      </c>
      <c r="AD216" s="220" t="s">
        <v>247</v>
      </c>
      <c r="AE216" s="221"/>
      <c r="AF216" s="248"/>
      <c r="AG216" s="249"/>
      <c r="AH216" s="224"/>
      <c r="AI216" s="225"/>
      <c r="AJ216" s="226"/>
      <c r="AK216" s="224">
        <v>36.770000000000003</v>
      </c>
      <c r="AL216" s="225">
        <v>0</v>
      </c>
      <c r="AM216" s="226">
        <v>40.46</v>
      </c>
      <c r="AN216" s="224">
        <v>141.71</v>
      </c>
      <c r="AO216" s="225"/>
      <c r="AP216" s="227">
        <v>155.91999999999999</v>
      </c>
      <c r="AQ216" s="224">
        <v>68.599999999999994</v>
      </c>
      <c r="AR216" s="225"/>
      <c r="AS216" s="227">
        <v>75.48</v>
      </c>
      <c r="AT216" s="224">
        <v>63.01</v>
      </c>
      <c r="AU216" s="225"/>
      <c r="AV216" s="227">
        <v>69.33</v>
      </c>
      <c r="AW216" s="224">
        <v>182.76400000000001</v>
      </c>
      <c r="AX216" s="225"/>
      <c r="AY216" s="227">
        <v>180</v>
      </c>
      <c r="AZ216" s="224">
        <v>1500</v>
      </c>
      <c r="BA216" s="225"/>
      <c r="BB216" s="236">
        <v>500</v>
      </c>
      <c r="BC216" s="224">
        <v>625.55999999999995</v>
      </c>
      <c r="BD216" s="225"/>
      <c r="BE216" s="226">
        <v>19.23</v>
      </c>
      <c r="BF216" s="237"/>
      <c r="BG216" s="238"/>
      <c r="BH216" s="239"/>
      <c r="BI216" s="240"/>
      <c r="BJ216" s="238"/>
      <c r="BK216" s="241"/>
      <c r="BL216" s="229"/>
      <c r="BM216" s="215"/>
      <c r="BN216" s="125">
        <f t="shared" si="25"/>
        <v>2618.4139999999998</v>
      </c>
      <c r="BO216" s="126">
        <f t="shared" si="26"/>
        <v>0</v>
      </c>
      <c r="BP216" s="127">
        <f t="shared" si="27"/>
        <v>1040.42</v>
      </c>
    </row>
    <row r="217" spans="1:68" s="230" customFormat="1" ht="31.5" customHeight="1" outlineLevel="5" x14ac:dyDescent="0.25">
      <c r="A217" s="216"/>
      <c r="B217" s="215"/>
      <c r="C217" s="216"/>
      <c r="D217" s="216"/>
      <c r="E217" s="216"/>
      <c r="F217" s="216"/>
      <c r="G217" s="216"/>
      <c r="H217" s="216"/>
      <c r="I217" s="216"/>
      <c r="J217" s="215"/>
      <c r="K217" s="217"/>
      <c r="L217" s="216"/>
      <c r="M217" s="215"/>
      <c r="N217" s="215"/>
      <c r="O217" s="215"/>
      <c r="P217" s="215"/>
      <c r="Q217" s="215"/>
      <c r="R217" s="215"/>
      <c r="S217" s="215"/>
      <c r="T217" s="215"/>
      <c r="U217" s="215"/>
      <c r="V217" s="215"/>
      <c r="W217" s="215"/>
      <c r="X217" s="215"/>
      <c r="Y217" s="215"/>
      <c r="Z217" s="215"/>
      <c r="AA217" s="215"/>
      <c r="AB217" s="247"/>
      <c r="AC217" s="219" t="s">
        <v>283</v>
      </c>
      <c r="AD217" s="220" t="s">
        <v>247</v>
      </c>
      <c r="AE217" s="221"/>
      <c r="AF217" s="248"/>
      <c r="AG217" s="249"/>
      <c r="AH217" s="224"/>
      <c r="AI217" s="225"/>
      <c r="AJ217" s="226"/>
      <c r="AK217" s="224">
        <v>0</v>
      </c>
      <c r="AL217" s="225">
        <v>22.57</v>
      </c>
      <c r="AM217" s="226">
        <v>0</v>
      </c>
      <c r="AN217" s="224"/>
      <c r="AO217" s="225"/>
      <c r="AP217" s="227"/>
      <c r="AQ217" s="224"/>
      <c r="AR217" s="225"/>
      <c r="AS217" s="227"/>
      <c r="AT217" s="224"/>
      <c r="AU217" s="225"/>
      <c r="AV217" s="227"/>
      <c r="AW217" s="224"/>
      <c r="AX217" s="225"/>
      <c r="AY217" s="227"/>
      <c r="AZ217" s="224"/>
      <c r="BA217" s="225"/>
      <c r="BB217" s="227"/>
      <c r="BC217" s="224"/>
      <c r="BD217" s="225"/>
      <c r="BE217" s="226"/>
      <c r="BF217" s="237"/>
      <c r="BG217" s="238"/>
      <c r="BH217" s="239"/>
      <c r="BI217" s="240"/>
      <c r="BJ217" s="238"/>
      <c r="BK217" s="241"/>
      <c r="BL217" s="229"/>
      <c r="BM217" s="215"/>
      <c r="BN217" s="125">
        <f t="shared" si="25"/>
        <v>0</v>
      </c>
      <c r="BO217" s="126">
        <f t="shared" si="26"/>
        <v>22.57</v>
      </c>
      <c r="BP217" s="127">
        <f t="shared" si="27"/>
        <v>0</v>
      </c>
    </row>
    <row r="218" spans="1:68" s="230" customFormat="1" ht="19.5" customHeight="1" outlineLevel="5" x14ac:dyDescent="0.25">
      <c r="A218" s="216"/>
      <c r="B218" s="215"/>
      <c r="C218" s="216"/>
      <c r="D218" s="216"/>
      <c r="E218" s="216"/>
      <c r="F218" s="216"/>
      <c r="G218" s="216"/>
      <c r="H218" s="216"/>
      <c r="I218" s="216"/>
      <c r="J218" s="215"/>
      <c r="K218" s="217"/>
      <c r="L218" s="216"/>
      <c r="M218" s="215"/>
      <c r="N218" s="215"/>
      <c r="O218" s="215"/>
      <c r="P218" s="215"/>
      <c r="Q218" s="215"/>
      <c r="R218" s="215"/>
      <c r="S218" s="215"/>
      <c r="T218" s="215"/>
      <c r="U218" s="215"/>
      <c r="V218" s="215"/>
      <c r="W218" s="215"/>
      <c r="X218" s="215"/>
      <c r="Y218" s="215"/>
      <c r="Z218" s="215"/>
      <c r="AA218" s="215"/>
      <c r="AB218" s="247"/>
      <c r="AC218" s="219" t="s">
        <v>284</v>
      </c>
      <c r="AD218" s="220" t="s">
        <v>247</v>
      </c>
      <c r="AE218" s="221"/>
      <c r="AF218" s="248"/>
      <c r="AG218" s="249"/>
      <c r="AH218" s="224"/>
      <c r="AI218" s="225"/>
      <c r="AJ218" s="226"/>
      <c r="AK218" s="224">
        <v>17.63</v>
      </c>
      <c r="AL218" s="225">
        <v>42.05</v>
      </c>
      <c r="AM218" s="226">
        <v>21.06</v>
      </c>
      <c r="AN218" s="224">
        <v>21.98</v>
      </c>
      <c r="AO218" s="225"/>
      <c r="AP218" s="227">
        <v>24.19</v>
      </c>
      <c r="AQ218" s="224"/>
      <c r="AR218" s="225"/>
      <c r="AS218" s="227"/>
      <c r="AT218" s="224">
        <v>20.84</v>
      </c>
      <c r="AU218" s="225"/>
      <c r="AV218" s="227">
        <v>30.84</v>
      </c>
      <c r="AW218" s="224"/>
      <c r="AX218" s="225"/>
      <c r="AY218" s="227"/>
      <c r="AZ218" s="224"/>
      <c r="BA218" s="225"/>
      <c r="BB218" s="227"/>
      <c r="BC218" s="224"/>
      <c r="BD218" s="225"/>
      <c r="BE218" s="226">
        <v>52.38</v>
      </c>
      <c r="BF218" s="237">
        <v>23.655000000000001</v>
      </c>
      <c r="BG218" s="238"/>
      <c r="BH218" s="239"/>
      <c r="BI218" s="240">
        <v>38.770000000000003</v>
      </c>
      <c r="BJ218" s="238"/>
      <c r="BK218" s="241"/>
      <c r="BL218" s="229"/>
      <c r="BM218" s="215"/>
      <c r="BN218" s="125">
        <f t="shared" si="25"/>
        <v>122.875</v>
      </c>
      <c r="BO218" s="126">
        <f t="shared" si="26"/>
        <v>42.05</v>
      </c>
      <c r="BP218" s="127">
        <f t="shared" si="27"/>
        <v>128.47</v>
      </c>
    </row>
    <row r="219" spans="1:68" s="230" customFormat="1" ht="19.5" customHeight="1" outlineLevel="5" x14ac:dyDescent="0.25">
      <c r="A219" s="216"/>
      <c r="B219" s="215"/>
      <c r="C219" s="216"/>
      <c r="D219" s="216"/>
      <c r="E219" s="216"/>
      <c r="F219" s="216"/>
      <c r="G219" s="216"/>
      <c r="H219" s="216"/>
      <c r="I219" s="216"/>
      <c r="J219" s="215"/>
      <c r="K219" s="217"/>
      <c r="L219" s="216"/>
      <c r="M219" s="215"/>
      <c r="N219" s="215"/>
      <c r="O219" s="215"/>
      <c r="P219" s="215"/>
      <c r="Q219" s="215"/>
      <c r="R219" s="215"/>
      <c r="S219" s="215"/>
      <c r="T219" s="215"/>
      <c r="U219" s="215"/>
      <c r="V219" s="215"/>
      <c r="W219" s="215"/>
      <c r="X219" s="215"/>
      <c r="Y219" s="215"/>
      <c r="Z219" s="215"/>
      <c r="AA219" s="215"/>
      <c r="AB219" s="247"/>
      <c r="AC219" s="219" t="s">
        <v>285</v>
      </c>
      <c r="AD219" s="220" t="s">
        <v>247</v>
      </c>
      <c r="AE219" s="221"/>
      <c r="AF219" s="248"/>
      <c r="AG219" s="249"/>
      <c r="AH219" s="224"/>
      <c r="AI219" s="225">
        <v>664.31</v>
      </c>
      <c r="AJ219" s="226"/>
      <c r="AK219" s="224"/>
      <c r="AL219" s="225"/>
      <c r="AM219" s="226"/>
      <c r="AN219" s="224"/>
      <c r="AO219" s="225"/>
      <c r="AP219" s="227"/>
      <c r="AQ219" s="224"/>
      <c r="AR219" s="225"/>
      <c r="AS219" s="227"/>
      <c r="AT219" s="224"/>
      <c r="AU219" s="225"/>
      <c r="AV219" s="227"/>
      <c r="AW219" s="224"/>
      <c r="AX219" s="225"/>
      <c r="AY219" s="227"/>
      <c r="AZ219" s="224"/>
      <c r="BA219" s="225">
        <v>96.83</v>
      </c>
      <c r="BB219" s="227"/>
      <c r="BC219" s="224"/>
      <c r="BD219" s="225"/>
      <c r="BE219" s="226"/>
      <c r="BF219" s="237"/>
      <c r="BG219" s="238"/>
      <c r="BH219" s="239"/>
      <c r="BI219" s="240"/>
      <c r="BJ219" s="238"/>
      <c r="BK219" s="241"/>
      <c r="BL219" s="229"/>
      <c r="BM219" s="215"/>
      <c r="BN219" s="125">
        <f t="shared" si="25"/>
        <v>0</v>
      </c>
      <c r="BO219" s="126">
        <f t="shared" si="26"/>
        <v>761.14</v>
      </c>
      <c r="BP219" s="127">
        <f t="shared" si="27"/>
        <v>0</v>
      </c>
    </row>
    <row r="220" spans="1:68" s="230" customFormat="1" ht="19.5" customHeight="1" outlineLevel="5" x14ac:dyDescent="0.25">
      <c r="A220" s="216"/>
      <c r="B220" s="215"/>
      <c r="C220" s="216"/>
      <c r="D220" s="216"/>
      <c r="E220" s="216"/>
      <c r="F220" s="216"/>
      <c r="G220" s="216"/>
      <c r="H220" s="216"/>
      <c r="I220" s="216"/>
      <c r="J220" s="215"/>
      <c r="K220" s="217"/>
      <c r="L220" s="216"/>
      <c r="M220" s="215"/>
      <c r="N220" s="215"/>
      <c r="O220" s="215"/>
      <c r="P220" s="215"/>
      <c r="Q220" s="215"/>
      <c r="R220" s="215"/>
      <c r="S220" s="215"/>
      <c r="T220" s="215"/>
      <c r="U220" s="215"/>
      <c r="V220" s="215"/>
      <c r="W220" s="215"/>
      <c r="X220" s="215"/>
      <c r="Y220" s="215"/>
      <c r="Z220" s="215"/>
      <c r="AA220" s="215"/>
      <c r="AB220" s="247"/>
      <c r="AC220" s="219" t="s">
        <v>286</v>
      </c>
      <c r="AD220" s="220" t="s">
        <v>247</v>
      </c>
      <c r="AE220" s="221"/>
      <c r="AF220" s="248"/>
      <c r="AG220" s="249"/>
      <c r="AH220" s="224"/>
      <c r="AI220" s="225"/>
      <c r="AJ220" s="226"/>
      <c r="AK220" s="224"/>
      <c r="AL220" s="225"/>
      <c r="AM220" s="226"/>
      <c r="AN220" s="224"/>
      <c r="AO220" s="225"/>
      <c r="AP220" s="227"/>
      <c r="AQ220" s="224"/>
      <c r="AR220" s="225"/>
      <c r="AS220" s="227"/>
      <c r="AT220" s="224">
        <v>16.36</v>
      </c>
      <c r="AU220" s="225"/>
      <c r="AV220" s="227">
        <v>18</v>
      </c>
      <c r="AW220" s="224"/>
      <c r="AX220" s="225"/>
      <c r="AY220" s="227"/>
      <c r="AZ220" s="224"/>
      <c r="BA220" s="225"/>
      <c r="BB220" s="227"/>
      <c r="BC220" s="224"/>
      <c r="BD220" s="225"/>
      <c r="BE220" s="226"/>
      <c r="BF220" s="237"/>
      <c r="BG220" s="238"/>
      <c r="BH220" s="239"/>
      <c r="BI220" s="240"/>
      <c r="BJ220" s="238"/>
      <c r="BK220" s="241"/>
      <c r="BL220" s="229"/>
      <c r="BM220" s="215"/>
      <c r="BN220" s="125">
        <f t="shared" si="25"/>
        <v>16.36</v>
      </c>
      <c r="BO220" s="126">
        <f t="shared" si="26"/>
        <v>0</v>
      </c>
      <c r="BP220" s="127">
        <f t="shared" si="27"/>
        <v>18</v>
      </c>
    </row>
    <row r="221" spans="1:68" s="230" customFormat="1" ht="19.5" customHeight="1" outlineLevel="5" x14ac:dyDescent="0.25">
      <c r="A221" s="216"/>
      <c r="B221" s="215"/>
      <c r="C221" s="216"/>
      <c r="D221" s="216"/>
      <c r="E221" s="216"/>
      <c r="F221" s="216"/>
      <c r="G221" s="216"/>
      <c r="H221" s="216"/>
      <c r="I221" s="216"/>
      <c r="J221" s="215"/>
      <c r="K221" s="217"/>
      <c r="L221" s="216"/>
      <c r="M221" s="215"/>
      <c r="N221" s="215"/>
      <c r="O221" s="215"/>
      <c r="P221" s="215"/>
      <c r="Q221" s="215"/>
      <c r="R221" s="215"/>
      <c r="S221" s="215"/>
      <c r="T221" s="215"/>
      <c r="U221" s="215"/>
      <c r="V221" s="215"/>
      <c r="W221" s="215"/>
      <c r="X221" s="215"/>
      <c r="Y221" s="215"/>
      <c r="Z221" s="215"/>
      <c r="AA221" s="215"/>
      <c r="AB221" s="247"/>
      <c r="AC221" s="219" t="s">
        <v>287</v>
      </c>
      <c r="AD221" s="220" t="s">
        <v>247</v>
      </c>
      <c r="AE221" s="221"/>
      <c r="AF221" s="248"/>
      <c r="AG221" s="249"/>
      <c r="AH221" s="224">
        <v>9.6300000000000008</v>
      </c>
      <c r="AI221" s="225"/>
      <c r="AJ221" s="226"/>
      <c r="AK221" s="224">
        <v>9.6300000000000008</v>
      </c>
      <c r="AL221" s="225">
        <v>11.35</v>
      </c>
      <c r="AM221" s="226">
        <v>10.6</v>
      </c>
      <c r="AN221" s="224">
        <v>9.6300000000000008</v>
      </c>
      <c r="AO221" s="225"/>
      <c r="AP221" s="227">
        <v>10.6</v>
      </c>
      <c r="AQ221" s="224">
        <v>9.6300000000000008</v>
      </c>
      <c r="AR221" s="225"/>
      <c r="AS221" s="227">
        <v>10.6</v>
      </c>
      <c r="AT221" s="224">
        <v>17.12</v>
      </c>
      <c r="AU221" s="225"/>
      <c r="AV221" s="227">
        <v>18.84</v>
      </c>
      <c r="AW221" s="224"/>
      <c r="AX221" s="225"/>
      <c r="AY221" s="227"/>
      <c r="AZ221" s="224"/>
      <c r="BA221" s="225"/>
      <c r="BB221" s="227"/>
      <c r="BC221" s="224"/>
      <c r="BD221" s="225"/>
      <c r="BE221" s="226"/>
      <c r="BF221" s="237"/>
      <c r="BG221" s="238"/>
      <c r="BH221" s="239"/>
      <c r="BI221" s="240"/>
      <c r="BJ221" s="238"/>
      <c r="BK221" s="241"/>
      <c r="BL221" s="229"/>
      <c r="BM221" s="215"/>
      <c r="BN221" s="125">
        <f t="shared" si="25"/>
        <v>55.64</v>
      </c>
      <c r="BO221" s="126">
        <f t="shared" si="26"/>
        <v>11.35</v>
      </c>
      <c r="BP221" s="127">
        <f t="shared" si="27"/>
        <v>50.64</v>
      </c>
    </row>
    <row r="222" spans="1:68" s="230" customFormat="1" ht="19.5" customHeight="1" outlineLevel="5" x14ac:dyDescent="0.25">
      <c r="A222" s="216"/>
      <c r="B222" s="215"/>
      <c r="C222" s="216"/>
      <c r="D222" s="216"/>
      <c r="E222" s="216"/>
      <c r="F222" s="216"/>
      <c r="G222" s="216"/>
      <c r="H222" s="216"/>
      <c r="I222" s="216"/>
      <c r="J222" s="215"/>
      <c r="K222" s="217"/>
      <c r="L222" s="216"/>
      <c r="M222" s="215"/>
      <c r="N222" s="215"/>
      <c r="O222" s="215"/>
      <c r="P222" s="215"/>
      <c r="Q222" s="215"/>
      <c r="R222" s="215"/>
      <c r="S222" s="215"/>
      <c r="T222" s="215"/>
      <c r="U222" s="215"/>
      <c r="V222" s="215"/>
      <c r="W222" s="215"/>
      <c r="X222" s="215"/>
      <c r="Y222" s="215"/>
      <c r="Z222" s="215"/>
      <c r="AA222" s="215"/>
      <c r="AB222" s="247"/>
      <c r="AC222" s="219" t="s">
        <v>288</v>
      </c>
      <c r="AD222" s="220" t="s">
        <v>247</v>
      </c>
      <c r="AE222" s="221"/>
      <c r="AF222" s="248"/>
      <c r="AG222" s="249"/>
      <c r="AH222" s="224"/>
      <c r="AI222" s="225"/>
      <c r="AJ222" s="226"/>
      <c r="AK222" s="224">
        <v>44.01</v>
      </c>
      <c r="AL222" s="225">
        <v>1.9</v>
      </c>
      <c r="AM222" s="226">
        <v>48.43</v>
      </c>
      <c r="AN222" s="224">
        <v>2.2599999999999998</v>
      </c>
      <c r="AO222" s="225"/>
      <c r="AP222" s="227">
        <v>2.4900000000000002</v>
      </c>
      <c r="AQ222" s="224">
        <v>39.6</v>
      </c>
      <c r="AR222" s="225"/>
      <c r="AS222" s="227">
        <v>43.57</v>
      </c>
      <c r="AT222" s="224">
        <v>110.62</v>
      </c>
      <c r="AU222" s="225"/>
      <c r="AV222" s="227">
        <v>121.72</v>
      </c>
      <c r="AW222" s="224">
        <v>66.087999999999994</v>
      </c>
      <c r="AX222" s="225"/>
      <c r="AY222" s="227">
        <v>0.71499999999999997</v>
      </c>
      <c r="AZ222" s="224">
        <v>103.899</v>
      </c>
      <c r="BA222" s="225"/>
      <c r="BB222" s="236">
        <v>114.32299999999999</v>
      </c>
      <c r="BC222" s="224"/>
      <c r="BD222" s="225"/>
      <c r="BE222" s="226"/>
      <c r="BF222" s="237"/>
      <c r="BG222" s="238"/>
      <c r="BH222" s="239"/>
      <c r="BI222" s="240"/>
      <c r="BJ222" s="238"/>
      <c r="BK222" s="241"/>
      <c r="BL222" s="229"/>
      <c r="BM222" s="215"/>
      <c r="BN222" s="125">
        <f t="shared" si="25"/>
        <v>366.47699999999998</v>
      </c>
      <c r="BO222" s="126">
        <f t="shared" si="26"/>
        <v>1.9</v>
      </c>
      <c r="BP222" s="127">
        <f t="shared" si="27"/>
        <v>331.24799999999999</v>
      </c>
    </row>
    <row r="223" spans="1:68" s="230" customFormat="1" ht="19.5" customHeight="1" outlineLevel="5" x14ac:dyDescent="0.25">
      <c r="A223" s="216"/>
      <c r="B223" s="215"/>
      <c r="C223" s="216"/>
      <c r="D223" s="216"/>
      <c r="E223" s="216"/>
      <c r="F223" s="216"/>
      <c r="G223" s="216"/>
      <c r="H223" s="216"/>
      <c r="I223" s="216"/>
      <c r="J223" s="215"/>
      <c r="K223" s="217"/>
      <c r="L223" s="216"/>
      <c r="M223" s="215"/>
      <c r="N223" s="215"/>
      <c r="O223" s="215"/>
      <c r="P223" s="215"/>
      <c r="Q223" s="215"/>
      <c r="R223" s="215"/>
      <c r="S223" s="215"/>
      <c r="T223" s="215"/>
      <c r="U223" s="215"/>
      <c r="V223" s="215"/>
      <c r="W223" s="215"/>
      <c r="X223" s="215"/>
      <c r="Y223" s="215"/>
      <c r="Z223" s="215"/>
      <c r="AA223" s="215"/>
      <c r="AB223" s="247"/>
      <c r="AC223" s="219" t="s">
        <v>289</v>
      </c>
      <c r="AD223" s="220" t="s">
        <v>247</v>
      </c>
      <c r="AE223" s="221"/>
      <c r="AF223" s="248"/>
      <c r="AG223" s="249"/>
      <c r="AH223" s="224"/>
      <c r="AI223" s="225"/>
      <c r="AJ223" s="226"/>
      <c r="AK223" s="224">
        <v>47.02</v>
      </c>
      <c r="AL223" s="225">
        <v>49.91</v>
      </c>
      <c r="AM223" s="226">
        <v>59.19</v>
      </c>
      <c r="AN223" s="224">
        <v>19.29</v>
      </c>
      <c r="AO223" s="225">
        <v>237.98</v>
      </c>
      <c r="AP223" s="227">
        <v>24.28</v>
      </c>
      <c r="AQ223" s="224">
        <v>18.09</v>
      </c>
      <c r="AR223" s="225"/>
      <c r="AS223" s="227">
        <v>19.899999999999999</v>
      </c>
      <c r="AT223" s="224">
        <v>36.17</v>
      </c>
      <c r="AU223" s="225"/>
      <c r="AV223" s="227">
        <v>39.799999999999997</v>
      </c>
      <c r="AW223" s="224">
        <v>4.8230000000000004</v>
      </c>
      <c r="AX223" s="225"/>
      <c r="AY223" s="227">
        <v>6.0709999999999997</v>
      </c>
      <c r="AZ223" s="224">
        <v>27.71</v>
      </c>
      <c r="BA223" s="225"/>
      <c r="BB223" s="236">
        <v>35.479999999999997</v>
      </c>
      <c r="BC223" s="224">
        <v>78.37</v>
      </c>
      <c r="BD223" s="225"/>
      <c r="BE223" s="226">
        <v>91.75</v>
      </c>
      <c r="BF223" s="237">
        <v>18.09</v>
      </c>
      <c r="BG223" s="238">
        <v>13.07</v>
      </c>
      <c r="BH223" s="239">
        <v>22.77</v>
      </c>
      <c r="BI223" s="240">
        <v>33.76</v>
      </c>
      <c r="BJ223" s="238"/>
      <c r="BK223" s="241">
        <v>42.5</v>
      </c>
      <c r="BL223" s="229"/>
      <c r="BM223" s="215"/>
      <c r="BN223" s="125">
        <f t="shared" si="25"/>
        <v>283.32300000000004</v>
      </c>
      <c r="BO223" s="126">
        <f t="shared" si="26"/>
        <v>300.95999999999998</v>
      </c>
      <c r="BP223" s="127">
        <f t="shared" si="27"/>
        <v>341.74099999999999</v>
      </c>
    </row>
    <row r="224" spans="1:68" s="246" customFormat="1" ht="34.5" hidden="1" customHeight="1" outlineLevel="5" x14ac:dyDescent="0.25">
      <c r="A224" s="242"/>
      <c r="B224" s="229"/>
      <c r="C224" s="242"/>
      <c r="D224" s="242"/>
      <c r="E224" s="242"/>
      <c r="F224" s="242"/>
      <c r="G224" s="242"/>
      <c r="H224" s="242"/>
      <c r="I224" s="242"/>
      <c r="J224" s="229"/>
      <c r="K224" s="243"/>
      <c r="L224" s="242"/>
      <c r="M224" s="229"/>
      <c r="N224" s="229"/>
      <c r="O224" s="229"/>
      <c r="P224" s="229"/>
      <c r="Q224" s="229"/>
      <c r="R224" s="229"/>
      <c r="S224" s="229"/>
      <c r="T224" s="229"/>
      <c r="U224" s="229"/>
      <c r="V224" s="229"/>
      <c r="W224" s="229"/>
      <c r="X224" s="229"/>
      <c r="Y224" s="229"/>
      <c r="Z224" s="229"/>
      <c r="AA224" s="229"/>
      <c r="AB224" s="247"/>
      <c r="AC224" s="219" t="s">
        <v>290</v>
      </c>
      <c r="AD224" s="220" t="s">
        <v>247</v>
      </c>
      <c r="AE224" s="221"/>
      <c r="AF224" s="248"/>
      <c r="AG224" s="249"/>
      <c r="AH224" s="224"/>
      <c r="AI224" s="225"/>
      <c r="AJ224" s="226"/>
      <c r="AK224" s="224"/>
      <c r="AL224" s="225"/>
      <c r="AM224" s="226"/>
      <c r="AN224" s="224"/>
      <c r="AO224" s="225"/>
      <c r="AP224" s="227"/>
      <c r="AQ224" s="224"/>
      <c r="AR224" s="225"/>
      <c r="AS224" s="227"/>
      <c r="AT224" s="224"/>
      <c r="AU224" s="225"/>
      <c r="AV224" s="227"/>
      <c r="AW224" s="224"/>
      <c r="AX224" s="225"/>
      <c r="AY224" s="227"/>
      <c r="AZ224" s="224"/>
      <c r="BA224" s="225"/>
      <c r="BB224" s="227"/>
      <c r="BC224" s="224"/>
      <c r="BD224" s="225"/>
      <c r="BE224" s="226"/>
      <c r="BF224" s="237"/>
      <c r="BG224" s="238"/>
      <c r="BH224" s="239"/>
      <c r="BI224" s="240"/>
      <c r="BJ224" s="238"/>
      <c r="BK224" s="241"/>
      <c r="BL224" s="229"/>
      <c r="BM224" s="229"/>
      <c r="BN224" s="125">
        <f t="shared" ref="BN224:BN253" si="29">AE224+AH224+AK224+AN224+AQ224+AT224+AW224+AZ224+BC224+BF224+BI224</f>
        <v>0</v>
      </c>
      <c r="BO224" s="126">
        <f t="shared" ref="BO224:BO253" si="30">AF224+AI224+AL224+AO224+AR224+AU224+AX224+BA224+BD224+BG224+BJ224</f>
        <v>0</v>
      </c>
      <c r="BP224" s="127">
        <f t="shared" ref="BP224:BP253" si="31">AG224+AJ224+AM224+AP224+AS224+AV224+AY224+BB224+BE224+BH224+BK224</f>
        <v>0</v>
      </c>
    </row>
    <row r="225" spans="1:68" s="230" customFormat="1" ht="19.5" customHeight="1" outlineLevel="5" x14ac:dyDescent="0.25">
      <c r="A225" s="216"/>
      <c r="B225" s="215"/>
      <c r="C225" s="216"/>
      <c r="D225" s="216"/>
      <c r="E225" s="216"/>
      <c r="F225" s="216"/>
      <c r="G225" s="216"/>
      <c r="H225" s="216"/>
      <c r="I225" s="216"/>
      <c r="J225" s="215"/>
      <c r="K225" s="217"/>
      <c r="L225" s="216"/>
      <c r="M225" s="215"/>
      <c r="N225" s="215"/>
      <c r="O225" s="215"/>
      <c r="P225" s="215"/>
      <c r="Q225" s="215"/>
      <c r="R225" s="215"/>
      <c r="S225" s="215"/>
      <c r="T225" s="215"/>
      <c r="U225" s="215"/>
      <c r="V225" s="215"/>
      <c r="W225" s="215"/>
      <c r="X225" s="215"/>
      <c r="Y225" s="215"/>
      <c r="Z225" s="215"/>
      <c r="AA225" s="215"/>
      <c r="AB225" s="247"/>
      <c r="AC225" s="219" t="s">
        <v>291</v>
      </c>
      <c r="AD225" s="220" t="s">
        <v>247</v>
      </c>
      <c r="AE225" s="221"/>
      <c r="AF225" s="248"/>
      <c r="AG225" s="249"/>
      <c r="AH225" s="224"/>
      <c r="AI225" s="225"/>
      <c r="AJ225" s="226"/>
      <c r="AK225" s="224"/>
      <c r="AL225" s="225"/>
      <c r="AM225" s="226"/>
      <c r="AN225" s="224">
        <f>27.25+5.08</f>
        <v>32.33</v>
      </c>
      <c r="AO225" s="225"/>
      <c r="AP225" s="227">
        <f>36.96+8.99</f>
        <v>45.95</v>
      </c>
      <c r="AQ225" s="224"/>
      <c r="AR225" s="225"/>
      <c r="AS225" s="227"/>
      <c r="AT225" s="224"/>
      <c r="AU225" s="225"/>
      <c r="AV225" s="227"/>
      <c r="AW225" s="224"/>
      <c r="AX225" s="225"/>
      <c r="AY225" s="227"/>
      <c r="AZ225" s="224"/>
      <c r="BA225" s="225"/>
      <c r="BB225" s="227"/>
      <c r="BC225" s="224"/>
      <c r="BD225" s="225"/>
      <c r="BE225" s="226"/>
      <c r="BF225" s="237"/>
      <c r="BG225" s="238"/>
      <c r="BH225" s="239"/>
      <c r="BI225" s="240"/>
      <c r="BJ225" s="238"/>
      <c r="BK225" s="241"/>
      <c r="BL225" s="229"/>
      <c r="BM225" s="215"/>
      <c r="BN225" s="125">
        <f t="shared" si="29"/>
        <v>32.33</v>
      </c>
      <c r="BO225" s="126">
        <f t="shared" si="30"/>
        <v>0</v>
      </c>
      <c r="BP225" s="127">
        <f t="shared" si="31"/>
        <v>45.95</v>
      </c>
    </row>
    <row r="226" spans="1:68" s="230" customFormat="1" ht="19.5" customHeight="1" outlineLevel="5" x14ac:dyDescent="0.25">
      <c r="A226" s="216"/>
      <c r="B226" s="215"/>
      <c r="C226" s="216"/>
      <c r="D226" s="216"/>
      <c r="E226" s="216"/>
      <c r="F226" s="216"/>
      <c r="G226" s="216"/>
      <c r="H226" s="216"/>
      <c r="I226" s="216"/>
      <c r="J226" s="215"/>
      <c r="K226" s="217"/>
      <c r="L226" s="216"/>
      <c r="M226" s="215"/>
      <c r="N226" s="215"/>
      <c r="O226" s="215"/>
      <c r="P226" s="215"/>
      <c r="Q226" s="215"/>
      <c r="R226" s="215"/>
      <c r="S226" s="215"/>
      <c r="T226" s="215"/>
      <c r="U226" s="215"/>
      <c r="V226" s="215"/>
      <c r="W226" s="215"/>
      <c r="X226" s="215"/>
      <c r="Y226" s="215"/>
      <c r="Z226" s="215"/>
      <c r="AA226" s="215"/>
      <c r="AB226" s="247"/>
      <c r="AC226" s="219" t="s">
        <v>292</v>
      </c>
      <c r="AD226" s="220" t="s">
        <v>247</v>
      </c>
      <c r="AE226" s="221"/>
      <c r="AF226" s="248"/>
      <c r="AG226" s="249"/>
      <c r="AH226" s="224"/>
      <c r="AI226" s="225"/>
      <c r="AJ226" s="226"/>
      <c r="AK226" s="224"/>
      <c r="AL226" s="225"/>
      <c r="AM226" s="226"/>
      <c r="AN226" s="224">
        <v>46.09</v>
      </c>
      <c r="AO226" s="225">
        <v>69.650000000000006</v>
      </c>
      <c r="AP226" s="227">
        <v>50.71</v>
      </c>
      <c r="AQ226" s="224"/>
      <c r="AR226" s="225"/>
      <c r="AS226" s="227"/>
      <c r="AT226" s="224"/>
      <c r="AU226" s="225"/>
      <c r="AV226" s="227"/>
      <c r="AW226" s="224"/>
      <c r="AX226" s="225"/>
      <c r="AY226" s="227"/>
      <c r="AZ226" s="224"/>
      <c r="BA226" s="225"/>
      <c r="BB226" s="227"/>
      <c r="BC226" s="224"/>
      <c r="BD226" s="225"/>
      <c r="BE226" s="226"/>
      <c r="BF226" s="237"/>
      <c r="BG226" s="238"/>
      <c r="BH226" s="239"/>
      <c r="BI226" s="240"/>
      <c r="BJ226" s="238"/>
      <c r="BK226" s="241"/>
      <c r="BL226" s="229"/>
      <c r="BM226" s="215"/>
      <c r="BN226" s="125">
        <f t="shared" si="29"/>
        <v>46.09</v>
      </c>
      <c r="BO226" s="126">
        <f t="shared" si="30"/>
        <v>69.650000000000006</v>
      </c>
      <c r="BP226" s="127">
        <f t="shared" si="31"/>
        <v>50.71</v>
      </c>
    </row>
    <row r="227" spans="1:68" s="246" customFormat="1" ht="31.5" customHeight="1" outlineLevel="5" x14ac:dyDescent="0.25">
      <c r="A227" s="242"/>
      <c r="B227" s="229"/>
      <c r="C227" s="242"/>
      <c r="D227" s="242"/>
      <c r="E227" s="242"/>
      <c r="F227" s="242"/>
      <c r="G227" s="242"/>
      <c r="H227" s="242"/>
      <c r="I227" s="242"/>
      <c r="J227" s="229"/>
      <c r="K227" s="243"/>
      <c r="L227" s="242"/>
      <c r="M227" s="229"/>
      <c r="N227" s="229"/>
      <c r="O227" s="229"/>
      <c r="P227" s="229"/>
      <c r="Q227" s="229"/>
      <c r="R227" s="229"/>
      <c r="S227" s="229"/>
      <c r="T227" s="229"/>
      <c r="U227" s="229"/>
      <c r="V227" s="229"/>
      <c r="W227" s="229"/>
      <c r="X227" s="229"/>
      <c r="Y227" s="229"/>
      <c r="Z227" s="229"/>
      <c r="AA227" s="229"/>
      <c r="AB227" s="247"/>
      <c r="AC227" s="219" t="s">
        <v>293</v>
      </c>
      <c r="AD227" s="220" t="s">
        <v>247</v>
      </c>
      <c r="AE227" s="221"/>
      <c r="AF227" s="248"/>
      <c r="AG227" s="249"/>
      <c r="AH227" s="224"/>
      <c r="AI227" s="225"/>
      <c r="AJ227" s="226"/>
      <c r="AK227" s="224">
        <v>21.66</v>
      </c>
      <c r="AL227" s="225">
        <v>43.76</v>
      </c>
      <c r="AM227" s="226">
        <v>23.83</v>
      </c>
      <c r="AN227" s="224">
        <v>62.97</v>
      </c>
      <c r="AO227" s="225"/>
      <c r="AP227" s="227">
        <v>69.28</v>
      </c>
      <c r="AQ227" s="224">
        <v>32.380000000000003</v>
      </c>
      <c r="AR227" s="225">
        <v>0</v>
      </c>
      <c r="AS227" s="227">
        <v>35.619999999999997</v>
      </c>
      <c r="AT227" s="224">
        <f>67.5+0.13</f>
        <v>67.63</v>
      </c>
      <c r="AU227" s="225"/>
      <c r="AV227" s="227">
        <v>74.27</v>
      </c>
      <c r="AW227" s="224">
        <v>413</v>
      </c>
      <c r="AX227" s="225"/>
      <c r="AY227" s="227">
        <v>400</v>
      </c>
      <c r="AZ227" s="224">
        <v>32.5</v>
      </c>
      <c r="BA227" s="225"/>
      <c r="BB227" s="236">
        <v>35.76</v>
      </c>
      <c r="BC227" s="224">
        <v>70</v>
      </c>
      <c r="BD227" s="225"/>
      <c r="BE227" s="226">
        <f>63.4+223.51</f>
        <v>286.90999999999997</v>
      </c>
      <c r="BF227" s="237"/>
      <c r="BG227" s="238"/>
      <c r="BH227" s="239"/>
      <c r="BI227" s="240">
        <v>16.5</v>
      </c>
      <c r="BJ227" s="238"/>
      <c r="BK227" s="241">
        <v>18.16</v>
      </c>
      <c r="BL227" s="229"/>
      <c r="BM227" s="229"/>
      <c r="BN227" s="125">
        <f t="shared" si="29"/>
        <v>716.64</v>
      </c>
      <c r="BO227" s="126">
        <f t="shared" si="30"/>
        <v>43.76</v>
      </c>
      <c r="BP227" s="127">
        <f t="shared" si="31"/>
        <v>943.82999999999993</v>
      </c>
    </row>
    <row r="228" spans="1:68" s="230" customFormat="1" ht="39.75" customHeight="1" outlineLevel="5" x14ac:dyDescent="0.25">
      <c r="A228" s="216"/>
      <c r="B228" s="215"/>
      <c r="C228" s="216"/>
      <c r="D228" s="216"/>
      <c r="E228" s="216"/>
      <c r="F228" s="216"/>
      <c r="G228" s="216"/>
      <c r="H228" s="216"/>
      <c r="I228" s="216"/>
      <c r="J228" s="215"/>
      <c r="K228" s="217"/>
      <c r="L228" s="216"/>
      <c r="M228" s="215"/>
      <c r="N228" s="215"/>
      <c r="O228" s="215"/>
      <c r="P228" s="215"/>
      <c r="Q228" s="215"/>
      <c r="R228" s="215"/>
      <c r="S228" s="215"/>
      <c r="T228" s="215"/>
      <c r="U228" s="215"/>
      <c r="V228" s="215"/>
      <c r="W228" s="215"/>
      <c r="X228" s="215"/>
      <c r="Y228" s="215"/>
      <c r="Z228" s="215"/>
      <c r="AA228" s="215"/>
      <c r="AB228" s="247"/>
      <c r="AC228" s="219" t="s">
        <v>294</v>
      </c>
      <c r="AD228" s="220" t="s">
        <v>247</v>
      </c>
      <c r="AE228" s="221"/>
      <c r="AF228" s="248"/>
      <c r="AG228" s="249"/>
      <c r="AH228" s="224">
        <v>2.7</v>
      </c>
      <c r="AI228" s="225"/>
      <c r="AJ228" s="226">
        <f>2.8+37.7</f>
        <v>40.5</v>
      </c>
      <c r="AK228" s="224">
        <v>8.8000000000000007</v>
      </c>
      <c r="AL228" s="225">
        <v>19.37</v>
      </c>
      <c r="AM228" s="226">
        <v>10.67</v>
      </c>
      <c r="AN228" s="224"/>
      <c r="AO228" s="225"/>
      <c r="AP228" s="227">
        <v>2.5</v>
      </c>
      <c r="AQ228" s="224"/>
      <c r="AR228" s="225"/>
      <c r="AS228" s="227">
        <v>0.78</v>
      </c>
      <c r="AT228" s="224"/>
      <c r="AU228" s="225"/>
      <c r="AV228" s="227"/>
      <c r="AW228" s="224"/>
      <c r="AX228" s="225"/>
      <c r="AY228" s="227">
        <v>1.2829999999999999</v>
      </c>
      <c r="AZ228" s="224">
        <v>9.1</v>
      </c>
      <c r="BA228" s="225"/>
      <c r="BB228" s="236">
        <v>7.3010000000000002</v>
      </c>
      <c r="BC228" s="224"/>
      <c r="BD228" s="225"/>
      <c r="BE228" s="226"/>
      <c r="BF228" s="237"/>
      <c r="BG228" s="238"/>
      <c r="BH228" s="239"/>
      <c r="BI228" s="240">
        <v>6.15</v>
      </c>
      <c r="BJ228" s="238"/>
      <c r="BK228" s="241">
        <v>14.77</v>
      </c>
      <c r="BL228" s="229"/>
      <c r="BM228" s="215"/>
      <c r="BN228" s="125">
        <f t="shared" si="29"/>
        <v>26.75</v>
      </c>
      <c r="BO228" s="126">
        <f t="shared" si="30"/>
        <v>19.37</v>
      </c>
      <c r="BP228" s="127">
        <f t="shared" si="31"/>
        <v>77.804000000000002</v>
      </c>
    </row>
    <row r="229" spans="1:68" s="230" customFormat="1" ht="19.5" customHeight="1" outlineLevel="5" x14ac:dyDescent="0.25">
      <c r="A229" s="216"/>
      <c r="B229" s="215"/>
      <c r="C229" s="216"/>
      <c r="D229" s="216"/>
      <c r="E229" s="216"/>
      <c r="F229" s="216"/>
      <c r="G229" s="216"/>
      <c r="H229" s="216"/>
      <c r="I229" s="216"/>
      <c r="J229" s="215"/>
      <c r="K229" s="217"/>
      <c r="L229" s="216"/>
      <c r="M229" s="215"/>
      <c r="N229" s="215"/>
      <c r="O229" s="215"/>
      <c r="P229" s="215"/>
      <c r="Q229" s="215"/>
      <c r="R229" s="215"/>
      <c r="S229" s="215"/>
      <c r="T229" s="215"/>
      <c r="U229" s="215"/>
      <c r="V229" s="215"/>
      <c r="W229" s="215"/>
      <c r="X229" s="215"/>
      <c r="Y229" s="215"/>
      <c r="Z229" s="215"/>
      <c r="AA229" s="215"/>
      <c r="AB229" s="247"/>
      <c r="AC229" s="219" t="s">
        <v>295</v>
      </c>
      <c r="AD229" s="220" t="s">
        <v>247</v>
      </c>
      <c r="AE229" s="221"/>
      <c r="AF229" s="248"/>
      <c r="AG229" s="249"/>
      <c r="AH229" s="224"/>
      <c r="AI229" s="225"/>
      <c r="AJ229" s="226"/>
      <c r="AK229" s="224">
        <v>42.55</v>
      </c>
      <c r="AL229" s="225"/>
      <c r="AM229" s="226">
        <v>46.82</v>
      </c>
      <c r="AN229" s="224"/>
      <c r="AO229" s="225"/>
      <c r="AP229" s="227"/>
      <c r="AQ229" s="224"/>
      <c r="AR229" s="225"/>
      <c r="AS229" s="227"/>
      <c r="AT229" s="224"/>
      <c r="AU229" s="225"/>
      <c r="AV229" s="227"/>
      <c r="AW229" s="224"/>
      <c r="AX229" s="225"/>
      <c r="AY229" s="227"/>
      <c r="AZ229" s="224">
        <v>5.4</v>
      </c>
      <c r="BA229" s="225"/>
      <c r="BB229" s="236">
        <v>23.766999999999999</v>
      </c>
      <c r="BC229" s="224">
        <v>14.5</v>
      </c>
      <c r="BD229" s="225"/>
      <c r="BE229" s="226"/>
      <c r="BF229" s="237"/>
      <c r="BG229" s="238"/>
      <c r="BH229" s="239"/>
      <c r="BI229" s="240"/>
      <c r="BJ229" s="238"/>
      <c r="BK229" s="241"/>
      <c r="BL229" s="229"/>
      <c r="BM229" s="215"/>
      <c r="BN229" s="125">
        <f t="shared" si="29"/>
        <v>62.449999999999996</v>
      </c>
      <c r="BO229" s="126">
        <f t="shared" si="30"/>
        <v>0</v>
      </c>
      <c r="BP229" s="127">
        <f t="shared" si="31"/>
        <v>70.587000000000003</v>
      </c>
    </row>
    <row r="230" spans="1:68" s="230" customFormat="1" ht="19.5" customHeight="1" outlineLevel="5" x14ac:dyDescent="0.25">
      <c r="A230" s="216"/>
      <c r="B230" s="215"/>
      <c r="C230" s="216"/>
      <c r="D230" s="216"/>
      <c r="E230" s="216"/>
      <c r="F230" s="216"/>
      <c r="G230" s="216"/>
      <c r="H230" s="216"/>
      <c r="I230" s="216"/>
      <c r="J230" s="215"/>
      <c r="K230" s="217"/>
      <c r="L230" s="216"/>
      <c r="M230" s="215"/>
      <c r="N230" s="215"/>
      <c r="O230" s="215"/>
      <c r="P230" s="215"/>
      <c r="Q230" s="215"/>
      <c r="R230" s="215"/>
      <c r="S230" s="215"/>
      <c r="T230" s="215"/>
      <c r="U230" s="215"/>
      <c r="V230" s="215"/>
      <c r="W230" s="215"/>
      <c r="X230" s="215"/>
      <c r="Y230" s="215"/>
      <c r="Z230" s="215"/>
      <c r="AA230" s="215"/>
      <c r="AB230" s="247"/>
      <c r="AC230" s="219" t="s">
        <v>246</v>
      </c>
      <c r="AD230" s="220" t="s">
        <v>247</v>
      </c>
      <c r="AE230" s="221"/>
      <c r="AF230" s="248"/>
      <c r="AG230" s="249"/>
      <c r="AH230" s="224"/>
      <c r="AI230" s="225"/>
      <c r="AJ230" s="226"/>
      <c r="AK230" s="224"/>
      <c r="AL230" s="225"/>
      <c r="AM230" s="226"/>
      <c r="AN230" s="224">
        <v>5.24</v>
      </c>
      <c r="AO230" s="225">
        <v>10.16</v>
      </c>
      <c r="AP230" s="227">
        <v>5.76</v>
      </c>
      <c r="AQ230" s="224"/>
      <c r="AR230" s="225"/>
      <c r="AS230" s="227"/>
      <c r="AT230" s="224"/>
      <c r="AU230" s="225"/>
      <c r="AV230" s="227"/>
      <c r="AW230" s="224"/>
      <c r="AX230" s="225"/>
      <c r="AY230" s="227"/>
      <c r="AZ230" s="224"/>
      <c r="BA230" s="225"/>
      <c r="BB230" s="227"/>
      <c r="BC230" s="224">
        <v>20.86</v>
      </c>
      <c r="BD230" s="225"/>
      <c r="BE230" s="226">
        <v>2.08</v>
      </c>
      <c r="BF230" s="237"/>
      <c r="BG230" s="238"/>
      <c r="BH230" s="239"/>
      <c r="BI230" s="240"/>
      <c r="BJ230" s="238"/>
      <c r="BK230" s="241"/>
      <c r="BL230" s="229"/>
      <c r="BM230" s="215"/>
      <c r="BN230" s="125">
        <f t="shared" si="29"/>
        <v>26.1</v>
      </c>
      <c r="BO230" s="126">
        <f t="shared" si="30"/>
        <v>10.16</v>
      </c>
      <c r="BP230" s="127">
        <f t="shared" si="31"/>
        <v>7.84</v>
      </c>
    </row>
    <row r="231" spans="1:68" s="230" customFormat="1" ht="30" customHeight="1" outlineLevel="5" x14ac:dyDescent="0.25">
      <c r="A231" s="216"/>
      <c r="B231" s="215"/>
      <c r="C231" s="216"/>
      <c r="D231" s="216"/>
      <c r="E231" s="216"/>
      <c r="F231" s="216"/>
      <c r="G231" s="216"/>
      <c r="H231" s="216"/>
      <c r="I231" s="216"/>
      <c r="J231" s="215"/>
      <c r="K231" s="217"/>
      <c r="L231" s="216"/>
      <c r="M231" s="215"/>
      <c r="N231" s="215"/>
      <c r="O231" s="215"/>
      <c r="P231" s="215"/>
      <c r="Q231" s="215"/>
      <c r="R231" s="215"/>
      <c r="S231" s="215"/>
      <c r="T231" s="215"/>
      <c r="U231" s="215"/>
      <c r="V231" s="215"/>
      <c r="W231" s="215"/>
      <c r="X231" s="215"/>
      <c r="Y231" s="215"/>
      <c r="Z231" s="215"/>
      <c r="AA231" s="215"/>
      <c r="AB231" s="247"/>
      <c r="AC231" s="219" t="s">
        <v>296</v>
      </c>
      <c r="AD231" s="220" t="s">
        <v>247</v>
      </c>
      <c r="AE231" s="221"/>
      <c r="AF231" s="248"/>
      <c r="AG231" s="249"/>
      <c r="AH231" s="224"/>
      <c r="AI231" s="225"/>
      <c r="AJ231" s="226"/>
      <c r="AK231" s="224">
        <v>7.5</v>
      </c>
      <c r="AL231" s="225"/>
      <c r="AM231" s="226">
        <v>7.54</v>
      </c>
      <c r="AN231" s="224"/>
      <c r="AO231" s="225"/>
      <c r="AP231" s="227"/>
      <c r="AQ231" s="224"/>
      <c r="AR231" s="225"/>
      <c r="AS231" s="227"/>
      <c r="AT231" s="224"/>
      <c r="AU231" s="225"/>
      <c r="AV231" s="227">
        <v>3.13</v>
      </c>
      <c r="AW231" s="224"/>
      <c r="AX231" s="225"/>
      <c r="AY231" s="227"/>
      <c r="AZ231" s="224"/>
      <c r="BA231" s="225"/>
      <c r="BB231" s="227"/>
      <c r="BC231" s="224">
        <v>12.31</v>
      </c>
      <c r="BD231" s="225"/>
      <c r="BE231" s="226">
        <v>48.76</v>
      </c>
      <c r="BF231" s="237"/>
      <c r="BG231" s="238"/>
      <c r="BH231" s="239">
        <v>1.4350000000000001</v>
      </c>
      <c r="BI231" s="240"/>
      <c r="BJ231" s="238"/>
      <c r="BK231" s="241"/>
      <c r="BL231" s="229"/>
      <c r="BM231" s="215"/>
      <c r="BN231" s="125">
        <f t="shared" si="29"/>
        <v>19.810000000000002</v>
      </c>
      <c r="BO231" s="126">
        <f t="shared" si="30"/>
        <v>0</v>
      </c>
      <c r="BP231" s="127">
        <f t="shared" si="31"/>
        <v>60.865000000000002</v>
      </c>
    </row>
    <row r="232" spans="1:68" s="246" customFormat="1" ht="30.75" hidden="1" customHeight="1" outlineLevel="5" x14ac:dyDescent="0.25">
      <c r="A232" s="242"/>
      <c r="B232" s="229"/>
      <c r="C232" s="242"/>
      <c r="D232" s="242"/>
      <c r="E232" s="242"/>
      <c r="F232" s="242"/>
      <c r="G232" s="242"/>
      <c r="H232" s="242"/>
      <c r="I232" s="242"/>
      <c r="J232" s="229"/>
      <c r="K232" s="243"/>
      <c r="L232" s="242"/>
      <c r="M232" s="229"/>
      <c r="N232" s="229"/>
      <c r="O232" s="229"/>
      <c r="P232" s="229"/>
      <c r="Q232" s="229"/>
      <c r="R232" s="229"/>
      <c r="S232" s="229"/>
      <c r="T232" s="229"/>
      <c r="U232" s="229"/>
      <c r="V232" s="229"/>
      <c r="W232" s="229"/>
      <c r="X232" s="229"/>
      <c r="Y232" s="229"/>
      <c r="Z232" s="229"/>
      <c r="AA232" s="229"/>
      <c r="AB232" s="247"/>
      <c r="AC232" s="250" t="s">
        <v>297</v>
      </c>
      <c r="AD232" s="220" t="s">
        <v>247</v>
      </c>
      <c r="AE232" s="221"/>
      <c r="AF232" s="248"/>
      <c r="AG232" s="249"/>
      <c r="AH232" s="224"/>
      <c r="AI232" s="225"/>
      <c r="AJ232" s="226"/>
      <c r="AK232" s="224"/>
      <c r="AL232" s="225"/>
      <c r="AM232" s="226"/>
      <c r="AN232" s="224"/>
      <c r="AO232" s="225"/>
      <c r="AP232" s="227"/>
      <c r="AQ232" s="224"/>
      <c r="AR232" s="225"/>
      <c r="AS232" s="227"/>
      <c r="AT232" s="224"/>
      <c r="AU232" s="225"/>
      <c r="AV232" s="227"/>
      <c r="AW232" s="224"/>
      <c r="AX232" s="225"/>
      <c r="AY232" s="227"/>
      <c r="AZ232" s="224"/>
      <c r="BA232" s="225"/>
      <c r="BB232" s="227"/>
      <c r="BC232" s="224"/>
      <c r="BD232" s="225"/>
      <c r="BE232" s="226"/>
      <c r="BF232" s="237"/>
      <c r="BG232" s="238"/>
      <c r="BH232" s="239"/>
      <c r="BI232" s="240"/>
      <c r="BJ232" s="238"/>
      <c r="BK232" s="241"/>
      <c r="BL232" s="229"/>
      <c r="BM232" s="229"/>
      <c r="BN232" s="125">
        <f t="shared" si="29"/>
        <v>0</v>
      </c>
      <c r="BO232" s="126">
        <f t="shared" si="30"/>
        <v>0</v>
      </c>
      <c r="BP232" s="127">
        <f t="shared" si="31"/>
        <v>0</v>
      </c>
    </row>
    <row r="233" spans="1:68" s="230" customFormat="1" ht="19.5" customHeight="1" outlineLevel="5" x14ac:dyDescent="0.25">
      <c r="A233" s="216"/>
      <c r="B233" s="215"/>
      <c r="C233" s="216"/>
      <c r="D233" s="216"/>
      <c r="E233" s="216"/>
      <c r="F233" s="216"/>
      <c r="G233" s="216"/>
      <c r="H233" s="216"/>
      <c r="I233" s="216"/>
      <c r="J233" s="215"/>
      <c r="K233" s="217"/>
      <c r="L233" s="216"/>
      <c r="M233" s="215"/>
      <c r="N233" s="215"/>
      <c r="O233" s="215"/>
      <c r="P233" s="215"/>
      <c r="Q233" s="215"/>
      <c r="R233" s="215"/>
      <c r="S233" s="215"/>
      <c r="T233" s="215"/>
      <c r="U233" s="215"/>
      <c r="V233" s="215"/>
      <c r="W233" s="215"/>
      <c r="X233" s="215"/>
      <c r="Y233" s="215"/>
      <c r="Z233" s="215"/>
      <c r="AA233" s="215"/>
      <c r="AB233" s="247"/>
      <c r="AC233" s="219" t="s">
        <v>298</v>
      </c>
      <c r="AD233" s="220" t="s">
        <v>247</v>
      </c>
      <c r="AE233" s="221"/>
      <c r="AF233" s="248"/>
      <c r="AG233" s="249"/>
      <c r="AH233" s="224"/>
      <c r="AI233" s="225"/>
      <c r="AJ233" s="226"/>
      <c r="AK233" s="224">
        <v>39.549999999999997</v>
      </c>
      <c r="AL233" s="225"/>
      <c r="AM233" s="226">
        <v>43.52</v>
      </c>
      <c r="AN233" s="224">
        <v>90.9</v>
      </c>
      <c r="AO233" s="225"/>
      <c r="AP233" s="227">
        <v>100.02</v>
      </c>
      <c r="AQ233" s="224">
        <v>19.7</v>
      </c>
      <c r="AR233" s="225">
        <v>1.72</v>
      </c>
      <c r="AS233" s="227">
        <f>21.68+7.54</f>
        <v>29.22</v>
      </c>
      <c r="AT233" s="224">
        <v>9.6999999999999993</v>
      </c>
      <c r="AU233" s="225"/>
      <c r="AV233" s="227">
        <v>10.67</v>
      </c>
      <c r="AW233" s="224">
        <v>89.242000000000004</v>
      </c>
      <c r="AX233" s="225"/>
      <c r="AY233" s="227">
        <v>89</v>
      </c>
      <c r="AZ233" s="224"/>
      <c r="BA233" s="225"/>
      <c r="BB233" s="227"/>
      <c r="BC233" s="224"/>
      <c r="BD233" s="225"/>
      <c r="BE233" s="226"/>
      <c r="BF233" s="237"/>
      <c r="BG233" s="238"/>
      <c r="BH233" s="239"/>
      <c r="BI233" s="240"/>
      <c r="BJ233" s="238"/>
      <c r="BK233" s="241"/>
      <c r="BL233" s="229"/>
      <c r="BM233" s="215"/>
      <c r="BN233" s="125">
        <f t="shared" si="29"/>
        <v>249.09199999999998</v>
      </c>
      <c r="BO233" s="126">
        <f t="shared" si="30"/>
        <v>1.72</v>
      </c>
      <c r="BP233" s="127">
        <f t="shared" si="31"/>
        <v>272.42999999999995</v>
      </c>
    </row>
    <row r="234" spans="1:68" s="230" customFormat="1" ht="19.5" customHeight="1" outlineLevel="5" x14ac:dyDescent="0.25">
      <c r="A234" s="216"/>
      <c r="B234" s="215"/>
      <c r="C234" s="216"/>
      <c r="D234" s="216"/>
      <c r="E234" s="216"/>
      <c r="F234" s="216"/>
      <c r="G234" s="216"/>
      <c r="H234" s="216"/>
      <c r="I234" s="216"/>
      <c r="J234" s="215"/>
      <c r="K234" s="217"/>
      <c r="L234" s="216"/>
      <c r="M234" s="215"/>
      <c r="N234" s="215"/>
      <c r="O234" s="215"/>
      <c r="P234" s="215"/>
      <c r="Q234" s="215"/>
      <c r="R234" s="215"/>
      <c r="S234" s="215"/>
      <c r="T234" s="215"/>
      <c r="U234" s="215"/>
      <c r="V234" s="215"/>
      <c r="W234" s="215"/>
      <c r="X234" s="215"/>
      <c r="Y234" s="215"/>
      <c r="Z234" s="215"/>
      <c r="AA234" s="215"/>
      <c r="AB234" s="247"/>
      <c r="AC234" s="219" t="s">
        <v>299</v>
      </c>
      <c r="AD234" s="220" t="s">
        <v>247</v>
      </c>
      <c r="AE234" s="221"/>
      <c r="AF234" s="248"/>
      <c r="AG234" s="249"/>
      <c r="AH234" s="224"/>
      <c r="AI234" s="225"/>
      <c r="AJ234" s="226"/>
      <c r="AK234" s="224"/>
      <c r="AL234" s="225"/>
      <c r="AM234" s="226">
        <v>700</v>
      </c>
      <c r="AN234" s="224"/>
      <c r="AO234" s="225"/>
      <c r="AP234" s="227"/>
      <c r="AQ234" s="224"/>
      <c r="AR234" s="225"/>
      <c r="AS234" s="227"/>
      <c r="AT234" s="224"/>
      <c r="AU234" s="225"/>
      <c r="AV234" s="227">
        <v>277.5</v>
      </c>
      <c r="AW234" s="224"/>
      <c r="AX234" s="225"/>
      <c r="AY234" s="227">
        <v>124.167</v>
      </c>
      <c r="AZ234" s="224"/>
      <c r="BA234" s="225"/>
      <c r="BB234" s="227">
        <v>352.5</v>
      </c>
      <c r="BC234" s="224"/>
      <c r="BD234" s="225"/>
      <c r="BE234" s="226"/>
      <c r="BF234" s="237"/>
      <c r="BG234" s="238"/>
      <c r="BH234" s="239"/>
      <c r="BI234" s="240"/>
      <c r="BJ234" s="238"/>
      <c r="BK234" s="241"/>
      <c r="BL234" s="229"/>
      <c r="BM234" s="215"/>
      <c r="BN234" s="125">
        <f t="shared" si="29"/>
        <v>0</v>
      </c>
      <c r="BO234" s="126">
        <f t="shared" si="30"/>
        <v>0</v>
      </c>
      <c r="BP234" s="127">
        <f t="shared" si="31"/>
        <v>1454.1669999999999</v>
      </c>
    </row>
    <row r="235" spans="1:68" s="230" customFormat="1" ht="19.5" customHeight="1" outlineLevel="5" x14ac:dyDescent="0.25">
      <c r="A235" s="216"/>
      <c r="B235" s="215"/>
      <c r="C235" s="216"/>
      <c r="D235" s="216"/>
      <c r="E235" s="216"/>
      <c r="F235" s="216"/>
      <c r="G235" s="216"/>
      <c r="H235" s="216"/>
      <c r="I235" s="216"/>
      <c r="J235" s="215"/>
      <c r="K235" s="217"/>
      <c r="L235" s="216"/>
      <c r="M235" s="215"/>
      <c r="N235" s="215"/>
      <c r="O235" s="215"/>
      <c r="P235" s="215"/>
      <c r="Q235" s="215"/>
      <c r="R235" s="215"/>
      <c r="S235" s="215"/>
      <c r="T235" s="215"/>
      <c r="U235" s="215"/>
      <c r="V235" s="215"/>
      <c r="W235" s="215"/>
      <c r="X235" s="215"/>
      <c r="Y235" s="215"/>
      <c r="Z235" s="215"/>
      <c r="AA235" s="215"/>
      <c r="AB235" s="247"/>
      <c r="AC235" s="219" t="s">
        <v>300</v>
      </c>
      <c r="AD235" s="220" t="s">
        <v>247</v>
      </c>
      <c r="AE235" s="221">
        <v>51587.15</v>
      </c>
      <c r="AF235" s="233">
        <f>28731.78-9796.32</f>
        <v>18935.46</v>
      </c>
      <c r="AG235" s="234">
        <v>62975.33</v>
      </c>
      <c r="AH235" s="224">
        <v>1317.6</v>
      </c>
      <c r="AI235" s="225"/>
      <c r="AJ235" s="226">
        <v>2365.1999999999998</v>
      </c>
      <c r="AK235" s="224">
        <v>1389.6</v>
      </c>
      <c r="AL235" s="225">
        <v>1054.71</v>
      </c>
      <c r="AM235" s="226">
        <v>2464.08</v>
      </c>
      <c r="AN235" s="224">
        <v>1527.1</v>
      </c>
      <c r="AO235" s="225"/>
      <c r="AP235" s="227">
        <v>2628.82</v>
      </c>
      <c r="AQ235" s="224">
        <v>1377.1</v>
      </c>
      <c r="AR235" s="225">
        <v>0</v>
      </c>
      <c r="AS235" s="227">
        <v>2467.54</v>
      </c>
      <c r="AT235" s="224">
        <v>1173.5999999999999</v>
      </c>
      <c r="AU235" s="225"/>
      <c r="AV235" s="227">
        <v>2444.4</v>
      </c>
      <c r="AW235" s="224">
        <v>916.79</v>
      </c>
      <c r="AX235" s="225"/>
      <c r="AY235" s="227">
        <v>2573.808</v>
      </c>
      <c r="AZ235" s="224">
        <v>261.05</v>
      </c>
      <c r="BA235" s="225"/>
      <c r="BB235" s="236">
        <v>180.048</v>
      </c>
      <c r="BC235" s="224">
        <v>2123.19</v>
      </c>
      <c r="BD235" s="225">
        <v>59.28</v>
      </c>
      <c r="BE235" s="226">
        <f>2579.2-23.4</f>
        <v>2555.7999999999997</v>
      </c>
      <c r="BF235" s="237">
        <v>658.8</v>
      </c>
      <c r="BG235" s="238">
        <v>515.03</v>
      </c>
      <c r="BH235" s="239">
        <v>1236.5999999999999</v>
      </c>
      <c r="BI235" s="240">
        <v>42.5</v>
      </c>
      <c r="BJ235" s="238">
        <v>75.62</v>
      </c>
      <c r="BK235" s="241">
        <v>46.8</v>
      </c>
      <c r="BL235" s="229"/>
      <c r="BM235" s="215"/>
      <c r="BN235" s="125">
        <f t="shared" si="29"/>
        <v>62374.48</v>
      </c>
      <c r="BO235" s="126">
        <f t="shared" si="30"/>
        <v>20640.099999999995</v>
      </c>
      <c r="BP235" s="127">
        <f t="shared" si="31"/>
        <v>81938.426000000007</v>
      </c>
    </row>
    <row r="236" spans="1:68" s="230" customFormat="1" ht="19.5" customHeight="1" outlineLevel="5" x14ac:dyDescent="0.25">
      <c r="A236" s="216"/>
      <c r="B236" s="215"/>
      <c r="C236" s="216"/>
      <c r="D236" s="216"/>
      <c r="E236" s="216"/>
      <c r="F236" s="216"/>
      <c r="G236" s="216"/>
      <c r="H236" s="216"/>
      <c r="I236" s="216"/>
      <c r="J236" s="215"/>
      <c r="K236" s="217"/>
      <c r="L236" s="216"/>
      <c r="M236" s="215"/>
      <c r="N236" s="215"/>
      <c r="O236" s="215"/>
      <c r="P236" s="215"/>
      <c r="Q236" s="215"/>
      <c r="R236" s="215"/>
      <c r="S236" s="215"/>
      <c r="T236" s="215"/>
      <c r="U236" s="215"/>
      <c r="V236" s="215"/>
      <c r="W236" s="215"/>
      <c r="X236" s="215"/>
      <c r="Y236" s="215"/>
      <c r="Z236" s="215"/>
      <c r="AA236" s="215"/>
      <c r="AB236" s="247"/>
      <c r="AC236" s="219" t="s">
        <v>301</v>
      </c>
      <c r="AD236" s="220" t="s">
        <v>247</v>
      </c>
      <c r="AE236" s="221"/>
      <c r="AF236" s="248"/>
      <c r="AG236" s="249"/>
      <c r="AH236" s="224"/>
      <c r="AI236" s="225"/>
      <c r="AJ236" s="226"/>
      <c r="AK236" s="224"/>
      <c r="AL236" s="225"/>
      <c r="AM236" s="226"/>
      <c r="AN236" s="224"/>
      <c r="AO236" s="225"/>
      <c r="AP236" s="227"/>
      <c r="AQ236" s="224"/>
      <c r="AR236" s="225"/>
      <c r="AS236" s="227"/>
      <c r="AT236" s="224"/>
      <c r="AU236" s="225"/>
      <c r="AV236" s="227"/>
      <c r="AW236" s="224"/>
      <c r="AX236" s="225"/>
      <c r="AY236" s="227"/>
      <c r="AZ236" s="224"/>
      <c r="BA236" s="225"/>
      <c r="BB236" s="227"/>
      <c r="BC236" s="224"/>
      <c r="BD236" s="225"/>
      <c r="BE236" s="226"/>
      <c r="BF236" s="237"/>
      <c r="BG236" s="238"/>
      <c r="BH236" s="239"/>
      <c r="BI236" s="240"/>
      <c r="BJ236" s="238"/>
      <c r="BK236" s="241"/>
      <c r="BL236" s="229"/>
      <c r="BM236" s="215"/>
      <c r="BN236" s="125">
        <f t="shared" si="29"/>
        <v>0</v>
      </c>
      <c r="BO236" s="126">
        <f t="shared" si="30"/>
        <v>0</v>
      </c>
      <c r="BP236" s="127">
        <f t="shared" si="31"/>
        <v>0</v>
      </c>
    </row>
    <row r="237" spans="1:68" s="230" customFormat="1" ht="19.5" customHeight="1" outlineLevel="5" x14ac:dyDescent="0.25">
      <c r="A237" s="216"/>
      <c r="B237" s="215"/>
      <c r="C237" s="216"/>
      <c r="D237" s="216"/>
      <c r="E237" s="216"/>
      <c r="F237" s="216"/>
      <c r="G237" s="216"/>
      <c r="H237" s="216"/>
      <c r="I237" s="216"/>
      <c r="J237" s="215"/>
      <c r="K237" s="217"/>
      <c r="L237" s="216"/>
      <c r="M237" s="215"/>
      <c r="N237" s="215"/>
      <c r="O237" s="215"/>
      <c r="P237" s="215"/>
      <c r="Q237" s="215"/>
      <c r="R237" s="215"/>
      <c r="S237" s="215"/>
      <c r="T237" s="215"/>
      <c r="U237" s="215"/>
      <c r="V237" s="215"/>
      <c r="W237" s="215"/>
      <c r="X237" s="215"/>
      <c r="Y237" s="215"/>
      <c r="Z237" s="215"/>
      <c r="AA237" s="215"/>
      <c r="AB237" s="247"/>
      <c r="AC237" s="219" t="s">
        <v>302</v>
      </c>
      <c r="AD237" s="220" t="s">
        <v>247</v>
      </c>
      <c r="AE237" s="221"/>
      <c r="AF237" s="248"/>
      <c r="AG237" s="249"/>
      <c r="AH237" s="224"/>
      <c r="AI237" s="225"/>
      <c r="AJ237" s="226"/>
      <c r="AK237" s="224">
        <v>58.5</v>
      </c>
      <c r="AL237" s="225"/>
      <c r="AM237" s="226">
        <v>64.37</v>
      </c>
      <c r="AN237" s="224">
        <v>50.45</v>
      </c>
      <c r="AO237" s="225"/>
      <c r="AP237" s="227">
        <v>55.52</v>
      </c>
      <c r="AQ237" s="224">
        <v>20.27</v>
      </c>
      <c r="AR237" s="225">
        <v>0</v>
      </c>
      <c r="AS237" s="227">
        <v>22.3</v>
      </c>
      <c r="AT237" s="224"/>
      <c r="AU237" s="225"/>
      <c r="AV237" s="227"/>
      <c r="AW237" s="224"/>
      <c r="AX237" s="225"/>
      <c r="AY237" s="227"/>
      <c r="AZ237" s="224"/>
      <c r="BA237" s="225"/>
      <c r="BB237" s="227"/>
      <c r="BC237" s="224"/>
      <c r="BD237" s="225"/>
      <c r="BE237" s="226"/>
      <c r="BF237" s="237"/>
      <c r="BG237" s="238"/>
      <c r="BH237" s="239"/>
      <c r="BI237" s="240"/>
      <c r="BJ237" s="238"/>
      <c r="BK237" s="241"/>
      <c r="BL237" s="229"/>
      <c r="BM237" s="215"/>
      <c r="BN237" s="125">
        <f t="shared" si="29"/>
        <v>129.22</v>
      </c>
      <c r="BO237" s="126">
        <f t="shared" si="30"/>
        <v>0</v>
      </c>
      <c r="BP237" s="127">
        <f t="shared" si="31"/>
        <v>142.19000000000003</v>
      </c>
    </row>
    <row r="238" spans="1:68" s="230" customFormat="1" ht="19.5" customHeight="1" outlineLevel="5" x14ac:dyDescent="0.25">
      <c r="A238" s="216"/>
      <c r="B238" s="215"/>
      <c r="C238" s="216"/>
      <c r="D238" s="216"/>
      <c r="E238" s="216"/>
      <c r="F238" s="216"/>
      <c r="G238" s="216"/>
      <c r="H238" s="216"/>
      <c r="I238" s="216"/>
      <c r="J238" s="215"/>
      <c r="K238" s="217"/>
      <c r="L238" s="216"/>
      <c r="M238" s="215"/>
      <c r="N238" s="215"/>
      <c r="O238" s="215"/>
      <c r="P238" s="215"/>
      <c r="Q238" s="215"/>
      <c r="R238" s="215"/>
      <c r="S238" s="215"/>
      <c r="T238" s="215"/>
      <c r="U238" s="215"/>
      <c r="V238" s="215"/>
      <c r="W238" s="215"/>
      <c r="X238" s="215"/>
      <c r="Y238" s="215"/>
      <c r="Z238" s="215"/>
      <c r="AA238" s="215"/>
      <c r="AB238" s="247"/>
      <c r="AC238" s="250" t="s">
        <v>303</v>
      </c>
      <c r="AD238" s="220" t="s">
        <v>247</v>
      </c>
      <c r="AE238" s="221"/>
      <c r="AF238" s="248"/>
      <c r="AG238" s="249"/>
      <c r="AH238" s="224"/>
      <c r="AI238" s="225"/>
      <c r="AJ238" s="226"/>
      <c r="AK238" s="224"/>
      <c r="AL238" s="225"/>
      <c r="AM238" s="226"/>
      <c r="AN238" s="224">
        <v>45.32</v>
      </c>
      <c r="AO238" s="225"/>
      <c r="AP238" s="227">
        <v>49.86</v>
      </c>
      <c r="AQ238" s="224">
        <v>169.39</v>
      </c>
      <c r="AR238" s="225">
        <v>0</v>
      </c>
      <c r="AS238" s="227">
        <v>186.38</v>
      </c>
      <c r="AT238" s="224">
        <v>10.83</v>
      </c>
      <c r="AU238" s="225"/>
      <c r="AV238" s="227">
        <v>11.92</v>
      </c>
      <c r="AW238" s="224">
        <v>12.036</v>
      </c>
      <c r="AX238" s="225"/>
      <c r="AY238" s="227">
        <v>12</v>
      </c>
      <c r="AZ238" s="224">
        <v>52.5</v>
      </c>
      <c r="BA238" s="225"/>
      <c r="BB238" s="236">
        <v>52.5</v>
      </c>
      <c r="BC238" s="224">
        <v>3.33</v>
      </c>
      <c r="BD238" s="225"/>
      <c r="BE238" s="226">
        <v>36.04</v>
      </c>
      <c r="BF238" s="237"/>
      <c r="BG238" s="238"/>
      <c r="BH238" s="239"/>
      <c r="BI238" s="240"/>
      <c r="BJ238" s="238"/>
      <c r="BK238" s="241"/>
      <c r="BL238" s="229"/>
      <c r="BM238" s="215"/>
      <c r="BN238" s="125">
        <f t="shared" si="29"/>
        <v>293.40600000000001</v>
      </c>
      <c r="BO238" s="126">
        <f t="shared" si="30"/>
        <v>0</v>
      </c>
      <c r="BP238" s="127">
        <f t="shared" si="31"/>
        <v>348.7</v>
      </c>
    </row>
    <row r="239" spans="1:68" s="230" customFormat="1" ht="19.5" customHeight="1" outlineLevel="5" x14ac:dyDescent="0.25">
      <c r="A239" s="216"/>
      <c r="B239" s="215"/>
      <c r="C239" s="216"/>
      <c r="D239" s="216"/>
      <c r="E239" s="216"/>
      <c r="F239" s="216"/>
      <c r="G239" s="216"/>
      <c r="H239" s="216"/>
      <c r="I239" s="216"/>
      <c r="J239" s="215"/>
      <c r="K239" s="217"/>
      <c r="L239" s="216"/>
      <c r="M239" s="215"/>
      <c r="N239" s="215"/>
      <c r="O239" s="215"/>
      <c r="P239" s="215"/>
      <c r="Q239" s="215"/>
      <c r="R239" s="215"/>
      <c r="S239" s="215"/>
      <c r="T239" s="215"/>
      <c r="U239" s="215"/>
      <c r="V239" s="215"/>
      <c r="W239" s="215"/>
      <c r="X239" s="215"/>
      <c r="Y239" s="215"/>
      <c r="Z239" s="215"/>
      <c r="AA239" s="215"/>
      <c r="AB239" s="247"/>
      <c r="AC239" s="219" t="s">
        <v>304</v>
      </c>
      <c r="AD239" s="220" t="s">
        <v>247</v>
      </c>
      <c r="AE239" s="221"/>
      <c r="AF239" s="248"/>
      <c r="AG239" s="249"/>
      <c r="AH239" s="224"/>
      <c r="AI239" s="225"/>
      <c r="AJ239" s="226"/>
      <c r="AK239" s="224"/>
      <c r="AL239" s="225"/>
      <c r="AM239" s="226">
        <v>97.51</v>
      </c>
      <c r="AN239" s="224"/>
      <c r="AO239" s="225"/>
      <c r="AP239" s="227">
        <v>32.5</v>
      </c>
      <c r="AQ239" s="224"/>
      <c r="AR239" s="225">
        <v>0</v>
      </c>
      <c r="AS239" s="227">
        <v>48.76</v>
      </c>
      <c r="AT239" s="224"/>
      <c r="AU239" s="225"/>
      <c r="AV239" s="227">
        <v>5.16</v>
      </c>
      <c r="AW239" s="224"/>
      <c r="AX239" s="225"/>
      <c r="AY239" s="227"/>
      <c r="AZ239" s="224"/>
      <c r="BA239" s="225"/>
      <c r="BB239" s="227"/>
      <c r="BC239" s="224"/>
      <c r="BD239" s="225"/>
      <c r="BE239" s="226"/>
      <c r="BF239" s="237"/>
      <c r="BG239" s="238"/>
      <c r="BH239" s="239"/>
      <c r="BI239" s="240"/>
      <c r="BJ239" s="238"/>
      <c r="BK239" s="241"/>
      <c r="BL239" s="229"/>
      <c r="BM239" s="215"/>
      <c r="BN239" s="125">
        <f t="shared" si="29"/>
        <v>0</v>
      </c>
      <c r="BO239" s="126">
        <f t="shared" si="30"/>
        <v>0</v>
      </c>
      <c r="BP239" s="127">
        <f t="shared" si="31"/>
        <v>183.92999999999998</v>
      </c>
    </row>
    <row r="240" spans="1:68" s="230" customFormat="1" ht="19.5" customHeight="1" outlineLevel="5" x14ac:dyDescent="0.25">
      <c r="A240" s="216"/>
      <c r="B240" s="215"/>
      <c r="C240" s="216"/>
      <c r="D240" s="216"/>
      <c r="E240" s="216"/>
      <c r="F240" s="216"/>
      <c r="G240" s="216"/>
      <c r="H240" s="216"/>
      <c r="I240" s="216"/>
      <c r="J240" s="215"/>
      <c r="K240" s="217"/>
      <c r="L240" s="216"/>
      <c r="M240" s="215"/>
      <c r="N240" s="215"/>
      <c r="O240" s="215"/>
      <c r="P240" s="215"/>
      <c r="Q240" s="215"/>
      <c r="R240" s="215"/>
      <c r="S240" s="215"/>
      <c r="T240" s="215"/>
      <c r="U240" s="215"/>
      <c r="V240" s="215"/>
      <c r="W240" s="215"/>
      <c r="X240" s="215"/>
      <c r="Y240" s="215"/>
      <c r="Z240" s="215"/>
      <c r="AA240" s="215"/>
      <c r="AB240" s="247"/>
      <c r="AC240" s="219" t="s">
        <v>299</v>
      </c>
      <c r="AD240" s="220" t="s">
        <v>247</v>
      </c>
      <c r="AE240" s="221"/>
      <c r="AF240" s="248"/>
      <c r="AG240" s="249"/>
      <c r="AH240" s="224"/>
      <c r="AI240" s="225"/>
      <c r="AJ240" s="226">
        <v>68.599999999999994</v>
      </c>
      <c r="AK240" s="224"/>
      <c r="AL240" s="225"/>
      <c r="AM240" s="226"/>
      <c r="AN240" s="224"/>
      <c r="AO240" s="225"/>
      <c r="AP240" s="227">
        <v>124.17</v>
      </c>
      <c r="AQ240" s="224"/>
      <c r="AR240" s="225"/>
      <c r="AS240" s="227"/>
      <c r="AT240" s="224"/>
      <c r="AU240" s="225"/>
      <c r="AV240" s="227"/>
      <c r="AW240" s="224"/>
      <c r="AX240" s="225"/>
      <c r="AY240" s="227"/>
      <c r="AZ240" s="224"/>
      <c r="BA240" s="225"/>
      <c r="BB240" s="227"/>
      <c r="BC240" s="224"/>
      <c r="BD240" s="225"/>
      <c r="BE240" s="226"/>
      <c r="BF240" s="237"/>
      <c r="BG240" s="238"/>
      <c r="BH240" s="239"/>
      <c r="BI240" s="240"/>
      <c r="BJ240" s="238"/>
      <c r="BK240" s="241"/>
      <c r="BL240" s="229"/>
      <c r="BM240" s="215"/>
      <c r="BN240" s="125">
        <f t="shared" si="29"/>
        <v>0</v>
      </c>
      <c r="BO240" s="126">
        <f t="shared" si="30"/>
        <v>0</v>
      </c>
      <c r="BP240" s="127">
        <f t="shared" si="31"/>
        <v>192.76999999999998</v>
      </c>
    </row>
    <row r="241" spans="1:68" s="230" customFormat="1" ht="19.5" customHeight="1" outlineLevel="5" x14ac:dyDescent="0.25">
      <c r="A241" s="216"/>
      <c r="B241" s="215"/>
      <c r="C241" s="216"/>
      <c r="D241" s="216"/>
      <c r="E241" s="216"/>
      <c r="F241" s="216"/>
      <c r="G241" s="216"/>
      <c r="H241" s="216"/>
      <c r="I241" s="216"/>
      <c r="J241" s="215"/>
      <c r="K241" s="217"/>
      <c r="L241" s="216"/>
      <c r="M241" s="215"/>
      <c r="N241" s="215"/>
      <c r="O241" s="215"/>
      <c r="P241" s="215"/>
      <c r="Q241" s="215"/>
      <c r="R241" s="215"/>
      <c r="S241" s="215"/>
      <c r="T241" s="215"/>
      <c r="U241" s="215"/>
      <c r="V241" s="215"/>
      <c r="W241" s="215"/>
      <c r="X241" s="215"/>
      <c r="Y241" s="215"/>
      <c r="Z241" s="215"/>
      <c r="AA241" s="215"/>
      <c r="AB241" s="247"/>
      <c r="AC241" s="219" t="s">
        <v>305</v>
      </c>
      <c r="AD241" s="220" t="s">
        <v>247</v>
      </c>
      <c r="AE241" s="221"/>
      <c r="AF241" s="248"/>
      <c r="AG241" s="249"/>
      <c r="AH241" s="224"/>
      <c r="AI241" s="225"/>
      <c r="AJ241" s="226"/>
      <c r="AK241" s="224"/>
      <c r="AL241" s="225"/>
      <c r="AM241" s="226"/>
      <c r="AN241" s="224">
        <v>2.74</v>
      </c>
      <c r="AO241" s="225"/>
      <c r="AP241" s="227">
        <v>3.01</v>
      </c>
      <c r="AQ241" s="224"/>
      <c r="AR241" s="225"/>
      <c r="AS241" s="227">
        <v>124.17</v>
      </c>
      <c r="AT241" s="224"/>
      <c r="AU241" s="225"/>
      <c r="AV241" s="227"/>
      <c r="AW241" s="224">
        <v>0.65</v>
      </c>
      <c r="AX241" s="225"/>
      <c r="AY241" s="227">
        <v>1</v>
      </c>
      <c r="AZ241" s="224"/>
      <c r="BA241" s="225"/>
      <c r="BB241" s="227"/>
      <c r="BC241" s="224"/>
      <c r="BD241" s="225"/>
      <c r="BE241" s="226"/>
      <c r="BF241" s="237"/>
      <c r="BG241" s="238"/>
      <c r="BH241" s="239"/>
      <c r="BI241" s="240"/>
      <c r="BJ241" s="238"/>
      <c r="BK241" s="241"/>
      <c r="BL241" s="229"/>
      <c r="BM241" s="215"/>
      <c r="BN241" s="125">
        <f t="shared" si="29"/>
        <v>3.39</v>
      </c>
      <c r="BO241" s="126">
        <f t="shared" si="30"/>
        <v>0</v>
      </c>
      <c r="BP241" s="127">
        <f t="shared" si="31"/>
        <v>128.18</v>
      </c>
    </row>
    <row r="242" spans="1:68" s="246" customFormat="1" ht="19.5" customHeight="1" outlineLevel="5" x14ac:dyDescent="0.25">
      <c r="A242" s="242"/>
      <c r="B242" s="229"/>
      <c r="C242" s="242"/>
      <c r="D242" s="242"/>
      <c r="E242" s="242"/>
      <c r="F242" s="242"/>
      <c r="G242" s="242"/>
      <c r="H242" s="242"/>
      <c r="I242" s="242"/>
      <c r="J242" s="229"/>
      <c r="K242" s="243"/>
      <c r="L242" s="242"/>
      <c r="M242" s="229"/>
      <c r="N242" s="229"/>
      <c r="O242" s="229"/>
      <c r="P242" s="229"/>
      <c r="Q242" s="229"/>
      <c r="R242" s="229"/>
      <c r="S242" s="229"/>
      <c r="T242" s="229"/>
      <c r="U242" s="229"/>
      <c r="V242" s="229"/>
      <c r="W242" s="229"/>
      <c r="X242" s="229"/>
      <c r="Y242" s="229"/>
      <c r="Z242" s="229"/>
      <c r="AA242" s="229"/>
      <c r="AB242" s="247"/>
      <c r="AC242" s="219" t="s">
        <v>306</v>
      </c>
      <c r="AD242" s="220" t="s">
        <v>247</v>
      </c>
      <c r="AE242" s="221"/>
      <c r="AF242" s="248"/>
      <c r="AG242" s="249"/>
      <c r="AH242" s="224">
        <f>63.155+23.182</f>
        <v>86.337000000000003</v>
      </c>
      <c r="AI242" s="225"/>
      <c r="AJ242" s="226">
        <f>65.68+25.508</f>
        <v>91.188000000000002</v>
      </c>
      <c r="AK242" s="224">
        <v>21.99</v>
      </c>
      <c r="AL242" s="225">
        <v>35.94</v>
      </c>
      <c r="AM242" s="226">
        <v>24.19</v>
      </c>
      <c r="AN242" s="224">
        <v>820.41</v>
      </c>
      <c r="AO242" s="225"/>
      <c r="AP242" s="227">
        <v>902.71</v>
      </c>
      <c r="AQ242" s="224">
        <v>16.98</v>
      </c>
      <c r="AR242" s="225">
        <v>0</v>
      </c>
      <c r="AS242" s="227">
        <v>18.68</v>
      </c>
      <c r="AT242" s="224"/>
      <c r="AU242" s="225"/>
      <c r="AV242" s="227">
        <v>17</v>
      </c>
      <c r="AW242" s="224"/>
      <c r="AX242" s="225"/>
      <c r="AY242" s="227"/>
      <c r="AZ242" s="224">
        <f>124.605+122.363</f>
        <v>246.96800000000002</v>
      </c>
      <c r="BA242" s="225"/>
      <c r="BB242" s="236">
        <f>137.105+134.635</f>
        <v>271.74</v>
      </c>
      <c r="BC242" s="235">
        <v>652.66</v>
      </c>
      <c r="BD242" s="225"/>
      <c r="BE242" s="226">
        <v>718.36</v>
      </c>
      <c r="BF242" s="244">
        <v>11.34</v>
      </c>
      <c r="BG242" s="238"/>
      <c r="BH242" s="239">
        <v>12.48</v>
      </c>
      <c r="BI242" s="245">
        <v>24.07</v>
      </c>
      <c r="BJ242" s="238"/>
      <c r="BK242" s="241">
        <v>26.48</v>
      </c>
      <c r="BL242" s="229"/>
      <c r="BM242" s="229"/>
      <c r="BN242" s="125">
        <f t="shared" si="29"/>
        <v>1880.7549999999997</v>
      </c>
      <c r="BO242" s="126">
        <f t="shared" si="30"/>
        <v>35.94</v>
      </c>
      <c r="BP242" s="127">
        <f t="shared" si="31"/>
        <v>2082.828</v>
      </c>
    </row>
    <row r="243" spans="1:68" s="246" customFormat="1" ht="19.5" customHeight="1" outlineLevel="5" x14ac:dyDescent="0.25">
      <c r="A243" s="242"/>
      <c r="B243" s="229"/>
      <c r="C243" s="242"/>
      <c r="D243" s="242"/>
      <c r="E243" s="242"/>
      <c r="F243" s="242"/>
      <c r="G243" s="242"/>
      <c r="H243" s="242"/>
      <c r="I243" s="242"/>
      <c r="J243" s="229"/>
      <c r="K243" s="243"/>
      <c r="L243" s="242"/>
      <c r="M243" s="229"/>
      <c r="N243" s="229"/>
      <c r="O243" s="229"/>
      <c r="P243" s="229"/>
      <c r="Q243" s="229"/>
      <c r="R243" s="229"/>
      <c r="S243" s="229"/>
      <c r="T243" s="229"/>
      <c r="U243" s="229"/>
      <c r="V243" s="229"/>
      <c r="W243" s="229"/>
      <c r="X243" s="229"/>
      <c r="Y243" s="229"/>
      <c r="Z243" s="229"/>
      <c r="AA243" s="229"/>
      <c r="AB243" s="247"/>
      <c r="AC243" s="219" t="s">
        <v>307</v>
      </c>
      <c r="AD243" s="220" t="s">
        <v>247</v>
      </c>
      <c r="AE243" s="221">
        <v>93.46</v>
      </c>
      <c r="AF243" s="233">
        <v>0</v>
      </c>
      <c r="AG243" s="234">
        <v>70.86</v>
      </c>
      <c r="AH243" s="224">
        <f>1.33+10.6</f>
        <v>11.93</v>
      </c>
      <c r="AI243" s="225"/>
      <c r="AJ243" s="226">
        <f>0.88+9.4</f>
        <v>10.280000000000001</v>
      </c>
      <c r="AK243" s="224">
        <v>0</v>
      </c>
      <c r="AL243" s="225">
        <v>0</v>
      </c>
      <c r="AM243" s="226">
        <v>10.56</v>
      </c>
      <c r="AN243" s="224"/>
      <c r="AO243" s="225"/>
      <c r="AP243" s="227">
        <v>6.16</v>
      </c>
      <c r="AQ243" s="224">
        <v>0.66</v>
      </c>
      <c r="AR243" s="225"/>
      <c r="AS243" s="227">
        <v>0</v>
      </c>
      <c r="AT243" s="224">
        <v>18.53</v>
      </c>
      <c r="AU243" s="225"/>
      <c r="AV243" s="227">
        <v>4.51</v>
      </c>
      <c r="AW243" s="224">
        <v>3.867</v>
      </c>
      <c r="AX243" s="225"/>
      <c r="AY243" s="227">
        <v>4.4009999999999998</v>
      </c>
      <c r="AZ243" s="224">
        <v>19.989999999999998</v>
      </c>
      <c r="BA243" s="225"/>
      <c r="BB243" s="236">
        <v>5.8680000000000003</v>
      </c>
      <c r="BC243" s="224">
        <v>11.9</v>
      </c>
      <c r="BD243" s="225"/>
      <c r="BE243" s="226">
        <v>6.8</v>
      </c>
      <c r="BF243" s="228">
        <v>1.6</v>
      </c>
      <c r="BG243" s="225"/>
      <c r="BH243" s="227">
        <v>0.88</v>
      </c>
      <c r="BI243" s="240">
        <v>1.6</v>
      </c>
      <c r="BJ243" s="238"/>
      <c r="BK243" s="241">
        <v>1.76</v>
      </c>
      <c r="BL243" s="229"/>
      <c r="BM243" s="229"/>
      <c r="BN243" s="125">
        <f t="shared" si="29"/>
        <v>163.53699999999998</v>
      </c>
      <c r="BO243" s="126">
        <f t="shared" si="30"/>
        <v>0</v>
      </c>
      <c r="BP243" s="127">
        <f t="shared" si="31"/>
        <v>122.07899999999999</v>
      </c>
    </row>
    <row r="244" spans="1:68" s="230" customFormat="1" ht="19.5" customHeight="1" outlineLevel="5" x14ac:dyDescent="0.25">
      <c r="A244" s="216"/>
      <c r="B244" s="215"/>
      <c r="C244" s="216"/>
      <c r="D244" s="216"/>
      <c r="E244" s="216"/>
      <c r="F244" s="216"/>
      <c r="G244" s="216"/>
      <c r="H244" s="216"/>
      <c r="I244" s="216"/>
      <c r="J244" s="215"/>
      <c r="K244" s="217"/>
      <c r="L244" s="216"/>
      <c r="M244" s="215"/>
      <c r="N244" s="215"/>
      <c r="O244" s="215"/>
      <c r="P244" s="215"/>
      <c r="Q244" s="215"/>
      <c r="R244" s="215"/>
      <c r="S244" s="215"/>
      <c r="T244" s="215"/>
      <c r="U244" s="215"/>
      <c r="V244" s="215"/>
      <c r="W244" s="215"/>
      <c r="X244" s="215"/>
      <c r="Y244" s="215"/>
      <c r="Z244" s="215"/>
      <c r="AA244" s="215"/>
      <c r="AB244" s="247"/>
      <c r="AC244" s="219" t="s">
        <v>308</v>
      </c>
      <c r="AD244" s="220" t="s">
        <v>247</v>
      </c>
      <c r="AE244" s="221"/>
      <c r="AF244" s="248"/>
      <c r="AG244" s="249"/>
      <c r="AH244" s="224"/>
      <c r="AI244" s="225"/>
      <c r="AJ244" s="226"/>
      <c r="AK244" s="224"/>
      <c r="AL244" s="225"/>
      <c r="AM244" s="226"/>
      <c r="AN244" s="224"/>
      <c r="AO244" s="225"/>
      <c r="AP244" s="227"/>
      <c r="AQ244" s="224"/>
      <c r="AR244" s="225"/>
      <c r="AS244" s="227"/>
      <c r="AT244" s="224"/>
      <c r="AU244" s="225"/>
      <c r="AV244" s="227"/>
      <c r="AW244" s="224">
        <f>87.6+45.39+113.4+1669.193</f>
        <v>1915.5830000000001</v>
      </c>
      <c r="AX244" s="225"/>
      <c r="AY244" s="227">
        <f>96.388+49.944+124.784+2263.623</f>
        <v>2534.739</v>
      </c>
      <c r="AZ244" s="224">
        <f>1896.287-3.594</f>
        <v>1892.693</v>
      </c>
      <c r="BA244" s="225"/>
      <c r="BB244" s="236">
        <v>2495.91</v>
      </c>
      <c r="BC244" s="224"/>
      <c r="BD244" s="225"/>
      <c r="BE244" s="226"/>
      <c r="BF244" s="237">
        <v>2711.28</v>
      </c>
      <c r="BG244" s="238"/>
      <c r="BH244" s="239">
        <v>2711.28</v>
      </c>
      <c r="BI244" s="240"/>
      <c r="BJ244" s="238"/>
      <c r="BK244" s="241"/>
      <c r="BL244" s="229"/>
      <c r="BM244" s="215"/>
      <c r="BN244" s="125">
        <f t="shared" si="29"/>
        <v>6519.5560000000005</v>
      </c>
      <c r="BO244" s="126">
        <f t="shared" si="30"/>
        <v>0</v>
      </c>
      <c r="BP244" s="127">
        <f t="shared" si="31"/>
        <v>7741.9290000000001</v>
      </c>
    </row>
    <row r="245" spans="1:68" s="230" customFormat="1" ht="19.5" customHeight="1" outlineLevel="5" x14ac:dyDescent="0.25">
      <c r="A245" s="216"/>
      <c r="B245" s="215"/>
      <c r="C245" s="216"/>
      <c r="D245" s="216"/>
      <c r="E245" s="216"/>
      <c r="F245" s="216"/>
      <c r="G245" s="216"/>
      <c r="H245" s="216"/>
      <c r="I245" s="216"/>
      <c r="J245" s="215"/>
      <c r="K245" s="217"/>
      <c r="L245" s="216"/>
      <c r="M245" s="215"/>
      <c r="N245" s="215"/>
      <c r="O245" s="215"/>
      <c r="P245" s="215"/>
      <c r="Q245" s="215"/>
      <c r="R245" s="215"/>
      <c r="S245" s="215"/>
      <c r="T245" s="215"/>
      <c r="U245" s="215"/>
      <c r="V245" s="215"/>
      <c r="W245" s="215"/>
      <c r="X245" s="215"/>
      <c r="Y245" s="215"/>
      <c r="Z245" s="215"/>
      <c r="AA245" s="215"/>
      <c r="AB245" s="251"/>
      <c r="AC245" s="219" t="s">
        <v>309</v>
      </c>
      <c r="AD245" s="220" t="s">
        <v>247</v>
      </c>
      <c r="AE245" s="221"/>
      <c r="AF245" s="248"/>
      <c r="AG245" s="249"/>
      <c r="AH245" s="224"/>
      <c r="AI245" s="225"/>
      <c r="AJ245" s="226"/>
      <c r="AK245" s="224"/>
      <c r="AL245" s="225"/>
      <c r="AM245" s="226"/>
      <c r="AN245" s="224"/>
      <c r="AO245" s="225"/>
      <c r="AP245" s="227"/>
      <c r="AQ245" s="224"/>
      <c r="AR245" s="225"/>
      <c r="AS245" s="227"/>
      <c r="AT245" s="224"/>
      <c r="AU245" s="225"/>
      <c r="AV245" s="227"/>
      <c r="AW245" s="224"/>
      <c r="AX245" s="225"/>
      <c r="AY245" s="227"/>
      <c r="AZ245" s="224"/>
      <c r="BA245" s="225"/>
      <c r="BB245" s="227"/>
      <c r="BC245" s="224"/>
      <c r="BD245" s="225"/>
      <c r="BE245" s="226"/>
      <c r="BF245" s="237"/>
      <c r="BG245" s="238"/>
      <c r="BH245" s="239"/>
      <c r="BI245" s="240">
        <v>147.63999999999999</v>
      </c>
      <c r="BJ245" s="238"/>
      <c r="BK245" s="241">
        <v>168.3</v>
      </c>
      <c r="BL245" s="229"/>
      <c r="BM245" s="215"/>
      <c r="BN245" s="125">
        <f t="shared" si="29"/>
        <v>147.63999999999999</v>
      </c>
      <c r="BO245" s="126">
        <f t="shared" si="30"/>
        <v>0</v>
      </c>
      <c r="BP245" s="127">
        <f t="shared" si="31"/>
        <v>168.3</v>
      </c>
    </row>
    <row r="246" spans="1:68" s="230" customFormat="1" ht="19.5" customHeight="1" outlineLevel="5" x14ac:dyDescent="0.25">
      <c r="A246" s="216"/>
      <c r="B246" s="215"/>
      <c r="C246" s="216"/>
      <c r="D246" s="216"/>
      <c r="E246" s="216"/>
      <c r="F246" s="216"/>
      <c r="G246" s="216"/>
      <c r="H246" s="216"/>
      <c r="I246" s="216"/>
      <c r="J246" s="215"/>
      <c r="K246" s="217"/>
      <c r="L246" s="216"/>
      <c r="M246" s="215"/>
      <c r="N246" s="215"/>
      <c r="O246" s="215"/>
      <c r="P246" s="215"/>
      <c r="Q246" s="215"/>
      <c r="R246" s="215"/>
      <c r="S246" s="215"/>
      <c r="T246" s="215"/>
      <c r="U246" s="215"/>
      <c r="V246" s="215"/>
      <c r="W246" s="215"/>
      <c r="X246" s="215"/>
      <c r="Y246" s="215"/>
      <c r="Z246" s="215"/>
      <c r="AA246" s="215"/>
      <c r="AB246" s="251"/>
      <c r="AC246" s="219" t="s">
        <v>310</v>
      </c>
      <c r="AD246" s="220" t="s">
        <v>247</v>
      </c>
      <c r="AE246" s="221"/>
      <c r="AF246" s="248"/>
      <c r="AG246" s="249"/>
      <c r="AH246" s="224"/>
      <c r="AI246" s="225"/>
      <c r="AJ246" s="226"/>
      <c r="AK246" s="224"/>
      <c r="AL246" s="225"/>
      <c r="AM246" s="226"/>
      <c r="AN246" s="224"/>
      <c r="AO246" s="225"/>
      <c r="AP246" s="227"/>
      <c r="AQ246" s="224"/>
      <c r="AR246" s="225"/>
      <c r="AS246" s="227"/>
      <c r="AT246" s="224"/>
      <c r="AU246" s="225"/>
      <c r="AV246" s="227"/>
      <c r="AW246" s="224"/>
      <c r="AX246" s="225"/>
      <c r="AY246" s="227"/>
      <c r="AZ246" s="224"/>
      <c r="BA246" s="225"/>
      <c r="BB246" s="227"/>
      <c r="BC246" s="224"/>
      <c r="BD246" s="225"/>
      <c r="BE246" s="226"/>
      <c r="BF246" s="237"/>
      <c r="BG246" s="238"/>
      <c r="BH246" s="239"/>
      <c r="BI246" s="240">
        <v>1.1000000000000001</v>
      </c>
      <c r="BJ246" s="238"/>
      <c r="BK246" s="241">
        <v>1.22</v>
      </c>
      <c r="BL246" s="229"/>
      <c r="BM246" s="215"/>
      <c r="BN246" s="125">
        <f t="shared" si="29"/>
        <v>1.1000000000000001</v>
      </c>
      <c r="BO246" s="126">
        <f t="shared" si="30"/>
        <v>0</v>
      </c>
      <c r="BP246" s="127">
        <f t="shared" si="31"/>
        <v>1.22</v>
      </c>
    </row>
    <row r="247" spans="1:68" s="230" customFormat="1" ht="19.5" customHeight="1" outlineLevel="5" x14ac:dyDescent="0.25">
      <c r="A247" s="216"/>
      <c r="B247" s="215"/>
      <c r="C247" s="216"/>
      <c r="D247" s="216"/>
      <c r="E247" s="216"/>
      <c r="F247" s="216"/>
      <c r="G247" s="216"/>
      <c r="H247" s="216"/>
      <c r="I247" s="216"/>
      <c r="J247" s="215"/>
      <c r="K247" s="217"/>
      <c r="L247" s="216"/>
      <c r="M247" s="215"/>
      <c r="N247" s="215"/>
      <c r="O247" s="215"/>
      <c r="P247" s="215"/>
      <c r="Q247" s="215"/>
      <c r="R247" s="215"/>
      <c r="S247" s="215"/>
      <c r="T247" s="215"/>
      <c r="U247" s="215"/>
      <c r="V247" s="215"/>
      <c r="W247" s="215"/>
      <c r="X247" s="215"/>
      <c r="Y247" s="215"/>
      <c r="Z247" s="215"/>
      <c r="AA247" s="215"/>
      <c r="AB247" s="251"/>
      <c r="AC247" s="219" t="s">
        <v>311</v>
      </c>
      <c r="AD247" s="220" t="s">
        <v>247</v>
      </c>
      <c r="AE247" s="245"/>
      <c r="AF247" s="248"/>
      <c r="AG247" s="249"/>
      <c r="AH247" s="224"/>
      <c r="AI247" s="225"/>
      <c r="AJ247" s="226"/>
      <c r="AK247" s="224"/>
      <c r="AL247" s="225"/>
      <c r="AM247" s="226"/>
      <c r="AN247" s="224"/>
      <c r="AO247" s="225"/>
      <c r="AP247" s="227"/>
      <c r="AQ247" s="224"/>
      <c r="AR247" s="225"/>
      <c r="AS247" s="227"/>
      <c r="AT247" s="224"/>
      <c r="AU247" s="225"/>
      <c r="AV247" s="227"/>
      <c r="AW247" s="224"/>
      <c r="AX247" s="225"/>
      <c r="AY247" s="227"/>
      <c r="AZ247" s="224"/>
      <c r="BA247" s="225"/>
      <c r="BB247" s="227"/>
      <c r="BC247" s="224"/>
      <c r="BD247" s="225"/>
      <c r="BE247" s="226"/>
      <c r="BF247" s="228"/>
      <c r="BG247" s="225"/>
      <c r="BH247" s="227"/>
      <c r="BI247" s="240">
        <v>26.11</v>
      </c>
      <c r="BJ247" s="238"/>
      <c r="BK247" s="241">
        <v>28.73</v>
      </c>
      <c r="BL247" s="229"/>
      <c r="BM247" s="215"/>
      <c r="BN247" s="125">
        <f t="shared" si="29"/>
        <v>26.11</v>
      </c>
      <c r="BO247" s="126">
        <f t="shared" si="30"/>
        <v>0</v>
      </c>
      <c r="BP247" s="127">
        <f t="shared" si="31"/>
        <v>28.73</v>
      </c>
    </row>
    <row r="248" spans="1:68" s="230" customFormat="1" ht="19.5" customHeight="1" outlineLevel="5" x14ac:dyDescent="0.25">
      <c r="A248" s="216"/>
      <c r="B248" s="215"/>
      <c r="C248" s="216"/>
      <c r="D248" s="216"/>
      <c r="E248" s="216"/>
      <c r="F248" s="216"/>
      <c r="G248" s="216"/>
      <c r="H248" s="216"/>
      <c r="I248" s="216"/>
      <c r="J248" s="215"/>
      <c r="K248" s="217"/>
      <c r="L248" s="216"/>
      <c r="M248" s="215"/>
      <c r="N248" s="215"/>
      <c r="O248" s="215"/>
      <c r="P248" s="215"/>
      <c r="Q248" s="215"/>
      <c r="R248" s="215"/>
      <c r="S248" s="215"/>
      <c r="T248" s="215"/>
      <c r="U248" s="215"/>
      <c r="V248" s="215"/>
      <c r="W248" s="215"/>
      <c r="X248" s="215"/>
      <c r="Y248" s="215"/>
      <c r="Z248" s="215"/>
      <c r="AA248" s="215"/>
      <c r="AB248" s="247"/>
      <c r="AC248" s="219" t="s">
        <v>312</v>
      </c>
      <c r="AD248" s="220" t="s">
        <v>247</v>
      </c>
      <c r="AE248" s="221"/>
      <c r="AF248" s="248"/>
      <c r="AG248" s="249"/>
      <c r="AH248" s="224"/>
      <c r="AI248" s="225"/>
      <c r="AJ248" s="226"/>
      <c r="AK248" s="224"/>
      <c r="AL248" s="225"/>
      <c r="AM248" s="226"/>
      <c r="AN248" s="224"/>
      <c r="AO248" s="225"/>
      <c r="AP248" s="227"/>
      <c r="AQ248" s="224"/>
      <c r="AR248" s="225"/>
      <c r="AS248" s="227"/>
      <c r="AT248" s="224"/>
      <c r="AU248" s="225"/>
      <c r="AV248" s="227"/>
      <c r="AW248" s="224"/>
      <c r="AX248" s="225"/>
      <c r="AY248" s="227"/>
      <c r="AZ248" s="224">
        <v>3702.97</v>
      </c>
      <c r="BA248" s="225"/>
      <c r="BB248" s="227"/>
      <c r="BC248" s="224"/>
      <c r="BD248" s="225"/>
      <c r="BE248" s="226"/>
      <c r="BF248" s="228"/>
      <c r="BG248" s="225"/>
      <c r="BH248" s="227"/>
      <c r="BI248" s="224"/>
      <c r="BJ248" s="225"/>
      <c r="BK248" s="226"/>
      <c r="BL248" s="229"/>
      <c r="BM248" s="215"/>
      <c r="BN248" s="125">
        <f t="shared" si="29"/>
        <v>3702.97</v>
      </c>
      <c r="BO248" s="126">
        <f t="shared" si="30"/>
        <v>0</v>
      </c>
      <c r="BP248" s="127">
        <f t="shared" si="31"/>
        <v>0</v>
      </c>
    </row>
    <row r="249" spans="1:68" s="171" customFormat="1" ht="27" customHeight="1" outlineLevel="3" x14ac:dyDescent="0.25">
      <c r="A249" s="166"/>
      <c r="B249" s="166"/>
      <c r="C249" s="167" t="s">
        <v>83</v>
      </c>
      <c r="D249" s="167" t="s">
        <v>84</v>
      </c>
      <c r="E249" s="167" t="s">
        <v>73</v>
      </c>
      <c r="F249" s="167" t="s">
        <v>74</v>
      </c>
      <c r="G249" s="167" t="s">
        <v>313</v>
      </c>
      <c r="H249" s="167" t="s">
        <v>73</v>
      </c>
      <c r="I249" s="167" t="s">
        <v>73</v>
      </c>
      <c r="J249" s="166"/>
      <c r="K249" s="168" t="s">
        <v>73</v>
      </c>
      <c r="L249" s="167" t="s">
        <v>192</v>
      </c>
      <c r="M249" s="166" t="str">
        <f t="array" ref="M249">Y96</f>
        <v>1ХВС::1.1</v>
      </c>
      <c r="N249" s="166"/>
      <c r="O249" s="166"/>
      <c r="P249" s="166"/>
      <c r="Q249" s="166"/>
      <c r="R249" s="166"/>
      <c r="S249" s="166"/>
      <c r="T249" s="166"/>
      <c r="U249" s="166"/>
      <c r="V249" s="166"/>
      <c r="W249" s="166"/>
      <c r="X249" s="166"/>
      <c r="Y249" s="166"/>
      <c r="Z249" s="166"/>
      <c r="AA249" s="166"/>
      <c r="AB249" s="155" t="str">
        <f>AB147&amp;".2"</f>
        <v>3.1.1.2</v>
      </c>
      <c r="AC249" s="252" t="s">
        <v>314</v>
      </c>
      <c r="AD249" s="157" t="s">
        <v>111</v>
      </c>
      <c r="AE249" s="253">
        <f t="shared" ref="AE249:BK249" si="32">AE250+AE251+AE252</f>
        <v>88223.900660000014</v>
      </c>
      <c r="AF249" s="159">
        <f t="shared" si="32"/>
        <v>131876.88</v>
      </c>
      <c r="AG249" s="254">
        <f t="shared" si="32"/>
        <v>245682.41476000001</v>
      </c>
      <c r="AH249" s="253">
        <f t="shared" si="32"/>
        <v>479.90248000000003</v>
      </c>
      <c r="AI249" s="159">
        <f t="shared" si="32"/>
        <v>611.29</v>
      </c>
      <c r="AJ249" s="254">
        <f t="shared" si="32"/>
        <v>2295.3040799999999</v>
      </c>
      <c r="AK249" s="253">
        <f t="shared" si="32"/>
        <v>12244.75</v>
      </c>
      <c r="AL249" s="159">
        <f t="shared" si="32"/>
        <v>11165.470000000001</v>
      </c>
      <c r="AM249" s="254">
        <f t="shared" si="32"/>
        <v>19832.07</v>
      </c>
      <c r="AN249" s="253">
        <f t="shared" si="32"/>
        <v>11820.376</v>
      </c>
      <c r="AO249" s="159">
        <f t="shared" si="32"/>
        <v>10300.25</v>
      </c>
      <c r="AP249" s="254">
        <f t="shared" si="32"/>
        <v>17947.806</v>
      </c>
      <c r="AQ249" s="253">
        <f t="shared" si="32"/>
        <v>11826.354000000001</v>
      </c>
      <c r="AR249" s="159">
        <f t="shared" si="32"/>
        <v>1426.2194</v>
      </c>
      <c r="AS249" s="254">
        <f t="shared" si="32"/>
        <v>20946.941999999999</v>
      </c>
      <c r="AT249" s="253">
        <f t="shared" si="32"/>
        <v>25670.975000000002</v>
      </c>
      <c r="AU249" s="159">
        <f t="shared" si="32"/>
        <v>27797.5</v>
      </c>
      <c r="AV249" s="254">
        <f t="shared" si="32"/>
        <v>31407.010000000002</v>
      </c>
      <c r="AW249" s="253">
        <f t="shared" si="32"/>
        <v>26267.035842000001</v>
      </c>
      <c r="AX249" s="159">
        <f t="shared" si="32"/>
        <v>1624.6013573999999</v>
      </c>
      <c r="AY249" s="254">
        <f t="shared" si="32"/>
        <v>24977.382546000001</v>
      </c>
      <c r="AZ249" s="253">
        <f t="shared" si="32"/>
        <v>23142.955625999999</v>
      </c>
      <c r="BA249" s="159">
        <f t="shared" si="32"/>
        <v>39929.092865999999</v>
      </c>
      <c r="BB249" s="254">
        <f t="shared" si="32"/>
        <v>43285.575733155754</v>
      </c>
      <c r="BC249" s="253">
        <f t="shared" si="32"/>
        <v>73431.900000000009</v>
      </c>
      <c r="BD249" s="159">
        <f t="shared" si="32"/>
        <v>49703.5</v>
      </c>
      <c r="BE249" s="254">
        <f t="shared" si="32"/>
        <v>76894.962199999994</v>
      </c>
      <c r="BF249" s="253">
        <f t="shared" si="32"/>
        <v>20628.200819999998</v>
      </c>
      <c r="BG249" s="159">
        <f t="shared" si="32"/>
        <v>20305.100839999999</v>
      </c>
      <c r="BH249" s="254">
        <f t="shared" si="32"/>
        <v>22738.719079999999</v>
      </c>
      <c r="BI249" s="253">
        <f t="shared" si="32"/>
        <v>17310.487959999999</v>
      </c>
      <c r="BJ249" s="159">
        <f t="shared" si="32"/>
        <v>22104.10626</v>
      </c>
      <c r="BK249" s="254">
        <f t="shared" si="32"/>
        <v>21695.509160000001</v>
      </c>
      <c r="BL249" s="170"/>
      <c r="BM249" s="166"/>
      <c r="BN249" s="163">
        <f t="shared" si="29"/>
        <v>311046.83838800009</v>
      </c>
      <c r="BO249" s="164">
        <f t="shared" si="30"/>
        <v>316844.01072340005</v>
      </c>
      <c r="BP249" s="165">
        <f t="shared" si="31"/>
        <v>527703.69555915578</v>
      </c>
    </row>
    <row r="250" spans="1:68" ht="27" customHeight="1" outlineLevel="4" x14ac:dyDescent="0.25">
      <c r="C250" s="10" t="s">
        <v>83</v>
      </c>
      <c r="D250" s="10" t="s">
        <v>84</v>
      </c>
      <c r="E250" s="10" t="s">
        <v>73</v>
      </c>
      <c r="F250" s="10" t="s">
        <v>74</v>
      </c>
      <c r="G250" s="10" t="s">
        <v>315</v>
      </c>
      <c r="H250" s="10" t="s">
        <v>73</v>
      </c>
      <c r="I250" s="10" t="s">
        <v>73</v>
      </c>
      <c r="K250" s="12" t="s">
        <v>73</v>
      </c>
      <c r="L250" s="10" t="s">
        <v>192</v>
      </c>
      <c r="M250" s="5" t="str">
        <f t="array" ref="M250">Y96</f>
        <v>1ХВС::1.1</v>
      </c>
      <c r="AB250" s="29" t="str">
        <f>AB249&amp;".1"</f>
        <v>3.1.1.2.1</v>
      </c>
      <c r="AC250" s="174" t="s">
        <v>316</v>
      </c>
      <c r="AD250" s="51" t="s">
        <v>111</v>
      </c>
      <c r="AE250" s="72">
        <v>10712.64</v>
      </c>
      <c r="AF250" s="178">
        <v>13947.25</v>
      </c>
      <c r="AG250" s="96">
        <v>14354.42</v>
      </c>
      <c r="AH250" s="72">
        <v>165.58</v>
      </c>
      <c r="AI250" s="178"/>
      <c r="AJ250" s="96">
        <v>77.290000000000006</v>
      </c>
      <c r="AK250" s="72">
        <v>443.99</v>
      </c>
      <c r="AL250" s="178">
        <v>609.63</v>
      </c>
      <c r="AM250" s="96">
        <v>328.89</v>
      </c>
      <c r="AN250" s="72">
        <v>232.29</v>
      </c>
      <c r="AO250" s="178">
        <v>1625.16</v>
      </c>
      <c r="AP250" s="181">
        <v>363.82</v>
      </c>
      <c r="AQ250" s="72">
        <v>156.03</v>
      </c>
      <c r="AR250" s="178">
        <v>217.71</v>
      </c>
      <c r="AS250" s="181">
        <v>339.89</v>
      </c>
      <c r="AT250" s="72">
        <v>485.11</v>
      </c>
      <c r="AU250" s="178">
        <v>1220.58</v>
      </c>
      <c r="AV250" s="181">
        <v>1293.8399999999999</v>
      </c>
      <c r="AW250" s="72">
        <v>624.76300000000003</v>
      </c>
      <c r="AX250" s="178"/>
      <c r="AY250" s="181">
        <v>432.44499999999999</v>
      </c>
      <c r="AZ250" s="72">
        <v>1822.76</v>
      </c>
      <c r="BA250" s="178">
        <v>652.14</v>
      </c>
      <c r="BB250" s="181">
        <v>2156.11</v>
      </c>
      <c r="BC250" s="72">
        <v>2095.64</v>
      </c>
      <c r="BD250" s="178">
        <v>721.11</v>
      </c>
      <c r="BE250" s="96">
        <v>2179.4657000000002</v>
      </c>
      <c r="BF250" s="139">
        <v>68.66</v>
      </c>
      <c r="BG250" s="183">
        <v>304.86</v>
      </c>
      <c r="BH250" s="184">
        <v>170.59</v>
      </c>
      <c r="BI250" s="142">
        <v>443.91</v>
      </c>
      <c r="BJ250" s="183">
        <v>404.83</v>
      </c>
      <c r="BK250" s="186">
        <v>488.4</v>
      </c>
      <c r="BN250" s="125">
        <f t="shared" si="29"/>
        <v>17251.373000000003</v>
      </c>
      <c r="BO250" s="126">
        <f t="shared" si="30"/>
        <v>19703.270000000004</v>
      </c>
      <c r="BP250" s="127">
        <f t="shared" si="31"/>
        <v>22185.1607</v>
      </c>
    </row>
    <row r="251" spans="1:68" ht="24" customHeight="1" outlineLevel="4" x14ac:dyDescent="0.25">
      <c r="C251" s="10" t="s">
        <v>83</v>
      </c>
      <c r="D251" s="10" t="s">
        <v>84</v>
      </c>
      <c r="E251" s="10" t="s">
        <v>73</v>
      </c>
      <c r="F251" s="10" t="s">
        <v>74</v>
      </c>
      <c r="G251" s="10" t="s">
        <v>317</v>
      </c>
      <c r="H251" s="10" t="s">
        <v>73</v>
      </c>
      <c r="I251" s="10" t="s">
        <v>73</v>
      </c>
      <c r="K251" s="12" t="s">
        <v>73</v>
      </c>
      <c r="L251" s="10" t="s">
        <v>192</v>
      </c>
      <c r="M251" s="5" t="str">
        <f t="array" ref="M251">Y96</f>
        <v>1ХВС::1.1</v>
      </c>
      <c r="AB251" s="29" t="str">
        <f>AB249&amp;".2"</f>
        <v>3.1.1.2.2</v>
      </c>
      <c r="AC251" s="174" t="s">
        <v>318</v>
      </c>
      <c r="AD251" s="51" t="s">
        <v>111</v>
      </c>
      <c r="AE251" s="72">
        <v>38974.980000000003</v>
      </c>
      <c r="AF251" s="178">
        <v>73584.66</v>
      </c>
      <c r="AG251" s="96">
        <v>114297.23</v>
      </c>
      <c r="AH251" s="72">
        <v>40.590000000000003</v>
      </c>
      <c r="AI251" s="178"/>
      <c r="AJ251" s="96">
        <v>302.72000000000003</v>
      </c>
      <c r="AK251" s="72">
        <v>5614.78</v>
      </c>
      <c r="AL251" s="178">
        <v>1416.82</v>
      </c>
      <c r="AM251" s="96">
        <v>8270.7199999999993</v>
      </c>
      <c r="AN251" s="72">
        <v>3759.32</v>
      </c>
      <c r="AO251" s="178">
        <v>2411.23</v>
      </c>
      <c r="AP251" s="181">
        <v>8689.44</v>
      </c>
      <c r="AQ251" s="72">
        <v>8728.0730000000003</v>
      </c>
      <c r="AR251" s="178"/>
      <c r="AS251" s="181">
        <v>15954.81</v>
      </c>
      <c r="AT251" s="72">
        <v>22204.47</v>
      </c>
      <c r="AU251" s="178">
        <v>7596.32</v>
      </c>
      <c r="AV251" s="181">
        <v>14607.34</v>
      </c>
      <c r="AW251" s="72">
        <v>19961.294000000002</v>
      </c>
      <c r="AX251" s="178"/>
      <c r="AY251" s="181">
        <v>17481.167000000001</v>
      </c>
      <c r="AZ251" s="72">
        <v>14508.31</v>
      </c>
      <c r="BA251" s="178">
        <v>8227.5300000000007</v>
      </c>
      <c r="BB251" s="181">
        <f>28730.393-6314.19</f>
        <v>22416.203000000001</v>
      </c>
      <c r="BC251" s="72">
        <v>62387.16</v>
      </c>
      <c r="BD251" s="178">
        <v>39210.870000000003</v>
      </c>
      <c r="BE251" s="96">
        <f>64882.6465-690.29</f>
        <v>64192.356500000002</v>
      </c>
      <c r="BF251" s="139">
        <v>18783.73</v>
      </c>
      <c r="BG251" s="183">
        <v>18311</v>
      </c>
      <c r="BH251" s="184">
        <v>19015.57</v>
      </c>
      <c r="BI251" s="142">
        <v>15607.57</v>
      </c>
      <c r="BJ251" s="183">
        <v>20054.03</v>
      </c>
      <c r="BK251" s="186">
        <v>19341.89</v>
      </c>
      <c r="BN251" s="125">
        <f t="shared" si="29"/>
        <v>210570.27700000003</v>
      </c>
      <c r="BO251" s="126">
        <f t="shared" si="30"/>
        <v>170812.46</v>
      </c>
      <c r="BP251" s="127">
        <f t="shared" si="31"/>
        <v>304569.44650000002</v>
      </c>
    </row>
    <row r="252" spans="1:68" ht="38.25" customHeight="1" outlineLevel="4" x14ac:dyDescent="0.25">
      <c r="C252" s="10" t="s">
        <v>83</v>
      </c>
      <c r="D252" s="10" t="s">
        <v>84</v>
      </c>
      <c r="E252" s="10" t="s">
        <v>73</v>
      </c>
      <c r="F252" s="10" t="s">
        <v>74</v>
      </c>
      <c r="G252" s="10" t="s">
        <v>201</v>
      </c>
      <c r="H252" s="10" t="s">
        <v>319</v>
      </c>
      <c r="I252" s="10" t="s">
        <v>73</v>
      </c>
      <c r="K252" s="12" t="s">
        <v>73</v>
      </c>
      <c r="L252" s="10" t="s">
        <v>192</v>
      </c>
      <c r="M252" s="5" t="str">
        <f t="array" ref="M252">Y96</f>
        <v>1ХВС::1.1</v>
      </c>
      <c r="AB252" s="29" t="str">
        <f>AB249&amp;".3"</f>
        <v>3.1.1.2.3</v>
      </c>
      <c r="AC252" s="174" t="s">
        <v>320</v>
      </c>
      <c r="AD252" s="51" t="s">
        <v>111</v>
      </c>
      <c r="AE252" s="72">
        <f t="shared" ref="AE252:AJ252" si="33">AE253+AE256</f>
        <v>38536.280660000004</v>
      </c>
      <c r="AF252" s="73">
        <f t="shared" si="33"/>
        <v>44344.97</v>
      </c>
      <c r="AG252" s="74">
        <f t="shared" si="33"/>
        <v>117030.76476000001</v>
      </c>
      <c r="AH252" s="72">
        <f t="shared" si="33"/>
        <v>273.73248000000001</v>
      </c>
      <c r="AI252" s="73">
        <f t="shared" si="33"/>
        <v>611.29</v>
      </c>
      <c r="AJ252" s="74">
        <f t="shared" si="33"/>
        <v>1915.2940799999999</v>
      </c>
      <c r="AK252" s="72">
        <v>6185.98</v>
      </c>
      <c r="AL252" s="73">
        <v>9139.02</v>
      </c>
      <c r="AM252" s="74">
        <v>11232.46</v>
      </c>
      <c r="AN252" s="72">
        <f t="shared" ref="AN252:BB252" si="34">AN253+AN256</f>
        <v>7828.7660000000005</v>
      </c>
      <c r="AO252" s="73">
        <f t="shared" si="34"/>
        <v>6263.8600000000006</v>
      </c>
      <c r="AP252" s="138">
        <f t="shared" si="34"/>
        <v>8894.5460000000003</v>
      </c>
      <c r="AQ252" s="72">
        <f t="shared" si="34"/>
        <v>2942.2510000000002</v>
      </c>
      <c r="AR252" s="73">
        <f t="shared" si="34"/>
        <v>1208.5093999999999</v>
      </c>
      <c r="AS252" s="138">
        <f t="shared" si="34"/>
        <v>4652.2420000000002</v>
      </c>
      <c r="AT252" s="72">
        <f t="shared" si="34"/>
        <v>2981.395</v>
      </c>
      <c r="AU252" s="73">
        <f t="shared" si="34"/>
        <v>18980.599999999999</v>
      </c>
      <c r="AV252" s="138">
        <f t="shared" si="34"/>
        <v>15505.83</v>
      </c>
      <c r="AW252" s="72">
        <f t="shared" si="34"/>
        <v>5680.9788419999995</v>
      </c>
      <c r="AX252" s="73">
        <f t="shared" si="34"/>
        <v>1624.6013573999999</v>
      </c>
      <c r="AY252" s="138">
        <f t="shared" si="34"/>
        <v>7063.7705460000006</v>
      </c>
      <c r="AZ252" s="72">
        <f t="shared" si="34"/>
        <v>6811.8856260000002</v>
      </c>
      <c r="BA252" s="73">
        <f t="shared" si="34"/>
        <v>31049.422866000001</v>
      </c>
      <c r="BB252" s="138">
        <f t="shared" si="34"/>
        <v>18713.262733155749</v>
      </c>
      <c r="BC252" s="72">
        <v>8949.1</v>
      </c>
      <c r="BD252" s="73">
        <v>9771.52</v>
      </c>
      <c r="BE252" s="74">
        <v>10523.14</v>
      </c>
      <c r="BF252" s="139">
        <f t="shared" ref="BF252:BK252" si="35">BF253+BF256</f>
        <v>1775.8108200000001</v>
      </c>
      <c r="BG252" s="140">
        <f t="shared" si="35"/>
        <v>1689.2408400000002</v>
      </c>
      <c r="BH252" s="141">
        <f t="shared" si="35"/>
        <v>3552.55908</v>
      </c>
      <c r="BI252" s="142">
        <f t="shared" si="35"/>
        <v>1259.0079599999999</v>
      </c>
      <c r="BJ252" s="140">
        <f t="shared" si="35"/>
        <v>1645.2462600000001</v>
      </c>
      <c r="BK252" s="143">
        <f t="shared" si="35"/>
        <v>1865.2191599999999</v>
      </c>
      <c r="BN252" s="125">
        <f t="shared" si="29"/>
        <v>83225.18838800001</v>
      </c>
      <c r="BO252" s="126">
        <f t="shared" si="30"/>
        <v>126328.28072339999</v>
      </c>
      <c r="BP252" s="127">
        <f t="shared" si="31"/>
        <v>200949.08835915575</v>
      </c>
    </row>
    <row r="253" spans="1:68" ht="15" customHeight="1" outlineLevel="4" x14ac:dyDescent="0.25">
      <c r="C253" s="10" t="s">
        <v>83</v>
      </c>
      <c r="D253" s="10" t="s">
        <v>84</v>
      </c>
      <c r="E253" s="10" t="s">
        <v>73</v>
      </c>
      <c r="F253" s="10" t="s">
        <v>74</v>
      </c>
      <c r="G253" s="10" t="s">
        <v>204</v>
      </c>
      <c r="H253" s="10" t="s">
        <v>319</v>
      </c>
      <c r="I253" s="10" t="s">
        <v>73</v>
      </c>
      <c r="K253" s="12" t="s">
        <v>73</v>
      </c>
      <c r="L253" s="10" t="s">
        <v>192</v>
      </c>
      <c r="M253" s="5" t="str">
        <f t="array" ref="M253">Y96</f>
        <v>1ХВС::1.1</v>
      </c>
      <c r="AB253" s="29" t="str">
        <f>AB252&amp;".1"</f>
        <v>3.1.1.2.3.1</v>
      </c>
      <c r="AC253" s="177" t="s">
        <v>321</v>
      </c>
      <c r="AD253" s="51" t="s">
        <v>111</v>
      </c>
      <c r="AE253" s="95">
        <f>33530.83-10241.72/2</f>
        <v>28409.97</v>
      </c>
      <c r="AF253" s="178">
        <v>34059.120000000003</v>
      </c>
      <c r="AG253" s="96">
        <f>69885.38+20000</f>
        <v>89885.38</v>
      </c>
      <c r="AH253" s="95">
        <v>210.24</v>
      </c>
      <c r="AI253" s="178">
        <v>469.5</v>
      </c>
      <c r="AJ253" s="96">
        <v>1471.04</v>
      </c>
      <c r="AK253" s="95">
        <v>4751.1350000000002</v>
      </c>
      <c r="AL253" s="178">
        <v>7019.22</v>
      </c>
      <c r="AM253" s="96">
        <v>8627.0789999999997</v>
      </c>
      <c r="AN253" s="95">
        <v>6012.8760000000002</v>
      </c>
      <c r="AO253" s="178">
        <f>4078.69+732.27</f>
        <v>4810.96</v>
      </c>
      <c r="AP253" s="181">
        <v>6831.4459999999999</v>
      </c>
      <c r="AQ253" s="95">
        <v>2259.7910000000002</v>
      </c>
      <c r="AR253" s="178">
        <v>928.18939999999998</v>
      </c>
      <c r="AS253" s="181">
        <v>3573.152</v>
      </c>
      <c r="AT253" s="95">
        <v>2289.855</v>
      </c>
      <c r="AU253" s="178">
        <v>14578.03</v>
      </c>
      <c r="AV253" s="181">
        <v>11909.24</v>
      </c>
      <c r="AW253" s="95">
        <v>4363.2709999999997</v>
      </c>
      <c r="AX253" s="178">
        <v>1247.7737</v>
      </c>
      <c r="AY253" s="181">
        <v>5425.3230000000003</v>
      </c>
      <c r="AZ253" s="95">
        <v>5231.8630000000003</v>
      </c>
      <c r="BA253" s="178">
        <v>23847.483</v>
      </c>
      <c r="BB253" s="181">
        <f>BA254*1.04*BB255*12/1000</f>
        <v>14372.705632224077</v>
      </c>
      <c r="BC253" s="95">
        <v>6873.3469999999998</v>
      </c>
      <c r="BD253" s="178">
        <v>7505.01</v>
      </c>
      <c r="BE253" s="96">
        <v>8082.29</v>
      </c>
      <c r="BF253" s="182">
        <v>1363.91</v>
      </c>
      <c r="BG253" s="183">
        <v>1297.42</v>
      </c>
      <c r="BH253" s="184">
        <v>2728.54</v>
      </c>
      <c r="BI253" s="185">
        <v>966.98</v>
      </c>
      <c r="BJ253" s="183">
        <v>1263.6300000000001</v>
      </c>
      <c r="BK253" s="186">
        <v>1432.58</v>
      </c>
      <c r="BN253" s="125">
        <f t="shared" si="29"/>
        <v>62733.238000000012</v>
      </c>
      <c r="BO253" s="126">
        <f t="shared" si="30"/>
        <v>97026.3361</v>
      </c>
      <c r="BP253" s="127">
        <f t="shared" si="31"/>
        <v>154338.77563222407</v>
      </c>
    </row>
    <row r="254" spans="1:68" s="115" customFormat="1" ht="18" customHeight="1" outlineLevel="4" x14ac:dyDescent="0.25">
      <c r="A254" s="100"/>
      <c r="B254" s="100"/>
      <c r="C254" s="99" t="s">
        <v>206</v>
      </c>
      <c r="D254" s="99" t="s">
        <v>207</v>
      </c>
      <c r="E254" s="99" t="s">
        <v>73</v>
      </c>
      <c r="F254" s="99" t="s">
        <v>74</v>
      </c>
      <c r="G254" s="99" t="s">
        <v>73</v>
      </c>
      <c r="H254" s="99" t="s">
        <v>319</v>
      </c>
      <c r="I254" s="99" t="s">
        <v>73</v>
      </c>
      <c r="J254" s="100"/>
      <c r="K254" s="102" t="s">
        <v>73</v>
      </c>
      <c r="L254" s="99" t="s">
        <v>192</v>
      </c>
      <c r="M254" s="100" t="str">
        <f t="array" ref="M254">Y96</f>
        <v>1ХВС::1.1</v>
      </c>
      <c r="N254" s="100"/>
      <c r="O254" s="100"/>
      <c r="P254" s="100"/>
      <c r="Q254" s="100"/>
      <c r="R254" s="100"/>
      <c r="S254" s="100"/>
      <c r="T254" s="100"/>
      <c r="U254" s="100"/>
      <c r="V254" s="100"/>
      <c r="W254" s="100"/>
      <c r="X254" s="100"/>
      <c r="Y254" s="100"/>
      <c r="Z254" s="100"/>
      <c r="AA254" s="100"/>
      <c r="AB254" s="103" t="str">
        <f>AB253&amp;".1"</f>
        <v>3.1.1.2.3.1.1</v>
      </c>
      <c r="AC254" s="188" t="s">
        <v>208</v>
      </c>
      <c r="AD254" s="189" t="s">
        <v>209</v>
      </c>
      <c r="AE254" s="190">
        <f t="shared" ref="AE254:BK254" si="36">(AE253/AE255)/12*1000</f>
        <v>58456.728395061727</v>
      </c>
      <c r="AF254" s="191">
        <f t="shared" si="36"/>
        <v>57501.215559157223</v>
      </c>
      <c r="AG254" s="192">
        <f t="shared" si="36"/>
        <v>79432.11382113822</v>
      </c>
      <c r="AH254" s="190">
        <f t="shared" si="36"/>
        <v>58400.000000000007</v>
      </c>
      <c r="AI254" s="191">
        <f t="shared" si="36"/>
        <v>39125</v>
      </c>
      <c r="AJ254" s="192">
        <f t="shared" si="36"/>
        <v>49034.666666666657</v>
      </c>
      <c r="AK254" s="190">
        <f t="shared" si="36"/>
        <v>62646.822257383967</v>
      </c>
      <c r="AL254" s="191">
        <f t="shared" si="36"/>
        <v>40733.635097493039</v>
      </c>
      <c r="AM254" s="192">
        <f t="shared" si="36"/>
        <v>48906.343537414963</v>
      </c>
      <c r="AN254" s="190">
        <f t="shared" si="36"/>
        <v>70573.661971830981</v>
      </c>
      <c r="AO254" s="191">
        <f t="shared" si="36"/>
        <v>37294.263565891473</v>
      </c>
      <c r="AP254" s="193">
        <f t="shared" si="36"/>
        <v>46662.882513661199</v>
      </c>
      <c r="AQ254" s="190">
        <f t="shared" si="36"/>
        <v>51735.141941391936</v>
      </c>
      <c r="AR254" s="191">
        <f t="shared" si="36"/>
        <v>34377.38518518518</v>
      </c>
      <c r="AS254" s="193">
        <f t="shared" si="36"/>
        <v>48813.551912568306</v>
      </c>
      <c r="AT254" s="190">
        <f t="shared" si="36"/>
        <v>28020.741556534507</v>
      </c>
      <c r="AU254" s="191">
        <f t="shared" si="36"/>
        <v>42402.646887725423</v>
      </c>
      <c r="AV254" s="193">
        <f t="shared" si="36"/>
        <v>48648.856209150334</v>
      </c>
      <c r="AW254" s="190">
        <f t="shared" si="36"/>
        <v>60000.976347634765</v>
      </c>
      <c r="AX254" s="191">
        <f t="shared" si="36"/>
        <v>34660.380555555552</v>
      </c>
      <c r="AY254" s="193">
        <f t="shared" si="36"/>
        <v>47590.552631578954</v>
      </c>
      <c r="AZ254" s="190">
        <f t="shared" si="36"/>
        <v>34879.08666666667</v>
      </c>
      <c r="BA254" s="191">
        <f t="shared" si="36"/>
        <v>47985.796047756674</v>
      </c>
      <c r="BB254" s="193">
        <f t="shared" si="36"/>
        <v>49905.227889666938</v>
      </c>
      <c r="BC254" s="190">
        <f t="shared" si="36"/>
        <v>53331.37026691495</v>
      </c>
      <c r="BD254" s="191">
        <f t="shared" si="36"/>
        <v>44672.67857142858</v>
      </c>
      <c r="BE254" s="193">
        <f t="shared" si="36"/>
        <v>48108.869047619046</v>
      </c>
      <c r="BF254" s="190">
        <f t="shared" si="36"/>
        <v>56266.91419141915</v>
      </c>
      <c r="BG254" s="191">
        <f t="shared" si="36"/>
        <v>43596.102150537641</v>
      </c>
      <c r="BH254" s="193">
        <f t="shared" si="36"/>
        <v>47869.122807017542</v>
      </c>
      <c r="BI254" s="190">
        <f t="shared" si="36"/>
        <v>49135.162601626012</v>
      </c>
      <c r="BJ254" s="191">
        <f t="shared" si="36"/>
        <v>42460.68548387097</v>
      </c>
      <c r="BK254" s="192">
        <f t="shared" si="36"/>
        <v>47752.666666666664</v>
      </c>
      <c r="BL254" s="111"/>
      <c r="BM254" s="100"/>
      <c r="BN254" s="112">
        <f>(BN253/BN255)/12*1000</f>
        <v>53546.756461470191</v>
      </c>
      <c r="BO254" s="113">
        <f>(BO253/BO255)/12*1000</f>
        <v>47633.622181074163</v>
      </c>
      <c r="BP254" s="114">
        <f>(BP253/BP255)/12*1000</f>
        <v>62754.64569904207</v>
      </c>
    </row>
    <row r="255" spans="1:68" s="115" customFormat="1" ht="15" customHeight="1" outlineLevel="4" x14ac:dyDescent="0.25">
      <c r="A255" s="100"/>
      <c r="B255" s="100"/>
      <c r="C255" s="99" t="s">
        <v>210</v>
      </c>
      <c r="D255" s="99" t="s">
        <v>211</v>
      </c>
      <c r="E255" s="99" t="s">
        <v>73</v>
      </c>
      <c r="F255" s="99" t="s">
        <v>74</v>
      </c>
      <c r="G255" s="99" t="s">
        <v>73</v>
      </c>
      <c r="H255" s="99" t="s">
        <v>319</v>
      </c>
      <c r="I255" s="99" t="s">
        <v>73</v>
      </c>
      <c r="J255" s="100"/>
      <c r="K255" s="102" t="s">
        <v>73</v>
      </c>
      <c r="L255" s="99" t="s">
        <v>192</v>
      </c>
      <c r="M255" s="100" t="str">
        <f t="array" ref="M255">Y96</f>
        <v>1ХВС::1.1</v>
      </c>
      <c r="N255" s="100"/>
      <c r="O255" s="100"/>
      <c r="P255" s="100"/>
      <c r="Q255" s="100"/>
      <c r="R255" s="100"/>
      <c r="S255" s="100"/>
      <c r="T255" s="100"/>
      <c r="U255" s="100"/>
      <c r="V255" s="100"/>
      <c r="W255" s="100"/>
      <c r="X255" s="100"/>
      <c r="Y255" s="100"/>
      <c r="Z255" s="100"/>
      <c r="AA255" s="100"/>
      <c r="AB255" s="103" t="str">
        <f>AB253&amp;".2"</f>
        <v>3.1.1.2.3.1.2</v>
      </c>
      <c r="AC255" s="188" t="s">
        <v>212</v>
      </c>
      <c r="AD255" s="189" t="s">
        <v>213</v>
      </c>
      <c r="AE255" s="199">
        <v>40.5</v>
      </c>
      <c r="AF255" s="200">
        <v>49.36</v>
      </c>
      <c r="AG255" s="201">
        <v>94.3</v>
      </c>
      <c r="AH255" s="199">
        <v>0.3</v>
      </c>
      <c r="AI255" s="200">
        <v>1</v>
      </c>
      <c r="AJ255" s="201">
        <v>2.5</v>
      </c>
      <c r="AK255" s="199">
        <v>6.32</v>
      </c>
      <c r="AL255" s="200">
        <v>14.36</v>
      </c>
      <c r="AM255" s="201">
        <v>14.7</v>
      </c>
      <c r="AN255" s="199">
        <v>7.1</v>
      </c>
      <c r="AO255" s="200">
        <v>10.75</v>
      </c>
      <c r="AP255" s="202">
        <v>12.2</v>
      </c>
      <c r="AQ255" s="199">
        <v>3.64</v>
      </c>
      <c r="AR255" s="200">
        <v>2.25</v>
      </c>
      <c r="AS255" s="202">
        <v>6.1</v>
      </c>
      <c r="AT255" s="199">
        <v>6.81</v>
      </c>
      <c r="AU255" s="200">
        <v>28.65</v>
      </c>
      <c r="AV255" s="202">
        <v>20.399999999999999</v>
      </c>
      <c r="AW255" s="199">
        <v>6.06</v>
      </c>
      <c r="AX255" s="200">
        <v>3</v>
      </c>
      <c r="AY255" s="202">
        <v>9.5</v>
      </c>
      <c r="AZ255" s="199">
        <v>12.5</v>
      </c>
      <c r="BA255" s="200">
        <v>41.414135299999998</v>
      </c>
      <c r="BB255" s="202">
        <f>42.3-18.3</f>
        <v>23.999999999999996</v>
      </c>
      <c r="BC255" s="199">
        <v>10.74</v>
      </c>
      <c r="BD255" s="200">
        <v>14</v>
      </c>
      <c r="BE255" s="201">
        <v>14</v>
      </c>
      <c r="BF255" s="203">
        <v>2.02</v>
      </c>
      <c r="BG255" s="204">
        <v>2.48</v>
      </c>
      <c r="BH255" s="205">
        <v>4.75</v>
      </c>
      <c r="BI255" s="206">
        <v>1.64</v>
      </c>
      <c r="BJ255" s="204">
        <v>2.48</v>
      </c>
      <c r="BK255" s="207">
        <v>2.5</v>
      </c>
      <c r="BL255" s="111"/>
      <c r="BM255" s="100"/>
      <c r="BN255" s="112">
        <f t="shared" ref="BN255:BP256" si="37">AE255+AH255+AK255+AN255+AQ255+AT255+AW255+AZ255+BC255+BF255+BI255</f>
        <v>97.63</v>
      </c>
      <c r="BO255" s="113">
        <f t="shared" si="37"/>
        <v>169.74413529999998</v>
      </c>
      <c r="BP255" s="114">
        <f t="shared" si="37"/>
        <v>204.95000000000002</v>
      </c>
    </row>
    <row r="256" spans="1:68" ht="20.25" customHeight="1" outlineLevel="4" x14ac:dyDescent="0.25">
      <c r="C256" s="10" t="s">
        <v>83</v>
      </c>
      <c r="D256" s="10" t="s">
        <v>84</v>
      </c>
      <c r="E256" s="10" t="s">
        <v>73</v>
      </c>
      <c r="F256" s="10" t="s">
        <v>74</v>
      </c>
      <c r="G256" s="10" t="s">
        <v>214</v>
      </c>
      <c r="H256" s="10" t="s">
        <v>319</v>
      </c>
      <c r="I256" s="10" t="s">
        <v>73</v>
      </c>
      <c r="K256" s="12" t="s">
        <v>73</v>
      </c>
      <c r="L256" s="10" t="s">
        <v>192</v>
      </c>
      <c r="M256" s="5" t="str">
        <f t="array" ref="M256">Y96</f>
        <v>1ХВС::1.1</v>
      </c>
      <c r="AB256" s="29" t="str">
        <f>AB252&amp;".2"</f>
        <v>3.1.1.2.3.2</v>
      </c>
      <c r="AC256" s="177" t="s">
        <v>322</v>
      </c>
      <c r="AD256" s="51" t="s">
        <v>111</v>
      </c>
      <c r="AE256" s="95">
        <f>33530.83*0.302</f>
        <v>10126.310660000001</v>
      </c>
      <c r="AF256" s="178">
        <v>10285.85</v>
      </c>
      <c r="AG256" s="96">
        <f>AG253/100*30.2</f>
        <v>27145.384760000001</v>
      </c>
      <c r="AH256" s="95">
        <f>AH253*0.302</f>
        <v>63.49248</v>
      </c>
      <c r="AI256" s="178">
        <v>141.79</v>
      </c>
      <c r="AJ256" s="96">
        <f>AJ253*0.302</f>
        <v>444.25407999999999</v>
      </c>
      <c r="AK256" s="95">
        <v>1434.84</v>
      </c>
      <c r="AL256" s="178">
        <v>2119.8000000000002</v>
      </c>
      <c r="AM256" s="96">
        <v>2605.38</v>
      </c>
      <c r="AN256" s="95">
        <v>1815.89</v>
      </c>
      <c r="AO256" s="178">
        <f>1231.76+221.14</f>
        <v>1452.9</v>
      </c>
      <c r="AP256" s="181">
        <v>2063.1</v>
      </c>
      <c r="AQ256" s="95">
        <v>682.46</v>
      </c>
      <c r="AR256" s="178">
        <v>280.32</v>
      </c>
      <c r="AS256" s="181">
        <v>1079.0899999999999</v>
      </c>
      <c r="AT256" s="95">
        <v>691.54</v>
      </c>
      <c r="AU256" s="178">
        <v>4402.57</v>
      </c>
      <c r="AV256" s="181">
        <v>3596.59</v>
      </c>
      <c r="AW256" s="95">
        <f t="shared" ref="AW256:BB256" si="38">AW253*30.2%</f>
        <v>1317.7078419999998</v>
      </c>
      <c r="AX256" s="178">
        <f t="shared" si="38"/>
        <v>376.82765739999996</v>
      </c>
      <c r="AY256" s="181">
        <f t="shared" si="38"/>
        <v>1638.4475460000001</v>
      </c>
      <c r="AZ256" s="95">
        <f t="shared" si="38"/>
        <v>1580.0226259999999</v>
      </c>
      <c r="BA256" s="178">
        <f t="shared" si="38"/>
        <v>7201.9398659999997</v>
      </c>
      <c r="BB256" s="181">
        <f t="shared" si="38"/>
        <v>4340.5571009316709</v>
      </c>
      <c r="BC256" s="95">
        <v>2075.75</v>
      </c>
      <c r="BD256" s="178">
        <v>2266.5100000000002</v>
      </c>
      <c r="BE256" s="96">
        <v>2440.85</v>
      </c>
      <c r="BF256" s="182">
        <f t="shared" ref="BF256:BK256" si="39">BF253*BF257/100</f>
        <v>411.90082000000001</v>
      </c>
      <c r="BG256" s="183">
        <f t="shared" si="39"/>
        <v>391.82084000000003</v>
      </c>
      <c r="BH256" s="184">
        <f t="shared" si="39"/>
        <v>824.01907999999992</v>
      </c>
      <c r="BI256" s="185">
        <f t="shared" si="39"/>
        <v>292.02796000000001</v>
      </c>
      <c r="BJ256" s="183">
        <f t="shared" si="39"/>
        <v>381.61626000000001</v>
      </c>
      <c r="BK256" s="186">
        <f t="shared" si="39"/>
        <v>432.63915999999995</v>
      </c>
      <c r="BN256" s="125">
        <f t="shared" si="37"/>
        <v>20491.942387999999</v>
      </c>
      <c r="BO256" s="126">
        <f t="shared" si="37"/>
        <v>29301.944623400002</v>
      </c>
      <c r="BP256" s="127">
        <f t="shared" si="37"/>
        <v>46610.311726931672</v>
      </c>
    </row>
    <row r="257" spans="1:68" ht="15" customHeight="1" outlineLevel="4" x14ac:dyDescent="0.25">
      <c r="C257" s="10" t="s">
        <v>216</v>
      </c>
      <c r="D257" s="10" t="s">
        <v>217</v>
      </c>
      <c r="E257" s="10" t="s">
        <v>73</v>
      </c>
      <c r="F257" s="10" t="s">
        <v>74</v>
      </c>
      <c r="G257" s="10" t="s">
        <v>73</v>
      </c>
      <c r="H257" s="10" t="s">
        <v>319</v>
      </c>
      <c r="I257" s="10" t="s">
        <v>73</v>
      </c>
      <c r="K257" s="12" t="s">
        <v>73</v>
      </c>
      <c r="L257" s="10" t="s">
        <v>192</v>
      </c>
      <c r="M257" s="5" t="str">
        <f t="array" ref="M257">Y96</f>
        <v>1ХВС::1.1</v>
      </c>
      <c r="AB257" s="29" t="str">
        <f>AB256&amp;".1"</f>
        <v>3.1.1.2.3.2.1</v>
      </c>
      <c r="AC257" s="208" t="s">
        <v>218</v>
      </c>
      <c r="AD257" s="51" t="s">
        <v>119</v>
      </c>
      <c r="AE257" s="72">
        <v>30.2</v>
      </c>
      <c r="AF257" s="73">
        <v>30.2</v>
      </c>
      <c r="AG257" s="74">
        <v>30.2</v>
      </c>
      <c r="AH257" s="72">
        <v>30.2</v>
      </c>
      <c r="AI257" s="73">
        <v>30.2</v>
      </c>
      <c r="AJ257" s="74">
        <v>30.2</v>
      </c>
      <c r="AK257" s="72">
        <v>30.2</v>
      </c>
      <c r="AL257" s="73">
        <v>30.2</v>
      </c>
      <c r="AM257" s="74">
        <v>30.2</v>
      </c>
      <c r="AN257" s="72">
        <v>30.2</v>
      </c>
      <c r="AO257" s="73">
        <v>30.2</v>
      </c>
      <c r="AP257" s="138">
        <v>30.2</v>
      </c>
      <c r="AQ257" s="72">
        <v>30.2</v>
      </c>
      <c r="AR257" s="73">
        <v>30.2</v>
      </c>
      <c r="AS257" s="138">
        <v>30.2</v>
      </c>
      <c r="AT257" s="72">
        <v>30.2</v>
      </c>
      <c r="AU257" s="73">
        <v>30.2</v>
      </c>
      <c r="AV257" s="138">
        <v>30.2</v>
      </c>
      <c r="AW257" s="72">
        <v>30.2</v>
      </c>
      <c r="AX257" s="73">
        <v>30.2</v>
      </c>
      <c r="AY257" s="138">
        <v>30.2</v>
      </c>
      <c r="AZ257" s="72">
        <v>30.2</v>
      </c>
      <c r="BA257" s="73">
        <v>30.2</v>
      </c>
      <c r="BB257" s="138">
        <v>30.2</v>
      </c>
      <c r="BC257" s="72">
        <v>30.2</v>
      </c>
      <c r="BD257" s="73">
        <v>30.2</v>
      </c>
      <c r="BE257" s="74">
        <v>30.2</v>
      </c>
      <c r="BF257" s="139">
        <v>30.2</v>
      </c>
      <c r="BG257" s="140">
        <v>30.2</v>
      </c>
      <c r="BH257" s="141">
        <v>30.2</v>
      </c>
      <c r="BI257" s="142">
        <v>30.2</v>
      </c>
      <c r="BJ257" s="140">
        <v>30.2</v>
      </c>
      <c r="BK257" s="143">
        <v>30.2</v>
      </c>
      <c r="BN257" s="125">
        <v>30.2</v>
      </c>
      <c r="BO257" s="126">
        <v>30.2</v>
      </c>
      <c r="BP257" s="127">
        <v>30.2</v>
      </c>
    </row>
    <row r="258" spans="1:68" s="171" customFormat="1" ht="31.5" customHeight="1" outlineLevel="3" x14ac:dyDescent="0.25">
      <c r="A258" s="166"/>
      <c r="B258" s="166"/>
      <c r="C258" s="167" t="s">
        <v>83</v>
      </c>
      <c r="D258" s="167" t="s">
        <v>84</v>
      </c>
      <c r="E258" s="167" t="s">
        <v>73</v>
      </c>
      <c r="F258" s="167" t="s">
        <v>74</v>
      </c>
      <c r="G258" s="167" t="s">
        <v>323</v>
      </c>
      <c r="H258" s="167" t="s">
        <v>73</v>
      </c>
      <c r="I258" s="167" t="s">
        <v>73</v>
      </c>
      <c r="J258" s="166"/>
      <c r="K258" s="168" t="s">
        <v>73</v>
      </c>
      <c r="L258" s="167" t="s">
        <v>192</v>
      </c>
      <c r="M258" s="166" t="str">
        <f t="array" ref="M258">Y96</f>
        <v>1ХВС::1.1</v>
      </c>
      <c r="N258" s="166"/>
      <c r="O258" s="166"/>
      <c r="P258" s="166"/>
      <c r="Q258" s="166"/>
      <c r="R258" s="166"/>
      <c r="S258" s="166"/>
      <c r="T258" s="166"/>
      <c r="U258" s="166"/>
      <c r="V258" s="166"/>
      <c r="W258" s="166"/>
      <c r="X258" s="166"/>
      <c r="Y258" s="166"/>
      <c r="Z258" s="166"/>
      <c r="AA258" s="166"/>
      <c r="AB258" s="155" t="str">
        <f>AB147&amp;".3"</f>
        <v>3.1.1.3</v>
      </c>
      <c r="AC258" s="252" t="s">
        <v>323</v>
      </c>
      <c r="AD258" s="157" t="s">
        <v>111</v>
      </c>
      <c r="AE258" s="158">
        <f t="shared" ref="AE258:BK258" si="40">AE259+AE267+AE273+AE274+AE275+AE276+AE277</f>
        <v>122975.1</v>
      </c>
      <c r="AF258" s="159">
        <f t="shared" si="40"/>
        <v>100001.461485422</v>
      </c>
      <c r="AG258" s="160">
        <f t="shared" si="40"/>
        <v>133266.682</v>
      </c>
      <c r="AH258" s="158">
        <f t="shared" si="40"/>
        <v>90.223000000000013</v>
      </c>
      <c r="AI258" s="159">
        <f t="shared" si="40"/>
        <v>183.6</v>
      </c>
      <c r="AJ258" s="160">
        <f t="shared" si="40"/>
        <v>122.476</v>
      </c>
      <c r="AK258" s="158">
        <f t="shared" si="40"/>
        <v>2683.16</v>
      </c>
      <c r="AL258" s="159">
        <f t="shared" si="40"/>
        <v>3281.5199999999995</v>
      </c>
      <c r="AM258" s="160">
        <f t="shared" si="40"/>
        <v>4859.3999999999996</v>
      </c>
      <c r="AN258" s="158">
        <f t="shared" si="40"/>
        <v>3712.3040000000001</v>
      </c>
      <c r="AO258" s="159">
        <f t="shared" si="40"/>
        <v>4251.3040000000001</v>
      </c>
      <c r="AP258" s="161">
        <f t="shared" si="40"/>
        <v>4108.8899999999994</v>
      </c>
      <c r="AQ258" s="158">
        <f t="shared" si="40"/>
        <v>1957.59</v>
      </c>
      <c r="AR258" s="159">
        <f t="shared" si="40"/>
        <v>769.94209999999998</v>
      </c>
      <c r="AS258" s="161">
        <f t="shared" si="40"/>
        <v>1111.9000000000001</v>
      </c>
      <c r="AT258" s="158">
        <f t="shared" si="40"/>
        <v>3252.7180000000003</v>
      </c>
      <c r="AU258" s="159">
        <f t="shared" si="40"/>
        <v>6195.42</v>
      </c>
      <c r="AV258" s="161">
        <f t="shared" si="40"/>
        <v>4812.6558999999997</v>
      </c>
      <c r="AW258" s="158">
        <f t="shared" si="40"/>
        <v>191.57600000000002</v>
      </c>
      <c r="AX258" s="159">
        <f t="shared" si="40"/>
        <v>1086.3457037999999</v>
      </c>
      <c r="AY258" s="161">
        <f t="shared" si="40"/>
        <v>1708.888046</v>
      </c>
      <c r="AZ258" s="158">
        <f t="shared" si="40"/>
        <v>8423.5234599999985</v>
      </c>
      <c r="BA258" s="159">
        <f t="shared" si="40"/>
        <v>11012.302971999999</v>
      </c>
      <c r="BB258" s="161">
        <f t="shared" si="40"/>
        <v>9678.5906822873658</v>
      </c>
      <c r="BC258" s="158">
        <f t="shared" si="40"/>
        <v>300.62</v>
      </c>
      <c r="BD258" s="159">
        <f t="shared" si="40"/>
        <v>88.12</v>
      </c>
      <c r="BE258" s="161">
        <f t="shared" si="40"/>
        <v>512.41999999999996</v>
      </c>
      <c r="BF258" s="158">
        <f t="shared" si="40"/>
        <v>22.869999999999997</v>
      </c>
      <c r="BG258" s="159">
        <f t="shared" si="40"/>
        <v>0</v>
      </c>
      <c r="BH258" s="161">
        <f t="shared" si="40"/>
        <v>704.80736000000002</v>
      </c>
      <c r="BI258" s="253">
        <f t="shared" si="40"/>
        <v>217.76000000000002</v>
      </c>
      <c r="BJ258" s="159">
        <f t="shared" si="40"/>
        <v>134.22</v>
      </c>
      <c r="BK258" s="254">
        <f t="shared" si="40"/>
        <v>2299.9388680000002</v>
      </c>
      <c r="BL258" s="170"/>
      <c r="BM258" s="166"/>
      <c r="BN258" s="163">
        <f t="shared" ref="BN258:BN268" si="41">AE258+AH258+AK258+AN258+AQ258+AT258+AW258+AZ258+BC258+BF258+BI258</f>
        <v>143827.44446</v>
      </c>
      <c r="BO258" s="164">
        <f t="shared" ref="BO258:BO268" si="42">AF258+AI258+AL258+AO258+AR258+AU258+AX258+BA258+BD258+BG258+BJ258</f>
        <v>127004.23626122202</v>
      </c>
      <c r="BP258" s="165">
        <f t="shared" ref="BP258:BP268" si="43">AG258+AJ258+AM258+AP258+AS258+AV258+AY258+BB258+BE258+BH258+BK258</f>
        <v>163186.64885628736</v>
      </c>
    </row>
    <row r="259" spans="1:68" ht="36" customHeight="1" outlineLevel="4" x14ac:dyDescent="0.25">
      <c r="C259" s="10" t="s">
        <v>83</v>
      </c>
      <c r="D259" s="10" t="s">
        <v>84</v>
      </c>
      <c r="E259" s="10" t="s">
        <v>73</v>
      </c>
      <c r="F259" s="10" t="s">
        <v>74</v>
      </c>
      <c r="G259" s="10" t="s">
        <v>324</v>
      </c>
      <c r="H259" s="10" t="s">
        <v>73</v>
      </c>
      <c r="I259" s="10" t="s">
        <v>73</v>
      </c>
      <c r="K259" s="12" t="s">
        <v>73</v>
      </c>
      <c r="L259" s="10" t="s">
        <v>192</v>
      </c>
      <c r="M259" s="5" t="str">
        <f t="array" ref="M259">Y96</f>
        <v>1ХВС::1.1</v>
      </c>
      <c r="AB259" s="29" t="str">
        <f>AB258&amp;".1"</f>
        <v>3.1.1.3.1</v>
      </c>
      <c r="AC259" s="174" t="s">
        <v>325</v>
      </c>
      <c r="AD259" s="51" t="s">
        <v>111</v>
      </c>
      <c r="AE259" s="175">
        <f t="shared" ref="AE259:BK259" si="44">AE261+AE262+AE263+AE264+AE265+AE266</f>
        <v>12294.55</v>
      </c>
      <c r="AF259" s="73">
        <f t="shared" si="44"/>
        <v>9219.2814854219996</v>
      </c>
      <c r="AG259" s="176">
        <f t="shared" si="44"/>
        <v>17395.738000000001</v>
      </c>
      <c r="AH259" s="175">
        <f t="shared" si="44"/>
        <v>34.123000000000005</v>
      </c>
      <c r="AI259" s="73">
        <f t="shared" si="44"/>
        <v>0</v>
      </c>
      <c r="AJ259" s="176">
        <f t="shared" si="44"/>
        <v>58.900000000000006</v>
      </c>
      <c r="AK259" s="175">
        <f t="shared" si="44"/>
        <v>0</v>
      </c>
      <c r="AL259" s="73">
        <f t="shared" si="44"/>
        <v>212.49</v>
      </c>
      <c r="AM259" s="176">
        <f t="shared" si="44"/>
        <v>0</v>
      </c>
      <c r="AN259" s="175">
        <f t="shared" si="44"/>
        <v>0</v>
      </c>
      <c r="AO259" s="73">
        <f t="shared" si="44"/>
        <v>0</v>
      </c>
      <c r="AP259" s="176">
        <f t="shared" si="44"/>
        <v>0</v>
      </c>
      <c r="AQ259" s="175">
        <f t="shared" si="44"/>
        <v>0</v>
      </c>
      <c r="AR259" s="73">
        <f t="shared" si="44"/>
        <v>0</v>
      </c>
      <c r="AS259" s="176">
        <f t="shared" si="44"/>
        <v>0</v>
      </c>
      <c r="AT259" s="175">
        <f t="shared" si="44"/>
        <v>0</v>
      </c>
      <c r="AU259" s="73">
        <f t="shared" si="44"/>
        <v>0</v>
      </c>
      <c r="AV259" s="176">
        <f t="shared" si="44"/>
        <v>0</v>
      </c>
      <c r="AW259" s="175">
        <f t="shared" si="44"/>
        <v>0</v>
      </c>
      <c r="AX259" s="73">
        <f t="shared" si="44"/>
        <v>0</v>
      </c>
      <c r="AY259" s="176">
        <f t="shared" si="44"/>
        <v>83.48</v>
      </c>
      <c r="AZ259" s="175">
        <f t="shared" si="44"/>
        <v>0</v>
      </c>
      <c r="BA259" s="73">
        <f t="shared" si="44"/>
        <v>0</v>
      </c>
      <c r="BB259" s="176">
        <f t="shared" si="44"/>
        <v>172.34</v>
      </c>
      <c r="BC259" s="175">
        <f t="shared" si="44"/>
        <v>0</v>
      </c>
      <c r="BD259" s="73">
        <f t="shared" si="44"/>
        <v>88.12</v>
      </c>
      <c r="BE259" s="176">
        <f t="shared" si="44"/>
        <v>165.19</v>
      </c>
      <c r="BF259" s="175">
        <f t="shared" si="44"/>
        <v>0</v>
      </c>
      <c r="BG259" s="73">
        <f t="shared" si="44"/>
        <v>0</v>
      </c>
      <c r="BH259" s="176">
        <f t="shared" si="44"/>
        <v>0</v>
      </c>
      <c r="BI259" s="175">
        <f t="shared" si="44"/>
        <v>0</v>
      </c>
      <c r="BJ259" s="73">
        <f t="shared" si="44"/>
        <v>0</v>
      </c>
      <c r="BK259" s="176">
        <f t="shared" si="44"/>
        <v>0</v>
      </c>
      <c r="BN259" s="125">
        <f t="shared" si="41"/>
        <v>12328.672999999999</v>
      </c>
      <c r="BO259" s="126">
        <f t="shared" si="42"/>
        <v>9519.8914854220002</v>
      </c>
      <c r="BP259" s="127">
        <f t="shared" si="43"/>
        <v>17875.648000000001</v>
      </c>
    </row>
    <row r="260" spans="1:68" s="211" customFormat="1" ht="14.25" hidden="1" customHeight="1" outlineLevel="5" x14ac:dyDescent="0.25">
      <c r="A260" s="6"/>
      <c r="B260" s="6"/>
      <c r="C260" s="116" t="s">
        <v>83</v>
      </c>
      <c r="D260" s="116" t="s">
        <v>84</v>
      </c>
      <c r="E260" s="116" t="s">
        <v>73</v>
      </c>
      <c r="F260" s="116" t="s">
        <v>74</v>
      </c>
      <c r="G260" s="116" t="s">
        <v>326</v>
      </c>
      <c r="H260" s="116" t="s">
        <v>73</v>
      </c>
      <c r="I260" s="116" t="s">
        <v>73</v>
      </c>
      <c r="J260" s="6"/>
      <c r="K260" s="209" t="s">
        <v>73</v>
      </c>
      <c r="L260" s="116" t="s">
        <v>192</v>
      </c>
      <c r="M260" s="6" t="str">
        <f t="array" ref="M260">Y96</f>
        <v>1ХВС::1.1</v>
      </c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29" t="str">
        <f>AB259&amp;".1"</f>
        <v>3.1.1.3.1.1</v>
      </c>
      <c r="AC260" s="177" t="s">
        <v>327</v>
      </c>
      <c r="AD260" s="51" t="s">
        <v>111</v>
      </c>
      <c r="AE260" s="255"/>
      <c r="AF260" s="4"/>
      <c r="AG260" s="256"/>
      <c r="AH260" s="257"/>
      <c r="AI260" s="6"/>
      <c r="AJ260" s="258"/>
      <c r="AK260" s="72"/>
      <c r="AL260" s="178"/>
      <c r="AM260" s="96"/>
      <c r="AN260" s="72"/>
      <c r="AO260" s="178"/>
      <c r="AP260" s="181"/>
      <c r="AQ260" s="72"/>
      <c r="AR260" s="178"/>
      <c r="AS260" s="181"/>
      <c r="AT260" s="72"/>
      <c r="AU260" s="178"/>
      <c r="AV260" s="181"/>
      <c r="AW260" s="72"/>
      <c r="AX260" s="178"/>
      <c r="AY260" s="181"/>
      <c r="AZ260" s="72"/>
      <c r="BA260" s="178"/>
      <c r="BB260" s="181"/>
      <c r="BC260" s="72"/>
      <c r="BD260" s="178"/>
      <c r="BE260" s="96"/>
      <c r="BF260" s="139"/>
      <c r="BG260" s="183"/>
      <c r="BH260" s="184"/>
      <c r="BI260" s="142"/>
      <c r="BJ260" s="183"/>
      <c r="BK260" s="186"/>
      <c r="BL260" s="6"/>
      <c r="BM260" s="6"/>
      <c r="BN260" s="125">
        <f t="shared" si="41"/>
        <v>0</v>
      </c>
      <c r="BO260" s="126">
        <f t="shared" si="42"/>
        <v>0</v>
      </c>
      <c r="BP260" s="127">
        <f t="shared" si="43"/>
        <v>0</v>
      </c>
    </row>
    <row r="261" spans="1:68" ht="14.25" customHeight="1" outlineLevel="5" x14ac:dyDescent="0.25">
      <c r="C261" s="10" t="s">
        <v>83</v>
      </c>
      <c r="D261" s="10" t="s">
        <v>84</v>
      </c>
      <c r="E261" s="10" t="s">
        <v>73</v>
      </c>
      <c r="F261" s="10" t="s">
        <v>74</v>
      </c>
      <c r="G261" s="10" t="s">
        <v>328</v>
      </c>
      <c r="H261" s="10" t="s">
        <v>73</v>
      </c>
      <c r="I261" s="10" t="s">
        <v>73</v>
      </c>
      <c r="K261" s="12" t="s">
        <v>73</v>
      </c>
      <c r="L261" s="10" t="s">
        <v>192</v>
      </c>
      <c r="M261" s="5" t="str">
        <f t="array" ref="M261">Y96</f>
        <v>1ХВС::1.1</v>
      </c>
      <c r="AB261" s="29" t="str">
        <f>AB259&amp;".2"</f>
        <v>3.1.1.3.1.2</v>
      </c>
      <c r="AC261" s="177" t="s">
        <v>329</v>
      </c>
      <c r="AD261" s="51" t="s">
        <v>111</v>
      </c>
      <c r="AE261" s="72">
        <v>26.22</v>
      </c>
      <c r="AF261" s="178"/>
      <c r="AG261" s="96"/>
      <c r="AH261" s="72"/>
      <c r="AI261" s="178"/>
      <c r="AJ261" s="96"/>
      <c r="AK261" s="72"/>
      <c r="AL261" s="178"/>
      <c r="AM261" s="96"/>
      <c r="AN261" s="72"/>
      <c r="AO261" s="178"/>
      <c r="AP261" s="181"/>
      <c r="AQ261" s="72"/>
      <c r="AR261" s="178"/>
      <c r="AS261" s="181"/>
      <c r="AT261" s="72"/>
      <c r="AU261" s="178"/>
      <c r="AV261" s="181"/>
      <c r="AW261" s="72"/>
      <c r="AX261" s="178"/>
      <c r="AY261" s="181"/>
      <c r="AZ261" s="72"/>
      <c r="BA261" s="178"/>
      <c r="BB261" s="181"/>
      <c r="BC261" s="72"/>
      <c r="BD261" s="178"/>
      <c r="BE261" s="96"/>
      <c r="BF261" s="139"/>
      <c r="BG261" s="183"/>
      <c r="BH261" s="184"/>
      <c r="BI261" s="142"/>
      <c r="BJ261" s="183"/>
      <c r="BK261" s="186"/>
      <c r="BN261" s="125">
        <f t="shared" si="41"/>
        <v>26.22</v>
      </c>
      <c r="BO261" s="126">
        <f t="shared" si="42"/>
        <v>0</v>
      </c>
      <c r="BP261" s="127">
        <f t="shared" si="43"/>
        <v>0</v>
      </c>
    </row>
    <row r="262" spans="1:68" ht="14.25" customHeight="1" outlineLevel="5" x14ac:dyDescent="0.25">
      <c r="C262" s="10" t="s">
        <v>83</v>
      </c>
      <c r="D262" s="10" t="s">
        <v>84</v>
      </c>
      <c r="E262" s="10" t="s">
        <v>73</v>
      </c>
      <c r="F262" s="10" t="s">
        <v>74</v>
      </c>
      <c r="G262" s="10" t="s">
        <v>330</v>
      </c>
      <c r="H262" s="10" t="s">
        <v>73</v>
      </c>
      <c r="I262" s="10" t="s">
        <v>73</v>
      </c>
      <c r="K262" s="12" t="s">
        <v>73</v>
      </c>
      <c r="L262" s="10" t="s">
        <v>192</v>
      </c>
      <c r="M262" s="5" t="str">
        <f t="array" ref="M262">Y96</f>
        <v>1ХВС::1.1</v>
      </c>
      <c r="AB262" s="29" t="str">
        <f>AB259&amp;".3"</f>
        <v>3.1.1.3.1.3</v>
      </c>
      <c r="AC262" s="177" t="s">
        <v>331</v>
      </c>
      <c r="AD262" s="51" t="s">
        <v>111</v>
      </c>
      <c r="AE262" s="72">
        <v>792.68</v>
      </c>
      <c r="AF262" s="178">
        <v>2249.287863863</v>
      </c>
      <c r="AG262" s="96">
        <v>2419.94</v>
      </c>
      <c r="AH262" s="72"/>
      <c r="AI262" s="178"/>
      <c r="AJ262" s="96"/>
      <c r="AK262" s="72"/>
      <c r="AL262" s="178"/>
      <c r="AM262" s="96"/>
      <c r="AN262" s="72"/>
      <c r="AO262" s="178"/>
      <c r="AP262" s="181"/>
      <c r="AQ262" s="72"/>
      <c r="AR262" s="178"/>
      <c r="AS262" s="181"/>
      <c r="AT262" s="72"/>
      <c r="AU262" s="178"/>
      <c r="AV262" s="181"/>
      <c r="AW262" s="72"/>
      <c r="AX262" s="178"/>
      <c r="AY262" s="181"/>
      <c r="AZ262" s="72"/>
      <c r="BA262" s="178"/>
      <c r="BB262" s="181"/>
      <c r="BC262" s="72"/>
      <c r="BD262" s="178"/>
      <c r="BE262" s="96"/>
      <c r="BF262" s="139"/>
      <c r="BG262" s="183"/>
      <c r="BH262" s="184"/>
      <c r="BI262" s="142"/>
      <c r="BJ262" s="183"/>
      <c r="BK262" s="186"/>
      <c r="BN262" s="125">
        <f t="shared" si="41"/>
        <v>792.68</v>
      </c>
      <c r="BO262" s="126">
        <f t="shared" si="42"/>
        <v>2249.287863863</v>
      </c>
      <c r="BP262" s="127">
        <f t="shared" si="43"/>
        <v>2419.94</v>
      </c>
    </row>
    <row r="263" spans="1:68" ht="14.25" customHeight="1" outlineLevel="5" x14ac:dyDescent="0.25">
      <c r="C263" s="10" t="s">
        <v>83</v>
      </c>
      <c r="D263" s="10" t="s">
        <v>84</v>
      </c>
      <c r="E263" s="10" t="s">
        <v>73</v>
      </c>
      <c r="F263" s="10" t="s">
        <v>74</v>
      </c>
      <c r="G263" s="10" t="s">
        <v>332</v>
      </c>
      <c r="H263" s="10" t="s">
        <v>73</v>
      </c>
      <c r="I263" s="10" t="s">
        <v>73</v>
      </c>
      <c r="K263" s="12" t="s">
        <v>73</v>
      </c>
      <c r="L263" s="10" t="s">
        <v>192</v>
      </c>
      <c r="M263" s="5" t="str">
        <f t="array" ref="M263">Y96</f>
        <v>1ХВС::1.1</v>
      </c>
      <c r="AB263" s="65" t="str">
        <f>AB259&amp;".4"</f>
        <v>3.1.1.3.1.4</v>
      </c>
      <c r="AC263" s="177" t="s">
        <v>333</v>
      </c>
      <c r="AD263" s="51" t="s">
        <v>111</v>
      </c>
      <c r="AE263" s="72">
        <v>1460.3</v>
      </c>
      <c r="AF263" s="178">
        <v>1423.69</v>
      </c>
      <c r="AG263" s="96">
        <v>1531.7</v>
      </c>
      <c r="AH263" s="72"/>
      <c r="AI263" s="178"/>
      <c r="AJ263" s="96"/>
      <c r="AK263" s="72"/>
      <c r="AL263" s="178">
        <v>21.6</v>
      </c>
      <c r="AM263" s="96"/>
      <c r="AN263" s="72"/>
      <c r="AO263" s="178"/>
      <c r="AP263" s="181"/>
      <c r="AQ263" s="72"/>
      <c r="AR263" s="178"/>
      <c r="AS263" s="181"/>
      <c r="AT263" s="72"/>
      <c r="AU263" s="178"/>
      <c r="AV263" s="181"/>
      <c r="AW263" s="72"/>
      <c r="AX263" s="178"/>
      <c r="AY263" s="181"/>
      <c r="AZ263" s="72"/>
      <c r="BA263" s="178"/>
      <c r="BB263" s="181"/>
      <c r="BC263" s="72"/>
      <c r="BD263" s="178"/>
      <c r="BE263" s="96">
        <v>18.91</v>
      </c>
      <c r="BF263" s="139"/>
      <c r="BG263" s="183"/>
      <c r="BH263" s="184"/>
      <c r="BI263" s="142"/>
      <c r="BJ263" s="183"/>
      <c r="BK263" s="186"/>
      <c r="BN263" s="125">
        <f t="shared" si="41"/>
        <v>1460.3</v>
      </c>
      <c r="BO263" s="126">
        <f t="shared" si="42"/>
        <v>1445.29</v>
      </c>
      <c r="BP263" s="127">
        <f t="shared" si="43"/>
        <v>1550.6100000000001</v>
      </c>
    </row>
    <row r="264" spans="1:68" ht="14.25" customHeight="1" outlineLevel="5" x14ac:dyDescent="0.25">
      <c r="C264" s="10" t="s">
        <v>83</v>
      </c>
      <c r="D264" s="10" t="s">
        <v>84</v>
      </c>
      <c r="E264" s="10" t="s">
        <v>73</v>
      </c>
      <c r="F264" s="10" t="s">
        <v>74</v>
      </c>
      <c r="G264" s="10" t="s">
        <v>334</v>
      </c>
      <c r="H264" s="10" t="s">
        <v>73</v>
      </c>
      <c r="I264" s="10" t="s">
        <v>73</v>
      </c>
      <c r="K264" s="12" t="s">
        <v>73</v>
      </c>
      <c r="L264" s="10" t="s">
        <v>192</v>
      </c>
      <c r="M264" s="5" t="str">
        <f t="array" ref="M264">Y96</f>
        <v>1ХВС::1.1</v>
      </c>
      <c r="AB264" s="65" t="str">
        <f>AB259&amp;".5"</f>
        <v>3.1.1.3.1.5</v>
      </c>
      <c r="AC264" s="177" t="s">
        <v>335</v>
      </c>
      <c r="AD264" s="51" t="s">
        <v>111</v>
      </c>
      <c r="AE264" s="72">
        <v>0</v>
      </c>
      <c r="AF264" s="178">
        <v>1727.113621559</v>
      </c>
      <c r="AG264" s="96">
        <v>1858.15</v>
      </c>
      <c r="AH264" s="72"/>
      <c r="AI264" s="178"/>
      <c r="AJ264" s="96"/>
      <c r="AK264" s="72"/>
      <c r="AL264" s="178"/>
      <c r="AM264" s="96"/>
      <c r="AN264" s="72"/>
      <c r="AO264" s="178"/>
      <c r="AP264" s="181"/>
      <c r="AQ264" s="72"/>
      <c r="AR264" s="178"/>
      <c r="AS264" s="181"/>
      <c r="AT264" s="72"/>
      <c r="AU264" s="178"/>
      <c r="AV264" s="181"/>
      <c r="AW264" s="72"/>
      <c r="AX264" s="178"/>
      <c r="AY264" s="181"/>
      <c r="AZ264" s="72"/>
      <c r="BA264" s="178"/>
      <c r="BB264" s="181"/>
      <c r="BC264" s="72"/>
      <c r="BD264" s="183"/>
      <c r="BE264" s="186"/>
      <c r="BF264" s="139"/>
      <c r="BG264" s="183"/>
      <c r="BH264" s="184"/>
      <c r="BI264" s="142"/>
      <c r="BJ264" s="183"/>
      <c r="BK264" s="186"/>
      <c r="BN264" s="125">
        <f t="shared" si="41"/>
        <v>0</v>
      </c>
      <c r="BO264" s="126">
        <f t="shared" si="42"/>
        <v>1727.113621559</v>
      </c>
      <c r="BP264" s="127">
        <f t="shared" si="43"/>
        <v>1858.15</v>
      </c>
    </row>
    <row r="265" spans="1:68" ht="14.25" customHeight="1" outlineLevel="5" x14ac:dyDescent="0.25">
      <c r="C265" s="10" t="s">
        <v>83</v>
      </c>
      <c r="D265" s="10" t="s">
        <v>84</v>
      </c>
      <c r="E265" s="10" t="s">
        <v>73</v>
      </c>
      <c r="F265" s="10" t="s">
        <v>74</v>
      </c>
      <c r="G265" s="10" t="s">
        <v>336</v>
      </c>
      <c r="H265" s="10" t="s">
        <v>73</v>
      </c>
      <c r="I265" s="10" t="s">
        <v>73</v>
      </c>
      <c r="J265" s="10" t="s">
        <v>73</v>
      </c>
      <c r="K265" s="12" t="s">
        <v>73</v>
      </c>
      <c r="L265" s="10" t="s">
        <v>192</v>
      </c>
      <c r="M265" s="5" t="str">
        <f t="array" ref="M265">Y96</f>
        <v>1ХВС::1.1</v>
      </c>
      <c r="AB265" s="65" t="str">
        <f>AB259&amp;".6"</f>
        <v>3.1.1.3.1.6</v>
      </c>
      <c r="AC265" s="177" t="s">
        <v>337</v>
      </c>
      <c r="AD265" s="51" t="s">
        <v>111</v>
      </c>
      <c r="AE265" s="72">
        <v>10015.35</v>
      </c>
      <c r="AF265" s="178">
        <v>2964.44</v>
      </c>
      <c r="AG265" s="96">
        <f>4291.497+4654.38</f>
        <v>8945.8770000000004</v>
      </c>
      <c r="AH265" s="72"/>
      <c r="AI265" s="178"/>
      <c r="AJ265" s="96"/>
      <c r="AK265" s="72"/>
      <c r="AL265" s="178">
        <v>109.89</v>
      </c>
      <c r="AM265" s="96"/>
      <c r="AN265" s="72"/>
      <c r="AO265" s="178"/>
      <c r="AP265" s="181"/>
      <c r="AQ265" s="72"/>
      <c r="AR265" s="178"/>
      <c r="AS265" s="181"/>
      <c r="AT265" s="72"/>
      <c r="AU265" s="178"/>
      <c r="AV265" s="181"/>
      <c r="AW265" s="72"/>
      <c r="AX265" s="178"/>
      <c r="AY265" s="181">
        <v>83.48</v>
      </c>
      <c r="AZ265" s="72"/>
      <c r="BA265" s="178"/>
      <c r="BB265" s="181">
        <v>172.34</v>
      </c>
      <c r="BC265" s="72"/>
      <c r="BD265" s="178"/>
      <c r="BE265" s="96">
        <v>83.57</v>
      </c>
      <c r="BF265" s="139"/>
      <c r="BG265" s="183"/>
      <c r="BH265" s="184"/>
      <c r="BI265" s="142"/>
      <c r="BJ265" s="183"/>
      <c r="BK265" s="186"/>
      <c r="BN265" s="125">
        <f t="shared" si="41"/>
        <v>10015.35</v>
      </c>
      <c r="BO265" s="126">
        <f t="shared" si="42"/>
        <v>3074.33</v>
      </c>
      <c r="BP265" s="127">
        <f t="shared" si="43"/>
        <v>9285.2669999999998</v>
      </c>
    </row>
    <row r="266" spans="1:68" s="211" customFormat="1" ht="14.25" customHeight="1" outlineLevel="5" x14ac:dyDescent="0.25">
      <c r="A266" s="6"/>
      <c r="B266" s="6"/>
      <c r="C266" s="116" t="s">
        <v>83</v>
      </c>
      <c r="D266" s="116" t="s">
        <v>84</v>
      </c>
      <c r="E266" s="116" t="s">
        <v>73</v>
      </c>
      <c r="F266" s="116" t="s">
        <v>74</v>
      </c>
      <c r="G266" s="116" t="s">
        <v>338</v>
      </c>
      <c r="H266" s="116" t="s">
        <v>73</v>
      </c>
      <c r="I266" s="116" t="s">
        <v>73</v>
      </c>
      <c r="J266" s="116" t="s">
        <v>73</v>
      </c>
      <c r="K266" s="209" t="s">
        <v>73</v>
      </c>
      <c r="L266" s="116" t="s">
        <v>192</v>
      </c>
      <c r="M266" s="6" t="str">
        <f t="array" ref="M266">Y96</f>
        <v>1ХВС::1.1</v>
      </c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5" t="str">
        <f>AB259&amp;".7"</f>
        <v>3.1.1.3.1.7</v>
      </c>
      <c r="AC266" s="177" t="s">
        <v>339</v>
      </c>
      <c r="AD266" s="51" t="s">
        <v>111</v>
      </c>
      <c r="AE266" s="72">
        <v>0</v>
      </c>
      <c r="AF266" s="178">
        <f>1133.4+487.48+125.1-891.23</f>
        <v>854.75</v>
      </c>
      <c r="AG266" s="96">
        <f>1347.36+431.15+861.561</f>
        <v>2640.0709999999999</v>
      </c>
      <c r="AH266" s="72">
        <f>9.413+14.998+9.712</f>
        <v>34.123000000000005</v>
      </c>
      <c r="AI266" s="178"/>
      <c r="AJ266" s="96">
        <f>13.88+31.42+13.6</f>
        <v>58.900000000000006</v>
      </c>
      <c r="AK266" s="72"/>
      <c r="AL266" s="178">
        <v>81</v>
      </c>
      <c r="AM266" s="96"/>
      <c r="AN266" s="72"/>
      <c r="AO266" s="178"/>
      <c r="AP266" s="181"/>
      <c r="AQ266" s="72"/>
      <c r="AR266" s="178"/>
      <c r="AS266" s="181"/>
      <c r="AT266" s="72"/>
      <c r="AU266" s="178"/>
      <c r="AV266" s="181"/>
      <c r="AW266" s="72"/>
      <c r="AX266" s="178"/>
      <c r="AY266" s="181"/>
      <c r="AZ266" s="72"/>
      <c r="BA266" s="178"/>
      <c r="BB266" s="181"/>
      <c r="BC266" s="72"/>
      <c r="BD266" s="178">
        <v>88.12</v>
      </c>
      <c r="BE266" s="96">
        <v>62.71</v>
      </c>
      <c r="BF266" s="139"/>
      <c r="BG266" s="183"/>
      <c r="BH266" s="184"/>
      <c r="BI266" s="142"/>
      <c r="BJ266" s="183"/>
      <c r="BK266" s="186"/>
      <c r="BL266" s="6"/>
      <c r="BM266" s="6"/>
      <c r="BN266" s="125">
        <f t="shared" si="41"/>
        <v>34.123000000000005</v>
      </c>
      <c r="BO266" s="126">
        <f t="shared" si="42"/>
        <v>1023.87</v>
      </c>
      <c r="BP266" s="127">
        <f t="shared" si="43"/>
        <v>2761.681</v>
      </c>
    </row>
    <row r="267" spans="1:68" ht="36" customHeight="1" outlineLevel="4" x14ac:dyDescent="0.25">
      <c r="C267" s="10" t="s">
        <v>83</v>
      </c>
      <c r="D267" s="10" t="s">
        <v>84</v>
      </c>
      <c r="E267" s="10" t="s">
        <v>73</v>
      </c>
      <c r="F267" s="10" t="s">
        <v>74</v>
      </c>
      <c r="G267" s="10" t="s">
        <v>201</v>
      </c>
      <c r="H267" s="10" t="s">
        <v>340</v>
      </c>
      <c r="I267" s="10" t="s">
        <v>73</v>
      </c>
      <c r="J267" s="10" t="s">
        <v>73</v>
      </c>
      <c r="K267" s="12" t="s">
        <v>73</v>
      </c>
      <c r="L267" s="10" t="s">
        <v>192</v>
      </c>
      <c r="M267" s="5" t="str">
        <f t="array" ref="M267">Y96</f>
        <v>1ХВС::1.1</v>
      </c>
      <c r="AB267" s="65" t="str">
        <f>AB258&amp;".2"</f>
        <v>3.1.1.3.2</v>
      </c>
      <c r="AC267" s="174" t="s">
        <v>341</v>
      </c>
      <c r="AD267" s="51" t="s">
        <v>111</v>
      </c>
      <c r="AE267" s="72">
        <f t="shared" ref="AE267:BK267" si="45">AE268+AE271</f>
        <v>87152.38</v>
      </c>
      <c r="AF267" s="73">
        <f t="shared" si="45"/>
        <v>69822.59</v>
      </c>
      <c r="AG267" s="74">
        <f t="shared" si="45"/>
        <v>91934.57</v>
      </c>
      <c r="AH267" s="72">
        <f t="shared" si="45"/>
        <v>0</v>
      </c>
      <c r="AI267" s="73">
        <f t="shared" si="45"/>
        <v>183.6</v>
      </c>
      <c r="AJ267" s="74">
        <f t="shared" si="45"/>
        <v>0</v>
      </c>
      <c r="AK267" s="72">
        <f t="shared" si="45"/>
        <v>2470.83</v>
      </c>
      <c r="AL267" s="73">
        <f t="shared" si="45"/>
        <v>3000.99</v>
      </c>
      <c r="AM267" s="74">
        <f t="shared" si="45"/>
        <v>2939.86</v>
      </c>
      <c r="AN267" s="72">
        <f t="shared" si="45"/>
        <v>3491.46</v>
      </c>
      <c r="AO267" s="73">
        <f t="shared" si="45"/>
        <v>3928.134</v>
      </c>
      <c r="AP267" s="74">
        <f t="shared" si="45"/>
        <v>3410.24</v>
      </c>
      <c r="AQ267" s="72">
        <f t="shared" si="45"/>
        <v>1918.08</v>
      </c>
      <c r="AR267" s="73">
        <f t="shared" si="45"/>
        <v>764.37209999999993</v>
      </c>
      <c r="AS267" s="74">
        <f t="shared" si="45"/>
        <v>964.27</v>
      </c>
      <c r="AT267" s="72">
        <f t="shared" si="45"/>
        <v>2972.8690000000001</v>
      </c>
      <c r="AU267" s="73">
        <f t="shared" si="45"/>
        <v>6195.42</v>
      </c>
      <c r="AV267" s="74">
        <f t="shared" si="45"/>
        <v>4468.5848999999998</v>
      </c>
      <c r="AW267" s="72">
        <f t="shared" si="45"/>
        <v>0</v>
      </c>
      <c r="AX267" s="73">
        <f t="shared" si="45"/>
        <v>1086.3457037999999</v>
      </c>
      <c r="AY267" s="74">
        <f t="shared" si="45"/>
        <v>1363.2890460000001</v>
      </c>
      <c r="AZ267" s="72">
        <f t="shared" si="45"/>
        <v>7988.7204599999995</v>
      </c>
      <c r="BA267" s="73">
        <f t="shared" si="45"/>
        <v>10957.092971999999</v>
      </c>
      <c r="BB267" s="74">
        <f t="shared" si="45"/>
        <v>9050.479682287365</v>
      </c>
      <c r="BC267" s="72">
        <f t="shared" si="45"/>
        <v>0</v>
      </c>
      <c r="BD267" s="73">
        <f t="shared" si="45"/>
        <v>0</v>
      </c>
      <c r="BE267" s="74">
        <f t="shared" si="45"/>
        <v>0</v>
      </c>
      <c r="BF267" s="72">
        <f t="shared" si="45"/>
        <v>0</v>
      </c>
      <c r="BG267" s="73">
        <f t="shared" si="45"/>
        <v>0</v>
      </c>
      <c r="BH267" s="74">
        <f t="shared" si="45"/>
        <v>581.57736</v>
      </c>
      <c r="BI267" s="72">
        <f t="shared" si="45"/>
        <v>0</v>
      </c>
      <c r="BJ267" s="73">
        <f t="shared" si="45"/>
        <v>0</v>
      </c>
      <c r="BK267" s="74">
        <f t="shared" si="45"/>
        <v>1982.0788680000001</v>
      </c>
      <c r="BN267" s="125">
        <f t="shared" si="41"/>
        <v>105994.33946000002</v>
      </c>
      <c r="BO267" s="126">
        <f t="shared" si="42"/>
        <v>95938.544775800008</v>
      </c>
      <c r="BP267" s="127">
        <f t="shared" si="43"/>
        <v>116694.94985628738</v>
      </c>
    </row>
    <row r="268" spans="1:68" ht="27.75" customHeight="1" outlineLevel="5" x14ac:dyDescent="0.25">
      <c r="C268" s="10" t="s">
        <v>83</v>
      </c>
      <c r="D268" s="10" t="s">
        <v>84</v>
      </c>
      <c r="E268" s="10" t="s">
        <v>73</v>
      </c>
      <c r="F268" s="10" t="s">
        <v>74</v>
      </c>
      <c r="G268" s="10" t="s">
        <v>204</v>
      </c>
      <c r="H268" s="10" t="s">
        <v>340</v>
      </c>
      <c r="I268" s="10" t="s">
        <v>73</v>
      </c>
      <c r="J268" s="10" t="s">
        <v>73</v>
      </c>
      <c r="K268" s="12" t="s">
        <v>73</v>
      </c>
      <c r="L268" s="10" t="s">
        <v>192</v>
      </c>
      <c r="M268" s="5" t="str">
        <f t="array" ref="M268">Y96</f>
        <v>1ХВС::1.1</v>
      </c>
      <c r="AB268" s="29" t="str">
        <f>AB267&amp;".1"</f>
        <v>3.1.1.3.2.1</v>
      </c>
      <c r="AC268" s="177" t="s">
        <v>342</v>
      </c>
      <c r="AD268" s="51" t="s">
        <v>111</v>
      </c>
      <c r="AE268" s="72">
        <v>66937.31</v>
      </c>
      <c r="AF268" s="178">
        <v>53627.03</v>
      </c>
      <c r="AG268" s="96">
        <v>70610.27</v>
      </c>
      <c r="AH268" s="72"/>
      <c r="AI268" s="178">
        <v>141.01</v>
      </c>
      <c r="AJ268" s="96"/>
      <c r="AK268" s="72">
        <v>1897.72</v>
      </c>
      <c r="AL268" s="178">
        <v>2304.91</v>
      </c>
      <c r="AM268" s="96">
        <v>2257.96</v>
      </c>
      <c r="AN268" s="72">
        <v>2681.61</v>
      </c>
      <c r="AO268" s="178">
        <v>3017</v>
      </c>
      <c r="AP268" s="181">
        <v>2619.23</v>
      </c>
      <c r="AQ268" s="72">
        <v>1473.18</v>
      </c>
      <c r="AR268" s="178">
        <v>587.08209999999997</v>
      </c>
      <c r="AS268" s="181">
        <v>740.61</v>
      </c>
      <c r="AT268" s="72">
        <v>2283.3090000000002</v>
      </c>
      <c r="AU268" s="178">
        <v>4758.3900000000003</v>
      </c>
      <c r="AV268" s="181">
        <v>3432.0949000000001</v>
      </c>
      <c r="AW268" s="72"/>
      <c r="AX268" s="178">
        <v>834.36689999999999</v>
      </c>
      <c r="AY268" s="181">
        <v>1047.0730000000001</v>
      </c>
      <c r="AZ268" s="72">
        <v>6135.73</v>
      </c>
      <c r="BA268" s="178">
        <v>8415.5859999999993</v>
      </c>
      <c r="BB268" s="181">
        <f>BA269*1.04*BB270*12/1000</f>
        <v>6951.213273646209</v>
      </c>
      <c r="BC268" s="72"/>
      <c r="BD268" s="178"/>
      <c r="BE268" s="96"/>
      <c r="BF268" s="139"/>
      <c r="BG268" s="183"/>
      <c r="BH268" s="184">
        <v>446.68</v>
      </c>
      <c r="BI268" s="142"/>
      <c r="BJ268" s="183"/>
      <c r="BK268" s="186">
        <v>1522.3340000000001</v>
      </c>
      <c r="BN268" s="125">
        <f t="shared" si="41"/>
        <v>81408.858999999982</v>
      </c>
      <c r="BO268" s="126">
        <f t="shared" si="42"/>
        <v>73685.375</v>
      </c>
      <c r="BP268" s="127">
        <f t="shared" si="43"/>
        <v>89627.465173646211</v>
      </c>
    </row>
    <row r="269" spans="1:68" s="115" customFormat="1" ht="14.25" customHeight="1" outlineLevel="5" x14ac:dyDescent="0.25">
      <c r="A269" s="100"/>
      <c r="B269" s="100"/>
      <c r="C269" s="99" t="s">
        <v>206</v>
      </c>
      <c r="D269" s="99" t="s">
        <v>207</v>
      </c>
      <c r="E269" s="99" t="s">
        <v>73</v>
      </c>
      <c r="F269" s="99" t="s">
        <v>74</v>
      </c>
      <c r="G269" s="99" t="s">
        <v>73</v>
      </c>
      <c r="H269" s="99" t="s">
        <v>340</v>
      </c>
      <c r="I269" s="99" t="s">
        <v>73</v>
      </c>
      <c r="J269" s="99" t="s">
        <v>73</v>
      </c>
      <c r="K269" s="102" t="s">
        <v>73</v>
      </c>
      <c r="L269" s="99" t="s">
        <v>192</v>
      </c>
      <c r="M269" s="100" t="str">
        <f t="array" ref="M269">Y96</f>
        <v>1ХВС::1.1</v>
      </c>
      <c r="N269" s="100"/>
      <c r="O269" s="100"/>
      <c r="P269" s="100"/>
      <c r="Q269" s="100"/>
      <c r="R269" s="100"/>
      <c r="S269" s="100"/>
      <c r="T269" s="100"/>
      <c r="U269" s="100"/>
      <c r="V269" s="100"/>
      <c r="W269" s="100"/>
      <c r="X269" s="100"/>
      <c r="Y269" s="100"/>
      <c r="Z269" s="100"/>
      <c r="AA269" s="100"/>
      <c r="AB269" s="103" t="str">
        <f>AB268&amp;".1"</f>
        <v>3.1.1.3.2.1.1</v>
      </c>
      <c r="AC269" s="188" t="s">
        <v>208</v>
      </c>
      <c r="AD269" s="189" t="s">
        <v>209</v>
      </c>
      <c r="AE269" s="190">
        <v>79710.039999999994</v>
      </c>
      <c r="AF269" s="191">
        <v>74432.36</v>
      </c>
      <c r="AG269" s="192">
        <f>IF(AG270=0,0,AG268*1000/AG$79/AG270)</f>
        <v>70133.363130711165</v>
      </c>
      <c r="AH269" s="190"/>
      <c r="AI269" s="191">
        <v>11751.12</v>
      </c>
      <c r="AJ269" s="192"/>
      <c r="AK269" s="190">
        <v>48214.35</v>
      </c>
      <c r="AL269" s="191">
        <v>50413.599999999999</v>
      </c>
      <c r="AM269" s="192">
        <v>52267.519999999997</v>
      </c>
      <c r="AN269" s="190">
        <v>52954.400000000001</v>
      </c>
      <c r="AO269" s="191">
        <f t="shared" ref="AO269:AV269" si="46">AO268/AO270/12*1000</f>
        <v>40098.351940457207</v>
      </c>
      <c r="AP269" s="193">
        <f t="shared" si="46"/>
        <v>51968.849206349201</v>
      </c>
      <c r="AQ269" s="190">
        <f t="shared" si="46"/>
        <v>69752.840909090926</v>
      </c>
      <c r="AR269" s="191">
        <f t="shared" si="46"/>
        <v>43295.140117994102</v>
      </c>
      <c r="AS269" s="193">
        <f t="shared" si="46"/>
        <v>51431.250000000007</v>
      </c>
      <c r="AT269" s="190">
        <f t="shared" si="46"/>
        <v>48539.732142857152</v>
      </c>
      <c r="AU269" s="191">
        <f t="shared" si="46"/>
        <v>48834.051724137935</v>
      </c>
      <c r="AV269" s="193">
        <f t="shared" si="46"/>
        <v>52001.437878787874</v>
      </c>
      <c r="AW269" s="190"/>
      <c r="AX269" s="191">
        <f>AX268/AX270/12*1000</f>
        <v>43186.69254658385</v>
      </c>
      <c r="AY269" s="193">
        <f>AY268/AY270/12*1000</f>
        <v>49860.619047619053</v>
      </c>
      <c r="AZ269" s="190">
        <f>AZ268/12/AZ270*1000</f>
        <v>63913.854166666657</v>
      </c>
      <c r="BA269" s="191">
        <f>BA268/12/BA270*1000</f>
        <v>50635.294825511432</v>
      </c>
      <c r="BB269" s="193">
        <f>BB268/12/BB270*1000</f>
        <v>52660.706618531891</v>
      </c>
      <c r="BC269" s="190"/>
      <c r="BD269" s="191"/>
      <c r="BE269" s="192"/>
      <c r="BF269" s="194"/>
      <c r="BG269" s="195"/>
      <c r="BH269" s="196">
        <f>BH268*1000/BH270/12</f>
        <v>74446.666666666672</v>
      </c>
      <c r="BI269" s="197"/>
      <c r="BJ269" s="195"/>
      <c r="BK269" s="198">
        <v>42287.03</v>
      </c>
      <c r="BL269" s="111"/>
      <c r="BM269" s="100"/>
      <c r="BN269" s="112">
        <f>(BN268/BN270)/12*1000</f>
        <v>74419.389900541151</v>
      </c>
      <c r="BO269" s="113">
        <f>(BO268/BO270)/12*1000</f>
        <v>64076.467877143572</v>
      </c>
      <c r="BP269" s="114">
        <f>(BP268/BP270)/12*1000</f>
        <v>65145.70807795188</v>
      </c>
    </row>
    <row r="270" spans="1:68" s="115" customFormat="1" ht="14.25" customHeight="1" outlineLevel="5" x14ac:dyDescent="0.25">
      <c r="A270" s="100"/>
      <c r="B270" s="100"/>
      <c r="C270" s="99" t="s">
        <v>210</v>
      </c>
      <c r="D270" s="99" t="s">
        <v>211</v>
      </c>
      <c r="E270" s="99" t="s">
        <v>73</v>
      </c>
      <c r="F270" s="99" t="s">
        <v>74</v>
      </c>
      <c r="G270" s="99" t="s">
        <v>73</v>
      </c>
      <c r="H270" s="99" t="s">
        <v>340</v>
      </c>
      <c r="I270" s="99" t="s">
        <v>73</v>
      </c>
      <c r="J270" s="99" t="s">
        <v>73</v>
      </c>
      <c r="K270" s="102" t="s">
        <v>73</v>
      </c>
      <c r="L270" s="99" t="s">
        <v>192</v>
      </c>
      <c r="M270" s="100" t="str">
        <f t="array" ref="M270">Y96</f>
        <v>1ХВС::1.1</v>
      </c>
      <c r="N270" s="100"/>
      <c r="O270" s="100"/>
      <c r="P270" s="100"/>
      <c r="Q270" s="100"/>
      <c r="R270" s="100"/>
      <c r="S270" s="100"/>
      <c r="T270" s="100"/>
      <c r="U270" s="100"/>
      <c r="V270" s="100"/>
      <c r="W270" s="100"/>
      <c r="X270" s="100"/>
      <c r="Y270" s="100"/>
      <c r="Z270" s="100"/>
      <c r="AA270" s="100"/>
      <c r="AB270" s="103" t="str">
        <f>AB268&amp;".2"</f>
        <v>3.1.1.3.2.1.2</v>
      </c>
      <c r="AC270" s="188" t="s">
        <v>212</v>
      </c>
      <c r="AD270" s="189" t="s">
        <v>213</v>
      </c>
      <c r="AE270" s="190">
        <v>69.98</v>
      </c>
      <c r="AF270" s="200">
        <v>60.04</v>
      </c>
      <c r="AG270" s="201">
        <v>83.9</v>
      </c>
      <c r="AH270" s="190"/>
      <c r="AI270" s="200">
        <v>1</v>
      </c>
      <c r="AJ270" s="201"/>
      <c r="AK270" s="190">
        <v>3.28</v>
      </c>
      <c r="AL270" s="200">
        <v>3.81</v>
      </c>
      <c r="AM270" s="201">
        <v>3.6</v>
      </c>
      <c r="AN270" s="190">
        <v>4.22</v>
      </c>
      <c r="AO270" s="200">
        <f>5.46+0.81</f>
        <v>6.27</v>
      </c>
      <c r="AP270" s="202">
        <v>4.2</v>
      </c>
      <c r="AQ270" s="190">
        <v>1.76</v>
      </c>
      <c r="AR270" s="200">
        <v>1.1299999999999999</v>
      </c>
      <c r="AS270" s="202">
        <v>1.2</v>
      </c>
      <c r="AT270" s="190">
        <v>3.92</v>
      </c>
      <c r="AU270" s="200">
        <v>8.1199999999999992</v>
      </c>
      <c r="AV270" s="202">
        <v>5.5</v>
      </c>
      <c r="AW270" s="190"/>
      <c r="AX270" s="200">
        <v>1.61</v>
      </c>
      <c r="AY270" s="202">
        <v>1.75</v>
      </c>
      <c r="AZ270" s="190">
        <v>8</v>
      </c>
      <c r="BA270" s="200">
        <v>13.85</v>
      </c>
      <c r="BB270" s="202">
        <f>12.8-1.8</f>
        <v>11</v>
      </c>
      <c r="BC270" s="190"/>
      <c r="BD270" s="200"/>
      <c r="BE270" s="201"/>
      <c r="BF270" s="194"/>
      <c r="BG270" s="204"/>
      <c r="BH270" s="205">
        <v>0.5</v>
      </c>
      <c r="BI270" s="197"/>
      <c r="BJ270" s="204"/>
      <c r="BK270" s="207">
        <v>3</v>
      </c>
      <c r="BL270" s="111"/>
      <c r="BM270" s="100"/>
      <c r="BN270" s="112">
        <f t="shared" ref="BN270:BP271" si="47">AE270+AH270+AK270+AN270+AQ270+AT270+AW270+AZ270+BC270+BF270+BI270</f>
        <v>91.160000000000011</v>
      </c>
      <c r="BO270" s="113">
        <f t="shared" si="47"/>
        <v>95.829999999999984</v>
      </c>
      <c r="BP270" s="114">
        <f t="shared" si="47"/>
        <v>114.65</v>
      </c>
    </row>
    <row r="271" spans="1:68" ht="14.25" customHeight="1" outlineLevel="5" x14ac:dyDescent="0.25">
      <c r="C271" s="10" t="s">
        <v>83</v>
      </c>
      <c r="D271" s="10" t="s">
        <v>84</v>
      </c>
      <c r="E271" s="10" t="s">
        <v>73</v>
      </c>
      <c r="F271" s="10" t="s">
        <v>74</v>
      </c>
      <c r="G271" s="10" t="s">
        <v>214</v>
      </c>
      <c r="H271" s="10" t="s">
        <v>340</v>
      </c>
      <c r="I271" s="10" t="s">
        <v>73</v>
      </c>
      <c r="J271" s="10" t="s">
        <v>73</v>
      </c>
      <c r="K271" s="12" t="s">
        <v>73</v>
      </c>
      <c r="L271" s="10" t="s">
        <v>192</v>
      </c>
      <c r="M271" s="5" t="str">
        <f t="array" ref="M271">Y96</f>
        <v>1ХВС::1.1</v>
      </c>
      <c r="AB271" s="29" t="str">
        <f>AB267&amp;".2"</f>
        <v>3.1.1.3.2.2</v>
      </c>
      <c r="AC271" s="177" t="s">
        <v>343</v>
      </c>
      <c r="AD271" s="51" t="s">
        <v>111</v>
      </c>
      <c r="AE271" s="72">
        <v>20215.07</v>
      </c>
      <c r="AF271" s="178">
        <v>16195.56</v>
      </c>
      <c r="AG271" s="96">
        <v>21324.3</v>
      </c>
      <c r="AH271" s="72"/>
      <c r="AI271" s="178">
        <v>42.59</v>
      </c>
      <c r="AJ271" s="96"/>
      <c r="AK271" s="72">
        <v>573.11</v>
      </c>
      <c r="AL271" s="178">
        <v>696.08</v>
      </c>
      <c r="AM271" s="96">
        <v>681.9</v>
      </c>
      <c r="AN271" s="72">
        <v>809.85</v>
      </c>
      <c r="AO271" s="178">
        <f>AO268*30.2%</f>
        <v>911.13400000000001</v>
      </c>
      <c r="AP271" s="181">
        <v>791.01</v>
      </c>
      <c r="AQ271" s="72">
        <v>444.9</v>
      </c>
      <c r="AR271" s="178">
        <v>177.29</v>
      </c>
      <c r="AS271" s="181">
        <v>223.66</v>
      </c>
      <c r="AT271" s="72">
        <v>689.56</v>
      </c>
      <c r="AU271" s="178">
        <v>1437.03</v>
      </c>
      <c r="AV271" s="181">
        <v>1036.49</v>
      </c>
      <c r="AW271" s="72"/>
      <c r="AX271" s="178">
        <f>AX268*30.2%</f>
        <v>251.97880379999998</v>
      </c>
      <c r="AY271" s="181">
        <f>AY268*30.2%</f>
        <v>316.21604600000001</v>
      </c>
      <c r="AZ271" s="72">
        <f>AZ268*30.2%</f>
        <v>1852.9904599999998</v>
      </c>
      <c r="BA271" s="178">
        <f>BA268*30.2%</f>
        <v>2541.5069719999997</v>
      </c>
      <c r="BB271" s="181">
        <f>BB268*30.2%</f>
        <v>2099.2664086411551</v>
      </c>
      <c r="BC271" s="72"/>
      <c r="BD271" s="178"/>
      <c r="BE271" s="96"/>
      <c r="BF271" s="139"/>
      <c r="BG271" s="183"/>
      <c r="BH271" s="184">
        <f>BH268*BH272/100</f>
        <v>134.89736000000002</v>
      </c>
      <c r="BI271" s="142"/>
      <c r="BJ271" s="183"/>
      <c r="BK271" s="186">
        <f>BK268*BK272/100</f>
        <v>459.744868</v>
      </c>
      <c r="BN271" s="125">
        <f t="shared" si="47"/>
        <v>24585.480460000002</v>
      </c>
      <c r="BO271" s="126">
        <f t="shared" si="47"/>
        <v>22253.169775800001</v>
      </c>
      <c r="BP271" s="127">
        <f t="shared" si="47"/>
        <v>27067.484682641156</v>
      </c>
    </row>
    <row r="272" spans="1:68" ht="14.25" customHeight="1" outlineLevel="5" x14ac:dyDescent="0.25">
      <c r="C272" s="10" t="s">
        <v>216</v>
      </c>
      <c r="D272" s="10" t="s">
        <v>217</v>
      </c>
      <c r="E272" s="10" t="s">
        <v>73</v>
      </c>
      <c r="F272" s="10" t="s">
        <v>74</v>
      </c>
      <c r="G272" s="10" t="s">
        <v>73</v>
      </c>
      <c r="H272" s="10" t="s">
        <v>340</v>
      </c>
      <c r="I272" s="10" t="s">
        <v>73</v>
      </c>
      <c r="J272" s="10" t="s">
        <v>73</v>
      </c>
      <c r="K272" s="12" t="s">
        <v>73</v>
      </c>
      <c r="L272" s="10" t="s">
        <v>192</v>
      </c>
      <c r="M272" s="5" t="str">
        <f t="array" ref="M272">Y96</f>
        <v>1ХВС::1.1</v>
      </c>
      <c r="AB272" s="29" t="str">
        <f>AB271&amp;".1"</f>
        <v>3.1.1.3.2.2.1</v>
      </c>
      <c r="AC272" s="208" t="s">
        <v>218</v>
      </c>
      <c r="AD272" s="51" t="s">
        <v>119</v>
      </c>
      <c r="AE272" s="72">
        <v>30.2</v>
      </c>
      <c r="AF272" s="73">
        <v>30.2</v>
      </c>
      <c r="AG272" s="74">
        <v>30.2</v>
      </c>
      <c r="AH272" s="72">
        <v>30.2</v>
      </c>
      <c r="AI272" s="73">
        <v>30.2</v>
      </c>
      <c r="AJ272" s="74">
        <v>30.2</v>
      </c>
      <c r="AK272" s="72">
        <v>30.2</v>
      </c>
      <c r="AL272" s="73">
        <v>30.2</v>
      </c>
      <c r="AM272" s="74">
        <v>30.2</v>
      </c>
      <c r="AN272" s="72">
        <v>30.2</v>
      </c>
      <c r="AO272" s="73">
        <v>30.2</v>
      </c>
      <c r="AP272" s="138">
        <v>30.2</v>
      </c>
      <c r="AQ272" s="72">
        <v>30.2</v>
      </c>
      <c r="AR272" s="73">
        <v>30.2</v>
      </c>
      <c r="AS272" s="138">
        <v>30.2</v>
      </c>
      <c r="AT272" s="72">
        <v>30.2</v>
      </c>
      <c r="AU272" s="73">
        <v>30.2</v>
      </c>
      <c r="AV272" s="138">
        <v>30.2</v>
      </c>
      <c r="AW272" s="72">
        <v>30.2</v>
      </c>
      <c r="AX272" s="73">
        <v>30.2</v>
      </c>
      <c r="AY272" s="138">
        <v>30.2</v>
      </c>
      <c r="AZ272" s="72">
        <v>30.2</v>
      </c>
      <c r="BA272" s="73">
        <v>30.2</v>
      </c>
      <c r="BB272" s="138">
        <v>30.2</v>
      </c>
      <c r="BC272" s="72">
        <v>30.2</v>
      </c>
      <c r="BD272" s="73">
        <v>30.2</v>
      </c>
      <c r="BE272" s="74">
        <v>30.2</v>
      </c>
      <c r="BF272" s="179">
        <v>30.2</v>
      </c>
      <c r="BG272" s="73">
        <v>30.2</v>
      </c>
      <c r="BH272" s="138">
        <v>30.2</v>
      </c>
      <c r="BI272" s="72">
        <v>30.2</v>
      </c>
      <c r="BJ272" s="73">
        <v>30.2</v>
      </c>
      <c r="BK272" s="74">
        <v>30.2</v>
      </c>
      <c r="BN272" s="125">
        <v>30.2</v>
      </c>
      <c r="BO272" s="126">
        <v>30.2</v>
      </c>
      <c r="BP272" s="127">
        <v>30.2</v>
      </c>
    </row>
    <row r="273" spans="1:68" s="211" customFormat="1" ht="28.5" hidden="1" customHeight="1" outlineLevel="4" x14ac:dyDescent="0.25">
      <c r="A273" s="6"/>
      <c r="B273" s="6"/>
      <c r="C273" s="116" t="s">
        <v>83</v>
      </c>
      <c r="D273" s="116" t="s">
        <v>84</v>
      </c>
      <c r="E273" s="116" t="s">
        <v>73</v>
      </c>
      <c r="F273" s="116" t="s">
        <v>74</v>
      </c>
      <c r="G273" s="116" t="s">
        <v>344</v>
      </c>
      <c r="H273" s="116" t="s">
        <v>73</v>
      </c>
      <c r="I273" s="116" t="s">
        <v>73</v>
      </c>
      <c r="J273" s="116" t="s">
        <v>73</v>
      </c>
      <c r="K273" s="209" t="s">
        <v>73</v>
      </c>
      <c r="L273" s="116" t="s">
        <v>192</v>
      </c>
      <c r="M273" s="6" t="str">
        <f t="array" ref="M273">Y96</f>
        <v>1ХВС::1.1</v>
      </c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5" t="str">
        <f>AB258&amp;".3"</f>
        <v>3.1.1.3.3</v>
      </c>
      <c r="AC273" s="174" t="s">
        <v>344</v>
      </c>
      <c r="AD273" s="51" t="s">
        <v>111</v>
      </c>
      <c r="AE273" s="72"/>
      <c r="AF273" s="178"/>
      <c r="AG273" s="96"/>
      <c r="AH273" s="72"/>
      <c r="AI273" s="178"/>
      <c r="AJ273" s="96"/>
      <c r="AK273" s="72">
        <v>0</v>
      </c>
      <c r="AL273" s="178">
        <v>0</v>
      </c>
      <c r="AM273" s="96">
        <v>0</v>
      </c>
      <c r="AN273" s="72"/>
      <c r="AO273" s="178"/>
      <c r="AP273" s="181"/>
      <c r="AQ273" s="72"/>
      <c r="AR273" s="178"/>
      <c r="AS273" s="181"/>
      <c r="AT273" s="72"/>
      <c r="AU273" s="178"/>
      <c r="AV273" s="181"/>
      <c r="AW273" s="72"/>
      <c r="AX273" s="178"/>
      <c r="AY273" s="181"/>
      <c r="AZ273" s="72"/>
      <c r="BA273" s="178"/>
      <c r="BB273" s="181"/>
      <c r="BC273" s="72"/>
      <c r="BD273" s="178"/>
      <c r="BE273" s="96"/>
      <c r="BF273" s="179"/>
      <c r="BG273" s="178"/>
      <c r="BH273" s="181"/>
      <c r="BI273" s="72"/>
      <c r="BJ273" s="178"/>
      <c r="BK273" s="96"/>
      <c r="BL273" s="6"/>
      <c r="BM273" s="6"/>
      <c r="BN273" s="125">
        <f t="shared" ref="BN273:BN312" si="48">AE273+AH273+AK273+AN273+AQ273+AT273+AW273+AZ273+BC273+BF273+BI273</f>
        <v>0</v>
      </c>
      <c r="BO273" s="126">
        <f t="shared" ref="BO273:BO312" si="49">AF273+AI273+AL273+AO273+AR273+AU273+AX273+BA273+BD273+BG273+BJ273</f>
        <v>0</v>
      </c>
      <c r="BP273" s="127">
        <f t="shared" ref="BP273:BP312" si="50">AG273+AJ273+AM273+AP273+AS273+AV273+AY273+BB273+BE273+BH273+BK273</f>
        <v>0</v>
      </c>
    </row>
    <row r="274" spans="1:68" ht="14.25" customHeight="1" outlineLevel="4" x14ac:dyDescent="0.25">
      <c r="C274" s="10" t="s">
        <v>83</v>
      </c>
      <c r="D274" s="10" t="s">
        <v>84</v>
      </c>
      <c r="E274" s="10" t="s">
        <v>73</v>
      </c>
      <c r="F274" s="10" t="s">
        <v>74</v>
      </c>
      <c r="G274" s="10" t="s">
        <v>345</v>
      </c>
      <c r="H274" s="10" t="s">
        <v>73</v>
      </c>
      <c r="I274" s="10" t="s">
        <v>73</v>
      </c>
      <c r="J274" s="10" t="s">
        <v>73</v>
      </c>
      <c r="K274" s="12" t="s">
        <v>73</v>
      </c>
      <c r="L274" s="10" t="s">
        <v>192</v>
      </c>
      <c r="M274" s="5" t="str">
        <f t="array" ref="M274">Y96</f>
        <v>1ХВС::1.1</v>
      </c>
      <c r="AB274" s="65" t="str">
        <f>AB258&amp;".4"</f>
        <v>3.1.1.3.4</v>
      </c>
      <c r="AC274" s="174" t="s">
        <v>346</v>
      </c>
      <c r="AD274" s="51" t="s">
        <v>111</v>
      </c>
      <c r="AE274" s="72">
        <v>830.47</v>
      </c>
      <c r="AF274" s="178">
        <v>442.92</v>
      </c>
      <c r="AG274" s="96">
        <v>476.52</v>
      </c>
      <c r="AH274" s="72"/>
      <c r="AI274" s="178"/>
      <c r="AJ274" s="96"/>
      <c r="AK274" s="72"/>
      <c r="AL274" s="178">
        <v>10.8</v>
      </c>
      <c r="AM274" s="96"/>
      <c r="AN274" s="72"/>
      <c r="AO274" s="178"/>
      <c r="AP274" s="181"/>
      <c r="AQ274" s="72"/>
      <c r="AR274" s="178"/>
      <c r="AS274" s="181"/>
      <c r="AT274" s="72"/>
      <c r="AU274" s="178"/>
      <c r="AV274" s="181"/>
      <c r="AW274" s="72"/>
      <c r="AX274" s="178"/>
      <c r="AY274" s="181"/>
      <c r="AZ274" s="72"/>
      <c r="BA274" s="178"/>
      <c r="BB274" s="181"/>
      <c r="BC274" s="72"/>
      <c r="BD274" s="178"/>
      <c r="BE274" s="96"/>
      <c r="BF274" s="179"/>
      <c r="BG274" s="178"/>
      <c r="BH274" s="181"/>
      <c r="BI274" s="72"/>
      <c r="BJ274" s="178"/>
      <c r="BK274" s="96"/>
      <c r="BN274" s="125">
        <f t="shared" si="48"/>
        <v>830.47</v>
      </c>
      <c r="BO274" s="126">
        <f t="shared" si="49"/>
        <v>453.72</v>
      </c>
      <c r="BP274" s="127">
        <f t="shared" si="50"/>
        <v>476.52</v>
      </c>
    </row>
    <row r="275" spans="1:68" s="211" customFormat="1" ht="14.25" customHeight="1" outlineLevel="4" x14ac:dyDescent="0.25">
      <c r="A275" s="6"/>
      <c r="B275" s="6"/>
      <c r="C275" s="116" t="s">
        <v>83</v>
      </c>
      <c r="D275" s="116" t="s">
        <v>84</v>
      </c>
      <c r="E275" s="116" t="s">
        <v>73</v>
      </c>
      <c r="F275" s="116" t="s">
        <v>74</v>
      </c>
      <c r="G275" s="116" t="s">
        <v>347</v>
      </c>
      <c r="H275" s="116" t="s">
        <v>73</v>
      </c>
      <c r="I275" s="116" t="s">
        <v>73</v>
      </c>
      <c r="J275" s="116" t="s">
        <v>73</v>
      </c>
      <c r="K275" s="209" t="s">
        <v>73</v>
      </c>
      <c r="L275" s="116" t="s">
        <v>192</v>
      </c>
      <c r="M275" s="6" t="str">
        <f t="array" ref="M275">Y96</f>
        <v>1ХВС::1.1</v>
      </c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5" t="str">
        <f>AB258&amp;".5"</f>
        <v>3.1.1.3.5</v>
      </c>
      <c r="AC275" s="174" t="s">
        <v>348</v>
      </c>
      <c r="AD275" s="51" t="s">
        <v>111</v>
      </c>
      <c r="AE275" s="72">
        <v>801.42</v>
      </c>
      <c r="AF275" s="178">
        <v>118.95</v>
      </c>
      <c r="AG275" s="96">
        <v>866.81</v>
      </c>
      <c r="AH275" s="72"/>
      <c r="AI275" s="178"/>
      <c r="AJ275" s="96"/>
      <c r="AK275" s="72">
        <v>7.25</v>
      </c>
      <c r="AL275" s="178">
        <v>27</v>
      </c>
      <c r="AM275" s="96">
        <v>14.54</v>
      </c>
      <c r="AN275" s="72">
        <v>27.6</v>
      </c>
      <c r="AO275" s="178">
        <v>4.22</v>
      </c>
      <c r="AP275" s="181">
        <v>22.5</v>
      </c>
      <c r="AQ275" s="72">
        <v>16.75</v>
      </c>
      <c r="AR275" s="178"/>
      <c r="AS275" s="181">
        <v>9.09</v>
      </c>
      <c r="AT275" s="72">
        <v>65.25</v>
      </c>
      <c r="AU275" s="178"/>
      <c r="AV275" s="181">
        <v>45.98</v>
      </c>
      <c r="AW275" s="72">
        <v>23.5</v>
      </c>
      <c r="AX275" s="178"/>
      <c r="AY275" s="181">
        <v>11.83</v>
      </c>
      <c r="AZ275" s="72">
        <v>38.86</v>
      </c>
      <c r="BA275" s="178">
        <v>15.7</v>
      </c>
      <c r="BB275" s="181">
        <v>17.329999999999998</v>
      </c>
      <c r="BC275" s="72">
        <v>77.03</v>
      </c>
      <c r="BD275" s="178"/>
      <c r="BE275" s="96">
        <v>43.08</v>
      </c>
      <c r="BF275" s="139">
        <v>8</v>
      </c>
      <c r="BG275" s="183"/>
      <c r="BH275" s="184">
        <v>4.24</v>
      </c>
      <c r="BI275" s="142">
        <v>8.15</v>
      </c>
      <c r="BJ275" s="183">
        <v>9.14</v>
      </c>
      <c r="BK275" s="186">
        <v>6.15</v>
      </c>
      <c r="BL275" s="6"/>
      <c r="BM275" s="6"/>
      <c r="BN275" s="125">
        <f t="shared" si="48"/>
        <v>1073.8100000000002</v>
      </c>
      <c r="BO275" s="126">
        <f t="shared" si="49"/>
        <v>175.01</v>
      </c>
      <c r="BP275" s="127">
        <f t="shared" si="50"/>
        <v>1041.5500000000002</v>
      </c>
    </row>
    <row r="276" spans="1:68" s="211" customFormat="1" ht="14.25" hidden="1" customHeight="1" outlineLevel="4" x14ac:dyDescent="0.25">
      <c r="A276" s="6"/>
      <c r="B276" s="6"/>
      <c r="C276" s="116" t="s">
        <v>83</v>
      </c>
      <c r="D276" s="116" t="s">
        <v>84</v>
      </c>
      <c r="E276" s="116" t="s">
        <v>73</v>
      </c>
      <c r="F276" s="116" t="s">
        <v>74</v>
      </c>
      <c r="G276" s="116" t="s">
        <v>349</v>
      </c>
      <c r="H276" s="116" t="s">
        <v>73</v>
      </c>
      <c r="I276" s="116" t="s">
        <v>73</v>
      </c>
      <c r="J276" s="116" t="s">
        <v>73</v>
      </c>
      <c r="K276" s="209" t="s">
        <v>73</v>
      </c>
      <c r="L276" s="116" t="s">
        <v>192</v>
      </c>
      <c r="M276" s="6" t="str">
        <f t="array" ref="M276">Y96</f>
        <v>1ХВС::1.1</v>
      </c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5" t="str">
        <f>AB258&amp;".6"</f>
        <v>3.1.1.3.6</v>
      </c>
      <c r="AC276" s="174" t="s">
        <v>350</v>
      </c>
      <c r="AD276" s="51" t="s">
        <v>111</v>
      </c>
      <c r="AE276" s="72"/>
      <c r="AF276" s="178"/>
      <c r="AG276" s="96"/>
      <c r="AH276" s="72"/>
      <c r="AI276" s="178"/>
      <c r="AJ276" s="96"/>
      <c r="AK276" s="72"/>
      <c r="AL276" s="178"/>
      <c r="AM276" s="96"/>
      <c r="AN276" s="72"/>
      <c r="AO276" s="178"/>
      <c r="AP276" s="181"/>
      <c r="AQ276" s="72"/>
      <c r="AR276" s="178"/>
      <c r="AS276" s="181"/>
      <c r="AT276" s="72"/>
      <c r="AU276" s="178"/>
      <c r="AV276" s="181"/>
      <c r="AW276" s="72"/>
      <c r="AX276" s="178"/>
      <c r="AY276" s="181"/>
      <c r="AZ276" s="72"/>
      <c r="BA276" s="178"/>
      <c r="BB276" s="181"/>
      <c r="BC276" s="72"/>
      <c r="BD276" s="178"/>
      <c r="BE276" s="96"/>
      <c r="BF276" s="179"/>
      <c r="BG276" s="178"/>
      <c r="BH276" s="181"/>
      <c r="BI276" s="72"/>
      <c r="BJ276" s="178"/>
      <c r="BK276" s="96"/>
      <c r="BL276" s="6"/>
      <c r="BM276" s="6"/>
      <c r="BN276" s="125">
        <f t="shared" si="48"/>
        <v>0</v>
      </c>
      <c r="BO276" s="126">
        <f t="shared" si="49"/>
        <v>0</v>
      </c>
      <c r="BP276" s="127">
        <f t="shared" si="50"/>
        <v>0</v>
      </c>
    </row>
    <row r="277" spans="1:68" ht="14.25" customHeight="1" outlineLevel="4" x14ac:dyDescent="0.25">
      <c r="C277" s="10" t="s">
        <v>83</v>
      </c>
      <c r="D277" s="10" t="s">
        <v>84</v>
      </c>
      <c r="E277" s="10" t="s">
        <v>73</v>
      </c>
      <c r="F277" s="10" t="s">
        <v>74</v>
      </c>
      <c r="G277" s="10" t="s">
        <v>351</v>
      </c>
      <c r="H277" s="10" t="s">
        <v>73</v>
      </c>
      <c r="I277" s="10" t="s">
        <v>73</v>
      </c>
      <c r="J277" s="10" t="s">
        <v>73</v>
      </c>
      <c r="K277" s="12" t="s">
        <v>73</v>
      </c>
      <c r="L277" s="10" t="s">
        <v>192</v>
      </c>
      <c r="M277" s="5" t="str">
        <f t="array" ref="M277">Y96</f>
        <v>1ХВС::1.1</v>
      </c>
      <c r="AB277" s="65" t="str">
        <f>AB258&amp;".7"</f>
        <v>3.1.1.3.7</v>
      </c>
      <c r="AC277" s="174" t="s">
        <v>352</v>
      </c>
      <c r="AD277" s="51" t="s">
        <v>111</v>
      </c>
      <c r="AE277" s="72">
        <f t="shared" ref="AE277:BK277" si="51">AE278+AE279+AE284+AE280+AE281+AE282+AE283</f>
        <v>21896.279999999995</v>
      </c>
      <c r="AF277" s="73">
        <f t="shared" si="51"/>
        <v>20397.72</v>
      </c>
      <c r="AG277" s="74">
        <f t="shared" si="51"/>
        <v>22593.044000000002</v>
      </c>
      <c r="AH277" s="72">
        <f t="shared" si="51"/>
        <v>56.1</v>
      </c>
      <c r="AI277" s="73">
        <f t="shared" si="51"/>
        <v>0</v>
      </c>
      <c r="AJ277" s="74">
        <f t="shared" si="51"/>
        <v>63.576000000000001</v>
      </c>
      <c r="AK277" s="72">
        <f t="shared" si="51"/>
        <v>205.07999999999998</v>
      </c>
      <c r="AL277" s="73">
        <f t="shared" si="51"/>
        <v>30.240000000000002</v>
      </c>
      <c r="AM277" s="74">
        <f t="shared" si="51"/>
        <v>1904.9999999999998</v>
      </c>
      <c r="AN277" s="72">
        <f t="shared" si="51"/>
        <v>193.24399999999997</v>
      </c>
      <c r="AO277" s="73">
        <f t="shared" si="51"/>
        <v>318.95</v>
      </c>
      <c r="AP277" s="74">
        <f t="shared" si="51"/>
        <v>676.15</v>
      </c>
      <c r="AQ277" s="72">
        <f t="shared" si="51"/>
        <v>22.76</v>
      </c>
      <c r="AR277" s="73">
        <f t="shared" si="51"/>
        <v>5.57</v>
      </c>
      <c r="AS277" s="74">
        <f t="shared" si="51"/>
        <v>138.54000000000002</v>
      </c>
      <c r="AT277" s="72">
        <f t="shared" si="51"/>
        <v>214.59899999999999</v>
      </c>
      <c r="AU277" s="73">
        <f t="shared" si="51"/>
        <v>0</v>
      </c>
      <c r="AV277" s="74">
        <f t="shared" si="51"/>
        <v>298.09100000000001</v>
      </c>
      <c r="AW277" s="72">
        <f t="shared" si="51"/>
        <v>168.07600000000002</v>
      </c>
      <c r="AX277" s="73">
        <f t="shared" si="51"/>
        <v>0</v>
      </c>
      <c r="AY277" s="74">
        <f t="shared" si="51"/>
        <v>250.28899999999999</v>
      </c>
      <c r="AZ277" s="72">
        <f t="shared" si="51"/>
        <v>395.94299999999998</v>
      </c>
      <c r="BA277" s="73">
        <f t="shared" si="51"/>
        <v>39.51</v>
      </c>
      <c r="BB277" s="74">
        <f t="shared" si="51"/>
        <v>438.44100000000003</v>
      </c>
      <c r="BC277" s="72">
        <f t="shared" si="51"/>
        <v>223.58999999999997</v>
      </c>
      <c r="BD277" s="73">
        <f t="shared" si="51"/>
        <v>0</v>
      </c>
      <c r="BE277" s="74">
        <f t="shared" si="51"/>
        <v>304.14999999999998</v>
      </c>
      <c r="BF277" s="72">
        <f t="shared" si="51"/>
        <v>14.87</v>
      </c>
      <c r="BG277" s="73">
        <f t="shared" si="51"/>
        <v>0</v>
      </c>
      <c r="BH277" s="74">
        <f t="shared" si="51"/>
        <v>118.99000000000002</v>
      </c>
      <c r="BI277" s="72">
        <f t="shared" si="51"/>
        <v>209.61</v>
      </c>
      <c r="BJ277" s="73">
        <f t="shared" si="51"/>
        <v>125.08</v>
      </c>
      <c r="BK277" s="74">
        <f t="shared" si="51"/>
        <v>311.70999999999992</v>
      </c>
      <c r="BN277" s="125">
        <f t="shared" si="48"/>
        <v>23600.151999999991</v>
      </c>
      <c r="BO277" s="126">
        <f t="shared" si="49"/>
        <v>20917.070000000003</v>
      </c>
      <c r="BP277" s="127">
        <f t="shared" si="50"/>
        <v>27097.981000000007</v>
      </c>
    </row>
    <row r="278" spans="1:68" ht="14.25" customHeight="1" outlineLevel="5" x14ac:dyDescent="0.25">
      <c r="C278" s="10" t="s">
        <v>83</v>
      </c>
      <c r="D278" s="10" t="s">
        <v>84</v>
      </c>
      <c r="E278" s="10" t="s">
        <v>73</v>
      </c>
      <c r="F278" s="10" t="s">
        <v>74</v>
      </c>
      <c r="G278" s="10" t="s">
        <v>353</v>
      </c>
      <c r="H278" s="10" t="s">
        <v>73</v>
      </c>
      <c r="I278" s="10" t="s">
        <v>73</v>
      </c>
      <c r="J278" s="10" t="s">
        <v>73</v>
      </c>
      <c r="K278" s="12" t="s">
        <v>73</v>
      </c>
      <c r="L278" s="10" t="s">
        <v>192</v>
      </c>
      <c r="M278" s="5" t="str">
        <f t="array" ref="M278">Y96</f>
        <v>1ХВС::1.1</v>
      </c>
      <c r="AB278" s="29" t="str">
        <f>AB277&amp;".1"</f>
        <v>3.1.1.3.7.1</v>
      </c>
      <c r="AC278" s="177" t="s">
        <v>354</v>
      </c>
      <c r="AD278" s="51" t="s">
        <v>111</v>
      </c>
      <c r="AE278" s="72">
        <v>89.17</v>
      </c>
      <c r="AF278" s="178">
        <v>645.92999999999995</v>
      </c>
      <c r="AG278" s="96">
        <v>694.94</v>
      </c>
      <c r="AH278" s="72"/>
      <c r="AI278" s="178"/>
      <c r="AJ278" s="96"/>
      <c r="AK278" s="72"/>
      <c r="AL278" s="178"/>
      <c r="AM278" s="96"/>
      <c r="AN278" s="72"/>
      <c r="AO278" s="178"/>
      <c r="AP278" s="181"/>
      <c r="AQ278" s="72"/>
      <c r="AR278" s="178"/>
      <c r="AS278" s="181"/>
      <c r="AT278" s="72"/>
      <c r="AU278" s="178"/>
      <c r="AV278" s="181"/>
      <c r="AW278" s="72"/>
      <c r="AX278" s="178"/>
      <c r="AY278" s="181"/>
      <c r="AZ278" s="72"/>
      <c r="BA278" s="178"/>
      <c r="BB278" s="181"/>
      <c r="BC278" s="72"/>
      <c r="BD278" s="178"/>
      <c r="BE278" s="96"/>
      <c r="BF278" s="179"/>
      <c r="BG278" s="178"/>
      <c r="BH278" s="181"/>
      <c r="BI278" s="72"/>
      <c r="BJ278" s="178"/>
      <c r="BK278" s="96"/>
      <c r="BN278" s="125">
        <f t="shared" si="48"/>
        <v>89.17</v>
      </c>
      <c r="BO278" s="126">
        <f t="shared" si="49"/>
        <v>645.92999999999995</v>
      </c>
      <c r="BP278" s="127">
        <f t="shared" si="50"/>
        <v>694.94</v>
      </c>
    </row>
    <row r="279" spans="1:68" ht="30" customHeight="1" outlineLevel="5" x14ac:dyDescent="0.25">
      <c r="C279" s="10" t="s">
        <v>83</v>
      </c>
      <c r="D279" s="10" t="s">
        <v>84</v>
      </c>
      <c r="E279" s="10" t="s">
        <v>73</v>
      </c>
      <c r="F279" s="10" t="s">
        <v>74</v>
      </c>
      <c r="G279" s="10" t="s">
        <v>355</v>
      </c>
      <c r="H279" s="10" t="s">
        <v>73</v>
      </c>
      <c r="I279" s="10" t="s">
        <v>73</v>
      </c>
      <c r="J279" s="10" t="s">
        <v>73</v>
      </c>
      <c r="K279" s="12" t="s">
        <v>73</v>
      </c>
      <c r="L279" s="10" t="s">
        <v>192</v>
      </c>
      <c r="M279" s="5" t="str">
        <f t="array" ref="M279">Y96</f>
        <v>1ХВС::1.1</v>
      </c>
      <c r="AB279" s="29" t="str">
        <f>AB277&amp;".2"</f>
        <v>3.1.1.3.7.2</v>
      </c>
      <c r="AC279" s="177" t="s">
        <v>356</v>
      </c>
      <c r="AD279" s="51" t="s">
        <v>111</v>
      </c>
      <c r="AE279" s="72">
        <v>61.27</v>
      </c>
      <c r="AF279" s="178">
        <v>1753.77</v>
      </c>
      <c r="AG279" s="96">
        <v>1886.82</v>
      </c>
      <c r="AH279" s="72"/>
      <c r="AI279" s="178"/>
      <c r="AJ279" s="96"/>
      <c r="AK279" s="72"/>
      <c r="AL279" s="178"/>
      <c r="AM279" s="96"/>
      <c r="AN279" s="72"/>
      <c r="AO279" s="178"/>
      <c r="AP279" s="181"/>
      <c r="AQ279" s="72"/>
      <c r="AR279" s="178">
        <v>5.57</v>
      </c>
      <c r="AS279" s="181"/>
      <c r="AT279" s="72"/>
      <c r="AU279" s="178"/>
      <c r="AV279" s="181"/>
      <c r="AW279" s="72"/>
      <c r="AX279" s="178"/>
      <c r="AY279" s="181"/>
      <c r="AZ279" s="72"/>
      <c r="BA279" s="178"/>
      <c r="BB279" s="181"/>
      <c r="BC279" s="72"/>
      <c r="BD279" s="178"/>
      <c r="BE279" s="96"/>
      <c r="BF279" s="179"/>
      <c r="BG279" s="178"/>
      <c r="BH279" s="181"/>
      <c r="BI279" s="72"/>
      <c r="BJ279" s="178"/>
      <c r="BK279" s="96"/>
      <c r="BN279" s="125">
        <f t="shared" si="48"/>
        <v>61.27</v>
      </c>
      <c r="BO279" s="126">
        <f t="shared" si="49"/>
        <v>1759.34</v>
      </c>
      <c r="BP279" s="127">
        <f t="shared" si="50"/>
        <v>1886.82</v>
      </c>
    </row>
    <row r="280" spans="1:68" ht="18.75" customHeight="1" outlineLevel="5" x14ac:dyDescent="0.25">
      <c r="C280" s="10" t="s">
        <v>83</v>
      </c>
      <c r="D280" s="10" t="s">
        <v>84</v>
      </c>
      <c r="E280" s="10" t="s">
        <v>73</v>
      </c>
      <c r="F280" s="10" t="s">
        <v>74</v>
      </c>
      <c r="G280" s="10" t="s">
        <v>357</v>
      </c>
      <c r="H280" s="10" t="s">
        <v>73</v>
      </c>
      <c r="I280" s="10" t="s">
        <v>73</v>
      </c>
      <c r="J280" s="10" t="s">
        <v>73</v>
      </c>
      <c r="K280" s="12" t="s">
        <v>73</v>
      </c>
      <c r="L280" s="10" t="s">
        <v>192</v>
      </c>
      <c r="M280" s="5" t="str">
        <f t="array" ref="M280">Y96</f>
        <v>1ХВС::1.1</v>
      </c>
      <c r="AB280" s="29" t="str">
        <f>AB277&amp;".3"</f>
        <v>3.1.1.3.7.3</v>
      </c>
      <c r="AC280" s="177" t="s">
        <v>358</v>
      </c>
      <c r="AD280" s="51" t="s">
        <v>111</v>
      </c>
      <c r="AE280" s="72"/>
      <c r="AF280" s="178">
        <v>123.25</v>
      </c>
      <c r="AG280" s="96">
        <v>132.61000000000001</v>
      </c>
      <c r="AH280" s="72"/>
      <c r="AI280" s="178"/>
      <c r="AJ280" s="96"/>
      <c r="AK280" s="72"/>
      <c r="AL280" s="178"/>
      <c r="AM280" s="96"/>
      <c r="AN280" s="72"/>
      <c r="AO280" s="178"/>
      <c r="AP280" s="181"/>
      <c r="AQ280" s="72"/>
      <c r="AR280" s="178"/>
      <c r="AS280" s="181"/>
      <c r="AT280" s="72"/>
      <c r="AU280" s="178"/>
      <c r="AV280" s="181"/>
      <c r="AW280" s="72"/>
      <c r="AX280" s="178"/>
      <c r="AY280" s="181"/>
      <c r="AZ280" s="72"/>
      <c r="BA280" s="178"/>
      <c r="BB280" s="181"/>
      <c r="BC280" s="72"/>
      <c r="BD280" s="178"/>
      <c r="BE280" s="96"/>
      <c r="BF280" s="179"/>
      <c r="BG280" s="178"/>
      <c r="BH280" s="181"/>
      <c r="BI280" s="72"/>
      <c r="BJ280" s="178"/>
      <c r="BK280" s="96"/>
      <c r="BN280" s="125">
        <f t="shared" si="48"/>
        <v>0</v>
      </c>
      <c r="BO280" s="126">
        <f t="shared" si="49"/>
        <v>123.25</v>
      </c>
      <c r="BP280" s="127">
        <f t="shared" si="50"/>
        <v>132.61000000000001</v>
      </c>
    </row>
    <row r="281" spans="1:68" ht="14.25" hidden="1" customHeight="1" outlineLevel="5" x14ac:dyDescent="0.25">
      <c r="C281" s="10" t="s">
        <v>83</v>
      </c>
      <c r="D281" s="10" t="s">
        <v>84</v>
      </c>
      <c r="E281" s="10" t="s">
        <v>73</v>
      </c>
      <c r="F281" s="10" t="s">
        <v>74</v>
      </c>
      <c r="G281" s="10" t="s">
        <v>359</v>
      </c>
      <c r="H281" s="10" t="s">
        <v>73</v>
      </c>
      <c r="I281" s="10" t="s">
        <v>73</v>
      </c>
      <c r="J281" s="10" t="s">
        <v>73</v>
      </c>
      <c r="K281" s="12" t="s">
        <v>73</v>
      </c>
      <c r="L281" s="10" t="s">
        <v>192</v>
      </c>
      <c r="M281" s="5" t="str">
        <f t="array" ref="M281">Y96</f>
        <v>1ХВС::1.1</v>
      </c>
      <c r="AB281" s="65" t="str">
        <f>AB277&amp;".4"</f>
        <v>3.1.1.3.7.4</v>
      </c>
      <c r="AC281" s="177" t="s">
        <v>360</v>
      </c>
      <c r="AD281" s="51" t="s">
        <v>111</v>
      </c>
      <c r="AE281" s="72"/>
      <c r="AF281" s="178"/>
      <c r="AG281" s="96"/>
      <c r="AH281" s="72"/>
      <c r="AI281" s="178"/>
      <c r="AJ281" s="96"/>
      <c r="AK281" s="72"/>
      <c r="AL281" s="178"/>
      <c r="AM281" s="96"/>
      <c r="AN281" s="72"/>
      <c r="AO281" s="178"/>
      <c r="AP281" s="181"/>
      <c r="AQ281" s="72"/>
      <c r="AR281" s="178"/>
      <c r="AS281" s="181"/>
      <c r="AT281" s="72"/>
      <c r="AU281" s="178"/>
      <c r="AV281" s="181"/>
      <c r="AW281" s="72"/>
      <c r="AX281" s="178"/>
      <c r="AY281" s="181"/>
      <c r="AZ281" s="72"/>
      <c r="BA281" s="178"/>
      <c r="BB281" s="181"/>
      <c r="BC281" s="72"/>
      <c r="BD281" s="178"/>
      <c r="BE281" s="96"/>
      <c r="BF281" s="179"/>
      <c r="BG281" s="178"/>
      <c r="BH281" s="181"/>
      <c r="BI281" s="72"/>
      <c r="BJ281" s="178"/>
      <c r="BK281" s="96"/>
      <c r="BN281" s="125">
        <f t="shared" si="48"/>
        <v>0</v>
      </c>
      <c r="BO281" s="126">
        <f t="shared" si="49"/>
        <v>0</v>
      </c>
      <c r="BP281" s="127">
        <f t="shared" si="50"/>
        <v>0</v>
      </c>
    </row>
    <row r="282" spans="1:68" ht="14.25" hidden="1" customHeight="1" outlineLevel="5" x14ac:dyDescent="0.25">
      <c r="C282" s="10" t="s">
        <v>83</v>
      </c>
      <c r="D282" s="10" t="s">
        <v>84</v>
      </c>
      <c r="E282" s="10" t="s">
        <v>73</v>
      </c>
      <c r="F282" s="10" t="s">
        <v>74</v>
      </c>
      <c r="G282" s="10" t="s">
        <v>361</v>
      </c>
      <c r="H282" s="10" t="s">
        <v>73</v>
      </c>
      <c r="I282" s="10" t="s">
        <v>73</v>
      </c>
      <c r="J282" s="10" t="s">
        <v>73</v>
      </c>
      <c r="K282" s="12" t="s">
        <v>73</v>
      </c>
      <c r="L282" s="10" t="s">
        <v>192</v>
      </c>
      <c r="M282" s="5" t="str">
        <f t="array" ref="M282">Y96</f>
        <v>1ХВС::1.1</v>
      </c>
      <c r="AB282" s="65" t="str">
        <f>AB277&amp;".5"</f>
        <v>3.1.1.3.7.5</v>
      </c>
      <c r="AC282" s="177" t="s">
        <v>362</v>
      </c>
      <c r="AD282" s="51" t="s">
        <v>111</v>
      </c>
      <c r="AE282" s="72"/>
      <c r="AF282" s="178"/>
      <c r="AG282" s="96"/>
      <c r="AH282" s="72"/>
      <c r="AI282" s="178"/>
      <c r="AJ282" s="96"/>
      <c r="AK282" s="72"/>
      <c r="AL282" s="178"/>
      <c r="AM282" s="96"/>
      <c r="AN282" s="72"/>
      <c r="AO282" s="178"/>
      <c r="AP282" s="181"/>
      <c r="AQ282" s="72"/>
      <c r="AR282" s="178"/>
      <c r="AS282" s="181"/>
      <c r="AT282" s="72"/>
      <c r="AU282" s="178"/>
      <c r="AV282" s="181"/>
      <c r="AW282" s="72"/>
      <c r="AX282" s="178"/>
      <c r="AY282" s="181"/>
      <c r="AZ282" s="72"/>
      <c r="BA282" s="178"/>
      <c r="BB282" s="181"/>
      <c r="BC282" s="72"/>
      <c r="BD282" s="178"/>
      <c r="BE282" s="96"/>
      <c r="BF282" s="179"/>
      <c r="BG282" s="178"/>
      <c r="BH282" s="181"/>
      <c r="BI282" s="72"/>
      <c r="BJ282" s="178"/>
      <c r="BK282" s="96"/>
      <c r="BN282" s="125">
        <f t="shared" si="48"/>
        <v>0</v>
      </c>
      <c r="BO282" s="126">
        <f t="shared" si="49"/>
        <v>0</v>
      </c>
      <c r="BP282" s="127">
        <f t="shared" si="50"/>
        <v>0</v>
      </c>
    </row>
    <row r="283" spans="1:68" ht="14.25" hidden="1" customHeight="1" outlineLevel="5" x14ac:dyDescent="0.25">
      <c r="C283" s="10" t="s">
        <v>83</v>
      </c>
      <c r="D283" s="10" t="s">
        <v>84</v>
      </c>
      <c r="E283" s="10" t="s">
        <v>73</v>
      </c>
      <c r="F283" s="10" t="s">
        <v>74</v>
      </c>
      <c r="G283" s="10" t="s">
        <v>363</v>
      </c>
      <c r="H283" s="10" t="s">
        <v>73</v>
      </c>
      <c r="I283" s="10" t="s">
        <v>73</v>
      </c>
      <c r="J283" s="10" t="s">
        <v>73</v>
      </c>
      <c r="K283" s="12" t="s">
        <v>73</v>
      </c>
      <c r="L283" s="10" t="s">
        <v>192</v>
      </c>
      <c r="M283" s="5" t="str">
        <f t="array" ref="M283">Y96</f>
        <v>1ХВС::1.1</v>
      </c>
      <c r="AB283" s="65" t="str">
        <f>AB277&amp;".6"</f>
        <v>3.1.1.3.7.6</v>
      </c>
      <c r="AC283" s="177" t="s">
        <v>364</v>
      </c>
      <c r="AD283" s="51" t="s">
        <v>111</v>
      </c>
      <c r="AE283" s="72"/>
      <c r="AF283" s="178"/>
      <c r="AG283" s="96"/>
      <c r="AH283" s="72"/>
      <c r="AI283" s="178"/>
      <c r="AJ283" s="96"/>
      <c r="AK283" s="72"/>
      <c r="AL283" s="178"/>
      <c r="AM283" s="96"/>
      <c r="AN283" s="72"/>
      <c r="AO283" s="178"/>
      <c r="AP283" s="181"/>
      <c r="AQ283" s="72"/>
      <c r="AR283" s="178"/>
      <c r="AS283" s="181"/>
      <c r="AT283" s="72"/>
      <c r="AU283" s="178"/>
      <c r="AV283" s="181"/>
      <c r="AW283" s="72"/>
      <c r="AX283" s="178"/>
      <c r="AY283" s="181"/>
      <c r="AZ283" s="72"/>
      <c r="BA283" s="178"/>
      <c r="BB283" s="181"/>
      <c r="BC283" s="72"/>
      <c r="BD283" s="178"/>
      <c r="BE283" s="96"/>
      <c r="BF283" s="179"/>
      <c r="BG283" s="178"/>
      <c r="BH283" s="181"/>
      <c r="BI283" s="72"/>
      <c r="BJ283" s="178"/>
      <c r="BK283" s="96"/>
      <c r="BN283" s="125">
        <f t="shared" si="48"/>
        <v>0</v>
      </c>
      <c r="BO283" s="126">
        <f t="shared" si="49"/>
        <v>0</v>
      </c>
      <c r="BP283" s="127">
        <f t="shared" si="50"/>
        <v>0</v>
      </c>
    </row>
    <row r="284" spans="1:68" s="214" customFormat="1" ht="21.75" customHeight="1" outlineLevel="5" x14ac:dyDescent="0.25">
      <c r="A284" s="5"/>
      <c r="B284" s="5"/>
      <c r="C284" s="10" t="s">
        <v>83</v>
      </c>
      <c r="D284" s="10" t="s">
        <v>84</v>
      </c>
      <c r="E284" s="10" t="s">
        <v>73</v>
      </c>
      <c r="F284" s="10" t="s">
        <v>74</v>
      </c>
      <c r="G284" s="10" t="s">
        <v>365</v>
      </c>
      <c r="H284" s="10" t="s">
        <v>73</v>
      </c>
      <c r="I284" s="10" t="s">
        <v>73</v>
      </c>
      <c r="J284" s="10" t="s">
        <v>73</v>
      </c>
      <c r="K284" s="12" t="s">
        <v>73</v>
      </c>
      <c r="L284" s="10" t="s">
        <v>192</v>
      </c>
      <c r="M284" s="5" t="str">
        <f t="array" ref="M284">Y96</f>
        <v>1ХВС::1.1</v>
      </c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65" t="str">
        <f>AB277&amp;".7"</f>
        <v>3.1.1.3.7.7</v>
      </c>
      <c r="AC284" s="177" t="s">
        <v>366</v>
      </c>
      <c r="AD284" s="51" t="s">
        <v>111</v>
      </c>
      <c r="AE284" s="72">
        <f t="shared" ref="AE284:BK284" si="52">SUM(AE285:AE307)</f>
        <v>21745.839999999997</v>
      </c>
      <c r="AF284" s="73">
        <f t="shared" si="52"/>
        <v>17874.77</v>
      </c>
      <c r="AG284" s="74">
        <f t="shared" si="52"/>
        <v>19878.673999999999</v>
      </c>
      <c r="AH284" s="72">
        <f t="shared" si="52"/>
        <v>56.1</v>
      </c>
      <c r="AI284" s="73">
        <f t="shared" si="52"/>
        <v>0</v>
      </c>
      <c r="AJ284" s="74">
        <f t="shared" si="52"/>
        <v>63.576000000000001</v>
      </c>
      <c r="AK284" s="72">
        <f t="shared" si="52"/>
        <v>205.07999999999998</v>
      </c>
      <c r="AL284" s="73">
        <f t="shared" si="52"/>
        <v>30.240000000000002</v>
      </c>
      <c r="AM284" s="74">
        <f t="shared" si="52"/>
        <v>1904.9999999999998</v>
      </c>
      <c r="AN284" s="72">
        <f t="shared" si="52"/>
        <v>193.24399999999997</v>
      </c>
      <c r="AO284" s="73">
        <f t="shared" si="52"/>
        <v>318.95</v>
      </c>
      <c r="AP284" s="74">
        <f t="shared" si="52"/>
        <v>676.15</v>
      </c>
      <c r="AQ284" s="72">
        <f t="shared" si="52"/>
        <v>22.76</v>
      </c>
      <c r="AR284" s="73">
        <f t="shared" si="52"/>
        <v>0</v>
      </c>
      <c r="AS284" s="74">
        <f t="shared" si="52"/>
        <v>138.54000000000002</v>
      </c>
      <c r="AT284" s="72">
        <f t="shared" si="52"/>
        <v>214.59899999999999</v>
      </c>
      <c r="AU284" s="73">
        <f t="shared" si="52"/>
        <v>0</v>
      </c>
      <c r="AV284" s="74">
        <f t="shared" si="52"/>
        <v>298.09100000000001</v>
      </c>
      <c r="AW284" s="72">
        <f t="shared" si="52"/>
        <v>168.07600000000002</v>
      </c>
      <c r="AX284" s="73">
        <f t="shared" si="52"/>
        <v>0</v>
      </c>
      <c r="AY284" s="74">
        <f t="shared" si="52"/>
        <v>250.28899999999999</v>
      </c>
      <c r="AZ284" s="72">
        <f t="shared" si="52"/>
        <v>395.94299999999998</v>
      </c>
      <c r="BA284" s="73">
        <f t="shared" si="52"/>
        <v>39.51</v>
      </c>
      <c r="BB284" s="74">
        <f t="shared" si="52"/>
        <v>438.44100000000003</v>
      </c>
      <c r="BC284" s="72">
        <f t="shared" si="52"/>
        <v>223.58999999999997</v>
      </c>
      <c r="BD284" s="73">
        <f t="shared" si="52"/>
        <v>0</v>
      </c>
      <c r="BE284" s="74">
        <f t="shared" si="52"/>
        <v>304.14999999999998</v>
      </c>
      <c r="BF284" s="72">
        <f t="shared" si="52"/>
        <v>14.87</v>
      </c>
      <c r="BG284" s="73">
        <f t="shared" si="52"/>
        <v>0</v>
      </c>
      <c r="BH284" s="74">
        <f t="shared" si="52"/>
        <v>118.99000000000002</v>
      </c>
      <c r="BI284" s="72">
        <f t="shared" si="52"/>
        <v>209.61</v>
      </c>
      <c r="BJ284" s="73">
        <f t="shared" si="52"/>
        <v>125.08</v>
      </c>
      <c r="BK284" s="74">
        <f t="shared" si="52"/>
        <v>311.70999999999992</v>
      </c>
      <c r="BL284" s="6"/>
      <c r="BM284" s="5"/>
      <c r="BN284" s="125">
        <f t="shared" si="48"/>
        <v>23449.711999999992</v>
      </c>
      <c r="BO284" s="126">
        <f t="shared" si="49"/>
        <v>18388.550000000003</v>
      </c>
      <c r="BP284" s="127">
        <f t="shared" si="50"/>
        <v>24383.611000000004</v>
      </c>
    </row>
    <row r="285" spans="1:68" s="230" customFormat="1" ht="45.75" customHeight="1" outlineLevel="6" x14ac:dyDescent="0.25">
      <c r="A285" s="215"/>
      <c r="B285" s="215"/>
      <c r="C285" s="216"/>
      <c r="D285" s="216"/>
      <c r="E285" s="216"/>
      <c r="F285" s="216"/>
      <c r="G285" s="216"/>
      <c r="H285" s="216"/>
      <c r="I285" s="216"/>
      <c r="J285" s="216"/>
      <c r="K285" s="217"/>
      <c r="L285" s="216"/>
      <c r="M285" s="215"/>
      <c r="N285" s="215"/>
      <c r="O285" s="215"/>
      <c r="P285" s="215"/>
      <c r="Q285" s="215"/>
      <c r="R285" s="215"/>
      <c r="S285" s="215"/>
      <c r="T285" s="215"/>
      <c r="U285" s="215"/>
      <c r="V285" s="215"/>
      <c r="W285" s="215"/>
      <c r="X285" s="215"/>
      <c r="Y285" s="215"/>
      <c r="Z285" s="215"/>
      <c r="AA285" s="215"/>
      <c r="AB285" s="218"/>
      <c r="AC285" s="219" t="s">
        <v>367</v>
      </c>
      <c r="AD285" s="259" t="s">
        <v>111</v>
      </c>
      <c r="AE285" s="260">
        <v>2398.85</v>
      </c>
      <c r="AF285" s="225">
        <v>2300</v>
      </c>
      <c r="AG285" s="261">
        <v>1025.2</v>
      </c>
      <c r="AH285" s="224"/>
      <c r="AI285" s="225"/>
      <c r="AJ285" s="226"/>
      <c r="AK285" s="224"/>
      <c r="AL285" s="225"/>
      <c r="AM285" s="226">
        <v>551.27</v>
      </c>
      <c r="AN285" s="224"/>
      <c r="AO285" s="225">
        <v>31.87</v>
      </c>
      <c r="AP285" s="227">
        <v>275.64</v>
      </c>
      <c r="AQ285" s="224">
        <v>1</v>
      </c>
      <c r="AR285" s="225"/>
      <c r="AS285" s="227">
        <f>1.1+20.53+28.66</f>
        <v>50.290000000000006</v>
      </c>
      <c r="AT285" s="224"/>
      <c r="AU285" s="225"/>
      <c r="AV285" s="227"/>
      <c r="AW285" s="224">
        <f>10.677+52.467</f>
        <v>63.143999999999998</v>
      </c>
      <c r="AX285" s="225"/>
      <c r="AY285" s="227">
        <f>82.689+46.735</f>
        <v>129.42399999999998</v>
      </c>
      <c r="AZ285" s="224">
        <f>65+124.435</f>
        <v>189.435</v>
      </c>
      <c r="BA285" s="225"/>
      <c r="BB285" s="227">
        <f>27.563+119.107</f>
        <v>146.66999999999999</v>
      </c>
      <c r="BC285" s="224"/>
      <c r="BD285" s="225"/>
      <c r="BE285" s="226"/>
      <c r="BF285" s="237"/>
      <c r="BG285" s="238"/>
      <c r="BH285" s="239">
        <v>83.39</v>
      </c>
      <c r="BI285" s="240">
        <v>70.44</v>
      </c>
      <c r="BJ285" s="238">
        <v>30</v>
      </c>
      <c r="BK285" s="241">
        <v>78.16</v>
      </c>
      <c r="BL285" s="229"/>
      <c r="BM285" s="215"/>
      <c r="BN285" s="125">
        <f t="shared" si="48"/>
        <v>2722.8689999999997</v>
      </c>
      <c r="BO285" s="126">
        <f t="shared" si="49"/>
        <v>2361.87</v>
      </c>
      <c r="BP285" s="127">
        <f t="shared" si="50"/>
        <v>2340.0439999999999</v>
      </c>
    </row>
    <row r="286" spans="1:68" s="230" customFormat="1" ht="21.75" customHeight="1" outlineLevel="6" x14ac:dyDescent="0.25">
      <c r="A286" s="215"/>
      <c r="B286" s="215"/>
      <c r="C286" s="216"/>
      <c r="D286" s="216"/>
      <c r="E286" s="216"/>
      <c r="F286" s="216"/>
      <c r="G286" s="216"/>
      <c r="H286" s="216"/>
      <c r="I286" s="216"/>
      <c r="J286" s="216"/>
      <c r="K286" s="217"/>
      <c r="L286" s="216"/>
      <c r="M286" s="215"/>
      <c r="N286" s="215"/>
      <c r="O286" s="215"/>
      <c r="P286" s="215"/>
      <c r="Q286" s="215"/>
      <c r="R286" s="215"/>
      <c r="S286" s="215"/>
      <c r="T286" s="215"/>
      <c r="U286" s="215"/>
      <c r="V286" s="215"/>
      <c r="W286" s="215"/>
      <c r="X286" s="215"/>
      <c r="Y286" s="215"/>
      <c r="Z286" s="215"/>
      <c r="AA286" s="215"/>
      <c r="AB286" s="218"/>
      <c r="AC286" s="219" t="s">
        <v>368</v>
      </c>
      <c r="AD286" s="259" t="s">
        <v>111</v>
      </c>
      <c r="AE286" s="260">
        <v>2603.1</v>
      </c>
      <c r="AF286" s="225">
        <v>1250</v>
      </c>
      <c r="AG286" s="261">
        <v>1302.2</v>
      </c>
      <c r="AH286" s="224"/>
      <c r="AI286" s="225"/>
      <c r="AJ286" s="226"/>
      <c r="AK286" s="224">
        <v>26.11</v>
      </c>
      <c r="AL286" s="225"/>
      <c r="AM286" s="226">
        <v>239.91</v>
      </c>
      <c r="AN286" s="224">
        <v>4.4539999999999997</v>
      </c>
      <c r="AO286" s="225">
        <v>33.86</v>
      </c>
      <c r="AP286" s="227">
        <v>110.64</v>
      </c>
      <c r="AQ286" s="224">
        <v>1.06</v>
      </c>
      <c r="AR286" s="225"/>
      <c r="AS286" s="227">
        <v>15.17</v>
      </c>
      <c r="AT286" s="224">
        <v>10.189</v>
      </c>
      <c r="AU286" s="225"/>
      <c r="AV286" s="227">
        <v>87.39</v>
      </c>
      <c r="AW286" s="224">
        <v>20.16</v>
      </c>
      <c r="AX286" s="225"/>
      <c r="AY286" s="227">
        <v>27.754000000000001</v>
      </c>
      <c r="AZ286" s="224">
        <v>78.844999999999999</v>
      </c>
      <c r="BA286" s="225"/>
      <c r="BB286" s="227">
        <v>158.91999999999999</v>
      </c>
      <c r="BC286" s="224">
        <v>109.81</v>
      </c>
      <c r="BD286" s="225"/>
      <c r="BE286" s="226">
        <v>118.77</v>
      </c>
      <c r="BF286" s="237">
        <v>0.25</v>
      </c>
      <c r="BG286" s="238"/>
      <c r="BH286" s="239">
        <v>1.68</v>
      </c>
      <c r="BI286" s="240">
        <v>43.17</v>
      </c>
      <c r="BJ286" s="238">
        <v>30</v>
      </c>
      <c r="BK286" s="241">
        <v>39.229999999999997</v>
      </c>
      <c r="BL286" s="229"/>
      <c r="BM286" s="215"/>
      <c r="BN286" s="125">
        <f t="shared" si="48"/>
        <v>2897.1479999999997</v>
      </c>
      <c r="BO286" s="126">
        <f t="shared" si="49"/>
        <v>1313.86</v>
      </c>
      <c r="BP286" s="127">
        <f t="shared" si="50"/>
        <v>2101.6640000000002</v>
      </c>
    </row>
    <row r="287" spans="1:68" s="230" customFormat="1" ht="21.75" customHeight="1" outlineLevel="6" x14ac:dyDescent="0.25">
      <c r="A287" s="215"/>
      <c r="B287" s="215"/>
      <c r="C287" s="216"/>
      <c r="D287" s="216"/>
      <c r="E287" s="216"/>
      <c r="F287" s="216"/>
      <c r="G287" s="216"/>
      <c r="H287" s="216"/>
      <c r="I287" s="216"/>
      <c r="J287" s="216"/>
      <c r="K287" s="217"/>
      <c r="L287" s="216"/>
      <c r="M287" s="215"/>
      <c r="N287" s="215"/>
      <c r="O287" s="215"/>
      <c r="P287" s="215"/>
      <c r="Q287" s="215"/>
      <c r="R287" s="215"/>
      <c r="S287" s="215"/>
      <c r="T287" s="215"/>
      <c r="U287" s="215"/>
      <c r="V287" s="215"/>
      <c r="W287" s="215"/>
      <c r="X287" s="215"/>
      <c r="Y287" s="215"/>
      <c r="Z287" s="215"/>
      <c r="AA287" s="215"/>
      <c r="AB287" s="218"/>
      <c r="AC287" s="219" t="s">
        <v>369</v>
      </c>
      <c r="AD287" s="259" t="s">
        <v>111</v>
      </c>
      <c r="AE287" s="260">
        <v>1298.8399999999999</v>
      </c>
      <c r="AF287" s="225">
        <v>1200</v>
      </c>
      <c r="AG287" s="261">
        <v>1585.73</v>
      </c>
      <c r="AH287" s="224"/>
      <c r="AI287" s="225"/>
      <c r="AJ287" s="226"/>
      <c r="AK287" s="224"/>
      <c r="AL287" s="225">
        <v>19.440000000000001</v>
      </c>
      <c r="AM287" s="226"/>
      <c r="AN287" s="224"/>
      <c r="AO287" s="225"/>
      <c r="AP287" s="227"/>
      <c r="AQ287" s="224"/>
      <c r="AR287" s="225"/>
      <c r="AS287" s="227"/>
      <c r="AT287" s="224"/>
      <c r="AU287" s="225"/>
      <c r="AV287" s="227"/>
      <c r="AW287" s="224"/>
      <c r="AX287" s="225"/>
      <c r="AY287" s="227"/>
      <c r="AZ287" s="224"/>
      <c r="BA287" s="225"/>
      <c r="BB287" s="227"/>
      <c r="BC287" s="224"/>
      <c r="BD287" s="225"/>
      <c r="BE287" s="226"/>
      <c r="BF287" s="228"/>
      <c r="BG287" s="225"/>
      <c r="BH287" s="227"/>
      <c r="BI287" s="224"/>
      <c r="BJ287" s="225"/>
      <c r="BK287" s="226"/>
      <c r="BL287" s="229"/>
      <c r="BM287" s="215"/>
      <c r="BN287" s="125">
        <f t="shared" si="48"/>
        <v>1298.8399999999999</v>
      </c>
      <c r="BO287" s="126">
        <f t="shared" si="49"/>
        <v>1219.44</v>
      </c>
      <c r="BP287" s="127">
        <f t="shared" si="50"/>
        <v>1585.73</v>
      </c>
    </row>
    <row r="288" spans="1:68" s="230" customFormat="1" ht="21.75" customHeight="1" outlineLevel="6" x14ac:dyDescent="0.25">
      <c r="A288" s="215"/>
      <c r="B288" s="215"/>
      <c r="C288" s="216"/>
      <c r="D288" s="216"/>
      <c r="E288" s="216"/>
      <c r="F288" s="216"/>
      <c r="G288" s="216"/>
      <c r="H288" s="216"/>
      <c r="I288" s="216"/>
      <c r="J288" s="216"/>
      <c r="K288" s="217"/>
      <c r="L288" s="216"/>
      <c r="M288" s="215"/>
      <c r="N288" s="215"/>
      <c r="O288" s="215"/>
      <c r="P288" s="215"/>
      <c r="Q288" s="215"/>
      <c r="R288" s="215"/>
      <c r="S288" s="215"/>
      <c r="T288" s="215"/>
      <c r="U288" s="215"/>
      <c r="V288" s="215"/>
      <c r="W288" s="215"/>
      <c r="X288" s="215"/>
      <c r="Y288" s="215"/>
      <c r="Z288" s="215"/>
      <c r="AA288" s="215"/>
      <c r="AB288" s="218"/>
      <c r="AC288" s="219" t="s">
        <v>370</v>
      </c>
      <c r="AD288" s="259" t="s">
        <v>111</v>
      </c>
      <c r="AE288" s="260">
        <v>19.89</v>
      </c>
      <c r="AF288" s="225">
        <v>21</v>
      </c>
      <c r="AG288" s="261">
        <v>21.89</v>
      </c>
      <c r="AH288" s="224"/>
      <c r="AI288" s="225"/>
      <c r="AJ288" s="226"/>
      <c r="AK288" s="224"/>
      <c r="AL288" s="225"/>
      <c r="AM288" s="226"/>
      <c r="AN288" s="224"/>
      <c r="AO288" s="225"/>
      <c r="AP288" s="227"/>
      <c r="AQ288" s="224"/>
      <c r="AR288" s="225"/>
      <c r="AS288" s="227"/>
      <c r="AT288" s="224">
        <v>30.9</v>
      </c>
      <c r="AU288" s="225"/>
      <c r="AV288" s="227">
        <v>22.11</v>
      </c>
      <c r="AW288" s="224">
        <v>3.3</v>
      </c>
      <c r="AX288" s="225"/>
      <c r="AY288" s="227">
        <v>3.6309999999999998</v>
      </c>
      <c r="AZ288" s="224">
        <v>7.6</v>
      </c>
      <c r="BA288" s="225"/>
      <c r="BB288" s="227">
        <v>8.3620000000000001</v>
      </c>
      <c r="BC288" s="224"/>
      <c r="BD288" s="225"/>
      <c r="BE288" s="226"/>
      <c r="BF288" s="228"/>
      <c r="BG288" s="225"/>
      <c r="BH288" s="227"/>
      <c r="BI288" s="224"/>
      <c r="BJ288" s="225"/>
      <c r="BK288" s="226"/>
      <c r="BL288" s="229"/>
      <c r="BM288" s="215"/>
      <c r="BN288" s="125">
        <f t="shared" si="48"/>
        <v>61.69</v>
      </c>
      <c r="BO288" s="126">
        <f t="shared" si="49"/>
        <v>21</v>
      </c>
      <c r="BP288" s="127">
        <f t="shared" si="50"/>
        <v>55.993000000000002</v>
      </c>
    </row>
    <row r="289" spans="1:68" s="230" customFormat="1" ht="21.75" customHeight="1" outlineLevel="6" x14ac:dyDescent="0.25">
      <c r="A289" s="215"/>
      <c r="B289" s="215"/>
      <c r="C289" s="216"/>
      <c r="D289" s="216"/>
      <c r="E289" s="216"/>
      <c r="F289" s="216"/>
      <c r="G289" s="216"/>
      <c r="H289" s="216"/>
      <c r="I289" s="216"/>
      <c r="J289" s="216"/>
      <c r="K289" s="217"/>
      <c r="L289" s="216"/>
      <c r="M289" s="215"/>
      <c r="N289" s="215"/>
      <c r="O289" s="215"/>
      <c r="P289" s="215"/>
      <c r="Q289" s="215"/>
      <c r="R289" s="215"/>
      <c r="S289" s="215"/>
      <c r="T289" s="215"/>
      <c r="U289" s="215"/>
      <c r="V289" s="215"/>
      <c r="W289" s="215"/>
      <c r="X289" s="215"/>
      <c r="Y289" s="215"/>
      <c r="Z289" s="215"/>
      <c r="AA289" s="215"/>
      <c r="AB289" s="218"/>
      <c r="AC289" s="219" t="s">
        <v>371</v>
      </c>
      <c r="AD289" s="259" t="s">
        <v>111</v>
      </c>
      <c r="AE289" s="260">
        <v>3182.71</v>
      </c>
      <c r="AF289" s="225">
        <v>3345</v>
      </c>
      <c r="AG289" s="261">
        <v>3502</v>
      </c>
      <c r="AH289" s="224"/>
      <c r="AI289" s="225"/>
      <c r="AJ289" s="226"/>
      <c r="AK289" s="224"/>
      <c r="AL289" s="225"/>
      <c r="AM289" s="226"/>
      <c r="AN289" s="224"/>
      <c r="AO289" s="225">
        <v>44.31</v>
      </c>
      <c r="AP289" s="227"/>
      <c r="AQ289" s="224"/>
      <c r="AR289" s="225"/>
      <c r="AS289" s="227"/>
      <c r="AT289" s="224"/>
      <c r="AU289" s="225"/>
      <c r="AV289" s="227"/>
      <c r="AW289" s="224"/>
      <c r="AX289" s="225"/>
      <c r="AY289" s="227"/>
      <c r="AZ289" s="224"/>
      <c r="BA289" s="225"/>
      <c r="BB289" s="227"/>
      <c r="BC289" s="224">
        <v>0.12</v>
      </c>
      <c r="BD289" s="225"/>
      <c r="BE289" s="226">
        <v>35</v>
      </c>
      <c r="BF289" s="228"/>
      <c r="BG289" s="225"/>
      <c r="BH289" s="227"/>
      <c r="BI289" s="224"/>
      <c r="BJ289" s="225"/>
      <c r="BK289" s="226"/>
      <c r="BL289" s="229"/>
      <c r="BM289" s="215"/>
      <c r="BN289" s="125">
        <f t="shared" si="48"/>
        <v>3182.83</v>
      </c>
      <c r="BO289" s="126">
        <f t="shared" si="49"/>
        <v>3389.31</v>
      </c>
      <c r="BP289" s="127">
        <f t="shared" si="50"/>
        <v>3537</v>
      </c>
    </row>
    <row r="290" spans="1:68" s="230" customFormat="1" ht="21.75" customHeight="1" outlineLevel="6" x14ac:dyDescent="0.25">
      <c r="A290" s="215"/>
      <c r="B290" s="215"/>
      <c r="C290" s="216"/>
      <c r="D290" s="216"/>
      <c r="E290" s="216"/>
      <c r="F290" s="216"/>
      <c r="G290" s="216"/>
      <c r="H290" s="216"/>
      <c r="I290" s="216"/>
      <c r="J290" s="216"/>
      <c r="K290" s="217"/>
      <c r="L290" s="216"/>
      <c r="M290" s="215"/>
      <c r="N290" s="215"/>
      <c r="O290" s="215"/>
      <c r="P290" s="215"/>
      <c r="Q290" s="215"/>
      <c r="R290" s="215"/>
      <c r="S290" s="215"/>
      <c r="T290" s="215"/>
      <c r="U290" s="215"/>
      <c r="V290" s="215"/>
      <c r="W290" s="215"/>
      <c r="X290" s="215"/>
      <c r="Y290" s="215"/>
      <c r="Z290" s="215"/>
      <c r="AA290" s="215"/>
      <c r="AB290" s="218"/>
      <c r="AC290" s="219" t="s">
        <v>372</v>
      </c>
      <c r="AD290" s="259" t="s">
        <v>111</v>
      </c>
      <c r="AE290" s="260">
        <v>98.76</v>
      </c>
      <c r="AF290" s="225">
        <v>99.75</v>
      </c>
      <c r="AG290" s="261">
        <v>108.67</v>
      </c>
      <c r="AH290" s="224"/>
      <c r="AI290" s="225"/>
      <c r="AJ290" s="226"/>
      <c r="AK290" s="224"/>
      <c r="AL290" s="225"/>
      <c r="AM290" s="226"/>
      <c r="AN290" s="224"/>
      <c r="AO290" s="225"/>
      <c r="AP290" s="227"/>
      <c r="AQ290" s="224"/>
      <c r="AR290" s="225"/>
      <c r="AS290" s="227"/>
      <c r="AT290" s="224"/>
      <c r="AU290" s="225"/>
      <c r="AV290" s="227"/>
      <c r="AW290" s="224"/>
      <c r="AX290" s="225"/>
      <c r="AY290" s="227"/>
      <c r="AZ290" s="224"/>
      <c r="BA290" s="225"/>
      <c r="BB290" s="227"/>
      <c r="BC290" s="224"/>
      <c r="BD290" s="225"/>
      <c r="BE290" s="226"/>
      <c r="BF290" s="228"/>
      <c r="BG290" s="225"/>
      <c r="BH290" s="227"/>
      <c r="BI290" s="224"/>
      <c r="BJ290" s="225"/>
      <c r="BK290" s="226"/>
      <c r="BL290" s="229"/>
      <c r="BM290" s="215"/>
      <c r="BN290" s="125">
        <f t="shared" si="48"/>
        <v>98.76</v>
      </c>
      <c r="BO290" s="126">
        <f t="shared" si="49"/>
        <v>99.75</v>
      </c>
      <c r="BP290" s="127">
        <f t="shared" si="50"/>
        <v>108.67</v>
      </c>
    </row>
    <row r="291" spans="1:68" s="230" customFormat="1" ht="21.75" customHeight="1" outlineLevel="6" x14ac:dyDescent="0.25">
      <c r="A291" s="215"/>
      <c r="B291" s="215"/>
      <c r="C291" s="216"/>
      <c r="D291" s="216"/>
      <c r="E291" s="216"/>
      <c r="F291" s="216"/>
      <c r="G291" s="216"/>
      <c r="H291" s="216"/>
      <c r="I291" s="216"/>
      <c r="J291" s="216"/>
      <c r="K291" s="217"/>
      <c r="L291" s="216"/>
      <c r="M291" s="215"/>
      <c r="N291" s="215"/>
      <c r="O291" s="215"/>
      <c r="P291" s="215"/>
      <c r="Q291" s="215"/>
      <c r="R291" s="215"/>
      <c r="S291" s="215"/>
      <c r="T291" s="215"/>
      <c r="U291" s="215"/>
      <c r="V291" s="215"/>
      <c r="W291" s="215"/>
      <c r="X291" s="215"/>
      <c r="Y291" s="215"/>
      <c r="Z291" s="215"/>
      <c r="AA291" s="215"/>
      <c r="AB291" s="218"/>
      <c r="AC291" s="219" t="s">
        <v>373</v>
      </c>
      <c r="AD291" s="259" t="s">
        <v>111</v>
      </c>
      <c r="AE291" s="260">
        <v>27.8</v>
      </c>
      <c r="AF291" s="225">
        <v>28.9</v>
      </c>
      <c r="AG291" s="261">
        <v>30.59</v>
      </c>
      <c r="AH291" s="224"/>
      <c r="AI291" s="225"/>
      <c r="AJ291" s="226"/>
      <c r="AK291" s="224"/>
      <c r="AL291" s="225"/>
      <c r="AM291" s="226"/>
      <c r="AN291" s="224"/>
      <c r="AO291" s="225"/>
      <c r="AP291" s="227"/>
      <c r="AQ291" s="224"/>
      <c r="AR291" s="225"/>
      <c r="AS291" s="227"/>
      <c r="AT291" s="224"/>
      <c r="AU291" s="225"/>
      <c r="AV291" s="227"/>
      <c r="AW291" s="224"/>
      <c r="AX291" s="225"/>
      <c r="AY291" s="227"/>
      <c r="AZ291" s="224"/>
      <c r="BA291" s="225"/>
      <c r="BB291" s="227"/>
      <c r="BC291" s="224"/>
      <c r="BD291" s="225"/>
      <c r="BE291" s="226"/>
      <c r="BF291" s="228"/>
      <c r="BG291" s="225"/>
      <c r="BH291" s="227"/>
      <c r="BI291" s="224"/>
      <c r="BJ291" s="225"/>
      <c r="BK291" s="226"/>
      <c r="BL291" s="229"/>
      <c r="BM291" s="215"/>
      <c r="BN291" s="125">
        <f t="shared" si="48"/>
        <v>27.8</v>
      </c>
      <c r="BO291" s="126">
        <f t="shared" si="49"/>
        <v>28.9</v>
      </c>
      <c r="BP291" s="127">
        <f t="shared" si="50"/>
        <v>30.59</v>
      </c>
    </row>
    <row r="292" spans="1:68" s="230" customFormat="1" ht="21.75" customHeight="1" outlineLevel="6" x14ac:dyDescent="0.25">
      <c r="A292" s="215"/>
      <c r="B292" s="215"/>
      <c r="C292" s="216"/>
      <c r="D292" s="216"/>
      <c r="E292" s="216"/>
      <c r="F292" s="216"/>
      <c r="G292" s="216"/>
      <c r="H292" s="216"/>
      <c r="I292" s="216"/>
      <c r="J292" s="216"/>
      <c r="K292" s="217"/>
      <c r="L292" s="216"/>
      <c r="M292" s="215"/>
      <c r="N292" s="215"/>
      <c r="O292" s="215"/>
      <c r="P292" s="215"/>
      <c r="Q292" s="215"/>
      <c r="R292" s="215"/>
      <c r="S292" s="215"/>
      <c r="T292" s="215"/>
      <c r="U292" s="215"/>
      <c r="V292" s="215"/>
      <c r="W292" s="215"/>
      <c r="X292" s="215"/>
      <c r="Y292" s="215"/>
      <c r="Z292" s="215"/>
      <c r="AA292" s="215"/>
      <c r="AB292" s="218"/>
      <c r="AC292" s="219" t="s">
        <v>374</v>
      </c>
      <c r="AD292" s="259" t="s">
        <v>111</v>
      </c>
      <c r="AE292" s="260">
        <v>312.77</v>
      </c>
      <c r="AF292" s="225">
        <v>315.68</v>
      </c>
      <c r="AG292" s="261">
        <v>336.12</v>
      </c>
      <c r="AH292" s="224"/>
      <c r="AI292" s="225"/>
      <c r="AJ292" s="226"/>
      <c r="AK292" s="224"/>
      <c r="AL292" s="225"/>
      <c r="AM292" s="226"/>
      <c r="AN292" s="224"/>
      <c r="AO292" s="225"/>
      <c r="AP292" s="227"/>
      <c r="AQ292" s="224"/>
      <c r="AR292" s="225"/>
      <c r="AS292" s="227"/>
      <c r="AT292" s="224"/>
      <c r="AU292" s="225"/>
      <c r="AV292" s="227"/>
      <c r="AW292" s="224"/>
      <c r="AX292" s="225"/>
      <c r="AY292" s="227"/>
      <c r="AZ292" s="224"/>
      <c r="BA292" s="225"/>
      <c r="BB292" s="227"/>
      <c r="BC292" s="224"/>
      <c r="BD292" s="225"/>
      <c r="BE292" s="226"/>
      <c r="BF292" s="228"/>
      <c r="BG292" s="225"/>
      <c r="BH292" s="227"/>
      <c r="BI292" s="224"/>
      <c r="BJ292" s="225"/>
      <c r="BK292" s="226"/>
      <c r="BL292" s="229"/>
      <c r="BM292" s="215"/>
      <c r="BN292" s="125">
        <f t="shared" si="48"/>
        <v>312.77</v>
      </c>
      <c r="BO292" s="126">
        <f t="shared" si="49"/>
        <v>315.68</v>
      </c>
      <c r="BP292" s="127">
        <f t="shared" si="50"/>
        <v>336.12</v>
      </c>
    </row>
    <row r="293" spans="1:68" s="230" customFormat="1" ht="21.75" customHeight="1" outlineLevel="6" x14ac:dyDescent="0.25">
      <c r="A293" s="215"/>
      <c r="B293" s="215"/>
      <c r="C293" s="216"/>
      <c r="D293" s="216"/>
      <c r="E293" s="216"/>
      <c r="F293" s="216"/>
      <c r="G293" s="216"/>
      <c r="H293" s="216"/>
      <c r="I293" s="216"/>
      <c r="J293" s="216"/>
      <c r="K293" s="217"/>
      <c r="L293" s="216"/>
      <c r="M293" s="215"/>
      <c r="N293" s="215"/>
      <c r="O293" s="215"/>
      <c r="P293" s="215"/>
      <c r="Q293" s="215"/>
      <c r="R293" s="215"/>
      <c r="S293" s="215"/>
      <c r="T293" s="215"/>
      <c r="U293" s="215"/>
      <c r="V293" s="215"/>
      <c r="W293" s="215"/>
      <c r="X293" s="215"/>
      <c r="Y293" s="215"/>
      <c r="Z293" s="215"/>
      <c r="AA293" s="215"/>
      <c r="AB293" s="218"/>
      <c r="AC293" s="219" t="s">
        <v>375</v>
      </c>
      <c r="AD293" s="259" t="s">
        <v>111</v>
      </c>
      <c r="AE293" s="260">
        <v>1210.1300000000001</v>
      </c>
      <c r="AF293" s="225">
        <v>1200</v>
      </c>
      <c r="AG293" s="261">
        <v>1210.1300000000001</v>
      </c>
      <c r="AH293" s="224"/>
      <c r="AI293" s="225"/>
      <c r="AJ293" s="226"/>
      <c r="AK293" s="224"/>
      <c r="AL293" s="225"/>
      <c r="AM293" s="226"/>
      <c r="AN293" s="224"/>
      <c r="AO293" s="225"/>
      <c r="AP293" s="227"/>
      <c r="AQ293" s="224"/>
      <c r="AR293" s="225"/>
      <c r="AS293" s="227"/>
      <c r="AT293" s="224"/>
      <c r="AU293" s="225"/>
      <c r="AV293" s="227"/>
      <c r="AW293" s="224"/>
      <c r="AX293" s="225"/>
      <c r="AY293" s="227"/>
      <c r="AZ293" s="224"/>
      <c r="BA293" s="225"/>
      <c r="BB293" s="227"/>
      <c r="BC293" s="224"/>
      <c r="BD293" s="225"/>
      <c r="BE293" s="226"/>
      <c r="BF293" s="228"/>
      <c r="BG293" s="225"/>
      <c r="BH293" s="227"/>
      <c r="BI293" s="224"/>
      <c r="BJ293" s="225"/>
      <c r="BK293" s="226"/>
      <c r="BL293" s="229"/>
      <c r="BM293" s="215"/>
      <c r="BN293" s="125">
        <f t="shared" si="48"/>
        <v>1210.1300000000001</v>
      </c>
      <c r="BO293" s="126">
        <f t="shared" si="49"/>
        <v>1200</v>
      </c>
      <c r="BP293" s="127">
        <f t="shared" si="50"/>
        <v>1210.1300000000001</v>
      </c>
    </row>
    <row r="294" spans="1:68" s="230" customFormat="1" ht="21.75" customHeight="1" outlineLevel="6" x14ac:dyDescent="0.25">
      <c r="A294" s="215"/>
      <c r="B294" s="215"/>
      <c r="C294" s="216"/>
      <c r="D294" s="216"/>
      <c r="E294" s="216"/>
      <c r="F294" s="216"/>
      <c r="G294" s="216"/>
      <c r="H294" s="216"/>
      <c r="I294" s="216"/>
      <c r="J294" s="216"/>
      <c r="K294" s="217"/>
      <c r="L294" s="216"/>
      <c r="M294" s="215"/>
      <c r="N294" s="215"/>
      <c r="O294" s="215"/>
      <c r="P294" s="215"/>
      <c r="Q294" s="215"/>
      <c r="R294" s="215"/>
      <c r="S294" s="215"/>
      <c r="T294" s="215"/>
      <c r="U294" s="215"/>
      <c r="V294" s="215"/>
      <c r="W294" s="215"/>
      <c r="X294" s="215"/>
      <c r="Y294" s="215"/>
      <c r="Z294" s="215"/>
      <c r="AA294" s="215"/>
      <c r="AB294" s="218"/>
      <c r="AC294" s="219" t="s">
        <v>376</v>
      </c>
      <c r="AD294" s="259" t="s">
        <v>111</v>
      </c>
      <c r="AE294" s="260">
        <v>2732.05</v>
      </c>
      <c r="AF294" s="225">
        <v>2856.28</v>
      </c>
      <c r="AG294" s="261">
        <v>2954.98</v>
      </c>
      <c r="AH294" s="224"/>
      <c r="AI294" s="225"/>
      <c r="AJ294" s="226"/>
      <c r="AK294" s="224"/>
      <c r="AL294" s="225"/>
      <c r="AM294" s="226"/>
      <c r="AN294" s="224"/>
      <c r="AO294" s="225"/>
      <c r="AP294" s="227"/>
      <c r="AQ294" s="224"/>
      <c r="AR294" s="225"/>
      <c r="AS294" s="227"/>
      <c r="AT294" s="224"/>
      <c r="AU294" s="225"/>
      <c r="AV294" s="227"/>
      <c r="AW294" s="224"/>
      <c r="AX294" s="225"/>
      <c r="AY294" s="227"/>
      <c r="AZ294" s="224"/>
      <c r="BA294" s="225"/>
      <c r="BB294" s="227"/>
      <c r="BC294" s="224"/>
      <c r="BD294" s="225"/>
      <c r="BE294" s="226"/>
      <c r="BF294" s="228"/>
      <c r="BG294" s="225"/>
      <c r="BH294" s="227"/>
      <c r="BI294" s="224"/>
      <c r="BJ294" s="225"/>
      <c r="BK294" s="226"/>
      <c r="BL294" s="229"/>
      <c r="BM294" s="215"/>
      <c r="BN294" s="125">
        <f t="shared" si="48"/>
        <v>2732.05</v>
      </c>
      <c r="BO294" s="126">
        <f t="shared" si="49"/>
        <v>2856.28</v>
      </c>
      <c r="BP294" s="127">
        <f t="shared" si="50"/>
        <v>2954.98</v>
      </c>
    </row>
    <row r="295" spans="1:68" s="230" customFormat="1" ht="21.75" customHeight="1" outlineLevel="6" x14ac:dyDescent="0.25">
      <c r="A295" s="215"/>
      <c r="B295" s="215"/>
      <c r="C295" s="216"/>
      <c r="D295" s="216"/>
      <c r="E295" s="216"/>
      <c r="F295" s="216"/>
      <c r="G295" s="216"/>
      <c r="H295" s="216"/>
      <c r="I295" s="216"/>
      <c r="J295" s="216"/>
      <c r="K295" s="217"/>
      <c r="L295" s="216"/>
      <c r="M295" s="215"/>
      <c r="N295" s="215"/>
      <c r="O295" s="215"/>
      <c r="P295" s="215"/>
      <c r="Q295" s="215"/>
      <c r="R295" s="215"/>
      <c r="S295" s="215"/>
      <c r="T295" s="215"/>
      <c r="U295" s="215"/>
      <c r="V295" s="215"/>
      <c r="W295" s="215"/>
      <c r="X295" s="215"/>
      <c r="Y295" s="215"/>
      <c r="Z295" s="215"/>
      <c r="AA295" s="215"/>
      <c r="AB295" s="218"/>
      <c r="AC295" s="219" t="s">
        <v>377</v>
      </c>
      <c r="AD295" s="259" t="s">
        <v>111</v>
      </c>
      <c r="AE295" s="260">
        <v>2695.07</v>
      </c>
      <c r="AF295" s="225">
        <v>2868.75</v>
      </c>
      <c r="AG295" s="261">
        <v>2914.99</v>
      </c>
      <c r="AH295" s="224"/>
      <c r="AI295" s="225"/>
      <c r="AJ295" s="226"/>
      <c r="AK295" s="224"/>
      <c r="AL295" s="225"/>
      <c r="AM295" s="226"/>
      <c r="AN295" s="224"/>
      <c r="AO295" s="225"/>
      <c r="AP295" s="227"/>
      <c r="AQ295" s="224"/>
      <c r="AR295" s="225"/>
      <c r="AS295" s="227"/>
      <c r="AT295" s="224"/>
      <c r="AU295" s="225"/>
      <c r="AV295" s="227"/>
      <c r="AW295" s="224">
        <v>1.0349999999999999</v>
      </c>
      <c r="AX295" s="225"/>
      <c r="AY295" s="227">
        <v>1.139</v>
      </c>
      <c r="AZ295" s="224">
        <v>2.2120000000000002</v>
      </c>
      <c r="BA295" s="225"/>
      <c r="BB295" s="227">
        <v>2.4340000000000002</v>
      </c>
      <c r="BC295" s="224">
        <v>17.88</v>
      </c>
      <c r="BD295" s="225"/>
      <c r="BE295" s="226">
        <v>19.670000000000002</v>
      </c>
      <c r="BF295" s="237">
        <v>7.25</v>
      </c>
      <c r="BG295" s="238"/>
      <c r="BH295" s="239">
        <v>7.98</v>
      </c>
      <c r="BI295" s="224"/>
      <c r="BJ295" s="225"/>
      <c r="BK295" s="226"/>
      <c r="BL295" s="229"/>
      <c r="BM295" s="215"/>
      <c r="BN295" s="125">
        <f t="shared" si="48"/>
        <v>2723.4470000000001</v>
      </c>
      <c r="BO295" s="126">
        <f t="shared" si="49"/>
        <v>2868.75</v>
      </c>
      <c r="BP295" s="127">
        <f t="shared" si="50"/>
        <v>2946.2130000000002</v>
      </c>
    </row>
    <row r="296" spans="1:68" s="230" customFormat="1" ht="21.75" customHeight="1" outlineLevel="6" x14ac:dyDescent="0.25">
      <c r="A296" s="215"/>
      <c r="B296" s="215"/>
      <c r="C296" s="216"/>
      <c r="D296" s="216"/>
      <c r="E296" s="216"/>
      <c r="F296" s="216"/>
      <c r="G296" s="216"/>
      <c r="H296" s="216"/>
      <c r="I296" s="216"/>
      <c r="J296" s="216"/>
      <c r="K296" s="217"/>
      <c r="L296" s="216"/>
      <c r="M296" s="215"/>
      <c r="N296" s="215"/>
      <c r="O296" s="215"/>
      <c r="P296" s="215"/>
      <c r="Q296" s="215"/>
      <c r="R296" s="215"/>
      <c r="S296" s="215"/>
      <c r="T296" s="215"/>
      <c r="U296" s="215"/>
      <c r="V296" s="215"/>
      <c r="W296" s="215"/>
      <c r="X296" s="215"/>
      <c r="Y296" s="215"/>
      <c r="Z296" s="215"/>
      <c r="AA296" s="215"/>
      <c r="AB296" s="218"/>
      <c r="AC296" s="219" t="s">
        <v>378</v>
      </c>
      <c r="AD296" s="259" t="s">
        <v>111</v>
      </c>
      <c r="AE296" s="260"/>
      <c r="AF296" s="225"/>
      <c r="AG296" s="261"/>
      <c r="AH296" s="224"/>
      <c r="AI296" s="225"/>
      <c r="AJ296" s="226"/>
      <c r="AK296" s="224">
        <v>55.16</v>
      </c>
      <c r="AL296" s="225"/>
      <c r="AM296" s="226">
        <v>33.380000000000003</v>
      </c>
      <c r="AN296" s="224"/>
      <c r="AO296" s="225"/>
      <c r="AP296" s="227"/>
      <c r="AQ296" s="224"/>
      <c r="AR296" s="225"/>
      <c r="AS296" s="227"/>
      <c r="AT296" s="224"/>
      <c r="AU296" s="225"/>
      <c r="AV296" s="227"/>
      <c r="AW296" s="224"/>
      <c r="AX296" s="225"/>
      <c r="AY296" s="227"/>
      <c r="AZ296" s="224"/>
      <c r="BA296" s="225"/>
      <c r="BB296" s="227"/>
      <c r="BC296" s="224"/>
      <c r="BD296" s="225"/>
      <c r="BE296" s="226"/>
      <c r="BF296" s="228"/>
      <c r="BG296" s="225"/>
      <c r="BH296" s="227"/>
      <c r="BI296" s="224"/>
      <c r="BJ296" s="225"/>
      <c r="BK296" s="226"/>
      <c r="BL296" s="229"/>
      <c r="BM296" s="215"/>
      <c r="BN296" s="125">
        <f t="shared" si="48"/>
        <v>55.16</v>
      </c>
      <c r="BO296" s="126">
        <f t="shared" si="49"/>
        <v>0</v>
      </c>
      <c r="BP296" s="127">
        <f t="shared" si="50"/>
        <v>33.380000000000003</v>
      </c>
    </row>
    <row r="297" spans="1:68" s="230" customFormat="1" ht="21.75" customHeight="1" outlineLevel="6" x14ac:dyDescent="0.25">
      <c r="A297" s="215"/>
      <c r="B297" s="215"/>
      <c r="C297" s="216"/>
      <c r="D297" s="216"/>
      <c r="E297" s="216"/>
      <c r="F297" s="216"/>
      <c r="G297" s="216"/>
      <c r="H297" s="216"/>
      <c r="I297" s="216"/>
      <c r="J297" s="216"/>
      <c r="K297" s="217"/>
      <c r="L297" s="216"/>
      <c r="M297" s="215"/>
      <c r="N297" s="215"/>
      <c r="O297" s="215"/>
      <c r="P297" s="215"/>
      <c r="Q297" s="215"/>
      <c r="R297" s="215"/>
      <c r="S297" s="215"/>
      <c r="T297" s="215"/>
      <c r="U297" s="215"/>
      <c r="V297" s="215"/>
      <c r="W297" s="215"/>
      <c r="X297" s="215"/>
      <c r="Y297" s="215"/>
      <c r="Z297" s="215"/>
      <c r="AA297" s="215"/>
      <c r="AB297" s="218"/>
      <c r="AC297" s="219" t="s">
        <v>379</v>
      </c>
      <c r="AD297" s="259" t="s">
        <v>111</v>
      </c>
      <c r="AE297" s="260"/>
      <c r="AF297" s="225"/>
      <c r="AG297" s="261"/>
      <c r="AH297" s="224"/>
      <c r="AI297" s="225"/>
      <c r="AJ297" s="226"/>
      <c r="AK297" s="224">
        <v>10.199999999999999</v>
      </c>
      <c r="AL297" s="225"/>
      <c r="AM297" s="226">
        <v>11.22</v>
      </c>
      <c r="AN297" s="224"/>
      <c r="AO297" s="225"/>
      <c r="AP297" s="227"/>
      <c r="AQ297" s="224"/>
      <c r="AR297" s="225"/>
      <c r="AS297" s="227">
        <v>3.42</v>
      </c>
      <c r="AT297" s="224">
        <v>34.6</v>
      </c>
      <c r="AU297" s="225"/>
      <c r="AV297" s="227">
        <v>38.07</v>
      </c>
      <c r="AW297" s="224"/>
      <c r="AX297" s="225"/>
      <c r="AY297" s="227"/>
      <c r="AZ297" s="224"/>
      <c r="BA297" s="225"/>
      <c r="BB297" s="227"/>
      <c r="BC297" s="224"/>
      <c r="BD297" s="225"/>
      <c r="BE297" s="226"/>
      <c r="BF297" s="228"/>
      <c r="BG297" s="225"/>
      <c r="BH297" s="227"/>
      <c r="BI297" s="224"/>
      <c r="BJ297" s="225"/>
      <c r="BK297" s="226"/>
      <c r="BL297" s="229"/>
      <c r="BM297" s="215"/>
      <c r="BN297" s="125">
        <f t="shared" si="48"/>
        <v>44.8</v>
      </c>
      <c r="BO297" s="126">
        <f t="shared" si="49"/>
        <v>0</v>
      </c>
      <c r="BP297" s="127">
        <f t="shared" si="50"/>
        <v>52.71</v>
      </c>
    </row>
    <row r="298" spans="1:68" s="230" customFormat="1" ht="21.75" customHeight="1" outlineLevel="6" x14ac:dyDescent="0.25">
      <c r="A298" s="215"/>
      <c r="B298" s="215"/>
      <c r="C298" s="216"/>
      <c r="D298" s="216"/>
      <c r="E298" s="216"/>
      <c r="F298" s="216"/>
      <c r="G298" s="216"/>
      <c r="H298" s="216"/>
      <c r="I298" s="216"/>
      <c r="J298" s="216"/>
      <c r="K298" s="217"/>
      <c r="L298" s="216"/>
      <c r="M298" s="215"/>
      <c r="N298" s="215"/>
      <c r="O298" s="215"/>
      <c r="P298" s="215"/>
      <c r="Q298" s="215"/>
      <c r="R298" s="215"/>
      <c r="S298" s="215"/>
      <c r="T298" s="215"/>
      <c r="U298" s="215"/>
      <c r="V298" s="215"/>
      <c r="W298" s="215"/>
      <c r="X298" s="215"/>
      <c r="Y298" s="215"/>
      <c r="Z298" s="215"/>
      <c r="AA298" s="215"/>
      <c r="AB298" s="218"/>
      <c r="AC298" s="219" t="s">
        <v>380</v>
      </c>
      <c r="AD298" s="259" t="s">
        <v>111</v>
      </c>
      <c r="AE298" s="260"/>
      <c r="AF298" s="225"/>
      <c r="AG298" s="261"/>
      <c r="AH298" s="224"/>
      <c r="AI298" s="225"/>
      <c r="AJ298" s="226"/>
      <c r="AK298" s="224">
        <v>12.2</v>
      </c>
      <c r="AL298" s="225">
        <v>10.8</v>
      </c>
      <c r="AM298" s="226">
        <v>449.77</v>
      </c>
      <c r="AN298" s="224">
        <v>10.199999999999999</v>
      </c>
      <c r="AO298" s="225">
        <v>20.48</v>
      </c>
      <c r="AP298" s="227">
        <v>11.22</v>
      </c>
      <c r="AQ298" s="224"/>
      <c r="AR298" s="225"/>
      <c r="AS298" s="227"/>
      <c r="AT298" s="224"/>
      <c r="AU298" s="225"/>
      <c r="AV298" s="227"/>
      <c r="AW298" s="224"/>
      <c r="AX298" s="225"/>
      <c r="AY298" s="227"/>
      <c r="AZ298" s="224"/>
      <c r="BA298" s="225"/>
      <c r="BB298" s="227"/>
      <c r="BC298" s="224">
        <v>43.08</v>
      </c>
      <c r="BD298" s="225"/>
      <c r="BE298" s="226">
        <v>46.6</v>
      </c>
      <c r="BF298" s="228"/>
      <c r="BG298" s="225"/>
      <c r="BH298" s="227"/>
      <c r="BI298" s="240">
        <v>22.68</v>
      </c>
      <c r="BJ298" s="238">
        <v>20</v>
      </c>
      <c r="BK298" s="241">
        <v>45</v>
      </c>
      <c r="BL298" s="229"/>
      <c r="BM298" s="215"/>
      <c r="BN298" s="125">
        <f t="shared" si="48"/>
        <v>88.16</v>
      </c>
      <c r="BO298" s="126">
        <f t="shared" si="49"/>
        <v>51.28</v>
      </c>
      <c r="BP298" s="127">
        <f t="shared" si="50"/>
        <v>552.59</v>
      </c>
    </row>
    <row r="299" spans="1:68" s="230" customFormat="1" ht="21.75" customHeight="1" outlineLevel="6" x14ac:dyDescent="0.25">
      <c r="A299" s="215"/>
      <c r="B299" s="215"/>
      <c r="C299" s="216"/>
      <c r="D299" s="216"/>
      <c r="E299" s="216"/>
      <c r="F299" s="216"/>
      <c r="G299" s="216"/>
      <c r="H299" s="216"/>
      <c r="I299" s="216"/>
      <c r="J299" s="216"/>
      <c r="K299" s="217"/>
      <c r="L299" s="216"/>
      <c r="M299" s="215"/>
      <c r="N299" s="215"/>
      <c r="O299" s="215"/>
      <c r="P299" s="215"/>
      <c r="Q299" s="215"/>
      <c r="R299" s="215"/>
      <c r="S299" s="215"/>
      <c r="T299" s="215"/>
      <c r="U299" s="215"/>
      <c r="V299" s="215"/>
      <c r="W299" s="215"/>
      <c r="X299" s="215"/>
      <c r="Y299" s="215"/>
      <c r="Z299" s="215"/>
      <c r="AA299" s="215"/>
      <c r="AB299" s="218"/>
      <c r="AC299" s="219" t="s">
        <v>377</v>
      </c>
      <c r="AD299" s="259" t="s">
        <v>111</v>
      </c>
      <c r="AE299" s="260"/>
      <c r="AF299" s="225"/>
      <c r="AG299" s="261"/>
      <c r="AH299" s="224"/>
      <c r="AI299" s="225"/>
      <c r="AJ299" s="226"/>
      <c r="AK299" s="224">
        <v>2.8</v>
      </c>
      <c r="AL299" s="225"/>
      <c r="AM299" s="226">
        <v>3.08</v>
      </c>
      <c r="AN299" s="224">
        <v>76.94</v>
      </c>
      <c r="AO299" s="225">
        <v>80</v>
      </c>
      <c r="AP299" s="227">
        <v>84.65</v>
      </c>
      <c r="AQ299" s="224">
        <v>10.91</v>
      </c>
      <c r="AR299" s="225"/>
      <c r="AS299" s="227">
        <v>12</v>
      </c>
      <c r="AT299" s="224">
        <v>38.64</v>
      </c>
      <c r="AU299" s="225"/>
      <c r="AV299" s="227">
        <v>40.880000000000003</v>
      </c>
      <c r="AW299" s="224"/>
      <c r="AX299" s="225"/>
      <c r="AY299" s="227"/>
      <c r="AZ299" s="224"/>
      <c r="BA299" s="225"/>
      <c r="BB299" s="227"/>
      <c r="BC299" s="224"/>
      <c r="BD299" s="225"/>
      <c r="BE299" s="226"/>
      <c r="BF299" s="228"/>
      <c r="BG299" s="225"/>
      <c r="BH299" s="227"/>
      <c r="BI299" s="224"/>
      <c r="BJ299" s="225"/>
      <c r="BK299" s="226"/>
      <c r="BL299" s="229"/>
      <c r="BM299" s="215"/>
      <c r="BN299" s="125">
        <f t="shared" si="48"/>
        <v>129.29</v>
      </c>
      <c r="BO299" s="126">
        <f t="shared" si="49"/>
        <v>80</v>
      </c>
      <c r="BP299" s="127">
        <f t="shared" si="50"/>
        <v>140.61000000000001</v>
      </c>
    </row>
    <row r="300" spans="1:68" s="230" customFormat="1" ht="21.75" customHeight="1" outlineLevel="6" x14ac:dyDescent="0.25">
      <c r="A300" s="215"/>
      <c r="B300" s="215"/>
      <c r="C300" s="216"/>
      <c r="D300" s="216"/>
      <c r="E300" s="216"/>
      <c r="F300" s="216"/>
      <c r="G300" s="216"/>
      <c r="H300" s="216"/>
      <c r="I300" s="216"/>
      <c r="J300" s="216"/>
      <c r="K300" s="217"/>
      <c r="L300" s="216"/>
      <c r="M300" s="215"/>
      <c r="N300" s="215"/>
      <c r="O300" s="215"/>
      <c r="P300" s="215"/>
      <c r="Q300" s="215"/>
      <c r="R300" s="215"/>
      <c r="S300" s="215"/>
      <c r="T300" s="215"/>
      <c r="U300" s="215"/>
      <c r="V300" s="215"/>
      <c r="W300" s="215"/>
      <c r="X300" s="215"/>
      <c r="Y300" s="215"/>
      <c r="Z300" s="215"/>
      <c r="AA300" s="215"/>
      <c r="AB300" s="218"/>
      <c r="AC300" s="219" t="s">
        <v>381</v>
      </c>
      <c r="AD300" s="259" t="s">
        <v>111</v>
      </c>
      <c r="AE300" s="260"/>
      <c r="AF300" s="225"/>
      <c r="AG300" s="261"/>
      <c r="AH300" s="224"/>
      <c r="AI300" s="225"/>
      <c r="AJ300" s="226"/>
      <c r="AK300" s="224">
        <v>4.6500000000000004</v>
      </c>
      <c r="AL300" s="225"/>
      <c r="AM300" s="226">
        <v>5.12</v>
      </c>
      <c r="AN300" s="224">
        <v>3.3</v>
      </c>
      <c r="AO300" s="225"/>
      <c r="AP300" s="227">
        <v>3.63</v>
      </c>
      <c r="AQ300" s="224"/>
      <c r="AR300" s="225"/>
      <c r="AS300" s="227"/>
      <c r="AT300" s="224"/>
      <c r="AU300" s="225"/>
      <c r="AV300" s="227"/>
      <c r="AW300" s="224"/>
      <c r="AX300" s="225"/>
      <c r="AY300" s="227"/>
      <c r="AZ300" s="224"/>
      <c r="BA300" s="225"/>
      <c r="BB300" s="227"/>
      <c r="BC300" s="224">
        <v>1</v>
      </c>
      <c r="BD300" s="225"/>
      <c r="BE300" s="226">
        <v>1</v>
      </c>
      <c r="BF300" s="228"/>
      <c r="BG300" s="225"/>
      <c r="BH300" s="227"/>
      <c r="BI300" s="224"/>
      <c r="BJ300" s="225"/>
      <c r="BK300" s="226"/>
      <c r="BL300" s="229"/>
      <c r="BM300" s="215"/>
      <c r="BN300" s="125">
        <f t="shared" si="48"/>
        <v>8.9499999999999993</v>
      </c>
      <c r="BO300" s="126">
        <f t="shared" si="49"/>
        <v>0</v>
      </c>
      <c r="BP300" s="127">
        <f t="shared" si="50"/>
        <v>9.75</v>
      </c>
    </row>
    <row r="301" spans="1:68" s="230" customFormat="1" ht="21.75" customHeight="1" outlineLevel="6" x14ac:dyDescent="0.25">
      <c r="A301" s="215"/>
      <c r="B301" s="215"/>
      <c r="C301" s="216"/>
      <c r="D301" s="216"/>
      <c r="E301" s="216"/>
      <c r="F301" s="216"/>
      <c r="G301" s="216"/>
      <c r="H301" s="216"/>
      <c r="I301" s="216"/>
      <c r="J301" s="216"/>
      <c r="K301" s="217"/>
      <c r="L301" s="216"/>
      <c r="M301" s="215"/>
      <c r="N301" s="215"/>
      <c r="O301" s="215"/>
      <c r="P301" s="215"/>
      <c r="Q301" s="215"/>
      <c r="R301" s="215"/>
      <c r="S301" s="215"/>
      <c r="T301" s="215"/>
      <c r="U301" s="215"/>
      <c r="V301" s="215"/>
      <c r="W301" s="215"/>
      <c r="X301" s="215"/>
      <c r="Y301" s="215"/>
      <c r="Z301" s="215"/>
      <c r="AA301" s="215"/>
      <c r="AB301" s="218"/>
      <c r="AC301" s="219" t="s">
        <v>382</v>
      </c>
      <c r="AD301" s="259" t="s">
        <v>111</v>
      </c>
      <c r="AE301" s="260"/>
      <c r="AF301" s="225"/>
      <c r="AG301" s="261"/>
      <c r="AH301" s="224"/>
      <c r="AI301" s="225"/>
      <c r="AJ301" s="226"/>
      <c r="AK301" s="224">
        <v>0</v>
      </c>
      <c r="AL301" s="225"/>
      <c r="AM301" s="226">
        <v>182.2</v>
      </c>
      <c r="AN301" s="224"/>
      <c r="AO301" s="225">
        <v>46.43</v>
      </c>
      <c r="AP301" s="227">
        <v>98.86</v>
      </c>
      <c r="AQ301" s="224"/>
      <c r="AR301" s="225"/>
      <c r="AS301" s="227">
        <v>3.99</v>
      </c>
      <c r="AT301" s="224"/>
      <c r="AU301" s="225"/>
      <c r="AV301" s="227"/>
      <c r="AW301" s="224"/>
      <c r="AX301" s="225"/>
      <c r="AY301" s="227"/>
      <c r="AZ301" s="224"/>
      <c r="BA301" s="225"/>
      <c r="BB301" s="227"/>
      <c r="BC301" s="224"/>
      <c r="BD301" s="225"/>
      <c r="BE301" s="226"/>
      <c r="BF301" s="228"/>
      <c r="BG301" s="225"/>
      <c r="BH301" s="227"/>
      <c r="BI301" s="224"/>
      <c r="BJ301" s="225"/>
      <c r="BK301" s="226"/>
      <c r="BL301" s="229"/>
      <c r="BM301" s="215"/>
      <c r="BN301" s="125">
        <f t="shared" si="48"/>
        <v>0</v>
      </c>
      <c r="BO301" s="126">
        <f t="shared" si="49"/>
        <v>46.43</v>
      </c>
      <c r="BP301" s="127">
        <f t="shared" si="50"/>
        <v>285.05</v>
      </c>
    </row>
    <row r="302" spans="1:68" s="230" customFormat="1" ht="21.75" customHeight="1" outlineLevel="6" x14ac:dyDescent="0.25">
      <c r="A302" s="215"/>
      <c r="B302" s="215"/>
      <c r="C302" s="216"/>
      <c r="D302" s="216"/>
      <c r="E302" s="216"/>
      <c r="F302" s="216"/>
      <c r="G302" s="216"/>
      <c r="H302" s="216"/>
      <c r="I302" s="216"/>
      <c r="J302" s="216"/>
      <c r="K302" s="217"/>
      <c r="L302" s="216"/>
      <c r="M302" s="215"/>
      <c r="N302" s="215"/>
      <c r="O302" s="215"/>
      <c r="P302" s="215"/>
      <c r="Q302" s="215"/>
      <c r="R302" s="215"/>
      <c r="S302" s="215"/>
      <c r="T302" s="215"/>
      <c r="U302" s="215"/>
      <c r="V302" s="215"/>
      <c r="W302" s="215"/>
      <c r="X302" s="215"/>
      <c r="Y302" s="215"/>
      <c r="Z302" s="215"/>
      <c r="AA302" s="215"/>
      <c r="AB302" s="218"/>
      <c r="AC302" s="219" t="s">
        <v>383</v>
      </c>
      <c r="AD302" s="259" t="s">
        <v>111</v>
      </c>
      <c r="AE302" s="260"/>
      <c r="AF302" s="225"/>
      <c r="AG302" s="261"/>
      <c r="AH302" s="224"/>
      <c r="AI302" s="225"/>
      <c r="AJ302" s="226"/>
      <c r="AK302" s="224">
        <v>0</v>
      </c>
      <c r="AL302" s="225"/>
      <c r="AM302" s="226">
        <v>250.97</v>
      </c>
      <c r="AN302" s="224"/>
      <c r="AO302" s="225"/>
      <c r="AP302" s="227">
        <v>21.13</v>
      </c>
      <c r="AQ302" s="224"/>
      <c r="AR302" s="225"/>
      <c r="AS302" s="227">
        <v>13.39</v>
      </c>
      <c r="AT302" s="224"/>
      <c r="AU302" s="225"/>
      <c r="AV302" s="227"/>
      <c r="AW302" s="224"/>
      <c r="AX302" s="225"/>
      <c r="AY302" s="227"/>
      <c r="AZ302" s="224"/>
      <c r="BA302" s="225"/>
      <c r="BB302" s="227"/>
      <c r="BC302" s="224"/>
      <c r="BD302" s="225"/>
      <c r="BE302" s="226"/>
      <c r="BF302" s="237"/>
      <c r="BG302" s="238"/>
      <c r="BH302" s="239">
        <v>17.87</v>
      </c>
      <c r="BI302" s="240"/>
      <c r="BJ302" s="238"/>
      <c r="BK302" s="241">
        <v>54.29</v>
      </c>
      <c r="BL302" s="229"/>
      <c r="BM302" s="215"/>
      <c r="BN302" s="125">
        <f t="shared" si="48"/>
        <v>0</v>
      </c>
      <c r="BO302" s="126">
        <f t="shared" si="49"/>
        <v>0</v>
      </c>
      <c r="BP302" s="127">
        <f t="shared" si="50"/>
        <v>357.65000000000003</v>
      </c>
    </row>
    <row r="303" spans="1:68" s="246" customFormat="1" ht="21.75" customHeight="1" outlineLevel="6" x14ac:dyDescent="0.25">
      <c r="A303" s="229"/>
      <c r="B303" s="229"/>
      <c r="C303" s="242"/>
      <c r="D303" s="242"/>
      <c r="E303" s="242"/>
      <c r="F303" s="242"/>
      <c r="G303" s="242"/>
      <c r="H303" s="242"/>
      <c r="I303" s="242"/>
      <c r="J303" s="242"/>
      <c r="K303" s="243"/>
      <c r="L303" s="242"/>
      <c r="M303" s="229"/>
      <c r="N303" s="229"/>
      <c r="O303" s="229"/>
      <c r="P303" s="229"/>
      <c r="Q303" s="229"/>
      <c r="R303" s="229"/>
      <c r="S303" s="229"/>
      <c r="T303" s="229"/>
      <c r="U303" s="229"/>
      <c r="V303" s="229"/>
      <c r="W303" s="229"/>
      <c r="X303" s="229"/>
      <c r="Y303" s="229"/>
      <c r="Z303" s="229"/>
      <c r="AA303" s="229"/>
      <c r="AB303" s="218"/>
      <c r="AC303" s="219" t="s">
        <v>384</v>
      </c>
      <c r="AD303" s="259" t="s">
        <v>111</v>
      </c>
      <c r="AE303" s="224">
        <v>2073.6999999999998</v>
      </c>
      <c r="AF303" s="225">
        <v>1294.8</v>
      </c>
      <c r="AG303" s="226">
        <f>393.621+743.663+656.72</f>
        <v>1794.0040000000001</v>
      </c>
      <c r="AH303" s="224">
        <v>56.1</v>
      </c>
      <c r="AI303" s="225"/>
      <c r="AJ303" s="226">
        <v>63.576000000000001</v>
      </c>
      <c r="AK303" s="224">
        <v>78.7</v>
      </c>
      <c r="AL303" s="225"/>
      <c r="AM303" s="226">
        <v>161.57</v>
      </c>
      <c r="AN303" s="224">
        <v>65.22</v>
      </c>
      <c r="AO303" s="225">
        <v>30</v>
      </c>
      <c r="AP303" s="227">
        <v>34.549999999999997</v>
      </c>
      <c r="AQ303" s="224">
        <v>4.95</v>
      </c>
      <c r="AR303" s="225"/>
      <c r="AS303" s="227">
        <v>35.04</v>
      </c>
      <c r="AT303" s="224">
        <v>63.79</v>
      </c>
      <c r="AU303" s="225"/>
      <c r="AV303" s="227">
        <v>70.2</v>
      </c>
      <c r="AW303" s="224">
        <v>71.69</v>
      </c>
      <c r="AX303" s="225"/>
      <c r="AY303" s="227">
        <v>78.88</v>
      </c>
      <c r="AZ303" s="224">
        <v>69.650000000000006</v>
      </c>
      <c r="BA303" s="225">
        <v>39.51</v>
      </c>
      <c r="BB303" s="227">
        <v>69.92</v>
      </c>
      <c r="BC303" s="224">
        <v>12.62</v>
      </c>
      <c r="BD303" s="225"/>
      <c r="BE303" s="226">
        <f>20.45+19.66</f>
        <v>40.11</v>
      </c>
      <c r="BF303" s="228">
        <v>4.95</v>
      </c>
      <c r="BG303" s="225"/>
      <c r="BH303" s="227">
        <v>5.45</v>
      </c>
      <c r="BI303" s="240">
        <v>20.21</v>
      </c>
      <c r="BJ303" s="238"/>
      <c r="BK303" s="241">
        <v>36.86</v>
      </c>
      <c r="BL303" s="229"/>
      <c r="BM303" s="229"/>
      <c r="BN303" s="125">
        <f t="shared" si="48"/>
        <v>2521.579999999999</v>
      </c>
      <c r="BO303" s="126">
        <f t="shared" si="49"/>
        <v>1364.31</v>
      </c>
      <c r="BP303" s="127">
        <f t="shared" si="50"/>
        <v>2390.1600000000003</v>
      </c>
    </row>
    <row r="304" spans="1:68" s="230" customFormat="1" ht="21.75" customHeight="1" outlineLevel="6" x14ac:dyDescent="0.25">
      <c r="A304" s="215"/>
      <c r="B304" s="215"/>
      <c r="C304" s="216"/>
      <c r="D304" s="216"/>
      <c r="E304" s="216"/>
      <c r="F304" s="216"/>
      <c r="G304" s="216"/>
      <c r="H304" s="216"/>
      <c r="I304" s="216"/>
      <c r="J304" s="216"/>
      <c r="K304" s="217"/>
      <c r="L304" s="216"/>
      <c r="M304" s="215"/>
      <c r="N304" s="215"/>
      <c r="O304" s="215"/>
      <c r="P304" s="215"/>
      <c r="Q304" s="215"/>
      <c r="R304" s="215"/>
      <c r="S304" s="215"/>
      <c r="T304" s="215"/>
      <c r="U304" s="215"/>
      <c r="V304" s="215"/>
      <c r="W304" s="215"/>
      <c r="X304" s="215"/>
      <c r="Y304" s="215"/>
      <c r="Z304" s="215"/>
      <c r="AA304" s="215"/>
      <c r="AB304" s="218"/>
      <c r="AC304" s="219" t="s">
        <v>385</v>
      </c>
      <c r="AD304" s="259" t="s">
        <v>111</v>
      </c>
      <c r="AE304" s="260"/>
      <c r="AF304" s="225"/>
      <c r="AG304" s="261"/>
      <c r="AH304" s="224"/>
      <c r="AI304" s="225"/>
      <c r="AJ304" s="226"/>
      <c r="AK304" s="224">
        <v>15.26</v>
      </c>
      <c r="AL304" s="225"/>
      <c r="AM304" s="226">
        <v>16.510000000000002</v>
      </c>
      <c r="AN304" s="224">
        <v>33.130000000000003</v>
      </c>
      <c r="AO304" s="225">
        <v>32</v>
      </c>
      <c r="AP304" s="227">
        <v>35.83</v>
      </c>
      <c r="AQ304" s="224">
        <v>4.84</v>
      </c>
      <c r="AR304" s="225"/>
      <c r="AS304" s="227">
        <v>5.24</v>
      </c>
      <c r="AT304" s="224">
        <v>36.479999999999997</v>
      </c>
      <c r="AU304" s="225"/>
      <c r="AV304" s="227">
        <v>39.441000000000003</v>
      </c>
      <c r="AW304" s="224">
        <v>8.7469999999999999</v>
      </c>
      <c r="AX304" s="225"/>
      <c r="AY304" s="227">
        <v>9.4610000000000003</v>
      </c>
      <c r="AZ304" s="224">
        <v>48.201000000000001</v>
      </c>
      <c r="BA304" s="225"/>
      <c r="BB304" s="227">
        <v>52.134999999999998</v>
      </c>
      <c r="BC304" s="224">
        <v>39.08</v>
      </c>
      <c r="BD304" s="225"/>
      <c r="BE304" s="226">
        <v>43</v>
      </c>
      <c r="BF304" s="237">
        <v>2.42</v>
      </c>
      <c r="BG304" s="238"/>
      <c r="BH304" s="239">
        <v>2.62</v>
      </c>
      <c r="BI304" s="240">
        <v>4.47</v>
      </c>
      <c r="BJ304" s="238">
        <v>4</v>
      </c>
      <c r="BK304" s="241">
        <v>4.83</v>
      </c>
      <c r="BL304" s="229"/>
      <c r="BM304" s="215"/>
      <c r="BN304" s="125">
        <f t="shared" si="48"/>
        <v>192.62799999999999</v>
      </c>
      <c r="BO304" s="126">
        <f t="shared" si="49"/>
        <v>36</v>
      </c>
      <c r="BP304" s="127">
        <f t="shared" si="50"/>
        <v>209.06700000000004</v>
      </c>
    </row>
    <row r="305" spans="1:68" s="246" customFormat="1" ht="21.75" hidden="1" customHeight="1" outlineLevel="6" x14ac:dyDescent="0.25">
      <c r="A305" s="229"/>
      <c r="B305" s="229"/>
      <c r="C305" s="242"/>
      <c r="D305" s="242"/>
      <c r="E305" s="242"/>
      <c r="F305" s="242"/>
      <c r="G305" s="242"/>
      <c r="H305" s="242"/>
      <c r="I305" s="242"/>
      <c r="J305" s="242"/>
      <c r="K305" s="243"/>
      <c r="L305" s="242"/>
      <c r="M305" s="229"/>
      <c r="N305" s="229"/>
      <c r="O305" s="229"/>
      <c r="P305" s="229"/>
      <c r="Q305" s="229"/>
      <c r="R305" s="229"/>
      <c r="S305" s="229"/>
      <c r="T305" s="229"/>
      <c r="U305" s="229"/>
      <c r="V305" s="229"/>
      <c r="W305" s="229"/>
      <c r="X305" s="229"/>
      <c r="Y305" s="229"/>
      <c r="Z305" s="229"/>
      <c r="AA305" s="229"/>
      <c r="AB305" s="218"/>
      <c r="AC305" s="219" t="s">
        <v>386</v>
      </c>
      <c r="AD305" s="259" t="s">
        <v>111</v>
      </c>
      <c r="AE305" s="260"/>
      <c r="AF305" s="225"/>
      <c r="AG305" s="261"/>
      <c r="AH305" s="224"/>
      <c r="AI305" s="225"/>
      <c r="AJ305" s="226"/>
      <c r="AK305" s="224"/>
      <c r="AL305" s="225"/>
      <c r="AM305" s="226"/>
      <c r="AN305" s="224"/>
      <c r="AO305" s="225"/>
      <c r="AP305" s="227"/>
      <c r="AQ305" s="224"/>
      <c r="AR305" s="225"/>
      <c r="AS305" s="227"/>
      <c r="AT305" s="224"/>
      <c r="AU305" s="225"/>
      <c r="AV305" s="227"/>
      <c r="AW305" s="224"/>
      <c r="AX305" s="225"/>
      <c r="AY305" s="227"/>
      <c r="AZ305" s="224"/>
      <c r="BA305" s="225"/>
      <c r="BB305" s="227"/>
      <c r="BC305" s="224"/>
      <c r="BD305" s="225"/>
      <c r="BE305" s="226"/>
      <c r="BF305" s="237"/>
      <c r="BG305" s="238"/>
      <c r="BH305" s="239"/>
      <c r="BI305" s="240"/>
      <c r="BJ305" s="238"/>
      <c r="BK305" s="241"/>
      <c r="BL305" s="229"/>
      <c r="BM305" s="229"/>
      <c r="BN305" s="125">
        <f t="shared" si="48"/>
        <v>0</v>
      </c>
      <c r="BO305" s="126">
        <f t="shared" si="49"/>
        <v>0</v>
      </c>
      <c r="BP305" s="127">
        <f t="shared" si="50"/>
        <v>0</v>
      </c>
    </row>
    <row r="306" spans="1:68" s="230" customFormat="1" ht="21.75" customHeight="1" outlineLevel="6" x14ac:dyDescent="0.25">
      <c r="A306" s="215"/>
      <c r="B306" s="215"/>
      <c r="C306" s="216"/>
      <c r="D306" s="216"/>
      <c r="E306" s="216"/>
      <c r="F306" s="216"/>
      <c r="G306" s="216"/>
      <c r="H306" s="216"/>
      <c r="I306" s="216"/>
      <c r="J306" s="216"/>
      <c r="K306" s="217"/>
      <c r="L306" s="216"/>
      <c r="M306" s="215"/>
      <c r="N306" s="215"/>
      <c r="O306" s="215"/>
      <c r="P306" s="215"/>
      <c r="Q306" s="215"/>
      <c r="R306" s="215"/>
      <c r="S306" s="215"/>
      <c r="T306" s="215"/>
      <c r="U306" s="215"/>
      <c r="V306" s="215"/>
      <c r="W306" s="215"/>
      <c r="X306" s="215"/>
      <c r="Y306" s="215"/>
      <c r="Z306" s="215"/>
      <c r="AA306" s="215"/>
      <c r="AB306" s="218"/>
      <c r="AC306" s="219" t="s">
        <v>387</v>
      </c>
      <c r="AD306" s="259" t="s">
        <v>111</v>
      </c>
      <c r="AE306" s="260">
        <v>3092.17</v>
      </c>
      <c r="AF306" s="225">
        <v>1094.6099999999999</v>
      </c>
      <c r="AG306" s="261">
        <v>3092.17</v>
      </c>
      <c r="AH306" s="224"/>
      <c r="AI306" s="225"/>
      <c r="AJ306" s="226"/>
      <c r="AK306" s="224"/>
      <c r="AL306" s="225"/>
      <c r="AM306" s="226"/>
      <c r="AN306" s="224"/>
      <c r="AO306" s="225"/>
      <c r="AP306" s="227"/>
      <c r="AQ306" s="224"/>
      <c r="AR306" s="225"/>
      <c r="AS306" s="227"/>
      <c r="AT306" s="224"/>
      <c r="AU306" s="225"/>
      <c r="AV306" s="227"/>
      <c r="AW306" s="224"/>
      <c r="AX306" s="225"/>
      <c r="AY306" s="227"/>
      <c r="AZ306" s="224"/>
      <c r="BA306" s="225"/>
      <c r="BB306" s="227"/>
      <c r="BC306" s="224"/>
      <c r="BD306" s="225"/>
      <c r="BE306" s="226"/>
      <c r="BF306" s="228"/>
      <c r="BG306" s="225"/>
      <c r="BH306" s="227"/>
      <c r="BI306" s="224"/>
      <c r="BJ306" s="225"/>
      <c r="BK306" s="226"/>
      <c r="BL306" s="229"/>
      <c r="BM306" s="215"/>
      <c r="BN306" s="125">
        <f t="shared" si="48"/>
        <v>3092.17</v>
      </c>
      <c r="BO306" s="126">
        <f t="shared" si="49"/>
        <v>1094.6099999999999</v>
      </c>
      <c r="BP306" s="127">
        <f t="shared" si="50"/>
        <v>3092.17</v>
      </c>
    </row>
    <row r="307" spans="1:68" s="230" customFormat="1" ht="21.75" customHeight="1" outlineLevel="6" x14ac:dyDescent="0.25">
      <c r="A307" s="215"/>
      <c r="B307" s="215"/>
      <c r="C307" s="216"/>
      <c r="D307" s="216"/>
      <c r="E307" s="216"/>
      <c r="F307" s="216"/>
      <c r="G307" s="216"/>
      <c r="H307" s="216"/>
      <c r="I307" s="216"/>
      <c r="J307" s="216"/>
      <c r="K307" s="217"/>
      <c r="L307" s="216"/>
      <c r="M307" s="215"/>
      <c r="N307" s="215"/>
      <c r="O307" s="215"/>
      <c r="P307" s="215"/>
      <c r="Q307" s="215"/>
      <c r="R307" s="215"/>
      <c r="S307" s="215"/>
      <c r="T307" s="215"/>
      <c r="U307" s="215"/>
      <c r="V307" s="215"/>
      <c r="W307" s="215"/>
      <c r="X307" s="215"/>
      <c r="Y307" s="215"/>
      <c r="Z307" s="215"/>
      <c r="AA307" s="215"/>
      <c r="AB307" s="218"/>
      <c r="AC307" s="219" t="s">
        <v>292</v>
      </c>
      <c r="AD307" s="259" t="s">
        <v>111</v>
      </c>
      <c r="AE307" s="260"/>
      <c r="AF307" s="225"/>
      <c r="AG307" s="261"/>
      <c r="AH307" s="224"/>
      <c r="AI307" s="225"/>
      <c r="AJ307" s="226"/>
      <c r="AK307" s="224"/>
      <c r="AL307" s="225"/>
      <c r="AM307" s="226"/>
      <c r="AN307" s="224"/>
      <c r="AO307" s="225"/>
      <c r="AP307" s="227"/>
      <c r="AQ307" s="224"/>
      <c r="AR307" s="225"/>
      <c r="AS307" s="227"/>
      <c r="AT307" s="224"/>
      <c r="AU307" s="225"/>
      <c r="AV307" s="227"/>
      <c r="AW307" s="224"/>
      <c r="AX307" s="225"/>
      <c r="AY307" s="227"/>
      <c r="AZ307" s="224"/>
      <c r="BA307" s="225"/>
      <c r="BB307" s="227"/>
      <c r="BC307" s="224"/>
      <c r="BD307" s="225"/>
      <c r="BE307" s="226"/>
      <c r="BF307" s="228"/>
      <c r="BG307" s="225"/>
      <c r="BH307" s="227"/>
      <c r="BI307" s="240">
        <v>48.64</v>
      </c>
      <c r="BJ307" s="238">
        <v>41.08</v>
      </c>
      <c r="BK307" s="241">
        <v>53.34</v>
      </c>
      <c r="BL307" s="229"/>
      <c r="BM307" s="215"/>
      <c r="BN307" s="125">
        <f t="shared" si="48"/>
        <v>48.64</v>
      </c>
      <c r="BO307" s="126">
        <f t="shared" si="49"/>
        <v>41.08</v>
      </c>
      <c r="BP307" s="127">
        <f t="shared" si="50"/>
        <v>53.34</v>
      </c>
    </row>
    <row r="308" spans="1:68" s="171" customFormat="1" ht="24" customHeight="1" outlineLevel="3" x14ac:dyDescent="0.25">
      <c r="A308" s="166"/>
      <c r="B308" s="166"/>
      <c r="C308" s="167" t="s">
        <v>83</v>
      </c>
      <c r="D308" s="167" t="s">
        <v>84</v>
      </c>
      <c r="E308" s="167" t="s">
        <v>73</v>
      </c>
      <c r="F308" s="167" t="s">
        <v>74</v>
      </c>
      <c r="G308" s="167" t="s">
        <v>388</v>
      </c>
      <c r="H308" s="167" t="s">
        <v>73</v>
      </c>
      <c r="I308" s="167" t="s">
        <v>73</v>
      </c>
      <c r="J308" s="167" t="s">
        <v>73</v>
      </c>
      <c r="K308" s="168" t="s">
        <v>73</v>
      </c>
      <c r="L308" s="167" t="s">
        <v>192</v>
      </c>
      <c r="M308" s="166" t="str">
        <f t="array" ref="M308">Y96</f>
        <v>1ХВС::1.1</v>
      </c>
      <c r="N308" s="166"/>
      <c r="O308" s="166"/>
      <c r="P308" s="166"/>
      <c r="Q308" s="166"/>
      <c r="R308" s="166"/>
      <c r="S308" s="166"/>
      <c r="T308" s="166"/>
      <c r="U308" s="166"/>
      <c r="V308" s="166"/>
      <c r="W308" s="166"/>
      <c r="X308" s="166"/>
      <c r="Y308" s="166"/>
      <c r="Z308" s="166"/>
      <c r="AA308" s="166"/>
      <c r="AB308" s="155" t="str">
        <f>AB147&amp;".4"</f>
        <v>3.1.1.4</v>
      </c>
      <c r="AC308" s="252" t="s">
        <v>389</v>
      </c>
      <c r="AD308" s="157" t="s">
        <v>111</v>
      </c>
      <c r="AE308" s="158">
        <f t="shared" ref="AE308:BK308" si="53">SUM(AE309:AE311)+SUM(AE317:AE321)</f>
        <v>91446.847959999999</v>
      </c>
      <c r="AF308" s="159">
        <f t="shared" si="53"/>
        <v>89604.96</v>
      </c>
      <c r="AG308" s="160">
        <f t="shared" si="53"/>
        <v>118183.64032600001</v>
      </c>
      <c r="AH308" s="158">
        <f t="shared" si="53"/>
        <v>0</v>
      </c>
      <c r="AI308" s="159">
        <f t="shared" si="53"/>
        <v>0</v>
      </c>
      <c r="AJ308" s="160">
        <f t="shared" si="53"/>
        <v>0</v>
      </c>
      <c r="AK308" s="158">
        <f t="shared" si="53"/>
        <v>3630.5709999999999</v>
      </c>
      <c r="AL308" s="159">
        <f t="shared" si="53"/>
        <v>0</v>
      </c>
      <c r="AM308" s="162">
        <f t="shared" si="53"/>
        <v>4995.6592000000001</v>
      </c>
      <c r="AN308" s="158">
        <f t="shared" si="53"/>
        <v>5433.1470000000008</v>
      </c>
      <c r="AO308" s="159">
        <f t="shared" si="53"/>
        <v>0</v>
      </c>
      <c r="AP308" s="162">
        <f t="shared" si="53"/>
        <v>5705.3788759999998</v>
      </c>
      <c r="AQ308" s="158">
        <f t="shared" si="53"/>
        <v>1984.6849999999999</v>
      </c>
      <c r="AR308" s="159">
        <f t="shared" si="53"/>
        <v>0</v>
      </c>
      <c r="AS308" s="162">
        <f t="shared" si="53"/>
        <v>1370.266138</v>
      </c>
      <c r="AT308" s="158">
        <f t="shared" si="53"/>
        <v>4483.6559999999999</v>
      </c>
      <c r="AU308" s="159">
        <f t="shared" si="53"/>
        <v>6886.79</v>
      </c>
      <c r="AV308" s="162">
        <f t="shared" si="53"/>
        <v>7176.0409999999993</v>
      </c>
      <c r="AW308" s="158">
        <f t="shared" si="53"/>
        <v>2576.137976</v>
      </c>
      <c r="AX308" s="159">
        <f t="shared" si="53"/>
        <v>0</v>
      </c>
      <c r="AY308" s="162">
        <f t="shared" si="53"/>
        <v>4371.7740739999999</v>
      </c>
      <c r="AZ308" s="158">
        <f t="shared" si="53"/>
        <v>5114.775302</v>
      </c>
      <c r="BA308" s="159">
        <f t="shared" si="53"/>
        <v>6718.1303349999998</v>
      </c>
      <c r="BB308" s="162">
        <f t="shared" si="53"/>
        <v>5994.9517999999998</v>
      </c>
      <c r="BC308" s="158">
        <f t="shared" si="53"/>
        <v>6810.9676099999997</v>
      </c>
      <c r="BD308" s="159">
        <f t="shared" si="53"/>
        <v>747.3</v>
      </c>
      <c r="BE308" s="162">
        <f t="shared" si="53"/>
        <v>8225.0031999999992</v>
      </c>
      <c r="BF308" s="158">
        <f t="shared" si="53"/>
        <v>324.85616000000005</v>
      </c>
      <c r="BG308" s="159">
        <f t="shared" si="53"/>
        <v>51.33</v>
      </c>
      <c r="BH308" s="162">
        <f t="shared" si="53"/>
        <v>405.59622000000002</v>
      </c>
      <c r="BI308" s="158">
        <f t="shared" si="53"/>
        <v>1927.25</v>
      </c>
      <c r="BJ308" s="159">
        <f t="shared" si="53"/>
        <v>132.54</v>
      </c>
      <c r="BK308" s="160">
        <f t="shared" si="53"/>
        <v>2833.4900000000002</v>
      </c>
      <c r="BL308" s="170"/>
      <c r="BM308" s="166"/>
      <c r="BN308" s="163">
        <f t="shared" si="48"/>
        <v>123732.89400799997</v>
      </c>
      <c r="BO308" s="164">
        <f t="shared" si="49"/>
        <v>104141.05033499999</v>
      </c>
      <c r="BP308" s="165">
        <f t="shared" si="50"/>
        <v>159261.80083400002</v>
      </c>
    </row>
    <row r="309" spans="1:68" ht="30.75" hidden="1" customHeight="1" outlineLevel="4" x14ac:dyDescent="0.25">
      <c r="C309" s="10" t="s">
        <v>83</v>
      </c>
      <c r="D309" s="10" t="s">
        <v>84</v>
      </c>
      <c r="E309" s="10" t="s">
        <v>73</v>
      </c>
      <c r="F309" s="10" t="s">
        <v>74</v>
      </c>
      <c r="G309" s="10" t="s">
        <v>390</v>
      </c>
      <c r="H309" s="10" t="s">
        <v>73</v>
      </c>
      <c r="I309" s="10" t="s">
        <v>73</v>
      </c>
      <c r="J309" s="10" t="s">
        <v>73</v>
      </c>
      <c r="K309" s="12" t="s">
        <v>73</v>
      </c>
      <c r="L309" s="10" t="s">
        <v>73</v>
      </c>
      <c r="M309" s="5" t="str">
        <f t="array" ref="M309">Y96</f>
        <v>1ХВС::1.1</v>
      </c>
      <c r="AB309" s="29" t="str">
        <f>AB308&amp;".1"</f>
        <v>3.1.1.4.1</v>
      </c>
      <c r="AC309" s="174" t="s">
        <v>390</v>
      </c>
      <c r="AD309" s="51" t="s">
        <v>111</v>
      </c>
      <c r="AE309" s="95"/>
      <c r="AF309" s="178"/>
      <c r="AG309" s="96"/>
      <c r="AH309" s="95"/>
      <c r="AI309" s="178"/>
      <c r="AJ309" s="96"/>
      <c r="AK309" s="95"/>
      <c r="AL309" s="178"/>
      <c r="AM309" s="96"/>
      <c r="AN309" s="95"/>
      <c r="AO309" s="178"/>
      <c r="AP309" s="181"/>
      <c r="AQ309" s="95"/>
      <c r="AR309" s="178"/>
      <c r="AS309" s="181"/>
      <c r="AT309" s="95"/>
      <c r="AU309" s="178"/>
      <c r="AV309" s="181"/>
      <c r="AW309" s="95"/>
      <c r="AX309" s="178"/>
      <c r="AY309" s="181"/>
      <c r="AZ309" s="95"/>
      <c r="BA309" s="178"/>
      <c r="BB309" s="181"/>
      <c r="BC309" s="95"/>
      <c r="BD309" s="178"/>
      <c r="BE309" s="96"/>
      <c r="BF309" s="182"/>
      <c r="BG309" s="183"/>
      <c r="BH309" s="184"/>
      <c r="BI309" s="185"/>
      <c r="BJ309" s="183"/>
      <c r="BK309" s="186"/>
      <c r="BN309" s="125">
        <f t="shared" si="48"/>
        <v>0</v>
      </c>
      <c r="BO309" s="126">
        <f t="shared" si="49"/>
        <v>0</v>
      </c>
      <c r="BP309" s="127">
        <f t="shared" si="50"/>
        <v>0</v>
      </c>
    </row>
    <row r="310" spans="1:68" ht="39" customHeight="1" outlineLevel="4" x14ac:dyDescent="0.25">
      <c r="C310" s="10" t="s">
        <v>83</v>
      </c>
      <c r="D310" s="10" t="s">
        <v>84</v>
      </c>
      <c r="E310" s="10" t="s">
        <v>73</v>
      </c>
      <c r="F310" s="10" t="s">
        <v>74</v>
      </c>
      <c r="G310" s="10" t="s">
        <v>391</v>
      </c>
      <c r="H310" s="10" t="s">
        <v>73</v>
      </c>
      <c r="I310" s="10" t="s">
        <v>73</v>
      </c>
      <c r="J310" s="10" t="s">
        <v>73</v>
      </c>
      <c r="K310" s="12" t="s">
        <v>73</v>
      </c>
      <c r="L310" s="10" t="s">
        <v>73</v>
      </c>
      <c r="M310" s="5" t="str">
        <f t="array" ref="M310">Y96</f>
        <v>1ХВС::1.1</v>
      </c>
      <c r="AB310" s="29" t="str">
        <f>AB308&amp;".2"</f>
        <v>3.1.1.4.2</v>
      </c>
      <c r="AC310" s="174" t="s">
        <v>391</v>
      </c>
      <c r="AD310" s="51" t="s">
        <v>111</v>
      </c>
      <c r="AE310" s="95"/>
      <c r="AF310" s="178"/>
      <c r="AG310" s="96">
        <v>1944.31</v>
      </c>
      <c r="AH310" s="95"/>
      <c r="AI310" s="178"/>
      <c r="AJ310" s="96"/>
      <c r="AK310" s="95"/>
      <c r="AL310" s="178"/>
      <c r="AM310" s="96"/>
      <c r="AN310" s="95"/>
      <c r="AO310" s="178"/>
      <c r="AP310" s="181"/>
      <c r="AQ310" s="95"/>
      <c r="AR310" s="178"/>
      <c r="AS310" s="181"/>
      <c r="AT310" s="95"/>
      <c r="AU310" s="178"/>
      <c r="AV310" s="181"/>
      <c r="AW310" s="95"/>
      <c r="AX310" s="178"/>
      <c r="AY310" s="181"/>
      <c r="AZ310" s="95"/>
      <c r="BA310" s="178"/>
      <c r="BB310" s="181"/>
      <c r="BC310" s="95"/>
      <c r="BD310" s="178"/>
      <c r="BE310" s="96"/>
      <c r="BF310" s="182"/>
      <c r="BG310" s="183"/>
      <c r="BH310" s="184"/>
      <c r="BI310" s="185"/>
      <c r="BJ310" s="183"/>
      <c r="BK310" s="186"/>
      <c r="BN310" s="125">
        <f t="shared" si="48"/>
        <v>0</v>
      </c>
      <c r="BO310" s="126">
        <f t="shared" si="49"/>
        <v>0</v>
      </c>
      <c r="BP310" s="127">
        <f t="shared" si="50"/>
        <v>1944.31</v>
      </c>
    </row>
    <row r="311" spans="1:68" ht="69.75" customHeight="1" outlineLevel="4" x14ac:dyDescent="0.25">
      <c r="C311" s="10" t="s">
        <v>83</v>
      </c>
      <c r="D311" s="10" t="s">
        <v>84</v>
      </c>
      <c r="E311" s="10" t="s">
        <v>73</v>
      </c>
      <c r="F311" s="10" t="s">
        <v>74</v>
      </c>
      <c r="G311" s="10" t="s">
        <v>201</v>
      </c>
      <c r="H311" s="10" t="s">
        <v>392</v>
      </c>
      <c r="I311" s="10" t="s">
        <v>73</v>
      </c>
      <c r="J311" s="10" t="s">
        <v>73</v>
      </c>
      <c r="K311" s="12" t="s">
        <v>73</v>
      </c>
      <c r="L311" s="10" t="s">
        <v>73</v>
      </c>
      <c r="M311" s="5" t="str">
        <f t="array" ref="M311">Y96</f>
        <v>1ХВС::1.1</v>
      </c>
      <c r="AB311" s="29" t="str">
        <f>AB308&amp;".3"</f>
        <v>3.1.1.4.3</v>
      </c>
      <c r="AC311" s="174" t="s">
        <v>393</v>
      </c>
      <c r="AD311" s="51" t="s">
        <v>111</v>
      </c>
      <c r="AE311" s="72">
        <f>AE312+AE315</f>
        <v>73276.533960000001</v>
      </c>
      <c r="AF311" s="178">
        <f>60229.79+18189.4</f>
        <v>78419.19</v>
      </c>
      <c r="AG311" s="96">
        <f>AG312*1.302</f>
        <v>94054.804326000012</v>
      </c>
      <c r="AH311" s="72">
        <f>AH312+AH315</f>
        <v>0</v>
      </c>
      <c r="AI311" s="178"/>
      <c r="AJ311" s="96"/>
      <c r="AK311" s="72">
        <f>AK312+AK315</f>
        <v>2393.6509999999998</v>
      </c>
      <c r="AL311" s="73"/>
      <c r="AM311" s="74">
        <f>AM312+AM315</f>
        <v>3496.0291999999999</v>
      </c>
      <c r="AN311" s="72">
        <f>AN312+AN315</f>
        <v>3371.8070000000002</v>
      </c>
      <c r="AO311" s="178"/>
      <c r="AP311" s="181">
        <f>AP312*1.302</f>
        <v>4055.388876</v>
      </c>
      <c r="AQ311" s="72">
        <f>AQ312+AQ315</f>
        <v>1826.2349999999999</v>
      </c>
      <c r="AR311" s="178"/>
      <c r="AS311" s="181">
        <f>AS312*1.302</f>
        <v>1146.696138</v>
      </c>
      <c r="AT311" s="72">
        <f>AT312+AT315</f>
        <v>2896.0360000000001</v>
      </c>
      <c r="AU311" s="73">
        <f>AU312+AU315</f>
        <v>5243.63</v>
      </c>
      <c r="AV311" s="138">
        <f>AV312+AV315</f>
        <v>5313.9609999999993</v>
      </c>
      <c r="AW311" s="72">
        <f>AW312+AW315</f>
        <v>1773.0479760000001</v>
      </c>
      <c r="AX311" s="178"/>
      <c r="AY311" s="181">
        <f>AY312+AY315</f>
        <v>3312.2710740000002</v>
      </c>
      <c r="AZ311" s="72">
        <f>AZ312+AZ315</f>
        <v>3841.5523020000001</v>
      </c>
      <c r="BA311" s="178">
        <f>BA312+BA315</f>
        <v>4345.4803350000002</v>
      </c>
      <c r="BB311" s="181">
        <f>BB312+BB315</f>
        <v>4616.9917999999998</v>
      </c>
      <c r="BC311" s="72">
        <v>4875.97</v>
      </c>
      <c r="BD311" s="178"/>
      <c r="BE311" s="96">
        <v>5365.1207999999997</v>
      </c>
      <c r="BF311" s="139">
        <f>BF312+BF315</f>
        <v>255.29616000000001</v>
      </c>
      <c r="BG311" s="183"/>
      <c r="BH311" s="184">
        <f>BH312+BH315</f>
        <v>301.55622</v>
      </c>
      <c r="BI311" s="142">
        <f>BI312+BI315</f>
        <v>1575.635</v>
      </c>
      <c r="BJ311" s="183"/>
      <c r="BK311" s="186">
        <f>BK312+BK315</f>
        <v>2411.36</v>
      </c>
      <c r="BN311" s="125">
        <f t="shared" si="48"/>
        <v>96085.764397999985</v>
      </c>
      <c r="BO311" s="126">
        <f t="shared" si="49"/>
        <v>88008.300335000007</v>
      </c>
      <c r="BP311" s="127">
        <f t="shared" si="50"/>
        <v>124074.17943400002</v>
      </c>
    </row>
    <row r="312" spans="1:68" ht="21" customHeight="1" outlineLevel="4" x14ac:dyDescent="0.25">
      <c r="C312" s="10" t="s">
        <v>394</v>
      </c>
      <c r="D312" s="10" t="s">
        <v>84</v>
      </c>
      <c r="F312" s="10" t="s">
        <v>74</v>
      </c>
      <c r="G312" s="77" t="str">
        <f t="array" ref="G312">AC312</f>
        <v>Заработная плата всего</v>
      </c>
      <c r="H312" s="10" t="s">
        <v>73</v>
      </c>
      <c r="I312" s="10" t="s">
        <v>73</v>
      </c>
      <c r="J312" s="10" t="s">
        <v>73</v>
      </c>
      <c r="L312" s="10" t="s">
        <v>73</v>
      </c>
      <c r="M312" s="5" t="str">
        <f t="array" ref="M312">Y96</f>
        <v>1ХВС::1.1</v>
      </c>
      <c r="AB312" s="29" t="str">
        <f>AB311&amp;".1"</f>
        <v>3.1.1.4.3.1</v>
      </c>
      <c r="AC312" s="177" t="s">
        <v>395</v>
      </c>
      <c r="AD312" s="51" t="s">
        <v>111</v>
      </c>
      <c r="AE312" s="95">
        <v>56279.98</v>
      </c>
      <c r="AF312" s="178">
        <v>60229.29</v>
      </c>
      <c r="AG312" s="96">
        <v>72238.713000000003</v>
      </c>
      <c r="AH312" s="95"/>
      <c r="AI312" s="178"/>
      <c r="AJ312" s="96"/>
      <c r="AK312" s="95">
        <v>1838.441</v>
      </c>
      <c r="AL312" s="178">
        <v>0</v>
      </c>
      <c r="AM312" s="96">
        <v>2685.1192000000001</v>
      </c>
      <c r="AN312" s="95">
        <v>2589.7170000000001</v>
      </c>
      <c r="AO312" s="178"/>
      <c r="AP312" s="181">
        <v>3114.7379999999998</v>
      </c>
      <c r="AQ312" s="95">
        <v>1402.645</v>
      </c>
      <c r="AR312" s="178">
        <v>0</v>
      </c>
      <c r="AS312" s="181">
        <v>880.71900000000005</v>
      </c>
      <c r="AT312" s="95">
        <v>2224.2959999999998</v>
      </c>
      <c r="AU312" s="178">
        <v>4027.37</v>
      </c>
      <c r="AV312" s="181">
        <v>4081.3809999999999</v>
      </c>
      <c r="AW312" s="95">
        <v>1361.788</v>
      </c>
      <c r="AX312" s="178"/>
      <c r="AY312" s="181">
        <v>2543.9870000000001</v>
      </c>
      <c r="AZ312" s="95">
        <v>2950.5010000000002</v>
      </c>
      <c r="BA312" s="178">
        <v>3337.5425</v>
      </c>
      <c r="BB312" s="181">
        <v>3546.0817999999999</v>
      </c>
      <c r="BC312" s="95">
        <v>3744.9810000000002</v>
      </c>
      <c r="BD312" s="178"/>
      <c r="BE312" s="96">
        <v>4120.6776</v>
      </c>
      <c r="BF312" s="182">
        <v>196.08</v>
      </c>
      <c r="BG312" s="183"/>
      <c r="BH312" s="184">
        <v>231.61</v>
      </c>
      <c r="BI312" s="185">
        <v>1210.165</v>
      </c>
      <c r="BJ312" s="183"/>
      <c r="BK312" s="186">
        <v>1852.04</v>
      </c>
      <c r="BN312" s="125">
        <f t="shared" si="48"/>
        <v>73798.593999999997</v>
      </c>
      <c r="BO312" s="126">
        <f t="shared" si="49"/>
        <v>67594.202499999999</v>
      </c>
      <c r="BP312" s="127">
        <f t="shared" si="50"/>
        <v>95295.066599999976</v>
      </c>
    </row>
    <row r="313" spans="1:68" s="115" customFormat="1" ht="14.25" customHeight="1" outlineLevel="4" x14ac:dyDescent="0.25">
      <c r="A313" s="100"/>
      <c r="B313" s="100"/>
      <c r="C313" s="99" t="s">
        <v>206</v>
      </c>
      <c r="D313" s="99" t="s">
        <v>207</v>
      </c>
      <c r="E313" s="99" t="s">
        <v>73</v>
      </c>
      <c r="F313" s="99" t="s">
        <v>74</v>
      </c>
      <c r="G313" s="99" t="s">
        <v>73</v>
      </c>
      <c r="H313" s="99" t="s">
        <v>73</v>
      </c>
      <c r="I313" s="99" t="s">
        <v>73</v>
      </c>
      <c r="J313" s="99" t="s">
        <v>73</v>
      </c>
      <c r="K313" s="102" t="s">
        <v>73</v>
      </c>
      <c r="L313" s="99" t="s">
        <v>73</v>
      </c>
      <c r="M313" s="100" t="str">
        <f t="array" ref="M313">Y96</f>
        <v>1ХВС::1.1</v>
      </c>
      <c r="N313" s="100"/>
      <c r="O313" s="100"/>
      <c r="P313" s="100"/>
      <c r="Q313" s="100"/>
      <c r="R313" s="100"/>
      <c r="S313" s="100"/>
      <c r="T313" s="100"/>
      <c r="U313" s="100"/>
      <c r="V313" s="100"/>
      <c r="W313" s="100"/>
      <c r="X313" s="100"/>
      <c r="Y313" s="100"/>
      <c r="Z313" s="100"/>
      <c r="AA313" s="100"/>
      <c r="AB313" s="103" t="str">
        <f>AB312&amp;".1"</f>
        <v>3.1.1.4.3.1.1</v>
      </c>
      <c r="AC313" s="188" t="s">
        <v>208</v>
      </c>
      <c r="AD313" s="189" t="s">
        <v>209</v>
      </c>
      <c r="AE313" s="190">
        <f t="shared" ref="AE313:AW313" si="54">AE312/AE314/12*1000</f>
        <v>61387.41273996509</v>
      </c>
      <c r="AF313" s="191">
        <f t="shared" si="54"/>
        <v>58024.364161849713</v>
      </c>
      <c r="AG313" s="192">
        <f t="shared" si="54"/>
        <v>56260.679906542056</v>
      </c>
      <c r="AH313" s="190" t="e">
        <f t="shared" si="54"/>
        <v>#DIV/0!</v>
      </c>
      <c r="AI313" s="191" t="e">
        <f t="shared" si="54"/>
        <v>#DIV/0!</v>
      </c>
      <c r="AJ313" s="192" t="e">
        <f t="shared" si="54"/>
        <v>#DIV/0!</v>
      </c>
      <c r="AK313" s="190">
        <f t="shared" si="54"/>
        <v>52828.764367816089</v>
      </c>
      <c r="AL313" s="191" t="e">
        <f t="shared" si="54"/>
        <v>#DIV/0!</v>
      </c>
      <c r="AM313" s="192">
        <f t="shared" si="54"/>
        <v>48643.463768115944</v>
      </c>
      <c r="AN313" s="190">
        <f t="shared" si="54"/>
        <v>55335.833333333343</v>
      </c>
      <c r="AO313" s="191" t="e">
        <f t="shared" si="54"/>
        <v>#DIV/0!</v>
      </c>
      <c r="AP313" s="193">
        <f t="shared" si="54"/>
        <v>48973.867924528298</v>
      </c>
      <c r="AQ313" s="190">
        <f t="shared" si="54"/>
        <v>53130.492424242417</v>
      </c>
      <c r="AR313" s="191" t="e">
        <f t="shared" si="54"/>
        <v>#DIV/0!</v>
      </c>
      <c r="AS313" s="193">
        <f t="shared" si="54"/>
        <v>48928.833333333336</v>
      </c>
      <c r="AT313" s="190">
        <f t="shared" si="54"/>
        <v>54517.058823529405</v>
      </c>
      <c r="AU313" s="191">
        <f t="shared" si="54"/>
        <v>50166.542102640757</v>
      </c>
      <c r="AV313" s="193">
        <f t="shared" si="54"/>
        <v>49292.041062801931</v>
      </c>
      <c r="AW313" s="190">
        <f t="shared" si="54"/>
        <v>45392.933333333334</v>
      </c>
      <c r="AX313" s="191"/>
      <c r="AY313" s="193">
        <f t="shared" ref="AY313:BK313" si="55">AY312/AY314/12*1000</f>
        <v>47110.870370370372</v>
      </c>
      <c r="AZ313" s="190">
        <f t="shared" si="55"/>
        <v>49175.01666666667</v>
      </c>
      <c r="BA313" s="191">
        <f t="shared" si="55"/>
        <v>46354.756944444438</v>
      </c>
      <c r="BB313" s="193">
        <f t="shared" si="55"/>
        <v>49251.136111111118</v>
      </c>
      <c r="BC313" s="190">
        <f t="shared" si="55"/>
        <v>43874.841838886547</v>
      </c>
      <c r="BD313" s="191" t="e">
        <f t="shared" si="55"/>
        <v>#DIV/0!</v>
      </c>
      <c r="BE313" s="192">
        <f t="shared" si="55"/>
        <v>48296.736990154706</v>
      </c>
      <c r="BF313" s="194">
        <f t="shared" si="55"/>
        <v>39853.658536585368</v>
      </c>
      <c r="BG313" s="195" t="e">
        <f t="shared" si="55"/>
        <v>#DIV/0!</v>
      </c>
      <c r="BH313" s="196">
        <f t="shared" si="55"/>
        <v>38601.666666666664</v>
      </c>
      <c r="BI313" s="197">
        <f t="shared" si="55"/>
        <v>40338.833333333336</v>
      </c>
      <c r="BJ313" s="195" t="e">
        <f t="shared" si="55"/>
        <v>#DIV/0!</v>
      </c>
      <c r="BK313" s="198">
        <f t="shared" si="55"/>
        <v>38584.166666666672</v>
      </c>
      <c r="BL313" s="111"/>
      <c r="BM313" s="100"/>
      <c r="BN313" s="112">
        <f>BN312/BN314/12*1000</f>
        <v>57841.509676488924</v>
      </c>
      <c r="BO313" s="113">
        <f>BO312/BO314/12*1000</f>
        <v>56788.48884296132</v>
      </c>
      <c r="BP313" s="114">
        <f>BP312/BP314/12*1000</f>
        <v>53871.89166270943</v>
      </c>
    </row>
    <row r="314" spans="1:68" s="115" customFormat="1" ht="14.25" customHeight="1" outlineLevel="4" x14ac:dyDescent="0.25">
      <c r="A314" s="100"/>
      <c r="B314" s="100"/>
      <c r="C314" s="99" t="s">
        <v>210</v>
      </c>
      <c r="D314" s="99" t="s">
        <v>211</v>
      </c>
      <c r="E314" s="99" t="s">
        <v>73</v>
      </c>
      <c r="F314" s="99" t="s">
        <v>74</v>
      </c>
      <c r="G314" s="99" t="s">
        <v>73</v>
      </c>
      <c r="H314" s="99" t="s">
        <v>73</v>
      </c>
      <c r="I314" s="99" t="s">
        <v>73</v>
      </c>
      <c r="J314" s="99" t="s">
        <v>73</v>
      </c>
      <c r="K314" s="102" t="s">
        <v>73</v>
      </c>
      <c r="L314" s="99" t="s">
        <v>73</v>
      </c>
      <c r="M314" s="100" t="str">
        <f t="array" ref="M314">Y96</f>
        <v>1ХВС::1.1</v>
      </c>
      <c r="N314" s="100"/>
      <c r="O314" s="100"/>
      <c r="P314" s="100"/>
      <c r="Q314" s="100"/>
      <c r="R314" s="100"/>
      <c r="S314" s="100"/>
      <c r="T314" s="100"/>
      <c r="U314" s="100"/>
      <c r="V314" s="100"/>
      <c r="W314" s="100"/>
      <c r="X314" s="100"/>
      <c r="Y314" s="100"/>
      <c r="Z314" s="100"/>
      <c r="AA314" s="100"/>
      <c r="AB314" s="103" t="str">
        <f>AB312&amp;".2"</f>
        <v>3.1.1.4.3.1.2</v>
      </c>
      <c r="AC314" s="188" t="s">
        <v>212</v>
      </c>
      <c r="AD314" s="189" t="s">
        <v>213</v>
      </c>
      <c r="AE314" s="199">
        <v>76.400000000000006</v>
      </c>
      <c r="AF314" s="200">
        <v>86.5</v>
      </c>
      <c r="AG314" s="201">
        <v>107</v>
      </c>
      <c r="AH314" s="199"/>
      <c r="AI314" s="200"/>
      <c r="AJ314" s="201"/>
      <c r="AK314" s="199">
        <v>2.9</v>
      </c>
      <c r="AL314" s="200">
        <v>0</v>
      </c>
      <c r="AM314" s="201">
        <v>4.5999999999999996</v>
      </c>
      <c r="AN314" s="199">
        <v>3.9</v>
      </c>
      <c r="AO314" s="200"/>
      <c r="AP314" s="202">
        <v>5.3</v>
      </c>
      <c r="AQ314" s="199">
        <v>2.2000000000000002</v>
      </c>
      <c r="AR314" s="200"/>
      <c r="AS314" s="202">
        <v>1.5</v>
      </c>
      <c r="AT314" s="199">
        <v>3.4</v>
      </c>
      <c r="AU314" s="200">
        <v>6.69</v>
      </c>
      <c r="AV314" s="202">
        <v>6.9</v>
      </c>
      <c r="AW314" s="199">
        <v>2.5</v>
      </c>
      <c r="AX314" s="200"/>
      <c r="AY314" s="202">
        <v>4.5</v>
      </c>
      <c r="AZ314" s="199">
        <v>5</v>
      </c>
      <c r="BA314" s="200">
        <v>6</v>
      </c>
      <c r="BB314" s="202">
        <v>6</v>
      </c>
      <c r="BC314" s="199">
        <v>7.1130000000000004</v>
      </c>
      <c r="BD314" s="200"/>
      <c r="BE314" s="201">
        <v>7.11</v>
      </c>
      <c r="BF314" s="203">
        <v>0.41</v>
      </c>
      <c r="BG314" s="204"/>
      <c r="BH314" s="205">
        <v>0.5</v>
      </c>
      <c r="BI314" s="206">
        <v>2.5</v>
      </c>
      <c r="BJ314" s="204"/>
      <c r="BK314" s="207">
        <v>4</v>
      </c>
      <c r="BL314" s="111"/>
      <c r="BM314" s="100"/>
      <c r="BN314" s="112">
        <f t="shared" ref="BN314:BP315" si="56">AE314+AH314+AK314+AN314+AQ314+AT314+AW314+AZ314+BC314+BF314+BI314</f>
        <v>106.32300000000002</v>
      </c>
      <c r="BO314" s="113">
        <f t="shared" si="56"/>
        <v>99.19</v>
      </c>
      <c r="BP314" s="114">
        <f t="shared" si="56"/>
        <v>147.41000000000003</v>
      </c>
    </row>
    <row r="315" spans="1:68" ht="14.25" customHeight="1" outlineLevel="4" x14ac:dyDescent="0.25">
      <c r="C315" s="10" t="s">
        <v>83</v>
      </c>
      <c r="D315" s="10" t="s">
        <v>84</v>
      </c>
      <c r="E315" s="10" t="s">
        <v>73</v>
      </c>
      <c r="F315" s="10" t="s">
        <v>74</v>
      </c>
      <c r="G315" s="10" t="s">
        <v>214</v>
      </c>
      <c r="H315" s="10" t="s">
        <v>73</v>
      </c>
      <c r="I315" s="10" t="s">
        <v>73</v>
      </c>
      <c r="J315" s="10" t="s">
        <v>73</v>
      </c>
      <c r="K315" s="12" t="s">
        <v>73</v>
      </c>
      <c r="L315" s="10" t="s">
        <v>73</v>
      </c>
      <c r="M315" s="5" t="str">
        <f t="array" ref="M315">Y96</f>
        <v>1ХВС::1.1</v>
      </c>
      <c r="AB315" s="29" t="str">
        <f>AB311&amp;".2"</f>
        <v>3.1.1.4.3.2</v>
      </c>
      <c r="AC315" s="177" t="s">
        <v>214</v>
      </c>
      <c r="AD315" s="51" t="s">
        <v>111</v>
      </c>
      <c r="AE315" s="95">
        <f>AE312/100*30.2</f>
        <v>16996.553960000001</v>
      </c>
      <c r="AF315" s="73">
        <f>AF311-AF312</f>
        <v>18189.900000000001</v>
      </c>
      <c r="AG315" s="74">
        <f>AG311-AG312</f>
        <v>21816.091326000009</v>
      </c>
      <c r="AH315" s="95"/>
      <c r="AI315" s="73"/>
      <c r="AJ315" s="74"/>
      <c r="AK315" s="95">
        <v>555.21</v>
      </c>
      <c r="AL315" s="73"/>
      <c r="AM315" s="74">
        <v>810.91</v>
      </c>
      <c r="AN315" s="95">
        <v>782.09</v>
      </c>
      <c r="AO315" s="73"/>
      <c r="AP315" s="138">
        <v>940.65</v>
      </c>
      <c r="AQ315" s="95">
        <v>423.59</v>
      </c>
      <c r="AR315" s="73"/>
      <c r="AS315" s="138">
        <v>265.98</v>
      </c>
      <c r="AT315" s="95">
        <v>671.74</v>
      </c>
      <c r="AU315" s="73">
        <v>1216.26</v>
      </c>
      <c r="AV315" s="138">
        <v>1232.58</v>
      </c>
      <c r="AW315" s="95">
        <f>AW312*30.2%</f>
        <v>411.25997599999999</v>
      </c>
      <c r="AX315" s="73"/>
      <c r="AY315" s="138">
        <f>AY312*30.2%</f>
        <v>768.28407400000003</v>
      </c>
      <c r="AZ315" s="95">
        <f>AZ312*30.2%</f>
        <v>891.05130200000008</v>
      </c>
      <c r="BA315" s="73">
        <f>BA312*30.2%</f>
        <v>1007.937835</v>
      </c>
      <c r="BB315" s="138">
        <v>1070.9100000000001</v>
      </c>
      <c r="BC315" s="95">
        <v>1130.9839999999999</v>
      </c>
      <c r="BD315" s="73"/>
      <c r="BE315" s="74">
        <v>1244.44</v>
      </c>
      <c r="BF315" s="182">
        <f>BF312*BF316/100</f>
        <v>59.216160000000002</v>
      </c>
      <c r="BG315" s="140"/>
      <c r="BH315" s="141">
        <f>BH312*BH316/100</f>
        <v>69.946219999999997</v>
      </c>
      <c r="BI315" s="185">
        <v>365.47</v>
      </c>
      <c r="BJ315" s="140"/>
      <c r="BK315" s="143">
        <v>559.32000000000005</v>
      </c>
      <c r="BN315" s="125">
        <f t="shared" si="56"/>
        <v>22287.165398000005</v>
      </c>
      <c r="BO315" s="126">
        <f t="shared" si="56"/>
        <v>20414.097835</v>
      </c>
      <c r="BP315" s="127">
        <f t="shared" si="56"/>
        <v>28779.111620000011</v>
      </c>
    </row>
    <row r="316" spans="1:68" ht="14.25" customHeight="1" outlineLevel="4" x14ac:dyDescent="0.25">
      <c r="C316" s="10" t="s">
        <v>216</v>
      </c>
      <c r="D316" s="10" t="s">
        <v>217</v>
      </c>
      <c r="E316" s="10" t="s">
        <v>73</v>
      </c>
      <c r="F316" s="10" t="s">
        <v>74</v>
      </c>
      <c r="G316" s="10" t="s">
        <v>73</v>
      </c>
      <c r="H316" s="10" t="s">
        <v>73</v>
      </c>
      <c r="I316" s="10" t="s">
        <v>73</v>
      </c>
      <c r="J316" s="10" t="s">
        <v>73</v>
      </c>
      <c r="K316" s="12" t="s">
        <v>73</v>
      </c>
      <c r="L316" s="10" t="s">
        <v>73</v>
      </c>
      <c r="M316" s="5" t="str">
        <f t="array" ref="M316">Y96</f>
        <v>1ХВС::1.1</v>
      </c>
      <c r="AB316" s="29" t="str">
        <f>AB315&amp;".1"</f>
        <v>3.1.1.4.3.2.1</v>
      </c>
      <c r="AC316" s="208" t="s">
        <v>218</v>
      </c>
      <c r="AD316" s="51" t="s">
        <v>119</v>
      </c>
      <c r="AE316" s="72">
        <v>30.2</v>
      </c>
      <c r="AF316" s="73">
        <v>30.2</v>
      </c>
      <c r="AG316" s="74">
        <v>30.2</v>
      </c>
      <c r="AH316" s="72"/>
      <c r="AI316" s="73"/>
      <c r="AJ316" s="74"/>
      <c r="AK316" s="72">
        <v>30.2</v>
      </c>
      <c r="AL316" s="73"/>
      <c r="AM316" s="74">
        <v>30.2</v>
      </c>
      <c r="AN316" s="72">
        <v>30.2</v>
      </c>
      <c r="AO316" s="73"/>
      <c r="AP316" s="138">
        <v>30.2</v>
      </c>
      <c r="AQ316" s="72">
        <v>30.2</v>
      </c>
      <c r="AR316" s="73"/>
      <c r="AS316" s="138">
        <v>30.2</v>
      </c>
      <c r="AT316" s="72">
        <v>30.2</v>
      </c>
      <c r="AU316" s="73">
        <v>30.2</v>
      </c>
      <c r="AV316" s="138">
        <v>30.2</v>
      </c>
      <c r="AW316" s="72">
        <v>30.2</v>
      </c>
      <c r="AX316" s="73"/>
      <c r="AY316" s="138">
        <v>30.2</v>
      </c>
      <c r="AZ316" s="72">
        <v>30.2</v>
      </c>
      <c r="BA316" s="73">
        <v>30.2</v>
      </c>
      <c r="BB316" s="138">
        <v>30.2</v>
      </c>
      <c r="BC316" s="72">
        <v>30.2</v>
      </c>
      <c r="BD316" s="73"/>
      <c r="BE316" s="74">
        <v>30.2</v>
      </c>
      <c r="BF316" s="139">
        <v>30.2</v>
      </c>
      <c r="BG316" s="140"/>
      <c r="BH316" s="141">
        <v>30.2</v>
      </c>
      <c r="BI316" s="142">
        <v>30.2</v>
      </c>
      <c r="BJ316" s="140">
        <v>30.2</v>
      </c>
      <c r="BK316" s="143">
        <v>30.2</v>
      </c>
      <c r="BN316" s="125">
        <v>30.2</v>
      </c>
      <c r="BO316" s="126">
        <v>30.2</v>
      </c>
      <c r="BP316" s="127">
        <v>30.2</v>
      </c>
    </row>
    <row r="317" spans="1:68" ht="66.75" hidden="1" customHeight="1" outlineLevel="4" x14ac:dyDescent="0.25">
      <c r="C317" s="10" t="s">
        <v>83</v>
      </c>
      <c r="D317" s="10" t="s">
        <v>84</v>
      </c>
      <c r="E317" s="10" t="s">
        <v>73</v>
      </c>
      <c r="F317" s="10" t="s">
        <v>74</v>
      </c>
      <c r="G317" s="10" t="s">
        <v>396</v>
      </c>
      <c r="H317" s="10" t="s">
        <v>73</v>
      </c>
      <c r="I317" s="10" t="s">
        <v>73</v>
      </c>
      <c r="J317" s="10" t="s">
        <v>73</v>
      </c>
      <c r="K317" s="12" t="s">
        <v>73</v>
      </c>
      <c r="L317" s="10" t="s">
        <v>73</v>
      </c>
      <c r="M317" s="5" t="str">
        <f t="array" ref="M317">Y96</f>
        <v>1ХВС::1.1</v>
      </c>
      <c r="AB317" s="65" t="str">
        <f>AB308&amp;".4"</f>
        <v>3.1.1.4.4</v>
      </c>
      <c r="AC317" s="174" t="s">
        <v>397</v>
      </c>
      <c r="AD317" s="51" t="s">
        <v>111</v>
      </c>
      <c r="AE317" s="95"/>
      <c r="AF317" s="178"/>
      <c r="AG317" s="96"/>
      <c r="AH317" s="95"/>
      <c r="AI317" s="178"/>
      <c r="AJ317" s="96"/>
      <c r="AK317" s="95"/>
      <c r="AL317" s="178"/>
      <c r="AM317" s="96"/>
      <c r="AN317" s="95"/>
      <c r="AO317" s="178"/>
      <c r="AP317" s="181"/>
      <c r="AQ317" s="95"/>
      <c r="AR317" s="178"/>
      <c r="AS317" s="181"/>
      <c r="AT317" s="95"/>
      <c r="AU317" s="178"/>
      <c r="AV317" s="181"/>
      <c r="AW317" s="95"/>
      <c r="AX317" s="178"/>
      <c r="AY317" s="181"/>
      <c r="AZ317" s="95"/>
      <c r="BA317" s="178"/>
      <c r="BB317" s="181"/>
      <c r="BC317" s="95"/>
      <c r="BD317" s="178"/>
      <c r="BE317" s="96"/>
      <c r="BF317" s="182"/>
      <c r="BG317" s="183"/>
      <c r="BH317" s="184"/>
      <c r="BI317" s="185"/>
      <c r="BJ317" s="183"/>
      <c r="BK317" s="186"/>
      <c r="BN317" s="125">
        <f t="shared" ref="BN317:BP323" si="57">AE317+AH317+AK317+AN317+AQ317+AT317+AW317+AZ317+BC317+BF317+BI317</f>
        <v>0</v>
      </c>
      <c r="BO317" s="126">
        <f t="shared" si="57"/>
        <v>0</v>
      </c>
      <c r="BP317" s="127">
        <f t="shared" si="57"/>
        <v>0</v>
      </c>
    </row>
    <row r="318" spans="1:68" s="211" customFormat="1" ht="43.5" customHeight="1" outlineLevel="4" x14ac:dyDescent="0.25">
      <c r="A318" s="6"/>
      <c r="B318" s="6"/>
      <c r="C318" s="116" t="s">
        <v>83</v>
      </c>
      <c r="D318" s="116" t="s">
        <v>84</v>
      </c>
      <c r="E318" s="116" t="s">
        <v>73</v>
      </c>
      <c r="F318" s="116" t="s">
        <v>74</v>
      </c>
      <c r="G318" s="116" t="s">
        <v>398</v>
      </c>
      <c r="H318" s="116" t="s">
        <v>73</v>
      </c>
      <c r="I318" s="116" t="s">
        <v>73</v>
      </c>
      <c r="J318" s="116" t="s">
        <v>73</v>
      </c>
      <c r="K318" s="209" t="s">
        <v>73</v>
      </c>
      <c r="L318" s="116" t="s">
        <v>73</v>
      </c>
      <c r="M318" s="6" t="str">
        <f t="array" ref="M318">Y96</f>
        <v>1ХВС::1.1</v>
      </c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5" t="str">
        <f>AB308&amp;".5"</f>
        <v>3.1.1.4.5</v>
      </c>
      <c r="AC318" s="174" t="s">
        <v>398</v>
      </c>
      <c r="AD318" s="51" t="s">
        <v>111</v>
      </c>
      <c r="AE318" s="95">
        <v>1962.604</v>
      </c>
      <c r="AF318" s="178"/>
      <c r="AG318" s="96">
        <v>1944.3</v>
      </c>
      <c r="AH318" s="95"/>
      <c r="AI318" s="178"/>
      <c r="AJ318" s="96"/>
      <c r="AK318" s="95">
        <v>486.74</v>
      </c>
      <c r="AL318" s="178"/>
      <c r="AM318" s="96">
        <v>478.93</v>
      </c>
      <c r="AN318" s="95">
        <v>745.2</v>
      </c>
      <c r="AO318" s="178"/>
      <c r="AP318" s="181"/>
      <c r="AQ318" s="95"/>
      <c r="AR318" s="178"/>
      <c r="AS318" s="181"/>
      <c r="AT318" s="95">
        <v>399.75</v>
      </c>
      <c r="AU318" s="178"/>
      <c r="AV318" s="181">
        <v>472.75</v>
      </c>
      <c r="AW318" s="95">
        <f>77.48+439.27</f>
        <v>516.75</v>
      </c>
      <c r="AX318" s="178"/>
      <c r="AY318" s="181">
        <f>85.257+546.85</f>
        <v>632.10699999999997</v>
      </c>
      <c r="AZ318" s="95"/>
      <c r="BA318" s="178"/>
      <c r="BB318" s="181"/>
      <c r="BC318" s="95">
        <v>708</v>
      </c>
      <c r="BD318" s="178"/>
      <c r="BE318" s="96">
        <v>779.02239999999995</v>
      </c>
      <c r="BF318" s="182"/>
      <c r="BG318" s="183"/>
      <c r="BH318" s="184"/>
      <c r="BI318" s="185">
        <v>180</v>
      </c>
      <c r="BJ318" s="183"/>
      <c r="BK318" s="186">
        <v>180</v>
      </c>
      <c r="BL318" s="6"/>
      <c r="BM318" s="6"/>
      <c r="BN318" s="125">
        <f t="shared" si="57"/>
        <v>4999.0439999999999</v>
      </c>
      <c r="BO318" s="126">
        <f t="shared" si="57"/>
        <v>0</v>
      </c>
      <c r="BP318" s="127">
        <f t="shared" si="57"/>
        <v>4487.1094000000003</v>
      </c>
    </row>
    <row r="319" spans="1:68" s="211" customFormat="1" ht="74.25" customHeight="1" outlineLevel="4" x14ac:dyDescent="0.25">
      <c r="A319" s="6"/>
      <c r="B319" s="6"/>
      <c r="C319" s="116" t="s">
        <v>83</v>
      </c>
      <c r="D319" s="116" t="s">
        <v>84</v>
      </c>
      <c r="E319" s="116" t="s">
        <v>73</v>
      </c>
      <c r="F319" s="116" t="s">
        <v>74</v>
      </c>
      <c r="G319" s="116" t="s">
        <v>399</v>
      </c>
      <c r="H319" s="116" t="s">
        <v>73</v>
      </c>
      <c r="I319" s="116" t="s">
        <v>73</v>
      </c>
      <c r="J319" s="116" t="s">
        <v>73</v>
      </c>
      <c r="K319" s="209" t="s">
        <v>73</v>
      </c>
      <c r="L319" s="116" t="s">
        <v>73</v>
      </c>
      <c r="M319" s="6" t="str">
        <f t="array" ref="M319">Y96</f>
        <v>1ХВС::1.1</v>
      </c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5" t="str">
        <f>AB308&amp;".6"</f>
        <v>3.1.1.4.6</v>
      </c>
      <c r="AC319" s="174" t="s">
        <v>400</v>
      </c>
      <c r="AD319" s="51" t="s">
        <v>111</v>
      </c>
      <c r="AE319" s="95"/>
      <c r="AF319" s="178"/>
      <c r="AG319" s="96"/>
      <c r="AH319" s="95"/>
      <c r="AI319" s="178"/>
      <c r="AJ319" s="96"/>
      <c r="AK319" s="95"/>
      <c r="AL319" s="178"/>
      <c r="AM319" s="96"/>
      <c r="AN319" s="95"/>
      <c r="AO319" s="178"/>
      <c r="AP319" s="181"/>
      <c r="AQ319" s="95"/>
      <c r="AR319" s="178"/>
      <c r="AS319" s="181"/>
      <c r="AT319" s="95"/>
      <c r="AU319" s="178"/>
      <c r="AV319" s="181"/>
      <c r="AW319" s="72"/>
      <c r="AX319" s="73"/>
      <c r="AY319" s="138"/>
      <c r="AZ319" s="95"/>
      <c r="BA319" s="178"/>
      <c r="BB319" s="181"/>
      <c r="BC319" s="95"/>
      <c r="BD319" s="178">
        <v>747.3</v>
      </c>
      <c r="BE319" s="96">
        <v>804.78</v>
      </c>
      <c r="BF319" s="182"/>
      <c r="BG319" s="183"/>
      <c r="BH319" s="184"/>
      <c r="BI319" s="185"/>
      <c r="BJ319" s="183"/>
      <c r="BK319" s="186"/>
      <c r="BL319" s="6"/>
      <c r="BM319" s="6"/>
      <c r="BN319" s="125">
        <f t="shared" si="57"/>
        <v>0</v>
      </c>
      <c r="BO319" s="126">
        <f t="shared" si="57"/>
        <v>747.3</v>
      </c>
      <c r="BP319" s="127">
        <f t="shared" si="57"/>
        <v>804.78</v>
      </c>
    </row>
    <row r="320" spans="1:68" ht="61.5" customHeight="1" outlineLevel="4" x14ac:dyDescent="0.25">
      <c r="C320" s="10" t="s">
        <v>83</v>
      </c>
      <c r="D320" s="10" t="s">
        <v>84</v>
      </c>
      <c r="E320" s="10" t="s">
        <v>73</v>
      </c>
      <c r="F320" s="10" t="s">
        <v>74</v>
      </c>
      <c r="G320" s="10" t="s">
        <v>401</v>
      </c>
      <c r="H320" s="10" t="s">
        <v>73</v>
      </c>
      <c r="I320" s="10" t="s">
        <v>73</v>
      </c>
      <c r="J320" s="10" t="s">
        <v>73</v>
      </c>
      <c r="K320" s="12" t="s">
        <v>73</v>
      </c>
      <c r="L320" s="10" t="s">
        <v>73</v>
      </c>
      <c r="M320" s="5" t="str">
        <f t="array" ref="M320">Y96</f>
        <v>1ХВС::1.1</v>
      </c>
      <c r="AB320" s="65" t="str">
        <f>AB308&amp;".7"</f>
        <v>3.1.1.4.7</v>
      </c>
      <c r="AC320" s="174" t="s">
        <v>402</v>
      </c>
      <c r="AD320" s="51" t="s">
        <v>111</v>
      </c>
      <c r="AE320" s="95">
        <v>16207.71</v>
      </c>
      <c r="AF320" s="178">
        <v>11185.77</v>
      </c>
      <c r="AG320" s="96">
        <v>20240.225999999999</v>
      </c>
      <c r="AH320" s="95"/>
      <c r="AI320" s="178"/>
      <c r="AJ320" s="96"/>
      <c r="AK320" s="95">
        <v>750.18</v>
      </c>
      <c r="AL320" s="178"/>
      <c r="AM320" s="96">
        <v>1020.7</v>
      </c>
      <c r="AN320" s="95">
        <v>1316.14</v>
      </c>
      <c r="AO320" s="178"/>
      <c r="AP320" s="181">
        <v>1649.99</v>
      </c>
      <c r="AQ320" s="95">
        <v>158.44999999999999</v>
      </c>
      <c r="AR320" s="178"/>
      <c r="AS320" s="181">
        <v>223.57</v>
      </c>
      <c r="AT320" s="95">
        <v>1187.8699999999999</v>
      </c>
      <c r="AU320" s="178">
        <v>1643.16</v>
      </c>
      <c r="AV320" s="181">
        <f>1750.5-361.17</f>
        <v>1389.33</v>
      </c>
      <c r="AW320" s="95">
        <v>286.33999999999997</v>
      </c>
      <c r="AX320" s="178"/>
      <c r="AY320" s="181">
        <v>427.39600000000002</v>
      </c>
      <c r="AZ320" s="95">
        <v>1273.223</v>
      </c>
      <c r="BA320" s="178">
        <v>2372.65</v>
      </c>
      <c r="BB320" s="181">
        <v>1377.96</v>
      </c>
      <c r="BC320" s="95">
        <v>1226.9976099999999</v>
      </c>
      <c r="BD320" s="178"/>
      <c r="BE320" s="96">
        <v>1276.08</v>
      </c>
      <c r="BF320" s="182">
        <v>69.56</v>
      </c>
      <c r="BG320" s="183">
        <v>51.33</v>
      </c>
      <c r="BH320" s="184">
        <v>104.04</v>
      </c>
      <c r="BI320" s="185">
        <v>171.61500000000001</v>
      </c>
      <c r="BJ320" s="183">
        <v>132.54</v>
      </c>
      <c r="BK320" s="186">
        <v>242.13</v>
      </c>
      <c r="BN320" s="125">
        <f t="shared" si="57"/>
        <v>22648.085610000002</v>
      </c>
      <c r="BO320" s="126">
        <f t="shared" si="57"/>
        <v>15385.45</v>
      </c>
      <c r="BP320" s="127">
        <f t="shared" si="57"/>
        <v>27951.422000000002</v>
      </c>
    </row>
    <row r="321" spans="1:68" ht="60" hidden="1" customHeight="1" outlineLevel="4" x14ac:dyDescent="0.25">
      <c r="C321" s="10" t="s">
        <v>83</v>
      </c>
      <c r="D321" s="10" t="s">
        <v>84</v>
      </c>
      <c r="E321" s="10" t="s">
        <v>73</v>
      </c>
      <c r="F321" s="10" t="s">
        <v>74</v>
      </c>
      <c r="G321" s="10" t="s">
        <v>403</v>
      </c>
      <c r="H321" s="10" t="s">
        <v>73</v>
      </c>
      <c r="I321" s="10" t="s">
        <v>73</v>
      </c>
      <c r="J321" s="10" t="s">
        <v>73</v>
      </c>
      <c r="K321" s="12" t="s">
        <v>73</v>
      </c>
      <c r="L321" s="10" t="s">
        <v>73</v>
      </c>
      <c r="M321" s="5" t="str">
        <f t="array" ref="M321">Y96</f>
        <v>1ХВС::1.1</v>
      </c>
      <c r="AB321" s="65" t="str">
        <f>AB308&amp;".8"</f>
        <v>3.1.1.4.8</v>
      </c>
      <c r="AC321" s="174" t="s">
        <v>403</v>
      </c>
      <c r="AD321" s="51" t="s">
        <v>111</v>
      </c>
      <c r="AE321" s="95"/>
      <c r="AF321" s="73"/>
      <c r="AG321" s="74"/>
      <c r="AH321" s="95"/>
      <c r="AI321" s="73"/>
      <c r="AJ321" s="74"/>
      <c r="AK321" s="95"/>
      <c r="AL321" s="73"/>
      <c r="AM321" s="74"/>
      <c r="AN321" s="95"/>
      <c r="AO321" s="73"/>
      <c r="AP321" s="138"/>
      <c r="AQ321" s="95"/>
      <c r="AR321" s="73"/>
      <c r="AS321" s="138"/>
      <c r="AT321" s="95"/>
      <c r="AU321" s="73"/>
      <c r="AV321" s="138"/>
      <c r="AW321" s="95"/>
      <c r="AX321" s="73"/>
      <c r="AY321" s="138"/>
      <c r="AZ321" s="95"/>
      <c r="BA321" s="73"/>
      <c r="BB321" s="138"/>
      <c r="BC321" s="95"/>
      <c r="BD321" s="73"/>
      <c r="BE321" s="74"/>
      <c r="BF321" s="182"/>
      <c r="BG321" s="140"/>
      <c r="BH321" s="141"/>
      <c r="BI321" s="185"/>
      <c r="BJ321" s="140"/>
      <c r="BK321" s="143"/>
      <c r="BN321" s="125">
        <f t="shared" si="57"/>
        <v>0</v>
      </c>
      <c r="BO321" s="126">
        <f t="shared" si="57"/>
        <v>0</v>
      </c>
      <c r="BP321" s="127">
        <f t="shared" si="57"/>
        <v>0</v>
      </c>
    </row>
    <row r="322" spans="1:68" s="171" customFormat="1" ht="19.5" customHeight="1" outlineLevel="2" x14ac:dyDescent="0.25">
      <c r="A322" s="166"/>
      <c r="B322" s="166"/>
      <c r="C322" s="167" t="s">
        <v>83</v>
      </c>
      <c r="D322" s="167" t="s">
        <v>84</v>
      </c>
      <c r="E322" s="167" t="s">
        <v>73</v>
      </c>
      <c r="F322" s="167" t="s">
        <v>74</v>
      </c>
      <c r="G322" s="167" t="s">
        <v>404</v>
      </c>
      <c r="H322" s="167" t="s">
        <v>73</v>
      </c>
      <c r="I322" s="167" t="s">
        <v>73</v>
      </c>
      <c r="J322" s="167" t="s">
        <v>73</v>
      </c>
      <c r="K322" s="168" t="s">
        <v>73</v>
      </c>
      <c r="L322" s="167" t="s">
        <v>133</v>
      </c>
      <c r="M322" s="166" t="str">
        <f t="array" ref="M322">Y96</f>
        <v>1ХВС::1.1</v>
      </c>
      <c r="N322" s="166"/>
      <c r="O322" s="166"/>
      <c r="P322" s="166"/>
      <c r="Q322" s="166"/>
      <c r="R322" s="166"/>
      <c r="S322" s="166"/>
      <c r="T322" s="166"/>
      <c r="U322" s="166"/>
      <c r="V322" s="166"/>
      <c r="W322" s="166"/>
      <c r="X322" s="166"/>
      <c r="Y322" s="166"/>
      <c r="Z322" s="166"/>
      <c r="AA322" s="166"/>
      <c r="AB322" s="155" t="str">
        <f>AB146&amp;".2"</f>
        <v>3.1.2</v>
      </c>
      <c r="AC322" s="172" t="s">
        <v>405</v>
      </c>
      <c r="AD322" s="157" t="s">
        <v>111</v>
      </c>
      <c r="AE322" s="253">
        <f>AE323+AE336+AE337+AE338</f>
        <v>205589.16663805299</v>
      </c>
      <c r="AF322" s="262">
        <f>AF323</f>
        <v>234492.69785600001</v>
      </c>
      <c r="AG322" s="254">
        <f>AG323+AG336+AG337+AG338</f>
        <v>292494.65916802565</v>
      </c>
      <c r="AH322" s="253">
        <f>AH323+AH336+AH337+AH338</f>
        <v>938.78352919999998</v>
      </c>
      <c r="AI322" s="262">
        <f>AI323</f>
        <v>949.27</v>
      </c>
      <c r="AJ322" s="254">
        <f>AJ323+AJ336+AJ337+AJ338</f>
        <v>1259.7694851000001</v>
      </c>
      <c r="AK322" s="253">
        <f>AK323+AK336+AK337+AK338</f>
        <v>5383.0394308199993</v>
      </c>
      <c r="AL322" s="262">
        <f>AL323</f>
        <v>5044.2398423999994</v>
      </c>
      <c r="AM322" s="254">
        <f>AM323+AM336+AM337+AM338</f>
        <v>5773.1806944</v>
      </c>
      <c r="AN322" s="253">
        <f>AN323+AN336+AN337+AN338</f>
        <v>13798.973562079998</v>
      </c>
      <c r="AO322" s="159">
        <f>AO323+AO336+AO337+AO338</f>
        <v>11672.639376972</v>
      </c>
      <c r="AP322" s="263">
        <f>AP323+AP336+AP337+AP338</f>
        <v>18966.749323979999</v>
      </c>
      <c r="AQ322" s="253">
        <f>AQ323+AQ336+AQ337+AQ338</f>
        <v>3766.2072991199998</v>
      </c>
      <c r="AR322" s="262">
        <f>AR323</f>
        <v>7403.4801952000007</v>
      </c>
      <c r="AS322" s="263">
        <f>AS323+AS336+AS337+AS338</f>
        <v>5947.6281900000004</v>
      </c>
      <c r="AT322" s="253">
        <f>AT323+AT336+AT337+AT338</f>
        <v>23987.055469899999</v>
      </c>
      <c r="AU322" s="262">
        <f>AU323</f>
        <v>13010.045503769999</v>
      </c>
      <c r="AV322" s="263">
        <f>AV323+AV336+AV337+AV338</f>
        <v>34929.920525970003</v>
      </c>
      <c r="AW322" s="253">
        <f>AW323+AW336+AW337+AW338</f>
        <v>7640.7128282100002</v>
      </c>
      <c r="AX322" s="262">
        <f>AX323</f>
        <v>18766.87</v>
      </c>
      <c r="AY322" s="263">
        <f>AY323+AY336+AY337+AY338</f>
        <v>10524.1954532</v>
      </c>
      <c r="AZ322" s="253">
        <f>AZ323+AZ336+AZ337+AZ338</f>
        <v>24429.283981094999</v>
      </c>
      <c r="BA322" s="262">
        <f>BA323</f>
        <v>25440.01</v>
      </c>
      <c r="BB322" s="263">
        <f>BB323+BB336+BB337+BB338</f>
        <v>38497.870243949998</v>
      </c>
      <c r="BC322" s="253">
        <f>BC323+BC336+BC337+BC338</f>
        <v>19271.786583599998</v>
      </c>
      <c r="BD322" s="262">
        <v>23298.99</v>
      </c>
      <c r="BE322" s="254">
        <f>BE323+BE336+BE337+BE338</f>
        <v>16513.632525000001</v>
      </c>
      <c r="BF322" s="264">
        <f>BF323+BF336+BF337+BF338</f>
        <v>2919.7215974999999</v>
      </c>
      <c r="BG322" s="265">
        <f>BG323</f>
        <v>3535.2288360000002</v>
      </c>
      <c r="BH322" s="266">
        <f>BH323+BH336+BH337+BH338</f>
        <v>3908.73398688</v>
      </c>
      <c r="BI322" s="267">
        <f>BI323+BI336+BI337+BI338</f>
        <v>3031.9595393099999</v>
      </c>
      <c r="BJ322" s="265">
        <f>BJ323</f>
        <v>5651.6379152000009</v>
      </c>
      <c r="BK322" s="268">
        <f>BK323+BK336+BK337+BK338</f>
        <v>4069.6074521999999</v>
      </c>
      <c r="BL322" s="170"/>
      <c r="BM322" s="166"/>
      <c r="BN322" s="163">
        <f t="shared" si="57"/>
        <v>310756.69045888801</v>
      </c>
      <c r="BO322" s="164">
        <f t="shared" si="57"/>
        <v>349265.10952554201</v>
      </c>
      <c r="BP322" s="165">
        <f t="shared" si="57"/>
        <v>432885.94704870571</v>
      </c>
    </row>
    <row r="323" spans="1:68" ht="35.25" customHeight="1" outlineLevel="3" x14ac:dyDescent="0.25">
      <c r="C323" s="10" t="s">
        <v>83</v>
      </c>
      <c r="D323" s="10" t="s">
        <v>84</v>
      </c>
      <c r="E323" s="10" t="s">
        <v>73</v>
      </c>
      <c r="F323" s="10" t="s">
        <v>74</v>
      </c>
      <c r="G323" s="10" t="s">
        <v>406</v>
      </c>
      <c r="H323" s="10" t="s">
        <v>73</v>
      </c>
      <c r="I323" s="10" t="s">
        <v>73</v>
      </c>
      <c r="J323" s="10" t="s">
        <v>73</v>
      </c>
      <c r="K323" s="12" t="s">
        <v>73</v>
      </c>
      <c r="L323" s="10" t="s">
        <v>407</v>
      </c>
      <c r="M323" s="5" t="str">
        <f t="array" ref="M323">Y96</f>
        <v>1ХВС::1.1</v>
      </c>
      <c r="Y323" s="10">
        <v>1</v>
      </c>
      <c r="AB323" s="29" t="str">
        <f>AB322&amp;".1"</f>
        <v>3.1.2.1</v>
      </c>
      <c r="AC323" s="87" t="s">
        <v>406</v>
      </c>
      <c r="AD323" s="51" t="s">
        <v>111</v>
      </c>
      <c r="AE323" s="72">
        <f>AE324*AE325</f>
        <v>205589.16663805299</v>
      </c>
      <c r="AF323" s="73">
        <f>AF324*AF325</f>
        <v>234492.69785600001</v>
      </c>
      <c r="AG323" s="74">
        <f>AG324*AG325</f>
        <v>292494.65916802565</v>
      </c>
      <c r="AH323" s="72">
        <f>AH324*AH325</f>
        <v>938.78352919999998</v>
      </c>
      <c r="AI323" s="73">
        <v>949.27</v>
      </c>
      <c r="AJ323" s="74">
        <f t="shared" ref="AJ323:AW323" si="58">AJ324*AJ325</f>
        <v>1259.7694851000001</v>
      </c>
      <c r="AK323" s="72">
        <f t="shared" si="58"/>
        <v>5383.0394308199993</v>
      </c>
      <c r="AL323" s="73">
        <f t="shared" si="58"/>
        <v>5044.2398423999994</v>
      </c>
      <c r="AM323" s="74">
        <f t="shared" si="58"/>
        <v>5773.1806944</v>
      </c>
      <c r="AN323" s="72">
        <f t="shared" si="58"/>
        <v>13798.973562079998</v>
      </c>
      <c r="AO323" s="73">
        <f t="shared" si="58"/>
        <v>11672.639376972</v>
      </c>
      <c r="AP323" s="138">
        <f t="shared" si="58"/>
        <v>18966.749323979999</v>
      </c>
      <c r="AQ323" s="72">
        <f t="shared" si="58"/>
        <v>3766.2072991199998</v>
      </c>
      <c r="AR323" s="73">
        <f t="shared" si="58"/>
        <v>7403.4801952000007</v>
      </c>
      <c r="AS323" s="138">
        <f t="shared" si="58"/>
        <v>5947.6281900000004</v>
      </c>
      <c r="AT323" s="72">
        <f t="shared" si="58"/>
        <v>23987.055469899999</v>
      </c>
      <c r="AU323" s="73">
        <f t="shared" si="58"/>
        <v>13010.045503769999</v>
      </c>
      <c r="AV323" s="138">
        <f t="shared" si="58"/>
        <v>34929.920525970003</v>
      </c>
      <c r="AW323" s="72">
        <f t="shared" si="58"/>
        <v>7640.7128282100002</v>
      </c>
      <c r="AX323" s="73">
        <v>18766.87</v>
      </c>
      <c r="AY323" s="138">
        <f>AY324*AY325</f>
        <v>10524.1954532</v>
      </c>
      <c r="AZ323" s="72">
        <f>AZ324*AZ325</f>
        <v>24429.283981094999</v>
      </c>
      <c r="BA323" s="73">
        <v>25440.01</v>
      </c>
      <c r="BB323" s="138">
        <f t="shared" ref="BB323:BK323" si="59">BB324*BB325</f>
        <v>38497.870243949998</v>
      </c>
      <c r="BC323" s="72">
        <f t="shared" si="59"/>
        <v>19271.786583599998</v>
      </c>
      <c r="BD323" s="73">
        <f t="shared" si="59"/>
        <v>23298.968327400002</v>
      </c>
      <c r="BE323" s="74">
        <f t="shared" si="59"/>
        <v>16513.632525000001</v>
      </c>
      <c r="BF323" s="139">
        <f t="shared" si="59"/>
        <v>2919.7215974999999</v>
      </c>
      <c r="BG323" s="140">
        <f t="shared" si="59"/>
        <v>3535.2288360000002</v>
      </c>
      <c r="BH323" s="141">
        <f t="shared" si="59"/>
        <v>3908.73398688</v>
      </c>
      <c r="BI323" s="142">
        <f t="shared" si="59"/>
        <v>3031.9595393099999</v>
      </c>
      <c r="BJ323" s="140">
        <f t="shared" si="59"/>
        <v>5651.6379152000009</v>
      </c>
      <c r="BK323" s="143">
        <f t="shared" si="59"/>
        <v>4069.6074521999999</v>
      </c>
      <c r="BN323" s="125">
        <f t="shared" si="57"/>
        <v>310756.69045888801</v>
      </c>
      <c r="BO323" s="126">
        <f t="shared" si="57"/>
        <v>349265.08785294206</v>
      </c>
      <c r="BP323" s="127">
        <f t="shared" si="57"/>
        <v>432885.94704870571</v>
      </c>
    </row>
    <row r="324" spans="1:68" ht="19.5" customHeight="1" outlineLevel="3" x14ac:dyDescent="0.25">
      <c r="C324" s="10" t="s">
        <v>408</v>
      </c>
      <c r="D324" s="10" t="s">
        <v>409</v>
      </c>
      <c r="E324" s="10" t="s">
        <v>73</v>
      </c>
      <c r="F324" s="10" t="s">
        <v>74</v>
      </c>
      <c r="G324" s="10" t="s">
        <v>73</v>
      </c>
      <c r="H324" s="10" t="s">
        <v>73</v>
      </c>
      <c r="I324" s="10" t="s">
        <v>73</v>
      </c>
      <c r="J324" s="10" t="s">
        <v>73</v>
      </c>
      <c r="K324" s="12" t="s">
        <v>73</v>
      </c>
      <c r="L324" s="10" t="s">
        <v>407</v>
      </c>
      <c r="M324" s="5" t="str">
        <f t="array" ref="M324">Y96</f>
        <v>1ХВС::1.1</v>
      </c>
      <c r="AB324" s="29" t="str">
        <f>AB323&amp;".1"</f>
        <v>3.1.2.1.1</v>
      </c>
      <c r="AC324" s="137" t="s">
        <v>410</v>
      </c>
      <c r="AD324" s="51" t="s">
        <v>411</v>
      </c>
      <c r="AE324" s="269">
        <v>7.0216545999999997</v>
      </c>
      <c r="AF324" s="270">
        <v>7.5341440000000004</v>
      </c>
      <c r="AG324" s="271">
        <v>9.6080608000000005</v>
      </c>
      <c r="AH324" s="269">
        <v>7.59964</v>
      </c>
      <c r="AI324" s="270">
        <v>8.6300000000000008</v>
      </c>
      <c r="AJ324" s="271">
        <v>11.5059</v>
      </c>
      <c r="AK324" s="269">
        <v>8.3274899999999992</v>
      </c>
      <c r="AL324" s="270">
        <v>10.250019999999999</v>
      </c>
      <c r="AM324" s="271">
        <v>11.39616</v>
      </c>
      <c r="AN324" s="269">
        <v>7.6342699999999999</v>
      </c>
      <c r="AO324" s="270">
        <v>8.6322349999999997</v>
      </c>
      <c r="AP324" s="272">
        <v>10.27178</v>
      </c>
      <c r="AQ324" s="269">
        <v>7.8894599999999997</v>
      </c>
      <c r="AR324" s="270">
        <v>8.4599600000000006</v>
      </c>
      <c r="AS324" s="272">
        <v>11.0274</v>
      </c>
      <c r="AT324" s="269">
        <v>8.4512199999999993</v>
      </c>
      <c r="AU324" s="270">
        <v>10.406129999999999</v>
      </c>
      <c r="AV324" s="272">
        <v>13.074870000000001</v>
      </c>
      <c r="AW324" s="269">
        <v>10.225985</v>
      </c>
      <c r="AX324" s="270">
        <f>AX323/AX325</f>
        <v>11.723541887261561</v>
      </c>
      <c r="AY324" s="272">
        <v>13.86788</v>
      </c>
      <c r="AZ324" s="269">
        <v>8.8445099999999996</v>
      </c>
      <c r="BA324" s="270">
        <f>BA323/BA325</f>
        <v>9.3570041415025624</v>
      </c>
      <c r="BB324" s="272">
        <f>12.268085-1.775772</f>
        <v>10.492312999999999</v>
      </c>
      <c r="BC324" s="269">
        <v>7.5243500000000001</v>
      </c>
      <c r="BD324" s="270">
        <v>4.7439900000000002</v>
      </c>
      <c r="BE324" s="271">
        <v>5.3997000000000002</v>
      </c>
      <c r="BF324" s="273">
        <v>9.9712499999999995</v>
      </c>
      <c r="BG324" s="274">
        <v>11.54172</v>
      </c>
      <c r="BH324" s="275">
        <v>13.38021</v>
      </c>
      <c r="BI324" s="276">
        <v>7.2428699999999999</v>
      </c>
      <c r="BJ324" s="274">
        <v>8.8612000000000002</v>
      </c>
      <c r="BK324" s="277">
        <v>5.2004440000000001</v>
      </c>
      <c r="BN324" s="125">
        <f>BN323/BN325</f>
        <v>7.4070146901568981</v>
      </c>
      <c r="BO324" s="126">
        <f>BO323/BO325</f>
        <v>7.696684488247084</v>
      </c>
      <c r="BP324" s="127">
        <f>BP323/BP325</f>
        <v>9.6892238265391697</v>
      </c>
    </row>
    <row r="325" spans="1:68" ht="29.25" customHeight="1" outlineLevel="3" x14ac:dyDescent="0.25">
      <c r="C325" s="10" t="s">
        <v>412</v>
      </c>
      <c r="D325" s="10" t="s">
        <v>413</v>
      </c>
      <c r="E325" s="10" t="s">
        <v>73</v>
      </c>
      <c r="F325" s="10" t="s">
        <v>74</v>
      </c>
      <c r="G325" s="10" t="s">
        <v>73</v>
      </c>
      <c r="H325" s="10" t="s">
        <v>73</v>
      </c>
      <c r="I325" s="10" t="s">
        <v>73</v>
      </c>
      <c r="J325" s="10" t="s">
        <v>73</v>
      </c>
      <c r="K325" s="12" t="s">
        <v>73</v>
      </c>
      <c r="L325" s="10" t="s">
        <v>407</v>
      </c>
      <c r="M325" s="5" t="str">
        <f t="array" ref="M325">Y96</f>
        <v>1ХВС::1.1</v>
      </c>
      <c r="AB325" s="29" t="str">
        <f>AB324&amp;".2"</f>
        <v>3.1.2.1.1.2</v>
      </c>
      <c r="AC325" s="137" t="s">
        <v>414</v>
      </c>
      <c r="AD325" s="51" t="s">
        <v>415</v>
      </c>
      <c r="AE325" s="66">
        <v>29279.305</v>
      </c>
      <c r="AF325" s="91">
        <v>31124</v>
      </c>
      <c r="AG325" s="68">
        <v>30442.632000000001</v>
      </c>
      <c r="AH325" s="66">
        <v>123.53</v>
      </c>
      <c r="AI325" s="91">
        <f>AI323/AI324</f>
        <v>109.99652375434529</v>
      </c>
      <c r="AJ325" s="68">
        <v>109.489</v>
      </c>
      <c r="AK325" s="66">
        <v>646.41800000000001</v>
      </c>
      <c r="AL325" s="91">
        <v>492.12</v>
      </c>
      <c r="AM325" s="68">
        <v>506.59</v>
      </c>
      <c r="AN325" s="66">
        <v>1807.5039999999999</v>
      </c>
      <c r="AO325" s="278">
        <v>1352.2152000000001</v>
      </c>
      <c r="AP325" s="119">
        <v>1846.491</v>
      </c>
      <c r="AQ325" s="66">
        <v>477.37200000000001</v>
      </c>
      <c r="AR325" s="91">
        <v>875.12</v>
      </c>
      <c r="AS325" s="119">
        <v>539.35</v>
      </c>
      <c r="AT325" s="66">
        <v>2838.2950000000001</v>
      </c>
      <c r="AU325" s="91">
        <v>1250.229</v>
      </c>
      <c r="AV325" s="119">
        <v>2671.5309999999999</v>
      </c>
      <c r="AW325" s="66">
        <v>747.18600000000004</v>
      </c>
      <c r="AX325" s="91">
        <v>1600.7850000000001</v>
      </c>
      <c r="AY325" s="119">
        <v>758.89</v>
      </c>
      <c r="AZ325" s="66">
        <v>2762.0844999999999</v>
      </c>
      <c r="BA325" s="91">
        <v>2718.82</v>
      </c>
      <c r="BB325" s="119">
        <v>3669.15</v>
      </c>
      <c r="BC325" s="66">
        <v>2561.2559999999999</v>
      </c>
      <c r="BD325" s="91">
        <v>4911.26</v>
      </c>
      <c r="BE325" s="68">
        <v>3058.25</v>
      </c>
      <c r="BF325" s="120">
        <v>292.81400000000002</v>
      </c>
      <c r="BG325" s="279">
        <v>306.3</v>
      </c>
      <c r="BH325" s="122">
        <v>292.12799999999999</v>
      </c>
      <c r="BI325" s="123">
        <v>418.613</v>
      </c>
      <c r="BJ325" s="279">
        <v>637.79600000000005</v>
      </c>
      <c r="BK325" s="124">
        <v>782.55</v>
      </c>
      <c r="BN325" s="125">
        <f t="shared" ref="BN325:BN356" si="60">AE325+AH325+AK325+AN325+AQ325+AT325+AW325+AZ325+BC325+BF325+BI325</f>
        <v>41954.377499999995</v>
      </c>
      <c r="BO325" s="126">
        <f t="shared" ref="BO325:BO356" si="61">AF325+AI325+AL325+AO325+AR325+AU325+AX325+BA325+BD325+BG325+BJ325</f>
        <v>45378.641723754357</v>
      </c>
      <c r="BP325" s="127">
        <f t="shared" ref="BP325:BP356" si="62">AG325+AJ325+AM325+AP325+AS325+AV325+AY325+BB325+BE325+BH325+BK325</f>
        <v>44677.051000000007</v>
      </c>
    </row>
    <row r="326" spans="1:68" ht="14.25" hidden="1" customHeight="1" outlineLevel="3" x14ac:dyDescent="0.25">
      <c r="B326" s="10" t="b">
        <f>$AD$36="да"</f>
        <v>0</v>
      </c>
      <c r="C326" s="11" t="s">
        <v>412</v>
      </c>
      <c r="D326" s="10" t="s">
        <v>413</v>
      </c>
      <c r="E326" s="10" t="s">
        <v>73</v>
      </c>
      <c r="F326" s="10" t="s">
        <v>74</v>
      </c>
      <c r="G326" s="10" t="s">
        <v>73</v>
      </c>
      <c r="H326" s="10" t="s">
        <v>73</v>
      </c>
      <c r="I326" s="10" t="s">
        <v>73</v>
      </c>
      <c r="J326" s="11" t="s">
        <v>416</v>
      </c>
      <c r="K326" s="12" t="s">
        <v>73</v>
      </c>
      <c r="L326" s="10" t="s">
        <v>417</v>
      </c>
      <c r="M326" s="5" t="str">
        <f t="array" ref="M326">Y96</f>
        <v>1ХВС::1.1</v>
      </c>
      <c r="AB326" s="29" t="str">
        <f t="array" ref="AB326">IF(A326,AB325&amp;".1",AB325)</f>
        <v>3.1.2.1.1.2</v>
      </c>
      <c r="AC326" s="280" t="s">
        <v>418</v>
      </c>
      <c r="AD326" s="51" t="s">
        <v>415</v>
      </c>
      <c r="AE326" s="66">
        <f t="array" ref="AE326">[1]ЭЭ!AO99</f>
        <v>0</v>
      </c>
      <c r="AF326" s="67">
        <f>IF($AD$37="да",AF329+AF332,AF328*AF327)</f>
        <v>31124</v>
      </c>
      <c r="AG326" s="68">
        <f t="array" ref="AG326">[1]ЭЭ!BJ99</f>
        <v>0</v>
      </c>
      <c r="AH326" s="66"/>
      <c r="AI326" s="67"/>
      <c r="AJ326" s="68"/>
      <c r="AK326" s="66"/>
      <c r="AL326" s="67"/>
      <c r="AM326" s="68"/>
      <c r="AN326" s="66"/>
      <c r="AO326" s="67"/>
      <c r="AP326" s="119"/>
      <c r="AQ326" s="66"/>
      <c r="AR326" s="67"/>
      <c r="AS326" s="119"/>
      <c r="AT326" s="66"/>
      <c r="AU326" s="67"/>
      <c r="AV326" s="119"/>
      <c r="AW326" s="66"/>
      <c r="AX326" s="67"/>
      <c r="AY326" s="119"/>
      <c r="AZ326" s="66"/>
      <c r="BA326" s="67"/>
      <c r="BB326" s="119"/>
      <c r="BC326" s="66"/>
      <c r="BD326" s="67"/>
      <c r="BE326" s="68"/>
      <c r="BF326" s="120"/>
      <c r="BG326" s="121"/>
      <c r="BH326" s="122"/>
      <c r="BI326" s="123"/>
      <c r="BJ326" s="121"/>
      <c r="BK326" s="124"/>
      <c r="BN326" s="125">
        <f t="shared" si="60"/>
        <v>0</v>
      </c>
      <c r="BO326" s="126">
        <f t="shared" si="61"/>
        <v>31124</v>
      </c>
      <c r="BP326" s="127">
        <f t="shared" si="62"/>
        <v>0</v>
      </c>
    </row>
    <row r="327" spans="1:68" ht="14.25" hidden="1" customHeight="1" outlineLevel="3" x14ac:dyDescent="0.25">
      <c r="B327" s="10" t="b">
        <f>$AD$37="нет"</f>
        <v>0</v>
      </c>
      <c r="C327" s="10" t="s">
        <v>419</v>
      </c>
      <c r="D327" s="10" t="s">
        <v>420</v>
      </c>
      <c r="E327" s="10" t="s">
        <v>73</v>
      </c>
      <c r="F327" s="10" t="s">
        <v>74</v>
      </c>
      <c r="G327" s="10" t="s">
        <v>73</v>
      </c>
      <c r="H327" s="10" t="s">
        <v>73</v>
      </c>
      <c r="I327" s="10" t="s">
        <v>73</v>
      </c>
      <c r="J327" s="10" t="s">
        <v>73</v>
      </c>
      <c r="K327" s="12" t="s">
        <v>73</v>
      </c>
      <c r="L327" s="10" t="s">
        <v>417</v>
      </c>
      <c r="M327" s="5" t="str">
        <f t="array" ref="M327">Y96</f>
        <v>1ХВС::1.1</v>
      </c>
      <c r="AB327" s="29" t="str">
        <f>IF(AB326="",AB325&amp;".1",AB326&amp;".1")</f>
        <v>3.1.2.1.1.2.1</v>
      </c>
      <c r="AC327" s="281" t="s">
        <v>421</v>
      </c>
      <c r="AD327" s="51" t="s">
        <v>422</v>
      </c>
      <c r="AE327" s="282">
        <f>IF(AE328=0,0,IF($AD$36="нет",AE325/AE328,AE326/AE328))</f>
        <v>0.58139993904289966</v>
      </c>
      <c r="AF327" s="283">
        <v>0.6698393279</v>
      </c>
      <c r="AG327" s="284">
        <f t="array" ref="AG327">[1]ЭЭ!BJ103</f>
        <v>0.59717542210815799</v>
      </c>
      <c r="AH327" s="282"/>
      <c r="AI327" s="283"/>
      <c r="AJ327" s="284"/>
      <c r="AK327" s="282"/>
      <c r="AL327" s="283"/>
      <c r="AM327" s="284"/>
      <c r="AN327" s="282"/>
      <c r="AO327" s="283"/>
      <c r="AP327" s="285"/>
      <c r="AQ327" s="282"/>
      <c r="AR327" s="283"/>
      <c r="AS327" s="285"/>
      <c r="AT327" s="282"/>
      <c r="AU327" s="283"/>
      <c r="AV327" s="285"/>
      <c r="AW327" s="282"/>
      <c r="AX327" s="283"/>
      <c r="AY327" s="285"/>
      <c r="AZ327" s="282"/>
      <c r="BA327" s="283"/>
      <c r="BB327" s="285"/>
      <c r="BC327" s="282"/>
      <c r="BD327" s="283"/>
      <c r="BE327" s="284"/>
      <c r="BF327" s="286"/>
      <c r="BG327" s="287"/>
      <c r="BH327" s="288"/>
      <c r="BI327" s="289"/>
      <c r="BJ327" s="287"/>
      <c r="BK327" s="290"/>
      <c r="BN327" s="125">
        <f t="shared" si="60"/>
        <v>0.58139993904289966</v>
      </c>
      <c r="BO327" s="126">
        <f t="shared" si="61"/>
        <v>0.6698393279</v>
      </c>
      <c r="BP327" s="127">
        <f t="shared" si="62"/>
        <v>0.59717542210815799</v>
      </c>
    </row>
    <row r="328" spans="1:68" ht="14.25" hidden="1" customHeight="1" outlineLevel="3" x14ac:dyDescent="0.25">
      <c r="B328" s="10" t="b">
        <f t="array" ref="B328">B327</f>
        <v>0</v>
      </c>
      <c r="C328" s="10" t="s">
        <v>423</v>
      </c>
      <c r="D328" s="10" t="s">
        <v>424</v>
      </c>
      <c r="E328" s="10" t="s">
        <v>73</v>
      </c>
      <c r="F328" s="10" t="s">
        <v>74</v>
      </c>
      <c r="G328" s="10" t="s">
        <v>73</v>
      </c>
      <c r="H328" s="10" t="s">
        <v>73</v>
      </c>
      <c r="I328" s="10" t="s">
        <v>73</v>
      </c>
      <c r="J328" s="10" t="s">
        <v>73</v>
      </c>
      <c r="K328" s="12" t="s">
        <v>73</v>
      </c>
      <c r="L328" s="10" t="s">
        <v>417</v>
      </c>
      <c r="M328" s="5" t="str">
        <f t="array" ref="M328">Y96</f>
        <v>1ХВС::1.1</v>
      </c>
      <c r="AB328" s="29" t="str">
        <f>IF(AB326="",AB325&amp;".2",AB326&amp;".2")</f>
        <v>3.1.2.1.1.2.2</v>
      </c>
      <c r="AC328" s="281" t="s">
        <v>425</v>
      </c>
      <c r="AD328" s="51" t="s">
        <v>137</v>
      </c>
      <c r="AE328" s="66">
        <f t="array" ref="AE328">[1]ЭЭ!AO102</f>
        <v>50360.006999999998</v>
      </c>
      <c r="AF328" s="67">
        <v>49835.03</v>
      </c>
      <c r="AG328" s="68">
        <f t="array" ref="AG328">[1]ЭЭ!BJ102</f>
        <v>50977.704160246503</v>
      </c>
      <c r="AH328" s="66"/>
      <c r="AI328" s="67"/>
      <c r="AJ328" s="68"/>
      <c r="AK328" s="66"/>
      <c r="AL328" s="67"/>
      <c r="AM328" s="68"/>
      <c r="AN328" s="66"/>
      <c r="AO328" s="67"/>
      <c r="AP328" s="119"/>
      <c r="AQ328" s="66"/>
      <c r="AR328" s="67"/>
      <c r="AS328" s="119"/>
      <c r="AT328" s="66"/>
      <c r="AU328" s="67"/>
      <c r="AV328" s="119"/>
      <c r="AW328" s="66"/>
      <c r="AX328" s="67"/>
      <c r="AY328" s="119"/>
      <c r="AZ328" s="66"/>
      <c r="BA328" s="67"/>
      <c r="BB328" s="119"/>
      <c r="BC328" s="66"/>
      <c r="BD328" s="67"/>
      <c r="BE328" s="68"/>
      <c r="BF328" s="120"/>
      <c r="BG328" s="121"/>
      <c r="BH328" s="122"/>
      <c r="BI328" s="123"/>
      <c r="BJ328" s="121"/>
      <c r="BK328" s="124"/>
      <c r="BN328" s="125">
        <f t="shared" si="60"/>
        <v>50360.006999999998</v>
      </c>
      <c r="BO328" s="126">
        <f t="shared" si="61"/>
        <v>49835.03</v>
      </c>
      <c r="BP328" s="127">
        <f t="shared" si="62"/>
        <v>50977.704160246503</v>
      </c>
    </row>
    <row r="329" spans="1:68" ht="30" customHeight="1" outlineLevel="3" x14ac:dyDescent="0.25">
      <c r="B329" s="10" t="b">
        <f>NOT(B328)</f>
        <v>1</v>
      </c>
      <c r="C329" s="10" t="s">
        <v>426</v>
      </c>
      <c r="D329" s="10" t="s">
        <v>427</v>
      </c>
      <c r="E329" s="10" t="s">
        <v>73</v>
      </c>
      <c r="F329" s="10" t="s">
        <v>74</v>
      </c>
      <c r="G329" s="10" t="s">
        <v>73</v>
      </c>
      <c r="H329" s="10" t="s">
        <v>73</v>
      </c>
      <c r="I329" s="10" t="s">
        <v>428</v>
      </c>
      <c r="J329" s="10" t="s">
        <v>73</v>
      </c>
      <c r="K329" s="12" t="s">
        <v>73</v>
      </c>
      <c r="L329" s="10" t="s">
        <v>429</v>
      </c>
      <c r="M329" s="5" t="str">
        <f t="array" ref="M329">Y96</f>
        <v>1ХВС::1.1</v>
      </c>
      <c r="AB329" s="29" t="str">
        <f>AB326&amp;".1"</f>
        <v>3.1.2.1.1.2.1</v>
      </c>
      <c r="AC329" s="291" t="s">
        <v>430</v>
      </c>
      <c r="AD329" s="51" t="s">
        <v>415</v>
      </c>
      <c r="AE329" s="66"/>
      <c r="AF329" s="67">
        <v>16595.064999999999</v>
      </c>
      <c r="AG329" s="68">
        <v>13619.99</v>
      </c>
      <c r="AH329" s="66">
        <v>56.084000000000003</v>
      </c>
      <c r="AI329" s="67"/>
      <c r="AJ329" s="68">
        <v>56.84</v>
      </c>
      <c r="AK329" s="66"/>
      <c r="AL329" s="67"/>
      <c r="AM329" s="68"/>
      <c r="AN329" s="66"/>
      <c r="AO329" s="67"/>
      <c r="AP329" s="119"/>
      <c r="AQ329" s="66"/>
      <c r="AR329" s="67"/>
      <c r="AS329" s="119"/>
      <c r="AT329" s="66"/>
      <c r="AU329" s="67"/>
      <c r="AV329" s="119"/>
      <c r="AW329" s="66">
        <v>0</v>
      </c>
      <c r="AX329" s="67"/>
      <c r="AY329" s="119">
        <v>37.866</v>
      </c>
      <c r="AZ329" s="66">
        <v>2762.085</v>
      </c>
      <c r="BA329" s="67">
        <v>2718.82</v>
      </c>
      <c r="BB329" s="119">
        <f>BB325</f>
        <v>3669.15</v>
      </c>
      <c r="BC329" s="66">
        <v>852.29399999999998</v>
      </c>
      <c r="BD329" s="67">
        <v>2619.9589999999998</v>
      </c>
      <c r="BE329" s="68"/>
      <c r="BF329" s="120"/>
      <c r="BG329" s="121"/>
      <c r="BH329" s="122"/>
      <c r="BI329" s="123">
        <v>155.46700000000001</v>
      </c>
      <c r="BJ329" s="121">
        <v>235.98500000000001</v>
      </c>
      <c r="BK329" s="124">
        <v>426.15</v>
      </c>
      <c r="BN329" s="125">
        <f t="shared" si="60"/>
        <v>3825.93</v>
      </c>
      <c r="BO329" s="126">
        <f t="shared" si="61"/>
        <v>22169.828999999998</v>
      </c>
      <c r="BP329" s="127">
        <f t="shared" si="62"/>
        <v>17809.996000000003</v>
      </c>
    </row>
    <row r="330" spans="1:68" ht="30" customHeight="1" outlineLevel="3" x14ac:dyDescent="0.25">
      <c r="B330" s="10" t="b">
        <f t="array" ref="B330">B329</f>
        <v>1</v>
      </c>
      <c r="C330" s="10" t="s">
        <v>426</v>
      </c>
      <c r="D330" s="10" t="s">
        <v>427</v>
      </c>
      <c r="E330" s="10" t="s">
        <v>73</v>
      </c>
      <c r="F330" s="10" t="s">
        <v>74</v>
      </c>
      <c r="G330" s="10" t="s">
        <v>73</v>
      </c>
      <c r="H330" s="10" t="s">
        <v>73</v>
      </c>
      <c r="I330" s="10" t="s">
        <v>431</v>
      </c>
      <c r="J330" s="10" t="s">
        <v>73</v>
      </c>
      <c r="K330" s="12" t="s">
        <v>73</v>
      </c>
      <c r="L330" s="10" t="s">
        <v>429</v>
      </c>
      <c r="M330" s="5" t="str">
        <f t="array" ref="M330">Y96</f>
        <v>1ХВС::1.1</v>
      </c>
      <c r="AB330" s="65" t="str">
        <f>AB329&amp;".1"</f>
        <v>3.1.2.1.1.2.1.1</v>
      </c>
      <c r="AC330" s="292" t="s">
        <v>432</v>
      </c>
      <c r="AD330" s="51" t="s">
        <v>422</v>
      </c>
      <c r="AE330" s="282"/>
      <c r="AF330" s="283">
        <v>0.32379999999999998</v>
      </c>
      <c r="AG330" s="284">
        <v>0.25659999999999999</v>
      </c>
      <c r="AH330" s="282">
        <f>AH329/AH331</f>
        <v>0.36855421132526794</v>
      </c>
      <c r="AI330" s="283"/>
      <c r="AJ330" s="284">
        <f>AJ329/AJ331</f>
        <v>0.32784615917034854</v>
      </c>
      <c r="AK330" s="282"/>
      <c r="AL330" s="283"/>
      <c r="AM330" s="284"/>
      <c r="AN330" s="282"/>
      <c r="AO330" s="283"/>
      <c r="AP330" s="285"/>
      <c r="AQ330" s="282"/>
      <c r="AR330" s="283"/>
      <c r="AS330" s="285"/>
      <c r="AT330" s="282"/>
      <c r="AU330" s="283"/>
      <c r="AV330" s="285"/>
      <c r="AW330" s="282">
        <v>0</v>
      </c>
      <c r="AX330" s="283"/>
      <c r="AY330" s="285">
        <v>5.04E-2</v>
      </c>
      <c r="AZ330" s="282">
        <f>AZ329/AZ331</f>
        <v>1.2820431295371419</v>
      </c>
      <c r="BA330" s="283">
        <f>BA329/BA331</f>
        <v>0.77000110452487025</v>
      </c>
      <c r="BB330" s="285">
        <f>BB329/BB331</f>
        <v>0.76999997901421369</v>
      </c>
      <c r="BC330" s="282">
        <v>0.2414</v>
      </c>
      <c r="BD330" s="283">
        <v>0.74539999999999995</v>
      </c>
      <c r="BE330" s="284"/>
      <c r="BF330" s="286"/>
      <c r="BG330" s="287"/>
      <c r="BH330" s="288"/>
      <c r="BI330" s="289">
        <v>0.34050000000000002</v>
      </c>
      <c r="BJ330" s="287">
        <v>0.94699999999999995</v>
      </c>
      <c r="BK330" s="290">
        <v>0.94699999999999995</v>
      </c>
      <c r="BN330" s="125">
        <f t="shared" si="60"/>
        <v>2.2324973408624098</v>
      </c>
      <c r="BO330" s="126">
        <f t="shared" si="61"/>
        <v>2.7862011045248702</v>
      </c>
      <c r="BP330" s="127">
        <f t="shared" si="62"/>
        <v>2.3518461381845621</v>
      </c>
    </row>
    <row r="331" spans="1:68" ht="19.5" customHeight="1" outlineLevel="3" x14ac:dyDescent="0.25">
      <c r="B331" s="10" t="b">
        <f t="array" ref="B331">B330</f>
        <v>1</v>
      </c>
      <c r="C331" s="10" t="s">
        <v>426</v>
      </c>
      <c r="D331" s="10" t="s">
        <v>427</v>
      </c>
      <c r="E331" s="10" t="s">
        <v>73</v>
      </c>
      <c r="F331" s="10" t="s">
        <v>74</v>
      </c>
      <c r="G331" s="10" t="s">
        <v>73</v>
      </c>
      <c r="H331" s="10" t="s">
        <v>73</v>
      </c>
      <c r="I331" s="10" t="s">
        <v>433</v>
      </c>
      <c r="J331" s="10" t="s">
        <v>73</v>
      </c>
      <c r="K331" s="12" t="s">
        <v>73</v>
      </c>
      <c r="L331" s="10" t="s">
        <v>429</v>
      </c>
      <c r="M331" s="5" t="str">
        <f t="array" ref="M331">Y96</f>
        <v>1ХВС::1.1</v>
      </c>
      <c r="AB331" s="65" t="str">
        <f>AB329&amp;".2"</f>
        <v>3.1.2.1.1.2.1.2</v>
      </c>
      <c r="AC331" s="292" t="s">
        <v>425</v>
      </c>
      <c r="AD331" s="51" t="s">
        <v>137</v>
      </c>
      <c r="AE331" s="66">
        <v>52396.260999999999</v>
      </c>
      <c r="AF331" s="67">
        <v>51840.271000000001</v>
      </c>
      <c r="AG331" s="68">
        <v>53078.682999999997</v>
      </c>
      <c r="AH331" s="66">
        <v>152.173</v>
      </c>
      <c r="AI331" s="67"/>
      <c r="AJ331" s="68">
        <v>173.374</v>
      </c>
      <c r="AK331" s="66">
        <v>1151.5329999999999</v>
      </c>
      <c r="AL331" s="67">
        <v>1038</v>
      </c>
      <c r="AM331" s="68">
        <v>1346.55</v>
      </c>
      <c r="AN331" s="66"/>
      <c r="AO331" s="67"/>
      <c r="AP331" s="119"/>
      <c r="AQ331" s="66">
        <v>399.11</v>
      </c>
      <c r="AR331" s="67">
        <v>493.12</v>
      </c>
      <c r="AS331" s="119">
        <v>415.79</v>
      </c>
      <c r="AT331" s="66">
        <v>7733.2</v>
      </c>
      <c r="AU331" s="67">
        <v>7474.4679999999998</v>
      </c>
      <c r="AV331" s="119">
        <v>7474.4679999999998</v>
      </c>
      <c r="AW331" s="66">
        <v>741.82399999999996</v>
      </c>
      <c r="AX331" s="67"/>
      <c r="AY331" s="119">
        <v>751.28599999999994</v>
      </c>
      <c r="AZ331" s="66">
        <v>2154.44</v>
      </c>
      <c r="BA331" s="67">
        <v>3530.93</v>
      </c>
      <c r="BB331" s="119">
        <v>4765.13</v>
      </c>
      <c r="BC331" s="66">
        <v>3531.2759999999998</v>
      </c>
      <c r="BD331" s="67">
        <v>3514.9549999999999</v>
      </c>
      <c r="BE331" s="68">
        <v>4083.32</v>
      </c>
      <c r="BF331" s="120">
        <v>147.52199999999999</v>
      </c>
      <c r="BG331" s="121">
        <v>204.5</v>
      </c>
      <c r="BH331" s="122">
        <v>256.42399999999998</v>
      </c>
      <c r="BI331" s="123">
        <v>456.62</v>
      </c>
      <c r="BJ331" s="121">
        <v>400</v>
      </c>
      <c r="BK331" s="124">
        <v>450</v>
      </c>
      <c r="BN331" s="125">
        <f t="shared" si="60"/>
        <v>68863.959000000003</v>
      </c>
      <c r="BO331" s="126">
        <f t="shared" si="61"/>
        <v>68496.244000000006</v>
      </c>
      <c r="BP331" s="127">
        <f t="shared" si="62"/>
        <v>72795.025000000009</v>
      </c>
    </row>
    <row r="332" spans="1:68" ht="48.75" customHeight="1" outlineLevel="3" x14ac:dyDescent="0.25">
      <c r="B332" s="10" t="b">
        <f t="array" ref="B332">B331</f>
        <v>1</v>
      </c>
      <c r="C332" s="10" t="s">
        <v>426</v>
      </c>
      <c r="D332" s="10" t="s">
        <v>427</v>
      </c>
      <c r="E332" s="10" t="s">
        <v>73</v>
      </c>
      <c r="F332" s="10" t="s">
        <v>74</v>
      </c>
      <c r="G332" s="10" t="s">
        <v>73</v>
      </c>
      <c r="H332" s="10" t="s">
        <v>73</v>
      </c>
      <c r="I332" s="10" t="s">
        <v>434</v>
      </c>
      <c r="J332" s="10" t="s">
        <v>73</v>
      </c>
      <c r="K332" s="12" t="s">
        <v>73</v>
      </c>
      <c r="L332" s="10" t="s">
        <v>429</v>
      </c>
      <c r="M332" s="5" t="str">
        <f t="array" ref="M332">Y96</f>
        <v>1ХВС::1.1</v>
      </c>
      <c r="AB332" s="65" t="str">
        <f>AB326&amp;".2"</f>
        <v>3.1.2.1.1.2.2</v>
      </c>
      <c r="AC332" s="291" t="s">
        <v>435</v>
      </c>
      <c r="AD332" s="51" t="s">
        <v>415</v>
      </c>
      <c r="AE332" s="66">
        <v>29279.306</v>
      </c>
      <c r="AF332" s="67">
        <v>14528.934999999999</v>
      </c>
      <c r="AG332" s="68">
        <v>16822.642</v>
      </c>
      <c r="AH332" s="66">
        <v>67.445999999999998</v>
      </c>
      <c r="AI332" s="67"/>
      <c r="AJ332" s="68">
        <v>52.649000000000001</v>
      </c>
      <c r="AK332" s="66">
        <v>646.41800000000001</v>
      </c>
      <c r="AL332" s="67">
        <v>492.12</v>
      </c>
      <c r="AM332" s="68">
        <v>506.59</v>
      </c>
      <c r="AN332" s="66">
        <v>1807.5039999999999</v>
      </c>
      <c r="AO332" s="67"/>
      <c r="AP332" s="119">
        <v>1846.49</v>
      </c>
      <c r="AQ332" s="66">
        <v>477.37200000000001</v>
      </c>
      <c r="AR332" s="67">
        <v>875.12</v>
      </c>
      <c r="AS332" s="119">
        <v>539.35</v>
      </c>
      <c r="AT332" s="66">
        <v>2838.2950000000001</v>
      </c>
      <c r="AU332" s="67">
        <v>1250.23</v>
      </c>
      <c r="AV332" s="119">
        <v>2671.53</v>
      </c>
      <c r="AW332" s="66">
        <v>747.18600000000004</v>
      </c>
      <c r="AX332" s="67">
        <f>AX325</f>
        <v>1600.7850000000001</v>
      </c>
      <c r="AY332" s="119">
        <v>721.024</v>
      </c>
      <c r="AZ332" s="66"/>
      <c r="BA332" s="67"/>
      <c r="BB332" s="119"/>
      <c r="BC332" s="66">
        <v>1708.962</v>
      </c>
      <c r="BD332" s="67">
        <v>2291.3009999999999</v>
      </c>
      <c r="BE332" s="68">
        <v>3058.25</v>
      </c>
      <c r="BF332" s="120">
        <v>292.81400000000002</v>
      </c>
      <c r="BG332" s="121">
        <v>306.3</v>
      </c>
      <c r="BH332" s="122">
        <v>292.12799999999999</v>
      </c>
      <c r="BI332" s="123">
        <v>263.14600000000002</v>
      </c>
      <c r="BJ332" s="121">
        <v>401.81099999999998</v>
      </c>
      <c r="BK332" s="124">
        <v>356.4</v>
      </c>
      <c r="BN332" s="125">
        <f t="shared" si="60"/>
        <v>38128.449000000001</v>
      </c>
      <c r="BO332" s="126">
        <f t="shared" si="61"/>
        <v>21746.602000000003</v>
      </c>
      <c r="BP332" s="127">
        <f t="shared" si="62"/>
        <v>26867.053000000004</v>
      </c>
    </row>
    <row r="333" spans="1:68" ht="46.5" customHeight="1" outlineLevel="3" x14ac:dyDescent="0.25">
      <c r="B333" s="10" t="b">
        <f t="array" ref="B333">B332</f>
        <v>1</v>
      </c>
      <c r="C333" s="10" t="s">
        <v>426</v>
      </c>
      <c r="D333" s="10" t="s">
        <v>427</v>
      </c>
      <c r="E333" s="10" t="s">
        <v>73</v>
      </c>
      <c r="F333" s="10" t="s">
        <v>74</v>
      </c>
      <c r="G333" s="10" t="s">
        <v>73</v>
      </c>
      <c r="H333" s="10" t="s">
        <v>73</v>
      </c>
      <c r="I333" s="10" t="s">
        <v>436</v>
      </c>
      <c r="J333" s="10" t="s">
        <v>73</v>
      </c>
      <c r="K333" s="12" t="s">
        <v>73</v>
      </c>
      <c r="L333" s="10" t="s">
        <v>429</v>
      </c>
      <c r="M333" s="5" t="str">
        <f t="array" ref="M333">Y96</f>
        <v>1ХВС::1.1</v>
      </c>
      <c r="AB333" s="65" t="str">
        <f>AB332&amp;".1"</f>
        <v>3.1.2.1.1.2.2.1</v>
      </c>
      <c r="AC333" s="292" t="s">
        <v>437</v>
      </c>
      <c r="AD333" s="51" t="s">
        <v>422</v>
      </c>
      <c r="AE333" s="282">
        <f>AE332/AE334</f>
        <v>0.58139995889992635</v>
      </c>
      <c r="AF333" s="283">
        <v>0.33329999999999999</v>
      </c>
      <c r="AG333" s="284">
        <f>AG332/AG334</f>
        <v>0.32999999372274597</v>
      </c>
      <c r="AH333" s="282">
        <f>AH332/AH334</f>
        <v>0.45254837757320376</v>
      </c>
      <c r="AI333" s="283"/>
      <c r="AJ333" s="284">
        <f>AJ332/AJ334</f>
        <v>0.31457592686642966</v>
      </c>
      <c r="AK333" s="282">
        <f>AK332/AK334</f>
        <v>0.56135429900836542</v>
      </c>
      <c r="AL333" s="283">
        <f>AL332/AL334</f>
        <v>0.35937956417596545</v>
      </c>
      <c r="AM333" s="284">
        <f>AM332/AM334</f>
        <v>0.37621328580446323</v>
      </c>
      <c r="AN333" s="282">
        <f>AN332/AN334</f>
        <v>0.68930243129681612</v>
      </c>
      <c r="AO333" s="283"/>
      <c r="AP333" s="285">
        <f t="shared" ref="AP333:AW333" si="63">AP332/AP334</f>
        <v>0.7356299400815911</v>
      </c>
      <c r="AQ333" s="282">
        <f t="shared" si="63"/>
        <v>1.1960913031495077</v>
      </c>
      <c r="AR333" s="283">
        <f t="shared" si="63"/>
        <v>1.7746593121349772</v>
      </c>
      <c r="AS333" s="285">
        <f t="shared" si="63"/>
        <v>1.2971692440895644</v>
      </c>
      <c r="AT333" s="282">
        <f t="shared" si="63"/>
        <v>0.36702723322815911</v>
      </c>
      <c r="AU333" s="283">
        <f t="shared" si="63"/>
        <v>0.1672667539683092</v>
      </c>
      <c r="AV333" s="285">
        <f t="shared" si="63"/>
        <v>0.35742075556414188</v>
      </c>
      <c r="AW333" s="282">
        <f t="shared" si="63"/>
        <v>0.60806647189511642</v>
      </c>
      <c r="AX333" s="283"/>
      <c r="AY333" s="285">
        <v>0.59709999999999996</v>
      </c>
      <c r="AZ333" s="282"/>
      <c r="BA333" s="283"/>
      <c r="BB333" s="285"/>
      <c r="BC333" s="282">
        <f>BC332/BC334</f>
        <v>0.37532564451368877</v>
      </c>
      <c r="BD333" s="283">
        <f>BD332/BD334</f>
        <v>0.50953909337083547</v>
      </c>
      <c r="BE333" s="284">
        <f>BE332/BE334</f>
        <v>0.6657141072182281</v>
      </c>
      <c r="BF333" s="286">
        <f>BF332/BF334</f>
        <v>1.098450688374536</v>
      </c>
      <c r="BG333" s="287">
        <v>1.7373000000000001</v>
      </c>
      <c r="BH333" s="288">
        <f>BH332/BH334</f>
        <v>1.1392381368358657</v>
      </c>
      <c r="BI333" s="289">
        <f>BI332/BI334</f>
        <v>0.57629100784021725</v>
      </c>
      <c r="BJ333" s="287">
        <v>0.79200000000000004</v>
      </c>
      <c r="BK333" s="290">
        <f>BK332/BK334</f>
        <v>0.79199999999999993</v>
      </c>
      <c r="BN333" s="125">
        <f t="shared" si="60"/>
        <v>6.5058574157795377</v>
      </c>
      <c r="BO333" s="126">
        <f t="shared" si="61"/>
        <v>5.6734447236500873</v>
      </c>
      <c r="BP333" s="127">
        <f t="shared" si="62"/>
        <v>6.60506139018303</v>
      </c>
    </row>
    <row r="334" spans="1:68" ht="27.75" customHeight="1" outlineLevel="3" x14ac:dyDescent="0.25">
      <c r="B334" s="10" t="b">
        <f t="array" ref="B334">B333</f>
        <v>1</v>
      </c>
      <c r="C334" s="10" t="s">
        <v>426</v>
      </c>
      <c r="D334" s="10" t="s">
        <v>427</v>
      </c>
      <c r="E334" s="10" t="s">
        <v>73</v>
      </c>
      <c r="F334" s="10" t="s">
        <v>74</v>
      </c>
      <c r="G334" s="10" t="s">
        <v>73</v>
      </c>
      <c r="H334" s="10" t="s">
        <v>73</v>
      </c>
      <c r="I334" s="10" t="s">
        <v>438</v>
      </c>
      <c r="J334" s="10" t="s">
        <v>73</v>
      </c>
      <c r="K334" s="12" t="s">
        <v>73</v>
      </c>
      <c r="L334" s="10" t="s">
        <v>429</v>
      </c>
      <c r="M334" s="5" t="str">
        <f t="array" ref="M334">Y96</f>
        <v>1ХВС::1.1</v>
      </c>
      <c r="AB334" s="65" t="str">
        <f>AB332&amp;".2"</f>
        <v>3.1.2.1.1.2.2.2</v>
      </c>
      <c r="AC334" s="292" t="s">
        <v>425</v>
      </c>
      <c r="AD334" s="51" t="s">
        <v>137</v>
      </c>
      <c r="AE334" s="66">
        <v>50360.006999999998</v>
      </c>
      <c r="AF334" s="67">
        <v>49835.03</v>
      </c>
      <c r="AG334" s="68">
        <v>50977.703999999998</v>
      </c>
      <c r="AH334" s="66">
        <v>149.036</v>
      </c>
      <c r="AI334" s="67"/>
      <c r="AJ334" s="68">
        <v>167.36500000000001</v>
      </c>
      <c r="AK334" s="66">
        <v>1151.5329999999999</v>
      </c>
      <c r="AL334" s="67">
        <v>1369.36</v>
      </c>
      <c r="AM334" s="68">
        <v>1346.55</v>
      </c>
      <c r="AN334" s="66">
        <v>2622.2220000000002</v>
      </c>
      <c r="AO334" s="67"/>
      <c r="AP334" s="119">
        <v>2510.08</v>
      </c>
      <c r="AQ334" s="66">
        <v>399.11</v>
      </c>
      <c r="AR334" s="67">
        <v>493.12</v>
      </c>
      <c r="AS334" s="119">
        <v>415.79</v>
      </c>
      <c r="AT334" s="66">
        <v>7733.2</v>
      </c>
      <c r="AU334" s="67">
        <v>7474.4679999999998</v>
      </c>
      <c r="AV334" s="119">
        <v>7474.4679999999998</v>
      </c>
      <c r="AW334" s="66">
        <v>1228.79</v>
      </c>
      <c r="AX334" s="67">
        <f>AX134</f>
        <v>0</v>
      </c>
      <c r="AY334" s="119">
        <v>1207.5650000000001</v>
      </c>
      <c r="AZ334" s="66"/>
      <c r="BA334" s="67"/>
      <c r="BB334" s="119"/>
      <c r="BC334" s="66">
        <v>4553.2780000000002</v>
      </c>
      <c r="BD334" s="67">
        <v>4496.8109999999997</v>
      </c>
      <c r="BE334" s="68">
        <v>4593.9390000000003</v>
      </c>
      <c r="BF334" s="120">
        <v>266.57</v>
      </c>
      <c r="BG334" s="121">
        <v>204.5</v>
      </c>
      <c r="BH334" s="122">
        <v>256.42399999999998</v>
      </c>
      <c r="BI334" s="123">
        <v>456.62</v>
      </c>
      <c r="BJ334" s="121">
        <v>400</v>
      </c>
      <c r="BK334" s="124">
        <v>450</v>
      </c>
      <c r="BN334" s="125">
        <f t="shared" si="60"/>
        <v>68920.366000000009</v>
      </c>
      <c r="BO334" s="126">
        <f t="shared" si="61"/>
        <v>64273.289000000004</v>
      </c>
      <c r="BP334" s="127">
        <f t="shared" si="62"/>
        <v>69399.885000000009</v>
      </c>
    </row>
    <row r="335" spans="1:68" ht="15.75" hidden="1" customHeight="1" outlineLevel="3" x14ac:dyDescent="0.25">
      <c r="B335" s="10" t="b">
        <f t="array" ref="B335">B326</f>
        <v>0</v>
      </c>
      <c r="C335" s="11" t="s">
        <v>412</v>
      </c>
      <c r="D335" s="10" t="s">
        <v>413</v>
      </c>
      <c r="E335" s="10" t="s">
        <v>73</v>
      </c>
      <c r="F335" s="10" t="s">
        <v>74</v>
      </c>
      <c r="G335" s="10" t="s">
        <v>73</v>
      </c>
      <c r="H335" s="10" t="s">
        <v>73</v>
      </c>
      <c r="I335" s="10" t="s">
        <v>73</v>
      </c>
      <c r="J335" s="11" t="s">
        <v>439</v>
      </c>
      <c r="K335" s="12" t="s">
        <v>73</v>
      </c>
      <c r="L335" s="10" t="s">
        <v>417</v>
      </c>
      <c r="M335" s="5" t="str">
        <f t="array" ref="M335">Y96</f>
        <v>1ХВС::1.1</v>
      </c>
      <c r="AB335" s="29" t="str">
        <f>AB325&amp;".2"</f>
        <v>3.1.2.1.1.2.2</v>
      </c>
      <c r="AC335" s="293" t="s">
        <v>440</v>
      </c>
      <c r="AD335" s="51" t="s">
        <v>415</v>
      </c>
      <c r="AE335" s="66">
        <f>[1]ЭЭ!AO100*1</f>
        <v>0</v>
      </c>
      <c r="AF335" s="67"/>
      <c r="AG335" s="68">
        <f t="array" ref="AG335">[1]ЭЭ!BJ100</f>
        <v>0</v>
      </c>
      <c r="AH335" s="66">
        <f>[1]ЭЭ!AR118*1</f>
        <v>0</v>
      </c>
      <c r="AI335" s="67"/>
      <c r="AJ335" s="68">
        <f t="array" ref="AJ335">[1]ЭЭ!BM118</f>
        <v>0</v>
      </c>
      <c r="AK335" s="66">
        <f>[1]ЭЭ!AU100*1</f>
        <v>0</v>
      </c>
      <c r="AL335" s="67"/>
      <c r="AM335" s="68">
        <f t="array" ref="AM335">[1]ЭЭ!BP100</f>
        <v>0</v>
      </c>
      <c r="AN335" s="66">
        <f>[1]ЭЭ!AX100*1</f>
        <v>0</v>
      </c>
      <c r="AO335" s="67"/>
      <c r="AP335" s="119">
        <f t="array" ref="AP335">[1]ЭЭ!BS100</f>
        <v>0</v>
      </c>
      <c r="AQ335" s="66">
        <f>[1]ЭЭ!BA100*1</f>
        <v>0</v>
      </c>
      <c r="AR335" s="67"/>
      <c r="AS335" s="119">
        <f t="array" ref="AS335">[1]ЭЭ!BV100</f>
        <v>0</v>
      </c>
      <c r="AT335" s="66">
        <f>[1]ЭЭ!BD100*1</f>
        <v>0</v>
      </c>
      <c r="AU335" s="67"/>
      <c r="AV335" s="119">
        <f t="array" ref="AV335">[1]ЭЭ!BY100</f>
        <v>0</v>
      </c>
      <c r="AW335" s="66">
        <f>[1]ЭЭ!BG117*1</f>
        <v>0</v>
      </c>
      <c r="AX335" s="67"/>
      <c r="AY335" s="119">
        <f t="array" ref="AY335">[1]ЭЭ!CB117</f>
        <v>0</v>
      </c>
      <c r="AZ335" s="66">
        <f>[1]ЭЭ!BJ117*1</f>
        <v>10833.939764000001</v>
      </c>
      <c r="BA335" s="67"/>
      <c r="BB335" s="119" t="e">
        <f>[1]ЭЭ!CE117</f>
        <v>#REF!</v>
      </c>
      <c r="BC335" s="66">
        <f>[1]ЭЭ!BM118*1</f>
        <v>0</v>
      </c>
      <c r="BD335" s="67"/>
      <c r="BE335" s="68" t="e">
        <f>[1]ЭЭ!CH118</f>
        <v>#REF!</v>
      </c>
      <c r="BF335" s="120">
        <f>[3]ЭЭ!BP113*1</f>
        <v>0</v>
      </c>
      <c r="BG335" s="121"/>
      <c r="BH335" s="122">
        <f>[3]ЭЭ!CK113</f>
        <v>0</v>
      </c>
      <c r="BI335" s="123">
        <f>[3]ЭЭ!BS113*1</f>
        <v>0</v>
      </c>
      <c r="BJ335" s="121"/>
      <c r="BK335" s="124">
        <f>[3]ЭЭ!CN113</f>
        <v>0</v>
      </c>
      <c r="BN335" s="125">
        <f t="shared" si="60"/>
        <v>10833.939764000001</v>
      </c>
      <c r="BO335" s="126">
        <f t="shared" si="61"/>
        <v>0</v>
      </c>
      <c r="BP335" s="127" t="e">
        <f t="shared" si="62"/>
        <v>#REF!</v>
      </c>
    </row>
    <row r="336" spans="1:68" ht="29.25" hidden="1" customHeight="1" outlineLevel="3" x14ac:dyDescent="0.25">
      <c r="A336" s="10" t="b">
        <f>$AD$48="да"</f>
        <v>1</v>
      </c>
      <c r="B336" s="5" t="b">
        <f t="array" ref="B336">A336</f>
        <v>1</v>
      </c>
      <c r="C336" s="10" t="s">
        <v>83</v>
      </c>
      <c r="D336" s="10" t="s">
        <v>84</v>
      </c>
      <c r="E336" s="10" t="s">
        <v>73</v>
      </c>
      <c r="F336" s="10" t="s">
        <v>74</v>
      </c>
      <c r="G336" s="10" t="s">
        <v>441</v>
      </c>
      <c r="H336" s="10" t="s">
        <v>73</v>
      </c>
      <c r="I336" s="10" t="s">
        <v>73</v>
      </c>
      <c r="J336" s="10" t="s">
        <v>73</v>
      </c>
      <c r="K336" s="12" t="s">
        <v>73</v>
      </c>
      <c r="L336" s="10" t="s">
        <v>442</v>
      </c>
      <c r="M336" s="5" t="str">
        <f t="array" ref="M336">Y96</f>
        <v>1ХВС::1.1</v>
      </c>
      <c r="Y336" s="10">
        <f>COUNT($Y323:Y335)+1</f>
        <v>2</v>
      </c>
      <c r="AB336" s="29" t="str">
        <f>AB$322&amp;"."&amp;Y336</f>
        <v>3.1.2.2</v>
      </c>
      <c r="AC336" s="87" t="s">
        <v>443</v>
      </c>
      <c r="AD336" s="51" t="s">
        <v>111</v>
      </c>
      <c r="AE336" s="72"/>
      <c r="AF336" s="178"/>
      <c r="AG336" s="74"/>
      <c r="AH336" s="72"/>
      <c r="AI336" s="178"/>
      <c r="AJ336" s="74"/>
      <c r="AK336" s="72"/>
      <c r="AL336" s="178"/>
      <c r="AM336" s="74"/>
      <c r="AN336" s="72"/>
      <c r="AO336" s="178"/>
      <c r="AP336" s="138"/>
      <c r="AQ336" s="72"/>
      <c r="AR336" s="178"/>
      <c r="AS336" s="138"/>
      <c r="AT336" s="72"/>
      <c r="AU336" s="178"/>
      <c r="AV336" s="138"/>
      <c r="AW336" s="72">
        <v>0</v>
      </c>
      <c r="AX336" s="178"/>
      <c r="AY336" s="138">
        <v>0</v>
      </c>
      <c r="AZ336" s="72"/>
      <c r="BA336" s="178"/>
      <c r="BB336" s="138"/>
      <c r="BC336" s="72"/>
      <c r="BD336" s="178"/>
      <c r="BE336" s="74"/>
      <c r="BF336" s="139"/>
      <c r="BG336" s="183"/>
      <c r="BH336" s="141"/>
      <c r="BI336" s="142"/>
      <c r="BJ336" s="183"/>
      <c r="BK336" s="143"/>
      <c r="BN336" s="125">
        <f t="shared" si="60"/>
        <v>0</v>
      </c>
      <c r="BO336" s="126">
        <f t="shared" si="61"/>
        <v>0</v>
      </c>
      <c r="BP336" s="127">
        <f t="shared" si="62"/>
        <v>0</v>
      </c>
    </row>
    <row r="337" spans="1:68" ht="38.25" hidden="1" customHeight="1" outlineLevel="3" x14ac:dyDescent="0.25">
      <c r="A337" s="10" t="b">
        <f>$AD$49="да"</f>
        <v>1</v>
      </c>
      <c r="B337" s="5" t="b">
        <f t="array" ref="B337">A337</f>
        <v>1</v>
      </c>
      <c r="C337" s="10" t="s">
        <v>83</v>
      </c>
      <c r="D337" s="10" t="s">
        <v>84</v>
      </c>
      <c r="E337" s="10" t="s">
        <v>73</v>
      </c>
      <c r="F337" s="10" t="s">
        <v>74</v>
      </c>
      <c r="G337" s="10" t="s">
        <v>444</v>
      </c>
      <c r="H337" s="10" t="s">
        <v>73</v>
      </c>
      <c r="I337" s="10" t="s">
        <v>73</v>
      </c>
      <c r="J337" s="10" t="s">
        <v>73</v>
      </c>
      <c r="K337" s="12" t="s">
        <v>73</v>
      </c>
      <c r="L337" s="10" t="s">
        <v>224</v>
      </c>
      <c r="M337" s="5" t="str">
        <f t="array" ref="M337">Y96</f>
        <v>1ХВС::1.1</v>
      </c>
      <c r="Y337" s="10">
        <f>COUNT($Y323:Y336)+1</f>
        <v>3</v>
      </c>
      <c r="AB337" s="29" t="str">
        <f>AB$322&amp;"."&amp;Y337</f>
        <v>3.1.2.3</v>
      </c>
      <c r="AC337" s="87" t="s">
        <v>445</v>
      </c>
      <c r="AD337" s="51" t="s">
        <v>111</v>
      </c>
      <c r="AE337" s="72"/>
      <c r="AF337" s="178"/>
      <c r="AG337" s="74"/>
      <c r="AH337" s="72"/>
      <c r="AI337" s="178"/>
      <c r="AJ337" s="74"/>
      <c r="AK337" s="72"/>
      <c r="AL337" s="178"/>
      <c r="AM337" s="74"/>
      <c r="AN337" s="72"/>
      <c r="AO337" s="178"/>
      <c r="AP337" s="138"/>
      <c r="AQ337" s="72"/>
      <c r="AR337" s="178"/>
      <c r="AS337" s="138"/>
      <c r="AT337" s="72"/>
      <c r="AU337" s="178"/>
      <c r="AV337" s="138"/>
      <c r="AW337" s="72">
        <v>0</v>
      </c>
      <c r="AX337" s="178"/>
      <c r="AY337" s="138">
        <v>0</v>
      </c>
      <c r="AZ337" s="72"/>
      <c r="BA337" s="178"/>
      <c r="BB337" s="138"/>
      <c r="BC337" s="72"/>
      <c r="BD337" s="178"/>
      <c r="BE337" s="74"/>
      <c r="BF337" s="139"/>
      <c r="BG337" s="183"/>
      <c r="BH337" s="141"/>
      <c r="BI337" s="142"/>
      <c r="BJ337" s="183"/>
      <c r="BK337" s="143"/>
      <c r="BN337" s="125">
        <f t="shared" si="60"/>
        <v>0</v>
      </c>
      <c r="BO337" s="126">
        <f t="shared" si="61"/>
        <v>0</v>
      </c>
      <c r="BP337" s="127">
        <f t="shared" si="62"/>
        <v>0</v>
      </c>
    </row>
    <row r="338" spans="1:68" ht="28.5" hidden="1" customHeight="1" outlineLevel="3" x14ac:dyDescent="0.25">
      <c r="A338" s="10" t="b">
        <f>$AD$50="да"</f>
        <v>1</v>
      </c>
      <c r="B338" s="5" t="b">
        <f t="array" ref="B338">A338</f>
        <v>1</v>
      </c>
      <c r="C338" s="10" t="s">
        <v>83</v>
      </c>
      <c r="D338" s="10" t="s">
        <v>84</v>
      </c>
      <c r="E338" s="10" t="s">
        <v>73</v>
      </c>
      <c r="F338" s="10" t="s">
        <v>74</v>
      </c>
      <c r="G338" s="10" t="s">
        <v>446</v>
      </c>
      <c r="H338" s="10" t="s">
        <v>73</v>
      </c>
      <c r="I338" s="10" t="s">
        <v>73</v>
      </c>
      <c r="J338" s="10" t="s">
        <v>73</v>
      </c>
      <c r="K338" s="12" t="s">
        <v>73</v>
      </c>
      <c r="L338" s="10" t="s">
        <v>447</v>
      </c>
      <c r="M338" s="5" t="str">
        <f t="array" ref="M338">Y96</f>
        <v>1ХВС::1.1</v>
      </c>
      <c r="Y338" s="10">
        <f>COUNT($Y323:Y337)+1</f>
        <v>4</v>
      </c>
      <c r="AB338" s="29" t="str">
        <f>AB$322&amp;"."&amp;Y338</f>
        <v>3.1.2.4</v>
      </c>
      <c r="AC338" s="87" t="s">
        <v>448</v>
      </c>
      <c r="AD338" s="51" t="s">
        <v>111</v>
      </c>
      <c r="AE338" s="72"/>
      <c r="AF338" s="178"/>
      <c r="AG338" s="74"/>
      <c r="AH338" s="72"/>
      <c r="AI338" s="178"/>
      <c r="AJ338" s="74"/>
      <c r="AK338" s="72"/>
      <c r="AL338" s="178"/>
      <c r="AM338" s="74"/>
      <c r="AN338" s="72"/>
      <c r="AO338" s="178"/>
      <c r="AP338" s="138"/>
      <c r="AQ338" s="72"/>
      <c r="AR338" s="178"/>
      <c r="AS338" s="138"/>
      <c r="AT338" s="72"/>
      <c r="AU338" s="178"/>
      <c r="AV338" s="138"/>
      <c r="AW338" s="72">
        <v>0</v>
      </c>
      <c r="AX338" s="178"/>
      <c r="AY338" s="138">
        <v>0</v>
      </c>
      <c r="AZ338" s="72"/>
      <c r="BA338" s="178"/>
      <c r="BB338" s="138"/>
      <c r="BC338" s="72"/>
      <c r="BD338" s="178"/>
      <c r="BE338" s="74"/>
      <c r="BF338" s="139"/>
      <c r="BG338" s="183"/>
      <c r="BH338" s="141"/>
      <c r="BI338" s="142"/>
      <c r="BJ338" s="183"/>
      <c r="BK338" s="143"/>
      <c r="BN338" s="125">
        <f t="shared" si="60"/>
        <v>0</v>
      </c>
      <c r="BO338" s="126">
        <f t="shared" si="61"/>
        <v>0</v>
      </c>
      <c r="BP338" s="127">
        <f t="shared" si="62"/>
        <v>0</v>
      </c>
    </row>
    <row r="339" spans="1:68" s="171" customFormat="1" ht="24" customHeight="1" outlineLevel="2" x14ac:dyDescent="0.25">
      <c r="A339" s="166"/>
      <c r="B339" s="166"/>
      <c r="C339" s="167" t="s">
        <v>83</v>
      </c>
      <c r="D339" s="167" t="s">
        <v>84</v>
      </c>
      <c r="E339" s="167" t="s">
        <v>73</v>
      </c>
      <c r="F339" s="167" t="s">
        <v>74</v>
      </c>
      <c r="G339" s="167" t="s">
        <v>449</v>
      </c>
      <c r="H339" s="167" t="s">
        <v>73</v>
      </c>
      <c r="I339" s="167" t="s">
        <v>73</v>
      </c>
      <c r="J339" s="167" t="s">
        <v>73</v>
      </c>
      <c r="K339" s="168" t="s">
        <v>73</v>
      </c>
      <c r="L339" s="167" t="s">
        <v>133</v>
      </c>
      <c r="M339" s="166" t="str">
        <f t="array" ref="M339">Y96</f>
        <v>1ХВС::1.1</v>
      </c>
      <c r="N339" s="166"/>
      <c r="O339" s="166"/>
      <c r="P339" s="166"/>
      <c r="Q339" s="166"/>
      <c r="R339" s="166"/>
      <c r="S339" s="166"/>
      <c r="T339" s="166"/>
      <c r="U339" s="166"/>
      <c r="V339" s="166"/>
      <c r="W339" s="166"/>
      <c r="X339" s="166"/>
      <c r="Y339" s="166"/>
      <c r="Z339" s="166"/>
      <c r="AA339" s="166"/>
      <c r="AB339" s="155" t="str">
        <f>AB146&amp;".3"</f>
        <v>3.1.3</v>
      </c>
      <c r="AC339" s="172" t="s">
        <v>450</v>
      </c>
      <c r="AD339" s="157" t="s">
        <v>111</v>
      </c>
      <c r="AE339" s="158">
        <f t="shared" ref="AE339:BK339" si="64">AE340+AE353+AE354+AE364+AE371+AE372+AE373+AE374</f>
        <v>310794.40000000002</v>
      </c>
      <c r="AF339" s="159">
        <f t="shared" si="64"/>
        <v>339859.35600000003</v>
      </c>
      <c r="AG339" s="160">
        <f t="shared" si="64"/>
        <v>404755.45</v>
      </c>
      <c r="AH339" s="158">
        <f t="shared" si="64"/>
        <v>2978.7400000000002</v>
      </c>
      <c r="AI339" s="159">
        <f t="shared" si="64"/>
        <v>2693.81</v>
      </c>
      <c r="AJ339" s="160">
        <f t="shared" si="64"/>
        <v>3041.52</v>
      </c>
      <c r="AK339" s="158">
        <f t="shared" si="64"/>
        <v>7967.0240000000003</v>
      </c>
      <c r="AL339" s="159">
        <f t="shared" si="64"/>
        <v>3652.2699999999995</v>
      </c>
      <c r="AM339" s="161">
        <f t="shared" si="64"/>
        <v>8314.9699999999993</v>
      </c>
      <c r="AN339" s="158">
        <f t="shared" si="64"/>
        <v>6076.6039999999994</v>
      </c>
      <c r="AO339" s="159">
        <f t="shared" si="64"/>
        <v>4281.58</v>
      </c>
      <c r="AP339" s="161">
        <f t="shared" si="64"/>
        <v>7774.12</v>
      </c>
      <c r="AQ339" s="158">
        <f t="shared" si="64"/>
        <v>869.62</v>
      </c>
      <c r="AR339" s="159">
        <f t="shared" si="64"/>
        <v>1029.43</v>
      </c>
      <c r="AS339" s="161">
        <f t="shared" si="64"/>
        <v>1403.41</v>
      </c>
      <c r="AT339" s="158">
        <f t="shared" si="64"/>
        <v>4532.1299999999992</v>
      </c>
      <c r="AU339" s="159">
        <f t="shared" si="64"/>
        <v>4751.76</v>
      </c>
      <c r="AV339" s="161">
        <f t="shared" si="64"/>
        <v>6525.1399999999994</v>
      </c>
      <c r="AW339" s="158">
        <f t="shared" si="64"/>
        <v>1325.93</v>
      </c>
      <c r="AX339" s="159">
        <f t="shared" si="64"/>
        <v>1295.8399999999999</v>
      </c>
      <c r="AY339" s="161">
        <f t="shared" si="64"/>
        <v>1473.5219999999999</v>
      </c>
      <c r="AZ339" s="158">
        <f t="shared" si="64"/>
        <v>5137.2110000000011</v>
      </c>
      <c r="BA339" s="159">
        <f t="shared" si="64"/>
        <v>10240.41</v>
      </c>
      <c r="BB339" s="161">
        <f t="shared" si="64"/>
        <v>6672.46</v>
      </c>
      <c r="BC339" s="158">
        <f t="shared" si="64"/>
        <v>9079.4560000000001</v>
      </c>
      <c r="BD339" s="159">
        <f t="shared" si="64"/>
        <v>9306.65</v>
      </c>
      <c r="BE339" s="161">
        <f t="shared" si="64"/>
        <v>11315.65</v>
      </c>
      <c r="BF339" s="158">
        <f t="shared" si="64"/>
        <v>624.29</v>
      </c>
      <c r="BG339" s="159">
        <f t="shared" si="64"/>
        <v>505.7</v>
      </c>
      <c r="BH339" s="161">
        <f t="shared" si="64"/>
        <v>621.54799999999989</v>
      </c>
      <c r="BI339" s="158">
        <f t="shared" si="64"/>
        <v>490.15499999999997</v>
      </c>
      <c r="BJ339" s="159">
        <f t="shared" si="64"/>
        <v>480.86</v>
      </c>
      <c r="BK339" s="160">
        <f t="shared" si="64"/>
        <v>547.24</v>
      </c>
      <c r="BL339" s="170"/>
      <c r="BM339" s="166"/>
      <c r="BN339" s="163">
        <f t="shared" si="60"/>
        <v>349875.56</v>
      </c>
      <c r="BO339" s="164">
        <f t="shared" si="61"/>
        <v>378097.66600000008</v>
      </c>
      <c r="BP339" s="165">
        <f t="shared" si="62"/>
        <v>452445.03</v>
      </c>
    </row>
    <row r="340" spans="1:68" ht="35.25" customHeight="1" outlineLevel="3" x14ac:dyDescent="0.25">
      <c r="C340" s="10" t="s">
        <v>83</v>
      </c>
      <c r="D340" s="10" t="s">
        <v>84</v>
      </c>
      <c r="E340" s="10" t="s">
        <v>73</v>
      </c>
      <c r="F340" s="10" t="s">
        <v>74</v>
      </c>
      <c r="G340" s="10" t="s">
        <v>451</v>
      </c>
      <c r="H340" s="10" t="s">
        <v>73</v>
      </c>
      <c r="I340" s="10" t="s">
        <v>73</v>
      </c>
      <c r="J340" s="10" t="s">
        <v>73</v>
      </c>
      <c r="K340" s="12" t="s">
        <v>73</v>
      </c>
      <c r="L340" s="10" t="s">
        <v>452</v>
      </c>
      <c r="M340" s="5" t="str">
        <f t="array" ref="M340">Y96</f>
        <v>1ХВС::1.1</v>
      </c>
      <c r="AB340" s="29" t="str">
        <f>AB339&amp;".1"</f>
        <v>3.1.3.1</v>
      </c>
      <c r="AC340" s="92" t="s">
        <v>453</v>
      </c>
      <c r="AD340" s="51" t="s">
        <v>111</v>
      </c>
      <c r="AE340" s="72">
        <f t="shared" ref="AE340:BK340" si="65">AE341+AE342+AE343+AE344+AE345+AE346+AE347+AE348+AE349+AE350+AE351+AE352</f>
        <v>31798.985000000001</v>
      </c>
      <c r="AF340" s="73">
        <f t="shared" si="65"/>
        <v>36128.69</v>
      </c>
      <c r="AG340" s="74">
        <f t="shared" si="65"/>
        <v>32813.46</v>
      </c>
      <c r="AH340" s="72">
        <f t="shared" si="65"/>
        <v>0</v>
      </c>
      <c r="AI340" s="73">
        <f t="shared" si="65"/>
        <v>0</v>
      </c>
      <c r="AJ340" s="74">
        <f t="shared" si="65"/>
        <v>0</v>
      </c>
      <c r="AK340" s="72">
        <f t="shared" si="65"/>
        <v>395.37</v>
      </c>
      <c r="AL340" s="73">
        <f t="shared" si="65"/>
        <v>350.43</v>
      </c>
      <c r="AM340" s="74">
        <f t="shared" si="65"/>
        <v>435.03</v>
      </c>
      <c r="AN340" s="72">
        <f t="shared" si="65"/>
        <v>1282.1099999999999</v>
      </c>
      <c r="AO340" s="73">
        <f t="shared" si="65"/>
        <v>1946.8200000000002</v>
      </c>
      <c r="AP340" s="74">
        <f t="shared" si="65"/>
        <v>1410.7399999999998</v>
      </c>
      <c r="AQ340" s="72">
        <f t="shared" si="65"/>
        <v>0</v>
      </c>
      <c r="AR340" s="73">
        <f t="shared" si="65"/>
        <v>0</v>
      </c>
      <c r="AS340" s="74">
        <f t="shared" si="65"/>
        <v>0</v>
      </c>
      <c r="AT340" s="72">
        <f t="shared" si="65"/>
        <v>0</v>
      </c>
      <c r="AU340" s="73">
        <f t="shared" si="65"/>
        <v>0</v>
      </c>
      <c r="AV340" s="74">
        <f t="shared" si="65"/>
        <v>0</v>
      </c>
      <c r="AW340" s="72">
        <f t="shared" si="65"/>
        <v>0</v>
      </c>
      <c r="AX340" s="73">
        <f t="shared" si="65"/>
        <v>0</v>
      </c>
      <c r="AY340" s="74">
        <f t="shared" si="65"/>
        <v>0</v>
      </c>
      <c r="AZ340" s="72">
        <f t="shared" si="65"/>
        <v>243.815</v>
      </c>
      <c r="BA340" s="73">
        <f t="shared" si="65"/>
        <v>6336.04</v>
      </c>
      <c r="BB340" s="74">
        <f t="shared" si="65"/>
        <v>427.74</v>
      </c>
      <c r="BC340" s="72">
        <f t="shared" si="65"/>
        <v>2097.64</v>
      </c>
      <c r="BD340" s="73">
        <f t="shared" si="65"/>
        <v>918.52</v>
      </c>
      <c r="BE340" s="74">
        <f t="shared" si="65"/>
        <v>2561.2800000000002</v>
      </c>
      <c r="BF340" s="72">
        <f t="shared" si="65"/>
        <v>0</v>
      </c>
      <c r="BG340" s="73">
        <f t="shared" si="65"/>
        <v>0</v>
      </c>
      <c r="BH340" s="74">
        <f t="shared" si="65"/>
        <v>0</v>
      </c>
      <c r="BI340" s="72">
        <f t="shared" si="65"/>
        <v>0</v>
      </c>
      <c r="BJ340" s="73">
        <f t="shared" si="65"/>
        <v>0</v>
      </c>
      <c r="BK340" s="74">
        <f t="shared" si="65"/>
        <v>0</v>
      </c>
      <c r="BN340" s="125">
        <f t="shared" si="60"/>
        <v>35817.919999999998</v>
      </c>
      <c r="BO340" s="126">
        <f t="shared" si="61"/>
        <v>45680.5</v>
      </c>
      <c r="BP340" s="127">
        <f t="shared" si="62"/>
        <v>37648.249999999993</v>
      </c>
    </row>
    <row r="341" spans="1:68" ht="14.25" customHeight="1" outlineLevel="4" x14ac:dyDescent="0.25">
      <c r="C341" s="10" t="s">
        <v>83</v>
      </c>
      <c r="D341" s="10" t="s">
        <v>84</v>
      </c>
      <c r="E341" s="10" t="s">
        <v>73</v>
      </c>
      <c r="F341" s="10" t="s">
        <v>74</v>
      </c>
      <c r="G341" s="10" t="s">
        <v>454</v>
      </c>
      <c r="H341" s="10" t="s">
        <v>73</v>
      </c>
      <c r="I341" s="10" t="s">
        <v>73</v>
      </c>
      <c r="J341" s="10" t="s">
        <v>73</v>
      </c>
      <c r="K341" s="12" t="s">
        <v>73</v>
      </c>
      <c r="L341" s="10" t="s">
        <v>452</v>
      </c>
      <c r="M341" s="5" t="str">
        <f t="array" ref="M341">Y96</f>
        <v>1ХВС::1.1</v>
      </c>
      <c r="Y341" s="10">
        <v>1</v>
      </c>
      <c r="AB341" s="29" t="str">
        <f>AB$340&amp;"."&amp;Y341</f>
        <v>3.1.3.1.1</v>
      </c>
      <c r="AC341" s="294" t="s">
        <v>455</v>
      </c>
      <c r="AD341" s="51" t="s">
        <v>111</v>
      </c>
      <c r="AE341" s="72">
        <v>5710.83</v>
      </c>
      <c r="AF341" s="178">
        <v>6367.55</v>
      </c>
      <c r="AG341" s="74">
        <v>6176.92</v>
      </c>
      <c r="AH341" s="72"/>
      <c r="AI341" s="178"/>
      <c r="AJ341" s="74"/>
      <c r="AK341" s="72">
        <v>335.26</v>
      </c>
      <c r="AL341" s="178">
        <v>350.43</v>
      </c>
      <c r="AM341" s="74">
        <v>368.89</v>
      </c>
      <c r="AN341" s="72">
        <v>90.54</v>
      </c>
      <c r="AO341" s="178"/>
      <c r="AP341" s="138">
        <v>99.63</v>
      </c>
      <c r="AQ341" s="72"/>
      <c r="AR341" s="178"/>
      <c r="AS341" s="138"/>
      <c r="AT341" s="72"/>
      <c r="AU341" s="178"/>
      <c r="AV341" s="138"/>
      <c r="AW341" s="72">
        <v>0</v>
      </c>
      <c r="AX341" s="178"/>
      <c r="AY341" s="138">
        <v>0</v>
      </c>
      <c r="AZ341" s="72">
        <v>227.2</v>
      </c>
      <c r="BA341" s="178">
        <v>853.29</v>
      </c>
      <c r="BB341" s="138">
        <v>400.92</v>
      </c>
      <c r="BC341" s="72">
        <v>2097.64</v>
      </c>
      <c r="BD341" s="178">
        <v>918.52</v>
      </c>
      <c r="BE341" s="74">
        <v>2561.2800000000002</v>
      </c>
      <c r="BF341" s="139"/>
      <c r="BG341" s="183"/>
      <c r="BH341" s="141"/>
      <c r="BI341" s="142"/>
      <c r="BJ341" s="183"/>
      <c r="BK341" s="143"/>
      <c r="BN341" s="125">
        <f t="shared" si="60"/>
        <v>8461.4699999999993</v>
      </c>
      <c r="BO341" s="126">
        <f t="shared" si="61"/>
        <v>8489.7900000000009</v>
      </c>
      <c r="BP341" s="127">
        <f t="shared" si="62"/>
        <v>9607.6400000000012</v>
      </c>
    </row>
    <row r="342" spans="1:68" ht="14.25" hidden="1" customHeight="1" outlineLevel="4" x14ac:dyDescent="0.25">
      <c r="C342" s="10" t="s">
        <v>83</v>
      </c>
      <c r="D342" s="10" t="s">
        <v>84</v>
      </c>
      <c r="E342" s="10" t="s">
        <v>73</v>
      </c>
      <c r="F342" s="10" t="s">
        <v>74</v>
      </c>
      <c r="G342" s="10" t="s">
        <v>456</v>
      </c>
      <c r="H342" s="10" t="s">
        <v>73</v>
      </c>
      <c r="I342" s="10" t="s">
        <v>73</v>
      </c>
      <c r="J342" s="10" t="s">
        <v>73</v>
      </c>
      <c r="K342" s="12" t="s">
        <v>73</v>
      </c>
      <c r="L342" s="10" t="s">
        <v>452</v>
      </c>
      <c r="M342" s="5" t="str">
        <f t="array" ref="M342">Y96</f>
        <v>1ХВС::1.1</v>
      </c>
      <c r="Y342" s="10">
        <f>COUNT($Y340:Y341)+1</f>
        <v>2</v>
      </c>
      <c r="AB342" s="29" t="str">
        <f>AB$340&amp;"."&amp;Y342</f>
        <v>3.1.3.1.2</v>
      </c>
      <c r="AC342" s="294" t="s">
        <v>456</v>
      </c>
      <c r="AD342" s="51" t="s">
        <v>111</v>
      </c>
      <c r="AE342" s="72"/>
      <c r="AF342" s="178"/>
      <c r="AG342" s="74"/>
      <c r="AH342" s="72"/>
      <c r="AI342" s="178"/>
      <c r="AJ342" s="74"/>
      <c r="AK342" s="72"/>
      <c r="AL342" s="178"/>
      <c r="AM342" s="74"/>
      <c r="AN342" s="72"/>
      <c r="AO342" s="178"/>
      <c r="AP342" s="138"/>
      <c r="AQ342" s="72"/>
      <c r="AR342" s="178"/>
      <c r="AS342" s="138"/>
      <c r="AT342" s="72"/>
      <c r="AU342" s="178"/>
      <c r="AV342" s="138"/>
      <c r="AW342" s="72">
        <v>0</v>
      </c>
      <c r="AX342" s="178"/>
      <c r="AY342" s="138">
        <v>0</v>
      </c>
      <c r="AZ342" s="72"/>
      <c r="BA342" s="178"/>
      <c r="BB342" s="138"/>
      <c r="BC342" s="72"/>
      <c r="BD342" s="178"/>
      <c r="BE342" s="74"/>
      <c r="BF342" s="139"/>
      <c r="BG342" s="183"/>
      <c r="BH342" s="141"/>
      <c r="BI342" s="142"/>
      <c r="BJ342" s="183"/>
      <c r="BK342" s="143"/>
      <c r="BN342" s="125">
        <f t="shared" si="60"/>
        <v>0</v>
      </c>
      <c r="BO342" s="126">
        <f t="shared" si="61"/>
        <v>0</v>
      </c>
      <c r="BP342" s="127">
        <f t="shared" si="62"/>
        <v>0</v>
      </c>
    </row>
    <row r="343" spans="1:68" ht="14.25" customHeight="1" outlineLevel="4" x14ac:dyDescent="0.25">
      <c r="C343" s="10" t="s">
        <v>83</v>
      </c>
      <c r="D343" s="10" t="s">
        <v>84</v>
      </c>
      <c r="E343" s="10" t="s">
        <v>73</v>
      </c>
      <c r="F343" s="10" t="s">
        <v>74</v>
      </c>
      <c r="G343" s="10" t="s">
        <v>457</v>
      </c>
      <c r="H343" s="10" t="s">
        <v>73</v>
      </c>
      <c r="I343" s="10" t="s">
        <v>73</v>
      </c>
      <c r="J343" s="10" t="s">
        <v>73</v>
      </c>
      <c r="K343" s="12" t="s">
        <v>73</v>
      </c>
      <c r="L343" s="10" t="s">
        <v>452</v>
      </c>
      <c r="M343" s="5" t="str">
        <f t="array" ref="M343">Y96</f>
        <v>1ХВС::1.1</v>
      </c>
      <c r="Y343" s="10">
        <f>COUNT($Y340:Y342)+1</f>
        <v>3</v>
      </c>
      <c r="AB343" s="29" t="str">
        <f>AB$340&amp;"."&amp;Y343</f>
        <v>3.1.3.1.3</v>
      </c>
      <c r="AC343" s="294" t="s">
        <v>457</v>
      </c>
      <c r="AD343" s="51" t="s">
        <v>111</v>
      </c>
      <c r="AE343" s="72">
        <v>1593.35</v>
      </c>
      <c r="AF343" s="178">
        <v>775.98</v>
      </c>
      <c r="AG343" s="74">
        <v>1581.73</v>
      </c>
      <c r="AH343" s="72"/>
      <c r="AI343" s="178"/>
      <c r="AJ343" s="74"/>
      <c r="AK343" s="72"/>
      <c r="AL343" s="178"/>
      <c r="AM343" s="74"/>
      <c r="AN343" s="72"/>
      <c r="AO343" s="178"/>
      <c r="AP343" s="138"/>
      <c r="AQ343" s="72"/>
      <c r="AR343" s="178"/>
      <c r="AS343" s="138"/>
      <c r="AT343" s="72"/>
      <c r="AU343" s="178"/>
      <c r="AV343" s="138"/>
      <c r="AW343" s="72">
        <v>0</v>
      </c>
      <c r="AX343" s="178"/>
      <c r="AY343" s="138">
        <v>0</v>
      </c>
      <c r="AZ343" s="72">
        <v>16.614999999999998</v>
      </c>
      <c r="BA343" s="178"/>
      <c r="BB343" s="138">
        <v>26.82</v>
      </c>
      <c r="BC343" s="72"/>
      <c r="BD343" s="178"/>
      <c r="BE343" s="74"/>
      <c r="BF343" s="139"/>
      <c r="BG343" s="183"/>
      <c r="BH343" s="141"/>
      <c r="BI343" s="142"/>
      <c r="BJ343" s="183"/>
      <c r="BK343" s="143"/>
      <c r="BN343" s="125">
        <f t="shared" si="60"/>
        <v>1609.9649999999999</v>
      </c>
      <c r="BO343" s="126">
        <f t="shared" si="61"/>
        <v>775.98</v>
      </c>
      <c r="BP343" s="127">
        <f t="shared" si="62"/>
        <v>1608.55</v>
      </c>
    </row>
    <row r="344" spans="1:68" ht="14.25" hidden="1" customHeight="1" outlineLevel="4" x14ac:dyDescent="0.25">
      <c r="A344" s="76" t="b">
        <f>OR($AD$52="да",$U96="Водоснабжение")</f>
        <v>1</v>
      </c>
      <c r="B344" s="5" t="b">
        <f t="array" ref="B344">A344</f>
        <v>1</v>
      </c>
      <c r="C344" s="10" t="s">
        <v>83</v>
      </c>
      <c r="D344" s="10" t="s">
        <v>84</v>
      </c>
      <c r="E344" s="10" t="s">
        <v>73</v>
      </c>
      <c r="F344" s="10" t="s">
        <v>74</v>
      </c>
      <c r="G344" s="10" t="s">
        <v>458</v>
      </c>
      <c r="H344" s="10" t="s">
        <v>73</v>
      </c>
      <c r="I344" s="10" t="s">
        <v>73</v>
      </c>
      <c r="J344" s="10" t="s">
        <v>73</v>
      </c>
      <c r="K344" s="12" t="s">
        <v>73</v>
      </c>
      <c r="L344" s="10" t="s">
        <v>452</v>
      </c>
      <c r="M344" s="5" t="str">
        <f t="array" ref="M344">Y96</f>
        <v>1ХВС::1.1</v>
      </c>
      <c r="Y344" s="10">
        <f>COUNT($Y340:Y343)+1</f>
        <v>4</v>
      </c>
      <c r="AB344" s="29" t="str">
        <f>AB$340&amp;"."&amp;Y344</f>
        <v>3.1.3.1.4</v>
      </c>
      <c r="AC344" s="294" t="s">
        <v>459</v>
      </c>
      <c r="AD344" s="51" t="s">
        <v>111</v>
      </c>
      <c r="AE344" s="72"/>
      <c r="AF344" s="178"/>
      <c r="AG344" s="74"/>
      <c r="AH344" s="72"/>
      <c r="AI344" s="178"/>
      <c r="AJ344" s="74"/>
      <c r="AK344" s="72"/>
      <c r="AL344" s="178"/>
      <c r="AM344" s="74"/>
      <c r="AN344" s="72"/>
      <c r="AO344" s="178"/>
      <c r="AP344" s="138"/>
      <c r="AQ344" s="72"/>
      <c r="AR344" s="178"/>
      <c r="AS344" s="138"/>
      <c r="AT344" s="72"/>
      <c r="AU344" s="178"/>
      <c r="AV344" s="138"/>
      <c r="AW344" s="72">
        <v>0</v>
      </c>
      <c r="AX344" s="178"/>
      <c r="AY344" s="138">
        <v>0</v>
      </c>
      <c r="AZ344" s="72"/>
      <c r="BA344" s="178"/>
      <c r="BB344" s="138"/>
      <c r="BC344" s="72"/>
      <c r="BD344" s="178"/>
      <c r="BE344" s="74"/>
      <c r="BF344" s="139"/>
      <c r="BG344" s="183"/>
      <c r="BH344" s="141"/>
      <c r="BI344" s="142"/>
      <c r="BJ344" s="183"/>
      <c r="BK344" s="143"/>
      <c r="BN344" s="125">
        <f t="shared" si="60"/>
        <v>0</v>
      </c>
      <c r="BO344" s="126">
        <f t="shared" si="61"/>
        <v>0</v>
      </c>
      <c r="BP344" s="127">
        <f t="shared" si="62"/>
        <v>0</v>
      </c>
    </row>
    <row r="345" spans="1:68" ht="14.25" customHeight="1" outlineLevel="4" x14ac:dyDescent="0.25">
      <c r="C345" s="10" t="s">
        <v>83</v>
      </c>
      <c r="D345" s="10" t="s">
        <v>84</v>
      </c>
      <c r="E345" s="10" t="s">
        <v>73</v>
      </c>
      <c r="F345" s="10" t="s">
        <v>74</v>
      </c>
      <c r="G345" s="10" t="s">
        <v>460</v>
      </c>
      <c r="H345" s="10" t="s">
        <v>73</v>
      </c>
      <c r="I345" s="10" t="s">
        <v>73</v>
      </c>
      <c r="J345" s="10" t="s">
        <v>73</v>
      </c>
      <c r="K345" s="12" t="s">
        <v>73</v>
      </c>
      <c r="L345" s="10" t="s">
        <v>452</v>
      </c>
      <c r="M345" s="5" t="str">
        <f t="array" ref="M345">Y96</f>
        <v>1ХВС::1.1</v>
      </c>
      <c r="Y345" s="10">
        <f>COUNT($Y340:Y344)+1</f>
        <v>5</v>
      </c>
      <c r="AB345" s="29" t="str">
        <f>AB$340&amp;"."&amp;Y345</f>
        <v>3.1.3.1.5</v>
      </c>
      <c r="AC345" s="294" t="s">
        <v>461</v>
      </c>
      <c r="AD345" s="51" t="s">
        <v>111</v>
      </c>
      <c r="AE345" s="72">
        <v>24494.805</v>
      </c>
      <c r="AF345" s="178">
        <v>28985.16</v>
      </c>
      <c r="AG345" s="74">
        <v>25054.81</v>
      </c>
      <c r="AH345" s="72"/>
      <c r="AI345" s="178"/>
      <c r="AJ345" s="74"/>
      <c r="AK345" s="72"/>
      <c r="AL345" s="178"/>
      <c r="AM345" s="74"/>
      <c r="AN345" s="72"/>
      <c r="AO345" s="178">
        <f>1820.19</f>
        <v>1820.19</v>
      </c>
      <c r="AP345" s="138"/>
      <c r="AQ345" s="72"/>
      <c r="AR345" s="178"/>
      <c r="AS345" s="138"/>
      <c r="AT345" s="72"/>
      <c r="AU345" s="178"/>
      <c r="AV345" s="138"/>
      <c r="AW345" s="72">
        <v>0</v>
      </c>
      <c r="AX345" s="178"/>
      <c r="AY345" s="138">
        <v>0</v>
      </c>
      <c r="AZ345" s="72"/>
      <c r="BA345" s="178">
        <v>5482.75</v>
      </c>
      <c r="BB345" s="138"/>
      <c r="BC345" s="72"/>
      <c r="BD345" s="178"/>
      <c r="BE345" s="74"/>
      <c r="BF345" s="139"/>
      <c r="BG345" s="183"/>
      <c r="BH345" s="141"/>
      <c r="BI345" s="142"/>
      <c r="BJ345" s="183"/>
      <c r="BK345" s="143"/>
      <c r="BN345" s="125">
        <f t="shared" si="60"/>
        <v>24494.805</v>
      </c>
      <c r="BO345" s="126">
        <f t="shared" si="61"/>
        <v>36288.1</v>
      </c>
      <c r="BP345" s="127">
        <f t="shared" si="62"/>
        <v>25054.81</v>
      </c>
    </row>
    <row r="346" spans="1:68" ht="14.25" hidden="1" customHeight="1" outlineLevel="4" x14ac:dyDescent="0.25">
      <c r="A346" s="76" t="b">
        <f>$AD$52="да"</f>
        <v>0</v>
      </c>
      <c r="B346" s="5" t="b">
        <f t="array" ref="B346">A346</f>
        <v>0</v>
      </c>
      <c r="C346" s="10" t="s">
        <v>83</v>
      </c>
      <c r="D346" s="10" t="s">
        <v>84</v>
      </c>
      <c r="E346" s="10" t="s">
        <v>73</v>
      </c>
      <c r="F346" s="10" t="s">
        <v>74</v>
      </c>
      <c r="G346" s="10" t="s">
        <v>462</v>
      </c>
      <c r="H346" s="10" t="s">
        <v>73</v>
      </c>
      <c r="I346" s="10" t="s">
        <v>73</v>
      </c>
      <c r="J346" s="10" t="s">
        <v>73</v>
      </c>
      <c r="K346" s="12" t="s">
        <v>73</v>
      </c>
      <c r="L346" s="10" t="s">
        <v>452</v>
      </c>
      <c r="M346" s="5" t="str">
        <f t="array" ref="M346">Y96</f>
        <v>1ХВС::1.1</v>
      </c>
      <c r="Y346" s="10">
        <f>COUNT($Y340:Y345)+1</f>
        <v>6</v>
      </c>
      <c r="Z346" s="6"/>
      <c r="AA346" s="6"/>
      <c r="AB346" s="29"/>
      <c r="AC346" s="153"/>
      <c r="AD346" s="51"/>
      <c r="AE346" s="72"/>
      <c r="AF346" s="73"/>
      <c r="AG346" s="74"/>
      <c r="AH346" s="72"/>
      <c r="AI346" s="73"/>
      <c r="AJ346" s="74"/>
      <c r="AK346" s="72"/>
      <c r="AL346" s="73"/>
      <c r="AM346" s="74"/>
      <c r="AN346" s="72"/>
      <c r="AO346" s="73"/>
      <c r="AP346" s="138"/>
      <c r="AQ346" s="72"/>
      <c r="AR346" s="73"/>
      <c r="AS346" s="138"/>
      <c r="AT346" s="72"/>
      <c r="AU346" s="73"/>
      <c r="AV346" s="138"/>
      <c r="AW346" s="72"/>
      <c r="AX346" s="73"/>
      <c r="AY346" s="138"/>
      <c r="AZ346" s="72"/>
      <c r="BA346" s="73"/>
      <c r="BB346" s="138"/>
      <c r="BC346" s="72"/>
      <c r="BD346" s="73"/>
      <c r="BE346" s="74"/>
      <c r="BF346" s="139"/>
      <c r="BG346" s="140"/>
      <c r="BH346" s="141"/>
      <c r="BI346" s="142"/>
      <c r="BJ346" s="140"/>
      <c r="BK346" s="143"/>
      <c r="BN346" s="125">
        <f t="shared" si="60"/>
        <v>0</v>
      </c>
      <c r="BO346" s="126">
        <f t="shared" si="61"/>
        <v>0</v>
      </c>
      <c r="BP346" s="127">
        <f t="shared" si="62"/>
        <v>0</v>
      </c>
    </row>
    <row r="347" spans="1:68" ht="14.25" hidden="1" customHeight="1" outlineLevel="4" x14ac:dyDescent="0.25">
      <c r="A347" s="76" t="b">
        <f t="array" ref="A347">A346</f>
        <v>0</v>
      </c>
      <c r="B347" s="5" t="b">
        <f t="array" ref="B347">A347</f>
        <v>0</v>
      </c>
      <c r="C347" s="10" t="s">
        <v>83</v>
      </c>
      <c r="D347" s="10" t="s">
        <v>84</v>
      </c>
      <c r="E347" s="10" t="s">
        <v>73</v>
      </c>
      <c r="F347" s="10" t="s">
        <v>74</v>
      </c>
      <c r="G347" s="10" t="s">
        <v>463</v>
      </c>
      <c r="H347" s="10" t="s">
        <v>73</v>
      </c>
      <c r="I347" s="10" t="s">
        <v>73</v>
      </c>
      <c r="J347" s="10" t="s">
        <v>73</v>
      </c>
      <c r="K347" s="12" t="s">
        <v>73</v>
      </c>
      <c r="L347" s="10" t="s">
        <v>452</v>
      </c>
      <c r="M347" s="5" t="str">
        <f t="array" ref="M347">Y96</f>
        <v>1ХВС::1.1</v>
      </c>
      <c r="Y347" s="10">
        <f>COUNT($Y340:Y346)+1</f>
        <v>7</v>
      </c>
      <c r="Z347" s="6"/>
      <c r="AA347" s="6"/>
      <c r="AB347" s="29"/>
      <c r="AC347" s="153"/>
      <c r="AD347" s="51"/>
      <c r="AE347" s="72"/>
      <c r="AF347" s="73"/>
      <c r="AG347" s="74"/>
      <c r="AH347" s="72"/>
      <c r="AI347" s="73"/>
      <c r="AJ347" s="74"/>
      <c r="AK347" s="72"/>
      <c r="AL347" s="73"/>
      <c r="AM347" s="74"/>
      <c r="AN347" s="72"/>
      <c r="AO347" s="73"/>
      <c r="AP347" s="138"/>
      <c r="AQ347" s="72"/>
      <c r="AR347" s="73"/>
      <c r="AS347" s="138"/>
      <c r="AT347" s="72"/>
      <c r="AU347" s="73"/>
      <c r="AV347" s="138"/>
      <c r="AW347" s="72"/>
      <c r="AX347" s="73"/>
      <c r="AY347" s="138"/>
      <c r="AZ347" s="72"/>
      <c r="BA347" s="73"/>
      <c r="BB347" s="138"/>
      <c r="BC347" s="72"/>
      <c r="BD347" s="73"/>
      <c r="BE347" s="74"/>
      <c r="BF347" s="139"/>
      <c r="BG347" s="140"/>
      <c r="BH347" s="141"/>
      <c r="BI347" s="142"/>
      <c r="BJ347" s="140"/>
      <c r="BK347" s="143"/>
      <c r="BN347" s="125">
        <f t="shared" si="60"/>
        <v>0</v>
      </c>
      <c r="BO347" s="126">
        <f t="shared" si="61"/>
        <v>0</v>
      </c>
      <c r="BP347" s="127">
        <f t="shared" si="62"/>
        <v>0</v>
      </c>
    </row>
    <row r="348" spans="1:68" ht="14.25" hidden="1" customHeight="1" outlineLevel="4" x14ac:dyDescent="0.25">
      <c r="A348" s="76" t="b">
        <f t="array" ref="A348">A347</f>
        <v>0</v>
      </c>
      <c r="B348" s="5" t="b">
        <f t="array" ref="B348">A348</f>
        <v>0</v>
      </c>
      <c r="C348" s="10" t="s">
        <v>83</v>
      </c>
      <c r="D348" s="10" t="s">
        <v>84</v>
      </c>
      <c r="E348" s="10" t="s">
        <v>73</v>
      </c>
      <c r="F348" s="10" t="s">
        <v>74</v>
      </c>
      <c r="G348" s="10" t="s">
        <v>464</v>
      </c>
      <c r="H348" s="10" t="s">
        <v>73</v>
      </c>
      <c r="I348" s="10" t="s">
        <v>73</v>
      </c>
      <c r="J348" s="10" t="s">
        <v>73</v>
      </c>
      <c r="K348" s="12" t="s">
        <v>73</v>
      </c>
      <c r="L348" s="10" t="s">
        <v>452</v>
      </c>
      <c r="M348" s="5" t="str">
        <f t="array" ref="M348">Y96</f>
        <v>1ХВС::1.1</v>
      </c>
      <c r="Y348" s="10">
        <f>COUNT($Y340:Y347)+1</f>
        <v>8</v>
      </c>
      <c r="Z348" s="6"/>
      <c r="AA348" s="6"/>
      <c r="AB348" s="29"/>
      <c r="AC348" s="153"/>
      <c r="AD348" s="51"/>
      <c r="AE348" s="72"/>
      <c r="AF348" s="73"/>
      <c r="AG348" s="74"/>
      <c r="AH348" s="72"/>
      <c r="AI348" s="73"/>
      <c r="AJ348" s="74"/>
      <c r="AK348" s="72"/>
      <c r="AL348" s="73"/>
      <c r="AM348" s="74"/>
      <c r="AN348" s="72"/>
      <c r="AO348" s="73"/>
      <c r="AP348" s="138"/>
      <c r="AQ348" s="72"/>
      <c r="AR348" s="73"/>
      <c r="AS348" s="138"/>
      <c r="AT348" s="72"/>
      <c r="AU348" s="73"/>
      <c r="AV348" s="138"/>
      <c r="AW348" s="72"/>
      <c r="AX348" s="73"/>
      <c r="AY348" s="138"/>
      <c r="AZ348" s="72"/>
      <c r="BA348" s="73"/>
      <c r="BB348" s="138"/>
      <c r="BC348" s="72"/>
      <c r="BD348" s="73"/>
      <c r="BE348" s="74"/>
      <c r="BF348" s="139"/>
      <c r="BG348" s="140"/>
      <c r="BH348" s="141"/>
      <c r="BI348" s="142"/>
      <c r="BJ348" s="140"/>
      <c r="BK348" s="143"/>
      <c r="BN348" s="125">
        <f t="shared" si="60"/>
        <v>0</v>
      </c>
      <c r="BO348" s="126">
        <f t="shared" si="61"/>
        <v>0</v>
      </c>
      <c r="BP348" s="127">
        <f t="shared" si="62"/>
        <v>0</v>
      </c>
    </row>
    <row r="349" spans="1:68" ht="14.25" hidden="1" customHeight="1" outlineLevel="4" x14ac:dyDescent="0.25">
      <c r="A349" s="76" t="b">
        <f t="array" ref="A349">A348</f>
        <v>0</v>
      </c>
      <c r="B349" s="5" t="b">
        <f t="array" ref="B349">A349</f>
        <v>0</v>
      </c>
      <c r="C349" s="10" t="s">
        <v>83</v>
      </c>
      <c r="D349" s="10" t="s">
        <v>84</v>
      </c>
      <c r="E349" s="10" t="s">
        <v>73</v>
      </c>
      <c r="F349" s="10" t="s">
        <v>74</v>
      </c>
      <c r="G349" s="10" t="s">
        <v>465</v>
      </c>
      <c r="H349" s="10" t="s">
        <v>73</v>
      </c>
      <c r="I349" s="10" t="s">
        <v>73</v>
      </c>
      <c r="J349" s="10" t="s">
        <v>73</v>
      </c>
      <c r="K349" s="12" t="s">
        <v>73</v>
      </c>
      <c r="L349" s="10" t="s">
        <v>452</v>
      </c>
      <c r="M349" s="5" t="str">
        <f t="array" ref="M349">Y96</f>
        <v>1ХВС::1.1</v>
      </c>
      <c r="Y349" s="10">
        <f>COUNT($Y340:Y348)+1</f>
        <v>9</v>
      </c>
      <c r="Z349" s="6"/>
      <c r="AA349" s="6"/>
      <c r="AB349" s="29"/>
      <c r="AC349" s="153"/>
      <c r="AD349" s="51"/>
      <c r="AE349" s="72"/>
      <c r="AF349" s="73"/>
      <c r="AG349" s="74"/>
      <c r="AH349" s="72"/>
      <c r="AI349" s="73"/>
      <c r="AJ349" s="74"/>
      <c r="AK349" s="72"/>
      <c r="AL349" s="73"/>
      <c r="AM349" s="74"/>
      <c r="AN349" s="72"/>
      <c r="AO349" s="73"/>
      <c r="AP349" s="138"/>
      <c r="AQ349" s="72"/>
      <c r="AR349" s="73"/>
      <c r="AS349" s="138"/>
      <c r="AT349" s="72"/>
      <c r="AU349" s="73"/>
      <c r="AV349" s="138"/>
      <c r="AW349" s="72"/>
      <c r="AX349" s="73"/>
      <c r="AY349" s="138"/>
      <c r="AZ349" s="72"/>
      <c r="BA349" s="73"/>
      <c r="BB349" s="138"/>
      <c r="BC349" s="72"/>
      <c r="BD349" s="73"/>
      <c r="BE349" s="74"/>
      <c r="BF349" s="139"/>
      <c r="BG349" s="140"/>
      <c r="BH349" s="141"/>
      <c r="BI349" s="142"/>
      <c r="BJ349" s="140"/>
      <c r="BK349" s="143"/>
      <c r="BN349" s="125">
        <f t="shared" si="60"/>
        <v>0</v>
      </c>
      <c r="BO349" s="126">
        <f t="shared" si="61"/>
        <v>0</v>
      </c>
      <c r="BP349" s="127">
        <f t="shared" si="62"/>
        <v>0</v>
      </c>
    </row>
    <row r="350" spans="1:68" ht="14.25" hidden="1" customHeight="1" outlineLevel="4" x14ac:dyDescent="0.25">
      <c r="A350" s="76" t="b">
        <f t="array" ref="A350">A349</f>
        <v>0</v>
      </c>
      <c r="B350" s="5" t="b">
        <f t="array" ref="B350">A350</f>
        <v>0</v>
      </c>
      <c r="C350" s="10" t="s">
        <v>83</v>
      </c>
      <c r="D350" s="10" t="s">
        <v>84</v>
      </c>
      <c r="E350" s="10" t="s">
        <v>73</v>
      </c>
      <c r="F350" s="10" t="s">
        <v>74</v>
      </c>
      <c r="G350" s="10" t="s">
        <v>466</v>
      </c>
      <c r="H350" s="10" t="s">
        <v>73</v>
      </c>
      <c r="I350" s="10" t="s">
        <v>73</v>
      </c>
      <c r="J350" s="10" t="s">
        <v>73</v>
      </c>
      <c r="K350" s="12" t="s">
        <v>73</v>
      </c>
      <c r="L350" s="10" t="s">
        <v>452</v>
      </c>
      <c r="M350" s="5" t="str">
        <f t="array" ref="M350">Y96</f>
        <v>1ХВС::1.1</v>
      </c>
      <c r="Y350" s="10">
        <f>COUNT($Y340:Y349)+1</f>
        <v>10</v>
      </c>
      <c r="Z350" s="6"/>
      <c r="AA350" s="6"/>
      <c r="AB350" s="29"/>
      <c r="AC350" s="153"/>
      <c r="AD350" s="51"/>
      <c r="AE350" s="72"/>
      <c r="AF350" s="73"/>
      <c r="AG350" s="74"/>
      <c r="AH350" s="72"/>
      <c r="AI350" s="73"/>
      <c r="AJ350" s="74"/>
      <c r="AK350" s="72"/>
      <c r="AL350" s="73"/>
      <c r="AM350" s="74"/>
      <c r="AN350" s="72"/>
      <c r="AO350" s="73"/>
      <c r="AP350" s="138"/>
      <c r="AQ350" s="72"/>
      <c r="AR350" s="73"/>
      <c r="AS350" s="138"/>
      <c r="AT350" s="72"/>
      <c r="AU350" s="73"/>
      <c r="AV350" s="138"/>
      <c r="AW350" s="72"/>
      <c r="AX350" s="73"/>
      <c r="AY350" s="138"/>
      <c r="AZ350" s="72"/>
      <c r="BA350" s="73"/>
      <c r="BB350" s="138"/>
      <c r="BC350" s="72"/>
      <c r="BD350" s="73"/>
      <c r="BE350" s="74"/>
      <c r="BF350" s="139"/>
      <c r="BG350" s="140"/>
      <c r="BH350" s="141"/>
      <c r="BI350" s="142"/>
      <c r="BJ350" s="140"/>
      <c r="BK350" s="143"/>
      <c r="BN350" s="125">
        <f t="shared" si="60"/>
        <v>0</v>
      </c>
      <c r="BO350" s="126">
        <f t="shared" si="61"/>
        <v>0</v>
      </c>
      <c r="BP350" s="127">
        <f t="shared" si="62"/>
        <v>0</v>
      </c>
    </row>
    <row r="351" spans="1:68" ht="14.25" customHeight="1" outlineLevel="4" x14ac:dyDescent="0.25">
      <c r="C351" s="10" t="s">
        <v>83</v>
      </c>
      <c r="D351" s="10" t="s">
        <v>84</v>
      </c>
      <c r="E351" s="10" t="s">
        <v>73</v>
      </c>
      <c r="F351" s="10" t="s">
        <v>74</v>
      </c>
      <c r="G351" s="10" t="s">
        <v>467</v>
      </c>
      <c r="H351" s="10" t="s">
        <v>73</v>
      </c>
      <c r="I351" s="10" t="s">
        <v>73</v>
      </c>
      <c r="J351" s="10" t="s">
        <v>73</v>
      </c>
      <c r="K351" s="12" t="s">
        <v>73</v>
      </c>
      <c r="L351" s="10" t="s">
        <v>452</v>
      </c>
      <c r="M351" s="5" t="str">
        <f t="array" ref="M351">Y96</f>
        <v>1ХВС::1.1</v>
      </c>
      <c r="Y351" s="10">
        <f>COUNT($Y340:Y350)+1</f>
        <v>11</v>
      </c>
      <c r="AB351" s="29" t="str">
        <f>AB$340&amp;"."&amp;Y351</f>
        <v>3.1.3.1.11</v>
      </c>
      <c r="AC351" s="294" t="s">
        <v>468</v>
      </c>
      <c r="AD351" s="51" t="s">
        <v>111</v>
      </c>
      <c r="AE351" s="72"/>
      <c r="AF351" s="178"/>
      <c r="AG351" s="74"/>
      <c r="AH351" s="72"/>
      <c r="AI351" s="178"/>
      <c r="AJ351" s="74"/>
      <c r="AK351" s="72">
        <v>60.11</v>
      </c>
      <c r="AL351" s="178"/>
      <c r="AM351" s="74">
        <v>66.14</v>
      </c>
      <c r="AN351" s="72">
        <v>1191.57</v>
      </c>
      <c r="AO351" s="178">
        <v>126.63</v>
      </c>
      <c r="AP351" s="138">
        <v>1311.11</v>
      </c>
      <c r="AQ351" s="72"/>
      <c r="AR351" s="178"/>
      <c r="AS351" s="138"/>
      <c r="AT351" s="72"/>
      <c r="AU351" s="178"/>
      <c r="AV351" s="138"/>
      <c r="AW351" s="72">
        <v>0</v>
      </c>
      <c r="AX351" s="178"/>
      <c r="AY351" s="138">
        <v>0</v>
      </c>
      <c r="AZ351" s="72"/>
      <c r="BA351" s="178"/>
      <c r="BB351" s="138"/>
      <c r="BC351" s="72"/>
      <c r="BD351" s="178"/>
      <c r="BE351" s="74"/>
      <c r="BF351" s="139"/>
      <c r="BG351" s="183"/>
      <c r="BH351" s="141"/>
      <c r="BI351" s="142"/>
      <c r="BJ351" s="183"/>
      <c r="BK351" s="143"/>
      <c r="BN351" s="125">
        <f t="shared" si="60"/>
        <v>1251.6799999999998</v>
      </c>
      <c r="BO351" s="126">
        <f t="shared" si="61"/>
        <v>126.63</v>
      </c>
      <c r="BP351" s="127">
        <f t="shared" si="62"/>
        <v>1377.25</v>
      </c>
    </row>
    <row r="352" spans="1:68" ht="14.25" hidden="1" customHeight="1" outlineLevel="4" x14ac:dyDescent="0.25">
      <c r="A352" s="76" t="b">
        <f>OR($AD$52="да",$U96&lt;&gt;"Водоснабжение")</f>
        <v>0</v>
      </c>
      <c r="B352" s="5" t="b">
        <f t="array" ref="B352">A352</f>
        <v>0</v>
      </c>
      <c r="C352" s="10" t="s">
        <v>83</v>
      </c>
      <c r="D352" s="10" t="s">
        <v>84</v>
      </c>
      <c r="E352" s="10" t="s">
        <v>73</v>
      </c>
      <c r="F352" s="10" t="s">
        <v>74</v>
      </c>
      <c r="G352" s="10" t="s">
        <v>469</v>
      </c>
      <c r="H352" s="10" t="s">
        <v>73</v>
      </c>
      <c r="I352" s="10" t="s">
        <v>73</v>
      </c>
      <c r="J352" s="10" t="s">
        <v>73</v>
      </c>
      <c r="K352" s="12" t="s">
        <v>73</v>
      </c>
      <c r="L352" s="10" t="s">
        <v>452</v>
      </c>
      <c r="M352" s="5" t="str">
        <f t="array" ref="M352">Y96</f>
        <v>1ХВС::1.1</v>
      </c>
      <c r="Y352" s="10">
        <f>COUNT($Y340:Y351)+1</f>
        <v>12</v>
      </c>
      <c r="Z352" s="6"/>
      <c r="AA352" s="6"/>
      <c r="AB352" s="29"/>
      <c r="AC352" s="153"/>
      <c r="AD352" s="51"/>
      <c r="AE352" s="72"/>
      <c r="AF352" s="73"/>
      <c r="AG352" s="74"/>
      <c r="AH352" s="72"/>
      <c r="AI352" s="73"/>
      <c r="AJ352" s="74"/>
      <c r="AK352" s="72"/>
      <c r="AL352" s="73"/>
      <c r="AM352" s="74"/>
      <c r="AN352" s="72"/>
      <c r="AO352" s="73"/>
      <c r="AP352" s="138"/>
      <c r="AQ352" s="72"/>
      <c r="AR352" s="73"/>
      <c r="AS352" s="138"/>
      <c r="AT352" s="72"/>
      <c r="AU352" s="73"/>
      <c r="AV352" s="138"/>
      <c r="AW352" s="72"/>
      <c r="AX352" s="73"/>
      <c r="AY352" s="138"/>
      <c r="AZ352" s="72"/>
      <c r="BA352" s="73"/>
      <c r="BB352" s="138"/>
      <c r="BC352" s="72"/>
      <c r="BD352" s="73"/>
      <c r="BE352" s="74"/>
      <c r="BF352" s="139"/>
      <c r="BG352" s="140"/>
      <c r="BH352" s="141"/>
      <c r="BI352" s="142"/>
      <c r="BJ352" s="140"/>
      <c r="BK352" s="143"/>
      <c r="BN352" s="125">
        <f t="shared" si="60"/>
        <v>0</v>
      </c>
      <c r="BO352" s="126">
        <f t="shared" si="61"/>
        <v>0</v>
      </c>
      <c r="BP352" s="127">
        <f t="shared" si="62"/>
        <v>0</v>
      </c>
    </row>
    <row r="353" spans="1:68" ht="14.25" customHeight="1" outlineLevel="3" x14ac:dyDescent="0.25">
      <c r="C353" s="10" t="s">
        <v>83</v>
      </c>
      <c r="D353" s="10" t="s">
        <v>84</v>
      </c>
      <c r="E353" s="10" t="s">
        <v>73</v>
      </c>
      <c r="F353" s="10" t="s">
        <v>74</v>
      </c>
      <c r="G353" s="10" t="s">
        <v>470</v>
      </c>
      <c r="H353" s="10" t="s">
        <v>73</v>
      </c>
      <c r="I353" s="10" t="s">
        <v>73</v>
      </c>
      <c r="J353" s="10" t="s">
        <v>73</v>
      </c>
      <c r="K353" s="12" t="s">
        <v>73</v>
      </c>
      <c r="L353" s="10" t="s">
        <v>452</v>
      </c>
      <c r="M353" s="5" t="str">
        <f t="array" ref="M353">Y96</f>
        <v>1ХВС::1.1</v>
      </c>
      <c r="AB353" s="65" t="str">
        <f>AB339&amp;".2"</f>
        <v>3.1.3.2</v>
      </c>
      <c r="AC353" s="92" t="s">
        <v>471</v>
      </c>
      <c r="AD353" s="51" t="s">
        <v>111</v>
      </c>
      <c r="AE353" s="72">
        <v>169974.245</v>
      </c>
      <c r="AF353" s="178">
        <v>208321.7</v>
      </c>
      <c r="AG353" s="74">
        <v>252644.98</v>
      </c>
      <c r="AH353" s="72">
        <v>104.01</v>
      </c>
      <c r="AI353" s="178">
        <v>332.07</v>
      </c>
      <c r="AJ353" s="74">
        <v>205.78</v>
      </c>
      <c r="AK353" s="72">
        <v>210.45</v>
      </c>
      <c r="AL353" s="178">
        <v>164</v>
      </c>
      <c r="AM353" s="74">
        <v>365.25</v>
      </c>
      <c r="AN353" s="72">
        <v>369.03</v>
      </c>
      <c r="AO353" s="178">
        <v>39.130000000000003</v>
      </c>
      <c r="AP353" s="138">
        <v>547.57000000000005</v>
      </c>
      <c r="AQ353" s="72">
        <v>320.27999999999997</v>
      </c>
      <c r="AR353" s="178">
        <v>20.77</v>
      </c>
      <c r="AS353" s="138">
        <v>368.33</v>
      </c>
      <c r="AT353" s="72">
        <v>6.24</v>
      </c>
      <c r="AU353" s="178">
        <v>1002.04</v>
      </c>
      <c r="AV353" s="138">
        <v>763.15</v>
      </c>
      <c r="AW353" s="72">
        <v>201.52</v>
      </c>
      <c r="AX353" s="178"/>
      <c r="AY353" s="138">
        <v>331.17</v>
      </c>
      <c r="AZ353" s="72">
        <v>802.79</v>
      </c>
      <c r="BA353" s="178">
        <v>1484.86</v>
      </c>
      <c r="BB353" s="138">
        <v>1747.39</v>
      </c>
      <c r="BC353" s="72">
        <v>31.26</v>
      </c>
      <c r="BD353" s="178">
        <v>3028.92</v>
      </c>
      <c r="BE353" s="74">
        <v>663.25</v>
      </c>
      <c r="BF353" s="139"/>
      <c r="BG353" s="183">
        <v>205</v>
      </c>
      <c r="BH353" s="141">
        <v>127.6</v>
      </c>
      <c r="BI353" s="142">
        <v>78.02</v>
      </c>
      <c r="BJ353" s="183">
        <v>299.3</v>
      </c>
      <c r="BK353" s="143">
        <v>144.16999999999999</v>
      </c>
      <c r="BN353" s="125">
        <f t="shared" si="60"/>
        <v>172097.845</v>
      </c>
      <c r="BO353" s="126">
        <f t="shared" si="61"/>
        <v>214897.79</v>
      </c>
      <c r="BP353" s="127">
        <f t="shared" si="62"/>
        <v>257908.64000000004</v>
      </c>
    </row>
    <row r="354" spans="1:68" ht="14.25" customHeight="1" outlineLevel="3" x14ac:dyDescent="0.25">
      <c r="C354" s="10" t="s">
        <v>83</v>
      </c>
      <c r="D354" s="10" t="s">
        <v>84</v>
      </c>
      <c r="E354" s="10" t="s">
        <v>73</v>
      </c>
      <c r="F354" s="10" t="s">
        <v>74</v>
      </c>
      <c r="G354" s="10" t="s">
        <v>472</v>
      </c>
      <c r="H354" s="10" t="s">
        <v>73</v>
      </c>
      <c r="I354" s="10" t="s">
        <v>73</v>
      </c>
      <c r="J354" s="10" t="s">
        <v>73</v>
      </c>
      <c r="K354" s="12" t="s">
        <v>73</v>
      </c>
      <c r="L354" s="10" t="s">
        <v>452</v>
      </c>
      <c r="M354" s="5" t="str">
        <f t="array" ref="M354">Y96</f>
        <v>1ХВС::1.1</v>
      </c>
      <c r="AB354" s="65" t="str">
        <f>AB339&amp;".3"</f>
        <v>3.1.3.3</v>
      </c>
      <c r="AC354" s="92" t="s">
        <v>473</v>
      </c>
      <c r="AD354" s="51" t="s">
        <v>111</v>
      </c>
      <c r="AE354" s="175">
        <f t="shared" ref="AE354:BK354" si="66">AE355+AE356+AE357+AE358+AE359+AE360+AE361+AE362+AE363</f>
        <v>89012.939999999988</v>
      </c>
      <c r="AF354" s="73">
        <f t="shared" si="66"/>
        <v>89725.03</v>
      </c>
      <c r="AG354" s="176">
        <f t="shared" si="66"/>
        <v>99288.78</v>
      </c>
      <c r="AH354" s="175">
        <f t="shared" si="66"/>
        <v>2688.38</v>
      </c>
      <c r="AI354" s="73">
        <f t="shared" si="66"/>
        <v>2361.7399999999998</v>
      </c>
      <c r="AJ354" s="176">
        <f t="shared" si="66"/>
        <v>2649.39</v>
      </c>
      <c r="AK354" s="175">
        <f t="shared" si="66"/>
        <v>6944.4440000000004</v>
      </c>
      <c r="AL354" s="73">
        <f t="shared" si="66"/>
        <v>3137.8399999999997</v>
      </c>
      <c r="AM354" s="179">
        <f t="shared" si="66"/>
        <v>6951.579999999999</v>
      </c>
      <c r="AN354" s="175">
        <f t="shared" si="66"/>
        <v>4237.5540000000001</v>
      </c>
      <c r="AO354" s="73">
        <f t="shared" si="66"/>
        <v>2295.63</v>
      </c>
      <c r="AP354" s="179">
        <f t="shared" si="66"/>
        <v>5574.91</v>
      </c>
      <c r="AQ354" s="175">
        <f t="shared" si="66"/>
        <v>500.53000000000003</v>
      </c>
      <c r="AR354" s="73">
        <f t="shared" si="66"/>
        <v>918.66000000000008</v>
      </c>
      <c r="AS354" s="179">
        <f t="shared" si="66"/>
        <v>974.97</v>
      </c>
      <c r="AT354" s="175">
        <f t="shared" si="66"/>
        <v>4525.8899999999994</v>
      </c>
      <c r="AU354" s="73">
        <f t="shared" si="66"/>
        <v>3749.72</v>
      </c>
      <c r="AV354" s="179">
        <f t="shared" si="66"/>
        <v>5761.99</v>
      </c>
      <c r="AW354" s="175">
        <f t="shared" si="66"/>
        <v>872.84</v>
      </c>
      <c r="AX354" s="73">
        <f t="shared" si="66"/>
        <v>1055.8399999999999</v>
      </c>
      <c r="AY354" s="179">
        <f t="shared" si="66"/>
        <v>864.47500000000002</v>
      </c>
      <c r="AZ354" s="175">
        <f t="shared" si="66"/>
        <v>4081.1760000000004</v>
      </c>
      <c r="BA354" s="73">
        <f t="shared" si="66"/>
        <v>2419.5100000000002</v>
      </c>
      <c r="BB354" s="179">
        <f t="shared" si="66"/>
        <v>4451.72</v>
      </c>
      <c r="BC354" s="175">
        <f t="shared" si="66"/>
        <v>6243.9459999999999</v>
      </c>
      <c r="BD354" s="73">
        <f t="shared" si="66"/>
        <v>5359.2099999999991</v>
      </c>
      <c r="BE354" s="179">
        <f t="shared" si="66"/>
        <v>7353.23</v>
      </c>
      <c r="BF354" s="175">
        <f t="shared" si="66"/>
        <v>447.96999999999997</v>
      </c>
      <c r="BG354" s="73">
        <f t="shared" si="66"/>
        <v>300.7</v>
      </c>
      <c r="BH354" s="179">
        <f t="shared" si="66"/>
        <v>299.41799999999995</v>
      </c>
      <c r="BI354" s="175">
        <f t="shared" si="66"/>
        <v>186.97</v>
      </c>
      <c r="BJ354" s="73">
        <f t="shared" si="66"/>
        <v>181.56</v>
      </c>
      <c r="BK354" s="176">
        <f t="shared" si="66"/>
        <v>167.64000000000001</v>
      </c>
      <c r="BN354" s="125">
        <f t="shared" si="60"/>
        <v>119742.64</v>
      </c>
      <c r="BO354" s="126">
        <f t="shared" si="61"/>
        <v>111505.43999999999</v>
      </c>
      <c r="BP354" s="127">
        <f t="shared" si="62"/>
        <v>134338.10300000003</v>
      </c>
    </row>
    <row r="355" spans="1:68" ht="14.25" hidden="1" customHeight="1" outlineLevel="4" x14ac:dyDescent="0.25">
      <c r="C355" s="10" t="s">
        <v>83</v>
      </c>
      <c r="D355" s="10" t="s">
        <v>84</v>
      </c>
      <c r="E355" s="10" t="s">
        <v>73</v>
      </c>
      <c r="F355" s="10" t="s">
        <v>74</v>
      </c>
      <c r="G355" s="10" t="s">
        <v>474</v>
      </c>
      <c r="H355" s="10" t="s">
        <v>73</v>
      </c>
      <c r="I355" s="10" t="s">
        <v>73</v>
      </c>
      <c r="J355" s="10" t="s">
        <v>73</v>
      </c>
      <c r="K355" s="12" t="s">
        <v>73</v>
      </c>
      <c r="L355" s="10" t="s">
        <v>452</v>
      </c>
      <c r="M355" s="5" t="str">
        <f t="array" ref="M355">Y96</f>
        <v>1ХВС::1.1</v>
      </c>
      <c r="Y355" s="10">
        <v>1</v>
      </c>
      <c r="AB355" s="29" t="str">
        <f t="shared" ref="AB355:AB363" si="67">AB$354&amp;"."&amp;Y355</f>
        <v>3.1.3.3.1</v>
      </c>
      <c r="AC355" s="294" t="s">
        <v>474</v>
      </c>
      <c r="AD355" s="51" t="s">
        <v>111</v>
      </c>
      <c r="AE355" s="72"/>
      <c r="AF355" s="178"/>
      <c r="AG355" s="74"/>
      <c r="AH355" s="72"/>
      <c r="AI355" s="178"/>
      <c r="AJ355" s="74"/>
      <c r="AK355" s="72"/>
      <c r="AL355" s="178"/>
      <c r="AM355" s="74"/>
      <c r="AN355" s="72"/>
      <c r="AO355" s="178"/>
      <c r="AP355" s="138"/>
      <c r="AQ355" s="72"/>
      <c r="AR355" s="178"/>
      <c r="AS355" s="138"/>
      <c r="AT355" s="72"/>
      <c r="AU355" s="178"/>
      <c r="AV355" s="138"/>
      <c r="AW355" s="72">
        <v>0</v>
      </c>
      <c r="AX355" s="178"/>
      <c r="AY355" s="138">
        <v>0</v>
      </c>
      <c r="AZ355" s="72"/>
      <c r="BA355" s="178"/>
      <c r="BB355" s="138"/>
      <c r="BC355" s="72"/>
      <c r="BD355" s="178"/>
      <c r="BE355" s="74"/>
      <c r="BF355" s="139"/>
      <c r="BG355" s="183"/>
      <c r="BH355" s="141"/>
      <c r="BI355" s="142"/>
      <c r="BJ355" s="183"/>
      <c r="BK355" s="143"/>
      <c r="BN355" s="125">
        <f t="shared" si="60"/>
        <v>0</v>
      </c>
      <c r="BO355" s="126">
        <f t="shared" si="61"/>
        <v>0</v>
      </c>
      <c r="BP355" s="127">
        <f t="shared" si="62"/>
        <v>0</v>
      </c>
    </row>
    <row r="356" spans="1:68" ht="14.25" customHeight="1" outlineLevel="4" x14ac:dyDescent="0.25">
      <c r="C356" s="10" t="s">
        <v>83</v>
      </c>
      <c r="D356" s="10" t="s">
        <v>84</v>
      </c>
      <c r="E356" s="10" t="s">
        <v>73</v>
      </c>
      <c r="F356" s="10" t="s">
        <v>74</v>
      </c>
      <c r="G356" s="10" t="s">
        <v>475</v>
      </c>
      <c r="H356" s="10" t="s">
        <v>73</v>
      </c>
      <c r="I356" s="10" t="s">
        <v>73</v>
      </c>
      <c r="J356" s="10" t="s">
        <v>73</v>
      </c>
      <c r="K356" s="12" t="s">
        <v>73</v>
      </c>
      <c r="L356" s="10" t="s">
        <v>452</v>
      </c>
      <c r="M356" s="5" t="str">
        <f t="array" ref="M356">Y96</f>
        <v>1ХВС::1.1</v>
      </c>
      <c r="Y356" s="10">
        <f>COUNT($Y355:Y355)+1</f>
        <v>2</v>
      </c>
      <c r="AB356" s="29" t="str">
        <f t="shared" si="67"/>
        <v>3.1.3.3.2</v>
      </c>
      <c r="AC356" s="294" t="s">
        <v>475</v>
      </c>
      <c r="AD356" s="51" t="s">
        <v>111</v>
      </c>
      <c r="AE356" s="72">
        <v>61939.93</v>
      </c>
      <c r="AF356" s="178">
        <v>56138.94</v>
      </c>
      <c r="AG356" s="74">
        <v>60756.24</v>
      </c>
      <c r="AH356" s="72">
        <v>2432.9</v>
      </c>
      <c r="AI356" s="178">
        <v>2070.25</v>
      </c>
      <c r="AJ356" s="74">
        <v>2332.12</v>
      </c>
      <c r="AK356" s="72">
        <v>6189.7539999999999</v>
      </c>
      <c r="AL356" s="178">
        <v>2341.71</v>
      </c>
      <c r="AM356" s="74">
        <v>5806.78</v>
      </c>
      <c r="AN356" s="72">
        <v>2057.4299999999998</v>
      </c>
      <c r="AO356" s="178">
        <f>463.68+3.23</f>
        <v>466.91</v>
      </c>
      <c r="AP356" s="138">
        <v>3213.98</v>
      </c>
      <c r="AQ356" s="72">
        <v>57.11</v>
      </c>
      <c r="AR356" s="178">
        <v>500.98</v>
      </c>
      <c r="AS356" s="138">
        <v>634.91999999999996</v>
      </c>
      <c r="AT356" s="72">
        <v>1218.17</v>
      </c>
      <c r="AU356" s="178">
        <v>1276.54</v>
      </c>
      <c r="AV356" s="138">
        <v>1559.34</v>
      </c>
      <c r="AW356" s="72">
        <v>86.68</v>
      </c>
      <c r="AX356" s="178">
        <v>717</v>
      </c>
      <c r="AY356" s="138">
        <v>77.709999999999994</v>
      </c>
      <c r="AZ356" s="72">
        <v>1195.99</v>
      </c>
      <c r="BA356" s="178">
        <v>1113.3699999999999</v>
      </c>
      <c r="BB356" s="138">
        <v>2284.9</v>
      </c>
      <c r="BC356" s="72">
        <v>2955.7820000000002</v>
      </c>
      <c r="BD356" s="178">
        <v>2108.7399999999998</v>
      </c>
      <c r="BE356" s="74">
        <v>3391.6</v>
      </c>
      <c r="BF356" s="139">
        <v>250.93</v>
      </c>
      <c r="BG356" s="183">
        <v>232.07</v>
      </c>
      <c r="BH356" s="141">
        <v>216.114</v>
      </c>
      <c r="BI356" s="142">
        <v>25.99</v>
      </c>
      <c r="BJ356" s="183">
        <v>22.59</v>
      </c>
      <c r="BK356" s="143">
        <v>24.49</v>
      </c>
      <c r="BN356" s="125">
        <f t="shared" si="60"/>
        <v>78410.665999999997</v>
      </c>
      <c r="BO356" s="126">
        <f t="shared" si="61"/>
        <v>66989.10000000002</v>
      </c>
      <c r="BP356" s="127">
        <f t="shared" si="62"/>
        <v>80298.194000000003</v>
      </c>
    </row>
    <row r="357" spans="1:68" ht="14.25" hidden="1" customHeight="1" outlineLevel="4" x14ac:dyDescent="0.25">
      <c r="C357" s="10" t="s">
        <v>83</v>
      </c>
      <c r="D357" s="10" t="s">
        <v>84</v>
      </c>
      <c r="E357" s="10" t="s">
        <v>73</v>
      </c>
      <c r="F357" s="10" t="s">
        <v>74</v>
      </c>
      <c r="G357" s="10" t="s">
        <v>476</v>
      </c>
      <c r="H357" s="10" t="s">
        <v>73</v>
      </c>
      <c r="I357" s="10" t="s">
        <v>73</v>
      </c>
      <c r="J357" s="10" t="s">
        <v>73</v>
      </c>
      <c r="K357" s="12" t="s">
        <v>73</v>
      </c>
      <c r="L357" s="10" t="s">
        <v>452</v>
      </c>
      <c r="M357" s="5" t="str">
        <f t="array" ref="M357">Y96</f>
        <v>1ХВС::1.1</v>
      </c>
      <c r="Y357" s="10">
        <f>COUNT($Y355:Y356)+1</f>
        <v>3</v>
      </c>
      <c r="AB357" s="29" t="str">
        <f t="shared" si="67"/>
        <v>3.1.3.3.3</v>
      </c>
      <c r="AC357" s="294" t="s">
        <v>476</v>
      </c>
      <c r="AD357" s="51" t="s">
        <v>111</v>
      </c>
      <c r="AE357" s="72"/>
      <c r="AF357" s="178"/>
      <c r="AG357" s="74"/>
      <c r="AH357" s="72"/>
      <c r="AI357" s="178"/>
      <c r="AJ357" s="74"/>
      <c r="AK357" s="72"/>
      <c r="AL357" s="178"/>
      <c r="AM357" s="74"/>
      <c r="AN357" s="72"/>
      <c r="AO357" s="178"/>
      <c r="AP357" s="138"/>
      <c r="AQ357" s="72"/>
      <c r="AR357" s="178"/>
      <c r="AS357" s="138"/>
      <c r="AT357" s="72"/>
      <c r="AU357" s="178"/>
      <c r="AV357" s="138"/>
      <c r="AW357" s="72">
        <v>0</v>
      </c>
      <c r="AX357" s="178"/>
      <c r="AY357" s="138">
        <v>0</v>
      </c>
      <c r="AZ357" s="72"/>
      <c r="BA357" s="178"/>
      <c r="BB357" s="138"/>
      <c r="BC357" s="72"/>
      <c r="BD357" s="178"/>
      <c r="BE357" s="74"/>
      <c r="BF357" s="139"/>
      <c r="BG357" s="183"/>
      <c r="BH357" s="141"/>
      <c r="BI357" s="142"/>
      <c r="BJ357" s="183"/>
      <c r="BK357" s="143"/>
      <c r="BN357" s="125">
        <f t="shared" ref="BN357:BN380" si="68">AE357+AH357+AK357+AN357+AQ357+AT357+AW357+AZ357+BC357+BF357+BI357</f>
        <v>0</v>
      </c>
      <c r="BO357" s="126">
        <f t="shared" ref="BO357:BO380" si="69">AF357+AI357+AL357+AO357+AR357+AU357+AX357+BA357+BD357+BG357+BJ357</f>
        <v>0</v>
      </c>
      <c r="BP357" s="127">
        <f t="shared" ref="BP357:BP380" si="70">AG357+AJ357+AM357+AP357+AS357+AV357+AY357+BB357+BE357+BH357+BK357</f>
        <v>0</v>
      </c>
    </row>
    <row r="358" spans="1:68" ht="14.25" customHeight="1" outlineLevel="4" x14ac:dyDescent="0.25">
      <c r="A358" s="10" t="b">
        <f>$U96="Водоснабжение"</f>
        <v>1</v>
      </c>
      <c r="B358" s="5" t="b">
        <f t="array" ref="B358">A358</f>
        <v>1</v>
      </c>
      <c r="C358" s="10" t="s">
        <v>83</v>
      </c>
      <c r="D358" s="10" t="s">
        <v>84</v>
      </c>
      <c r="E358" s="10" t="s">
        <v>73</v>
      </c>
      <c r="F358" s="10" t="s">
        <v>74</v>
      </c>
      <c r="G358" s="10" t="s">
        <v>477</v>
      </c>
      <c r="H358" s="10" t="s">
        <v>73</v>
      </c>
      <c r="I358" s="10" t="s">
        <v>73</v>
      </c>
      <c r="J358" s="10" t="s">
        <v>73</v>
      </c>
      <c r="K358" s="12" t="s">
        <v>73</v>
      </c>
      <c r="L358" s="10" t="s">
        <v>452</v>
      </c>
      <c r="M358" s="5" t="str">
        <f t="array" ref="M358">Y96</f>
        <v>1ХВС::1.1</v>
      </c>
      <c r="Y358" s="10">
        <f>COUNT($Y355:Y357)+1</f>
        <v>4</v>
      </c>
      <c r="AB358" s="29" t="str">
        <f t="shared" si="67"/>
        <v>3.1.3.3.4</v>
      </c>
      <c r="AC358" s="294" t="s">
        <v>477</v>
      </c>
      <c r="AD358" s="51" t="s">
        <v>111</v>
      </c>
      <c r="AE358" s="72">
        <v>7042.5</v>
      </c>
      <c r="AF358" s="178">
        <v>8971.5499999999993</v>
      </c>
      <c r="AG358" s="74">
        <v>13845.57</v>
      </c>
      <c r="AH358" s="72">
        <v>255.48</v>
      </c>
      <c r="AI358" s="178">
        <v>291.49</v>
      </c>
      <c r="AJ358" s="74">
        <v>317.27</v>
      </c>
      <c r="AK358" s="72">
        <v>739.51</v>
      </c>
      <c r="AL358" s="178">
        <v>793.14</v>
      </c>
      <c r="AM358" s="74">
        <v>1126.0999999999999</v>
      </c>
      <c r="AN358" s="72">
        <v>2180.1239999999998</v>
      </c>
      <c r="AO358" s="178">
        <f>1550.01+278.71</f>
        <v>1828.72</v>
      </c>
      <c r="AP358" s="138">
        <v>2360.9299999999998</v>
      </c>
      <c r="AQ358" s="72">
        <v>443.42</v>
      </c>
      <c r="AR358" s="178">
        <v>417.68</v>
      </c>
      <c r="AS358" s="138">
        <v>340.05</v>
      </c>
      <c r="AT358" s="72">
        <v>3307.72</v>
      </c>
      <c r="AU358" s="178">
        <v>2458.12</v>
      </c>
      <c r="AV358" s="138">
        <v>4202.6499999999996</v>
      </c>
      <c r="AW358" s="72">
        <v>767.27</v>
      </c>
      <c r="AX358" s="178">
        <v>338.84</v>
      </c>
      <c r="AY358" s="138">
        <v>767.875</v>
      </c>
      <c r="AZ358" s="72">
        <v>2871.94</v>
      </c>
      <c r="BA358" s="178">
        <v>1301.3900000000001</v>
      </c>
      <c r="BB358" s="138">
        <v>2150.5700000000002</v>
      </c>
      <c r="BC358" s="72">
        <v>3222.8519999999999</v>
      </c>
      <c r="BD358" s="178">
        <v>3250.47</v>
      </c>
      <c r="BE358" s="74">
        <v>3961.63</v>
      </c>
      <c r="BF358" s="139">
        <v>190.33</v>
      </c>
      <c r="BG358" s="183">
        <v>68.63</v>
      </c>
      <c r="BH358" s="141">
        <v>76.593999999999994</v>
      </c>
      <c r="BI358" s="142">
        <v>160.97999999999999</v>
      </c>
      <c r="BJ358" s="183">
        <v>158.97</v>
      </c>
      <c r="BK358" s="143">
        <v>143.15</v>
      </c>
      <c r="BN358" s="125">
        <f t="shared" si="68"/>
        <v>21182.126</v>
      </c>
      <c r="BO358" s="126">
        <f t="shared" si="69"/>
        <v>19879</v>
      </c>
      <c r="BP358" s="127">
        <f t="shared" si="70"/>
        <v>29292.389000000003</v>
      </c>
    </row>
    <row r="359" spans="1:68" ht="14.25" customHeight="1" outlineLevel="4" x14ac:dyDescent="0.25">
      <c r="A359" s="10" t="b">
        <f t="array" ref="A359">A358</f>
        <v>1</v>
      </c>
      <c r="B359" s="5" t="b">
        <f t="array" ref="B359">A359</f>
        <v>1</v>
      </c>
      <c r="C359" s="10" t="s">
        <v>83</v>
      </c>
      <c r="D359" s="10" t="s">
        <v>84</v>
      </c>
      <c r="E359" s="10" t="s">
        <v>73</v>
      </c>
      <c r="F359" s="10" t="s">
        <v>74</v>
      </c>
      <c r="G359" s="10" t="s">
        <v>478</v>
      </c>
      <c r="H359" s="10" t="s">
        <v>73</v>
      </c>
      <c r="I359" s="10" t="s">
        <v>73</v>
      </c>
      <c r="J359" s="10" t="s">
        <v>73</v>
      </c>
      <c r="K359" s="12" t="s">
        <v>73</v>
      </c>
      <c r="L359" s="10" t="s">
        <v>452</v>
      </c>
      <c r="M359" s="5" t="str">
        <f t="array" ref="M359">Y96</f>
        <v>1ХВС::1.1</v>
      </c>
      <c r="Y359" s="10">
        <f>COUNT($Y355:Y358)+1</f>
        <v>5</v>
      </c>
      <c r="AB359" s="29" t="str">
        <f t="shared" si="67"/>
        <v>3.1.3.3.5</v>
      </c>
      <c r="AC359" s="294" t="s">
        <v>478</v>
      </c>
      <c r="AD359" s="51" t="s">
        <v>111</v>
      </c>
      <c r="AE359" s="72">
        <v>19492.62</v>
      </c>
      <c r="AF359" s="178">
        <v>24031.599999999999</v>
      </c>
      <c r="AG359" s="74">
        <v>24169.88</v>
      </c>
      <c r="AH359" s="72"/>
      <c r="AI359" s="178"/>
      <c r="AJ359" s="74"/>
      <c r="AK359" s="72"/>
      <c r="AL359" s="178"/>
      <c r="AM359" s="74"/>
      <c r="AN359" s="72"/>
      <c r="AO359" s="178"/>
      <c r="AP359" s="138"/>
      <c r="AQ359" s="72"/>
      <c r="AR359" s="178"/>
      <c r="AS359" s="138"/>
      <c r="AT359" s="72"/>
      <c r="AU359" s="178"/>
      <c r="AV359" s="138"/>
      <c r="AW359" s="72">
        <v>0.01</v>
      </c>
      <c r="AX359" s="178"/>
      <c r="AY359" s="138">
        <v>0.01</v>
      </c>
      <c r="AZ359" s="72"/>
      <c r="BA359" s="178"/>
      <c r="BB359" s="138"/>
      <c r="BC359" s="72"/>
      <c r="BD359" s="178"/>
      <c r="BE359" s="74"/>
      <c r="BF359" s="139"/>
      <c r="BG359" s="183"/>
      <c r="BH359" s="141"/>
      <c r="BI359" s="142"/>
      <c r="BJ359" s="183"/>
      <c r="BK359" s="143"/>
      <c r="BN359" s="125">
        <f t="shared" si="68"/>
        <v>19492.629999999997</v>
      </c>
      <c r="BO359" s="126">
        <f t="shared" si="69"/>
        <v>24031.599999999999</v>
      </c>
      <c r="BP359" s="127">
        <f t="shared" si="70"/>
        <v>24169.89</v>
      </c>
    </row>
    <row r="360" spans="1:68" ht="14.25" customHeight="1" outlineLevel="4" x14ac:dyDescent="0.25">
      <c r="C360" s="10" t="s">
        <v>83</v>
      </c>
      <c r="D360" s="10" t="s">
        <v>84</v>
      </c>
      <c r="E360" s="10" t="s">
        <v>73</v>
      </c>
      <c r="F360" s="10" t="s">
        <v>74</v>
      </c>
      <c r="G360" s="10" t="s">
        <v>479</v>
      </c>
      <c r="H360" s="10" t="s">
        <v>73</v>
      </c>
      <c r="I360" s="10" t="s">
        <v>73</v>
      </c>
      <c r="J360" s="10" t="s">
        <v>73</v>
      </c>
      <c r="K360" s="12" t="s">
        <v>73</v>
      </c>
      <c r="L360" s="10" t="s">
        <v>452</v>
      </c>
      <c r="M360" s="5" t="str">
        <f t="array" ref="M360">Y96</f>
        <v>1ХВС::1.1</v>
      </c>
      <c r="Y360" s="10">
        <f>COUNT($Y355:Y359)+1</f>
        <v>6</v>
      </c>
      <c r="AB360" s="29" t="str">
        <f t="shared" si="67"/>
        <v>3.1.3.3.6</v>
      </c>
      <c r="AC360" s="294" t="s">
        <v>479</v>
      </c>
      <c r="AD360" s="51" t="s">
        <v>111</v>
      </c>
      <c r="AE360" s="72">
        <v>517.09</v>
      </c>
      <c r="AF360" s="178">
        <v>500.49</v>
      </c>
      <c r="AG360" s="74">
        <v>517.09</v>
      </c>
      <c r="AH360" s="72"/>
      <c r="AI360" s="178"/>
      <c r="AJ360" s="74"/>
      <c r="AK360" s="72">
        <v>15.18</v>
      </c>
      <c r="AL360" s="178">
        <v>2.99</v>
      </c>
      <c r="AM360" s="74">
        <v>18.7</v>
      </c>
      <c r="AN360" s="72"/>
      <c r="AO360" s="178"/>
      <c r="AP360" s="138"/>
      <c r="AQ360" s="72"/>
      <c r="AR360" s="178"/>
      <c r="AS360" s="138"/>
      <c r="AT360" s="72"/>
      <c r="AU360" s="178">
        <v>15.06</v>
      </c>
      <c r="AV360" s="138"/>
      <c r="AW360" s="72">
        <v>18.88</v>
      </c>
      <c r="AX360" s="178"/>
      <c r="AY360" s="138">
        <v>18.88</v>
      </c>
      <c r="AZ360" s="72">
        <v>13.246</v>
      </c>
      <c r="BA360" s="178">
        <v>4.75</v>
      </c>
      <c r="BB360" s="138">
        <v>16.25</v>
      </c>
      <c r="BC360" s="72">
        <v>65.311999999999998</v>
      </c>
      <c r="BD360" s="178"/>
      <c r="BE360" s="74"/>
      <c r="BF360" s="139">
        <v>6.71</v>
      </c>
      <c r="BG360" s="183"/>
      <c r="BH360" s="141">
        <v>6.71</v>
      </c>
      <c r="BI360" s="142"/>
      <c r="BJ360" s="183"/>
      <c r="BK360" s="143"/>
      <c r="BN360" s="125">
        <f t="shared" si="68"/>
        <v>636.41800000000001</v>
      </c>
      <c r="BO360" s="126">
        <f t="shared" si="69"/>
        <v>523.29</v>
      </c>
      <c r="BP360" s="127">
        <f t="shared" si="70"/>
        <v>577.63000000000011</v>
      </c>
    </row>
    <row r="361" spans="1:68" ht="15" customHeight="1" outlineLevel="4" x14ac:dyDescent="0.25">
      <c r="C361" s="10" t="s">
        <v>83</v>
      </c>
      <c r="D361" s="10" t="s">
        <v>84</v>
      </c>
      <c r="E361" s="10" t="s">
        <v>73</v>
      </c>
      <c r="F361" s="10" t="s">
        <v>74</v>
      </c>
      <c r="G361" s="10" t="s">
        <v>480</v>
      </c>
      <c r="H361" s="10" t="s">
        <v>73</v>
      </c>
      <c r="I361" s="10" t="s">
        <v>73</v>
      </c>
      <c r="J361" s="10" t="s">
        <v>73</v>
      </c>
      <c r="K361" s="12" t="s">
        <v>73</v>
      </c>
      <c r="L361" s="10" t="s">
        <v>452</v>
      </c>
      <c r="M361" s="5" t="str">
        <f t="array" ref="M361">Y96</f>
        <v>1ХВС::1.1</v>
      </c>
      <c r="Y361" s="10">
        <f>COUNT($Y355:Y360)+1</f>
        <v>7</v>
      </c>
      <c r="AB361" s="29" t="str">
        <f t="shared" si="67"/>
        <v>3.1.3.3.7</v>
      </c>
      <c r="AC361" s="294" t="s">
        <v>480</v>
      </c>
      <c r="AD361" s="51" t="s">
        <v>111</v>
      </c>
      <c r="AE361" s="72">
        <v>20.8</v>
      </c>
      <c r="AF361" s="178">
        <v>82.45</v>
      </c>
      <c r="AG361" s="74"/>
      <c r="AH361" s="72"/>
      <c r="AI361" s="178"/>
      <c r="AJ361" s="74"/>
      <c r="AK361" s="72"/>
      <c r="AL361" s="178"/>
      <c r="AM361" s="74"/>
      <c r="AN361" s="72"/>
      <c r="AO361" s="178"/>
      <c r="AP361" s="138"/>
      <c r="AQ361" s="72"/>
      <c r="AR361" s="178"/>
      <c r="AS361" s="138"/>
      <c r="AT361" s="72"/>
      <c r="AU361" s="178"/>
      <c r="AV361" s="138"/>
      <c r="AW361" s="72">
        <v>0</v>
      </c>
      <c r="AX361" s="178"/>
      <c r="AY361" s="138">
        <v>0</v>
      </c>
      <c r="AZ361" s="72"/>
      <c r="BA361" s="178"/>
      <c r="BB361" s="138"/>
      <c r="BC361" s="72"/>
      <c r="BD361" s="178"/>
      <c r="BE361" s="74"/>
      <c r="BF361" s="139"/>
      <c r="BG361" s="183"/>
      <c r="BH361" s="141"/>
      <c r="BI361" s="142"/>
      <c r="BJ361" s="183"/>
      <c r="BK361" s="143"/>
      <c r="BN361" s="125">
        <f t="shared" si="68"/>
        <v>20.8</v>
      </c>
      <c r="BO361" s="126">
        <f t="shared" si="69"/>
        <v>82.45</v>
      </c>
      <c r="BP361" s="127">
        <f t="shared" si="70"/>
        <v>0</v>
      </c>
    </row>
    <row r="362" spans="1:68" ht="14.25" hidden="1" customHeight="1" outlineLevel="4" x14ac:dyDescent="0.25">
      <c r="C362" s="10" t="s">
        <v>83</v>
      </c>
      <c r="D362" s="10" t="s">
        <v>84</v>
      </c>
      <c r="E362" s="10" t="s">
        <v>73</v>
      </c>
      <c r="F362" s="10" t="s">
        <v>74</v>
      </c>
      <c r="G362" s="10" t="s">
        <v>481</v>
      </c>
      <c r="H362" s="10" t="s">
        <v>73</v>
      </c>
      <c r="I362" s="10" t="s">
        <v>73</v>
      </c>
      <c r="J362" s="10" t="s">
        <v>73</v>
      </c>
      <c r="K362" s="12" t="s">
        <v>73</v>
      </c>
      <c r="L362" s="10" t="s">
        <v>452</v>
      </c>
      <c r="M362" s="5" t="str">
        <f t="array" ref="M362">Y96</f>
        <v>1ХВС::1.1</v>
      </c>
      <c r="Y362" s="10">
        <f>COUNT($Y355:Y361)+1</f>
        <v>8</v>
      </c>
      <c r="AB362" s="29" t="str">
        <f t="shared" si="67"/>
        <v>3.1.3.3.8</v>
      </c>
      <c r="AC362" s="294" t="s">
        <v>481</v>
      </c>
      <c r="AD362" s="51" t="s">
        <v>111</v>
      </c>
      <c r="AE362" s="72"/>
      <c r="AF362" s="178"/>
      <c r="AG362" s="74"/>
      <c r="AH362" s="72"/>
      <c r="AI362" s="178"/>
      <c r="AJ362" s="74"/>
      <c r="AK362" s="72"/>
      <c r="AL362" s="178"/>
      <c r="AM362" s="74"/>
      <c r="AN362" s="72"/>
      <c r="AO362" s="178"/>
      <c r="AP362" s="138"/>
      <c r="AQ362" s="72"/>
      <c r="AR362" s="178"/>
      <c r="AS362" s="138"/>
      <c r="AT362" s="72"/>
      <c r="AU362" s="178"/>
      <c r="AV362" s="138"/>
      <c r="AW362" s="72">
        <v>0</v>
      </c>
      <c r="AX362" s="178"/>
      <c r="AY362" s="138">
        <v>0</v>
      </c>
      <c r="AZ362" s="72"/>
      <c r="BA362" s="178"/>
      <c r="BB362" s="138"/>
      <c r="BC362" s="72"/>
      <c r="BD362" s="178"/>
      <c r="BE362" s="74"/>
      <c r="BF362" s="139"/>
      <c r="BG362" s="183"/>
      <c r="BH362" s="141"/>
      <c r="BI362" s="142"/>
      <c r="BJ362" s="183"/>
      <c r="BK362" s="143"/>
      <c r="BN362" s="125">
        <f t="shared" si="68"/>
        <v>0</v>
      </c>
      <c r="BO362" s="126">
        <f t="shared" si="69"/>
        <v>0</v>
      </c>
      <c r="BP362" s="127">
        <f t="shared" si="70"/>
        <v>0</v>
      </c>
    </row>
    <row r="363" spans="1:68" ht="14.25" hidden="1" customHeight="1" outlineLevel="4" x14ac:dyDescent="0.25">
      <c r="C363" s="10" t="s">
        <v>83</v>
      </c>
      <c r="D363" s="10" t="s">
        <v>84</v>
      </c>
      <c r="E363" s="10" t="s">
        <v>73</v>
      </c>
      <c r="F363" s="10" t="s">
        <v>74</v>
      </c>
      <c r="G363" s="10" t="s">
        <v>482</v>
      </c>
      <c r="H363" s="10" t="s">
        <v>73</v>
      </c>
      <c r="I363" s="10" t="s">
        <v>73</v>
      </c>
      <c r="J363" s="10" t="s">
        <v>73</v>
      </c>
      <c r="K363" s="12" t="s">
        <v>73</v>
      </c>
      <c r="L363" s="10" t="s">
        <v>452</v>
      </c>
      <c r="M363" s="5" t="str">
        <f t="array" ref="M363">Y96</f>
        <v>1ХВС::1.1</v>
      </c>
      <c r="Y363" s="10">
        <f>COUNT($Y355:Y362)+1</f>
        <v>9</v>
      </c>
      <c r="AB363" s="29" t="str">
        <f t="shared" si="67"/>
        <v>3.1.3.3.9</v>
      </c>
      <c r="AC363" s="294" t="s">
        <v>483</v>
      </c>
      <c r="AD363" s="51" t="s">
        <v>111</v>
      </c>
      <c r="AE363" s="72"/>
      <c r="AF363" s="178"/>
      <c r="AG363" s="74"/>
      <c r="AH363" s="72"/>
      <c r="AI363" s="178"/>
      <c r="AJ363" s="74"/>
      <c r="AK363" s="72"/>
      <c r="AL363" s="178"/>
      <c r="AM363" s="74"/>
      <c r="AN363" s="72"/>
      <c r="AO363" s="178"/>
      <c r="AP363" s="138"/>
      <c r="AQ363" s="72"/>
      <c r="AR363" s="178"/>
      <c r="AS363" s="138"/>
      <c r="AT363" s="72"/>
      <c r="AU363" s="178"/>
      <c r="AV363" s="138"/>
      <c r="AW363" s="72">
        <v>0</v>
      </c>
      <c r="AX363" s="178"/>
      <c r="AY363" s="138">
        <v>0</v>
      </c>
      <c r="AZ363" s="72"/>
      <c r="BA363" s="178"/>
      <c r="BB363" s="138"/>
      <c r="BC363" s="72"/>
      <c r="BD363" s="178"/>
      <c r="BE363" s="74"/>
      <c r="BF363" s="139"/>
      <c r="BG363" s="183"/>
      <c r="BH363" s="141"/>
      <c r="BI363" s="142"/>
      <c r="BJ363" s="183"/>
      <c r="BK363" s="143"/>
      <c r="BN363" s="125">
        <f t="shared" si="68"/>
        <v>0</v>
      </c>
      <c r="BO363" s="126">
        <f t="shared" si="69"/>
        <v>0</v>
      </c>
      <c r="BP363" s="127">
        <f t="shared" si="70"/>
        <v>0</v>
      </c>
    </row>
    <row r="364" spans="1:68" ht="33" customHeight="1" outlineLevel="3" x14ac:dyDescent="0.25">
      <c r="C364" s="10" t="s">
        <v>83</v>
      </c>
      <c r="D364" s="10" t="s">
        <v>84</v>
      </c>
      <c r="E364" s="10" t="s">
        <v>73</v>
      </c>
      <c r="F364" s="10" t="s">
        <v>74</v>
      </c>
      <c r="G364" s="10" t="s">
        <v>484</v>
      </c>
      <c r="H364" s="10" t="s">
        <v>73</v>
      </c>
      <c r="I364" s="10" t="s">
        <v>73</v>
      </c>
      <c r="J364" s="10" t="s">
        <v>73</v>
      </c>
      <c r="K364" s="12" t="s">
        <v>73</v>
      </c>
      <c r="L364" s="10" t="s">
        <v>407</v>
      </c>
      <c r="M364" s="5" t="str">
        <f t="array" ref="M364">Y96</f>
        <v>1ХВС::1.1</v>
      </c>
      <c r="AB364" s="65" t="str">
        <f>AB339&amp;".4"</f>
        <v>3.1.3.4</v>
      </c>
      <c r="AC364" s="92" t="s">
        <v>485</v>
      </c>
      <c r="AD364" s="51" t="s">
        <v>111</v>
      </c>
      <c r="AE364" s="72">
        <f t="shared" ref="AE364:AQ364" si="71">AE365+AE368+AE369+AE370</f>
        <v>19390.21</v>
      </c>
      <c r="AF364" s="73">
        <f t="shared" si="71"/>
        <v>5066.4100000000017</v>
      </c>
      <c r="AG364" s="74">
        <f t="shared" si="71"/>
        <v>19390.21</v>
      </c>
      <c r="AH364" s="72">
        <f t="shared" si="71"/>
        <v>186.35</v>
      </c>
      <c r="AI364" s="73">
        <f t="shared" si="71"/>
        <v>0</v>
      </c>
      <c r="AJ364" s="74">
        <f t="shared" si="71"/>
        <v>186.35</v>
      </c>
      <c r="AK364" s="72">
        <f t="shared" si="71"/>
        <v>416.76</v>
      </c>
      <c r="AL364" s="73">
        <f t="shared" si="71"/>
        <v>0</v>
      </c>
      <c r="AM364" s="74">
        <f t="shared" si="71"/>
        <v>563.11</v>
      </c>
      <c r="AN364" s="72">
        <f t="shared" si="71"/>
        <v>184.82</v>
      </c>
      <c r="AO364" s="73">
        <f t="shared" si="71"/>
        <v>0</v>
      </c>
      <c r="AP364" s="74">
        <f t="shared" si="71"/>
        <v>237.81</v>
      </c>
      <c r="AQ364" s="72">
        <f t="shared" si="71"/>
        <v>39.58</v>
      </c>
      <c r="AR364" s="73">
        <v>90</v>
      </c>
      <c r="AS364" s="74">
        <f>AS365+AS368+AS369+AS370</f>
        <v>50.89</v>
      </c>
      <c r="AT364" s="72">
        <f>AT365+AT368+AT369+AT370</f>
        <v>0</v>
      </c>
      <c r="AU364" s="73">
        <f>AU365+AU368+AU369+AU370</f>
        <v>0</v>
      </c>
      <c r="AV364" s="74">
        <f>AV365+AV368+AV369+AV370</f>
        <v>0</v>
      </c>
      <c r="AW364" s="72">
        <f>AW365+AW368+AW369+AW370</f>
        <v>251.57</v>
      </c>
      <c r="AX364" s="73">
        <v>240</v>
      </c>
      <c r="AY364" s="74">
        <f t="shared" ref="AY364:BK364" si="72">AY365+AY368+AY369+AY370</f>
        <v>277.87700000000001</v>
      </c>
      <c r="AZ364" s="72">
        <f t="shared" si="72"/>
        <v>9.43</v>
      </c>
      <c r="BA364" s="73">
        <f t="shared" si="72"/>
        <v>0</v>
      </c>
      <c r="BB364" s="74">
        <f t="shared" si="72"/>
        <v>45.61</v>
      </c>
      <c r="BC364" s="72">
        <f t="shared" si="72"/>
        <v>706.61</v>
      </c>
      <c r="BD364" s="73">
        <f t="shared" si="72"/>
        <v>0</v>
      </c>
      <c r="BE364" s="74">
        <f t="shared" si="72"/>
        <v>737.89</v>
      </c>
      <c r="BF364" s="72">
        <f t="shared" si="72"/>
        <v>176.32</v>
      </c>
      <c r="BG364" s="73">
        <f t="shared" si="72"/>
        <v>0</v>
      </c>
      <c r="BH364" s="74">
        <f t="shared" si="72"/>
        <v>194.53</v>
      </c>
      <c r="BI364" s="72">
        <f t="shared" si="72"/>
        <v>225.16499999999999</v>
      </c>
      <c r="BJ364" s="73">
        <f t="shared" si="72"/>
        <v>0</v>
      </c>
      <c r="BK364" s="74">
        <f t="shared" si="72"/>
        <v>235.43</v>
      </c>
      <c r="BN364" s="125">
        <f t="shared" si="68"/>
        <v>21586.814999999999</v>
      </c>
      <c r="BO364" s="126">
        <f t="shared" si="69"/>
        <v>5396.4100000000017</v>
      </c>
      <c r="BP364" s="127">
        <f t="shared" si="70"/>
        <v>21919.706999999999</v>
      </c>
    </row>
    <row r="365" spans="1:68" s="211" customFormat="1" ht="14.25" hidden="1" customHeight="1" outlineLevel="4" x14ac:dyDescent="0.25">
      <c r="A365" s="6"/>
      <c r="B365" s="6"/>
      <c r="C365" s="116" t="s">
        <v>83</v>
      </c>
      <c r="D365" s="116" t="s">
        <v>84</v>
      </c>
      <c r="E365" s="116" t="s">
        <v>73</v>
      </c>
      <c r="F365" s="116" t="s">
        <v>74</v>
      </c>
      <c r="G365" s="116" t="s">
        <v>486</v>
      </c>
      <c r="H365" s="116" t="s">
        <v>73</v>
      </c>
      <c r="I365" s="116" t="s">
        <v>73</v>
      </c>
      <c r="J365" s="116" t="s">
        <v>73</v>
      </c>
      <c r="K365" s="209" t="s">
        <v>73</v>
      </c>
      <c r="L365" s="116" t="s">
        <v>407</v>
      </c>
      <c r="M365" s="6" t="str">
        <f t="array" ref="M365">Y96</f>
        <v>1ХВС::1.1</v>
      </c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116">
        <v>1</v>
      </c>
      <c r="Z365" s="6"/>
      <c r="AA365" s="6"/>
      <c r="AB365" s="29" t="str">
        <f>AB$364&amp;"."&amp;Y365</f>
        <v>3.1.3.4.1</v>
      </c>
      <c r="AC365" s="294" t="s">
        <v>486</v>
      </c>
      <c r="AD365" s="51" t="s">
        <v>111</v>
      </c>
      <c r="AE365" s="72"/>
      <c r="AF365" s="178"/>
      <c r="AG365" s="74"/>
      <c r="AH365" s="72"/>
      <c r="AI365" s="178"/>
      <c r="AJ365" s="74"/>
      <c r="AK365" s="72"/>
      <c r="AL365" s="178"/>
      <c r="AM365" s="74"/>
      <c r="AN365" s="72"/>
      <c r="AO365" s="178"/>
      <c r="AP365" s="138"/>
      <c r="AQ365" s="72"/>
      <c r="AR365" s="178"/>
      <c r="AS365" s="138"/>
      <c r="AT365" s="72"/>
      <c r="AU365" s="178"/>
      <c r="AV365" s="138"/>
      <c r="AW365" s="72"/>
      <c r="AX365" s="178"/>
      <c r="AY365" s="138"/>
      <c r="AZ365" s="72"/>
      <c r="BA365" s="178"/>
      <c r="BB365" s="138"/>
      <c r="BC365" s="72"/>
      <c r="BD365" s="178"/>
      <c r="BE365" s="74"/>
      <c r="BF365" s="139"/>
      <c r="BG365" s="183"/>
      <c r="BH365" s="141"/>
      <c r="BI365" s="142"/>
      <c r="BJ365" s="183"/>
      <c r="BK365" s="143"/>
      <c r="BL365" s="6"/>
      <c r="BM365" s="6"/>
      <c r="BN365" s="125">
        <f t="shared" si="68"/>
        <v>0</v>
      </c>
      <c r="BO365" s="126">
        <f t="shared" si="69"/>
        <v>0</v>
      </c>
      <c r="BP365" s="127">
        <f t="shared" si="70"/>
        <v>0</v>
      </c>
    </row>
    <row r="366" spans="1:68" s="211" customFormat="1" ht="14.25" hidden="1" customHeight="1" outlineLevel="4" x14ac:dyDescent="0.25">
      <c r="A366" s="6"/>
      <c r="B366" s="6"/>
      <c r="C366" s="116" t="s">
        <v>83</v>
      </c>
      <c r="D366" s="116" t="s">
        <v>84</v>
      </c>
      <c r="E366" s="116" t="s">
        <v>73</v>
      </c>
      <c r="F366" s="116" t="s">
        <v>74</v>
      </c>
      <c r="G366" s="116" t="s">
        <v>487</v>
      </c>
      <c r="H366" s="116" t="s">
        <v>73</v>
      </c>
      <c r="I366" s="116" t="s">
        <v>73</v>
      </c>
      <c r="J366" s="116" t="s">
        <v>73</v>
      </c>
      <c r="K366" s="209" t="s">
        <v>73</v>
      </c>
      <c r="L366" s="116" t="s">
        <v>73</v>
      </c>
      <c r="M366" s="6" t="str">
        <f t="array" ref="M366">Y96</f>
        <v>1ХВС::1.1</v>
      </c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29" t="str">
        <f>AB365&amp;".1"</f>
        <v>3.1.3.4.1.1</v>
      </c>
      <c r="AC366" s="231" t="s">
        <v>487</v>
      </c>
      <c r="AD366" s="51" t="s">
        <v>111</v>
      </c>
      <c r="AE366" s="95"/>
      <c r="AF366" s="178"/>
      <c r="AG366" s="96"/>
      <c r="AH366" s="95"/>
      <c r="AI366" s="178"/>
      <c r="AJ366" s="96"/>
      <c r="AK366" s="95"/>
      <c r="AL366" s="178"/>
      <c r="AM366" s="96"/>
      <c r="AN366" s="95"/>
      <c r="AO366" s="178"/>
      <c r="AP366" s="181"/>
      <c r="AQ366" s="95"/>
      <c r="AR366" s="178"/>
      <c r="AS366" s="181"/>
      <c r="AT366" s="95"/>
      <c r="AU366" s="178"/>
      <c r="AV366" s="181"/>
      <c r="AW366" s="95"/>
      <c r="AX366" s="178"/>
      <c r="AY366" s="181"/>
      <c r="AZ366" s="95"/>
      <c r="BA366" s="178"/>
      <c r="BB366" s="181"/>
      <c r="BC366" s="95"/>
      <c r="BD366" s="178"/>
      <c r="BE366" s="96"/>
      <c r="BF366" s="182"/>
      <c r="BG366" s="183"/>
      <c r="BH366" s="184"/>
      <c r="BI366" s="185"/>
      <c r="BJ366" s="183"/>
      <c r="BK366" s="186"/>
      <c r="BL366" s="6"/>
      <c r="BM366" s="6"/>
      <c r="BN366" s="125">
        <f t="shared" si="68"/>
        <v>0</v>
      </c>
      <c r="BO366" s="126">
        <f t="shared" si="69"/>
        <v>0</v>
      </c>
      <c r="BP366" s="127">
        <f t="shared" si="70"/>
        <v>0</v>
      </c>
    </row>
    <row r="367" spans="1:68" s="211" customFormat="1" ht="14.25" hidden="1" customHeight="1" outlineLevel="4" x14ac:dyDescent="0.25">
      <c r="A367" s="6"/>
      <c r="B367" s="6"/>
      <c r="C367" s="116" t="s">
        <v>83</v>
      </c>
      <c r="D367" s="116" t="s">
        <v>84</v>
      </c>
      <c r="E367" s="116" t="s">
        <v>73</v>
      </c>
      <c r="F367" s="116" t="s">
        <v>74</v>
      </c>
      <c r="G367" s="116" t="s">
        <v>488</v>
      </c>
      <c r="H367" s="116" t="s">
        <v>73</v>
      </c>
      <c r="I367" s="116" t="s">
        <v>73</v>
      </c>
      <c r="J367" s="116" t="s">
        <v>73</v>
      </c>
      <c r="K367" s="209" t="s">
        <v>73</v>
      </c>
      <c r="L367" s="116" t="s">
        <v>73</v>
      </c>
      <c r="M367" s="6" t="str">
        <f t="array" ref="M367">Y96</f>
        <v>1ХВС::1.1</v>
      </c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29" t="str">
        <f>AB365&amp;".2"</f>
        <v>3.1.3.4.1.2</v>
      </c>
      <c r="AC367" s="231" t="s">
        <v>488</v>
      </c>
      <c r="AD367" s="51" t="s">
        <v>111</v>
      </c>
      <c r="AE367" s="72"/>
      <c r="AF367" s="73"/>
      <c r="AG367" s="74"/>
      <c r="AH367" s="72"/>
      <c r="AI367" s="73"/>
      <c r="AJ367" s="74"/>
      <c r="AK367" s="72"/>
      <c r="AL367" s="73"/>
      <c r="AM367" s="74"/>
      <c r="AN367" s="72"/>
      <c r="AO367" s="73"/>
      <c r="AP367" s="138"/>
      <c r="AQ367" s="72"/>
      <c r="AR367" s="73"/>
      <c r="AS367" s="138"/>
      <c r="AT367" s="72"/>
      <c r="AU367" s="73"/>
      <c r="AV367" s="138"/>
      <c r="AW367" s="72"/>
      <c r="AX367" s="73"/>
      <c r="AY367" s="138"/>
      <c r="AZ367" s="72"/>
      <c r="BA367" s="73"/>
      <c r="BB367" s="138"/>
      <c r="BC367" s="72"/>
      <c r="BD367" s="73"/>
      <c r="BE367" s="74"/>
      <c r="BF367" s="139"/>
      <c r="BG367" s="140"/>
      <c r="BH367" s="141"/>
      <c r="BI367" s="142"/>
      <c r="BJ367" s="140"/>
      <c r="BK367" s="143"/>
      <c r="BL367" s="6"/>
      <c r="BM367" s="6"/>
      <c r="BN367" s="125">
        <f t="shared" si="68"/>
        <v>0</v>
      </c>
      <c r="BO367" s="126">
        <f t="shared" si="69"/>
        <v>0</v>
      </c>
      <c r="BP367" s="127">
        <f t="shared" si="70"/>
        <v>0</v>
      </c>
    </row>
    <row r="368" spans="1:68" s="211" customFormat="1" ht="14.25" hidden="1" customHeight="1" outlineLevel="4" x14ac:dyDescent="0.25">
      <c r="A368" s="6"/>
      <c r="B368" s="6"/>
      <c r="C368" s="116" t="s">
        <v>83</v>
      </c>
      <c r="D368" s="116" t="s">
        <v>84</v>
      </c>
      <c r="E368" s="116" t="s">
        <v>73</v>
      </c>
      <c r="F368" s="116" t="s">
        <v>74</v>
      </c>
      <c r="G368" s="116" t="s">
        <v>489</v>
      </c>
      <c r="H368" s="116" t="s">
        <v>73</v>
      </c>
      <c r="I368" s="116" t="s">
        <v>73</v>
      </c>
      <c r="J368" s="116" t="s">
        <v>73</v>
      </c>
      <c r="K368" s="209" t="s">
        <v>73</v>
      </c>
      <c r="L368" s="116" t="s">
        <v>407</v>
      </c>
      <c r="M368" s="6" t="str">
        <f t="array" ref="M368">Y96</f>
        <v>1ХВС::1.1</v>
      </c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116">
        <f>COUNT($Y365:Y365)+1</f>
        <v>2</v>
      </c>
      <c r="Z368" s="6"/>
      <c r="AA368" s="6"/>
      <c r="AB368" s="29" t="str">
        <f>AB$364&amp;"."&amp;Y368</f>
        <v>3.1.3.4.2</v>
      </c>
      <c r="AC368" s="294" t="s">
        <v>489</v>
      </c>
      <c r="AD368" s="51" t="s">
        <v>111</v>
      </c>
      <c r="AE368" s="72"/>
      <c r="AF368" s="178"/>
      <c r="AG368" s="74"/>
      <c r="AH368" s="72"/>
      <c r="AI368" s="178"/>
      <c r="AJ368" s="74"/>
      <c r="AK368" s="72"/>
      <c r="AL368" s="178"/>
      <c r="AM368" s="74"/>
      <c r="AN368" s="72"/>
      <c r="AO368" s="178"/>
      <c r="AP368" s="138"/>
      <c r="AQ368" s="72"/>
      <c r="AR368" s="178"/>
      <c r="AS368" s="138"/>
      <c r="AT368" s="72"/>
      <c r="AU368" s="178"/>
      <c r="AV368" s="138"/>
      <c r="AW368" s="72"/>
      <c r="AX368" s="178"/>
      <c r="AY368" s="138"/>
      <c r="AZ368" s="72"/>
      <c r="BA368" s="178"/>
      <c r="BB368" s="138"/>
      <c r="BC368" s="72"/>
      <c r="BD368" s="178"/>
      <c r="BE368" s="74"/>
      <c r="BF368" s="139"/>
      <c r="BG368" s="183"/>
      <c r="BH368" s="141"/>
      <c r="BI368" s="142"/>
      <c r="BJ368" s="183"/>
      <c r="BK368" s="143"/>
      <c r="BL368" s="6"/>
      <c r="BM368" s="6"/>
      <c r="BN368" s="125">
        <f t="shared" si="68"/>
        <v>0</v>
      </c>
      <c r="BO368" s="126">
        <f t="shared" si="69"/>
        <v>0</v>
      </c>
      <c r="BP368" s="127">
        <f t="shared" si="70"/>
        <v>0</v>
      </c>
    </row>
    <row r="369" spans="1:68" ht="14.25" customHeight="1" outlineLevel="4" x14ac:dyDescent="0.25">
      <c r="C369" s="10" t="s">
        <v>83</v>
      </c>
      <c r="D369" s="10" t="s">
        <v>84</v>
      </c>
      <c r="E369" s="10" t="s">
        <v>73</v>
      </c>
      <c r="F369" s="10" t="s">
        <v>74</v>
      </c>
      <c r="G369" s="10" t="s">
        <v>490</v>
      </c>
      <c r="H369" s="10" t="s">
        <v>73</v>
      </c>
      <c r="I369" s="10" t="s">
        <v>73</v>
      </c>
      <c r="J369" s="10" t="s">
        <v>73</v>
      </c>
      <c r="K369" s="12" t="s">
        <v>73</v>
      </c>
      <c r="L369" s="10" t="s">
        <v>407</v>
      </c>
      <c r="M369" s="5" t="str">
        <f t="array" ref="M369">Y96</f>
        <v>1ХВС::1.1</v>
      </c>
      <c r="Y369" s="10">
        <f>COUNT($Y365:Y368)+1</f>
        <v>3</v>
      </c>
      <c r="AB369" s="29" t="str">
        <f>AB$364&amp;"."&amp;Y369</f>
        <v>3.1.3.4.3</v>
      </c>
      <c r="AC369" s="294" t="s">
        <v>490</v>
      </c>
      <c r="AD369" s="51" t="s">
        <v>111</v>
      </c>
      <c r="AE369" s="72">
        <v>15949.05</v>
      </c>
      <c r="AF369" s="178">
        <f>19074-16516.17</f>
        <v>2557.8300000000017</v>
      </c>
      <c r="AG369" s="74">
        <v>15949.05</v>
      </c>
      <c r="AH369" s="72"/>
      <c r="AI369" s="178"/>
      <c r="AJ369" s="74"/>
      <c r="AK369" s="72"/>
      <c r="AL369" s="178"/>
      <c r="AM369" s="74"/>
      <c r="AN369" s="72"/>
      <c r="AO369" s="178"/>
      <c r="AP369" s="138"/>
      <c r="AQ369" s="72"/>
      <c r="AR369" s="178"/>
      <c r="AS369" s="138"/>
      <c r="AT369" s="72"/>
      <c r="AU369" s="178"/>
      <c r="AV369" s="138"/>
      <c r="AW369" s="72">
        <v>0</v>
      </c>
      <c r="AX369" s="178"/>
      <c r="AY369" s="138">
        <v>0</v>
      </c>
      <c r="AZ369" s="72"/>
      <c r="BA369" s="178"/>
      <c r="BB369" s="138"/>
      <c r="BC369" s="72"/>
      <c r="BD369" s="178"/>
      <c r="BE369" s="74"/>
      <c r="BF369" s="139"/>
      <c r="BG369" s="183"/>
      <c r="BH369" s="141"/>
      <c r="BI369" s="142"/>
      <c r="BJ369" s="183"/>
      <c r="BK369" s="143"/>
      <c r="BN369" s="125">
        <f t="shared" si="68"/>
        <v>15949.05</v>
      </c>
      <c r="BO369" s="126">
        <f t="shared" si="69"/>
        <v>2557.8300000000017</v>
      </c>
      <c r="BP369" s="127">
        <f t="shared" si="70"/>
        <v>15949.05</v>
      </c>
    </row>
    <row r="370" spans="1:68" ht="14.25" customHeight="1" outlineLevel="4" x14ac:dyDescent="0.25">
      <c r="C370" s="10" t="s">
        <v>83</v>
      </c>
      <c r="D370" s="10" t="s">
        <v>84</v>
      </c>
      <c r="E370" s="10" t="s">
        <v>73</v>
      </c>
      <c r="F370" s="10" t="s">
        <v>74</v>
      </c>
      <c r="G370" s="10" t="s">
        <v>491</v>
      </c>
      <c r="H370" s="10" t="s">
        <v>73</v>
      </c>
      <c r="I370" s="10" t="s">
        <v>73</v>
      </c>
      <c r="J370" s="10" t="s">
        <v>73</v>
      </c>
      <c r="K370" s="12" t="s">
        <v>73</v>
      </c>
      <c r="L370" s="10" t="s">
        <v>407</v>
      </c>
      <c r="M370" s="5" t="str">
        <f t="array" ref="M370">Y96</f>
        <v>1ХВС::1.1</v>
      </c>
      <c r="Y370" s="10">
        <f>COUNT($Y365:Y369)+1</f>
        <v>4</v>
      </c>
      <c r="AB370" s="29" t="str">
        <f>AB$364&amp;"."&amp;Y370</f>
        <v>3.1.3.4.4</v>
      </c>
      <c r="AC370" s="294" t="s">
        <v>491</v>
      </c>
      <c r="AD370" s="51" t="s">
        <v>111</v>
      </c>
      <c r="AE370" s="72">
        <v>3441.16</v>
      </c>
      <c r="AF370" s="178">
        <v>2508.58</v>
      </c>
      <c r="AG370" s="74">
        <v>3441.16</v>
      </c>
      <c r="AH370" s="72">
        <v>186.35</v>
      </c>
      <c r="AI370" s="178"/>
      <c r="AJ370" s="74">
        <v>186.35</v>
      </c>
      <c r="AK370" s="72">
        <v>416.76</v>
      </c>
      <c r="AL370" s="178"/>
      <c r="AM370" s="74">
        <v>563.11</v>
      </c>
      <c r="AN370" s="72">
        <v>184.82</v>
      </c>
      <c r="AO370" s="178"/>
      <c r="AP370" s="138">
        <v>237.81</v>
      </c>
      <c r="AQ370" s="72">
        <v>39.58</v>
      </c>
      <c r="AR370" s="178"/>
      <c r="AS370" s="138">
        <v>50.89</v>
      </c>
      <c r="AT370" s="72"/>
      <c r="AU370" s="178"/>
      <c r="AV370" s="138"/>
      <c r="AW370" s="72">
        <v>251.57</v>
      </c>
      <c r="AX370" s="178"/>
      <c r="AY370" s="138">
        <v>277.87700000000001</v>
      </c>
      <c r="AZ370" s="72">
        <v>9.43</v>
      </c>
      <c r="BA370" s="178"/>
      <c r="BB370" s="138">
        <v>45.61</v>
      </c>
      <c r="BC370" s="72">
        <v>706.61</v>
      </c>
      <c r="BD370" s="178"/>
      <c r="BE370" s="74">
        <v>737.89</v>
      </c>
      <c r="BF370" s="139">
        <v>176.32</v>
      </c>
      <c r="BG370" s="183"/>
      <c r="BH370" s="141">
        <v>194.53</v>
      </c>
      <c r="BI370" s="142">
        <v>225.16499999999999</v>
      </c>
      <c r="BJ370" s="183"/>
      <c r="BK370" s="143">
        <v>235.43</v>
      </c>
      <c r="BN370" s="125">
        <f t="shared" si="68"/>
        <v>5637.7649999999985</v>
      </c>
      <c r="BO370" s="126">
        <f t="shared" si="69"/>
        <v>2508.58</v>
      </c>
      <c r="BP370" s="127">
        <f t="shared" si="70"/>
        <v>5970.6570000000011</v>
      </c>
    </row>
    <row r="371" spans="1:68" ht="14.25" customHeight="1" outlineLevel="3" x14ac:dyDescent="0.25">
      <c r="C371" s="10" t="s">
        <v>83</v>
      </c>
      <c r="D371" s="10" t="s">
        <v>84</v>
      </c>
      <c r="E371" s="10" t="s">
        <v>73</v>
      </c>
      <c r="F371" s="10" t="s">
        <v>74</v>
      </c>
      <c r="G371" s="10" t="s">
        <v>492</v>
      </c>
      <c r="H371" s="10" t="s">
        <v>73</v>
      </c>
      <c r="I371" s="10" t="s">
        <v>73</v>
      </c>
      <c r="J371" s="10" t="s">
        <v>73</v>
      </c>
      <c r="K371" s="12" t="s">
        <v>73</v>
      </c>
      <c r="L371" s="10" t="s">
        <v>452</v>
      </c>
      <c r="M371" s="5" t="str">
        <f t="array" ref="M371">Y96</f>
        <v>1ХВС::1.1</v>
      </c>
      <c r="Y371" s="10">
        <f>COUNT($Y365:Y370)+1</f>
        <v>5</v>
      </c>
      <c r="AB371" s="65" t="str">
        <f>AB339&amp;".5"</f>
        <v>3.1.3.5</v>
      </c>
      <c r="AC371" s="92" t="s">
        <v>493</v>
      </c>
      <c r="AD371" s="51" t="s">
        <v>111</v>
      </c>
      <c r="AE371" s="95">
        <v>618.02</v>
      </c>
      <c r="AF371" s="178">
        <v>617.52599999999995</v>
      </c>
      <c r="AG371" s="96">
        <v>618.02</v>
      </c>
      <c r="AH371" s="95"/>
      <c r="AI371" s="178"/>
      <c r="AJ371" s="96"/>
      <c r="AK371" s="95"/>
      <c r="AL371" s="178"/>
      <c r="AM371" s="96"/>
      <c r="AN371" s="95">
        <v>3.09</v>
      </c>
      <c r="AO371" s="178"/>
      <c r="AP371" s="181">
        <v>3.09</v>
      </c>
      <c r="AQ371" s="95">
        <v>9.23</v>
      </c>
      <c r="AR371" s="178"/>
      <c r="AS371" s="181">
        <v>9.2200000000000006</v>
      </c>
      <c r="AT371" s="95"/>
      <c r="AU371" s="178"/>
      <c r="AV371" s="181"/>
      <c r="AW371" s="95"/>
      <c r="AX371" s="178"/>
      <c r="AY371" s="181"/>
      <c r="AZ371" s="95"/>
      <c r="BA371" s="178"/>
      <c r="BB371" s="181"/>
      <c r="BC371" s="95"/>
      <c r="BD371" s="178"/>
      <c r="BE371" s="96"/>
      <c r="BF371" s="182"/>
      <c r="BG371" s="183"/>
      <c r="BH371" s="184"/>
      <c r="BI371" s="185"/>
      <c r="BJ371" s="183"/>
      <c r="BK371" s="186"/>
      <c r="BN371" s="125">
        <f t="shared" si="68"/>
        <v>630.34</v>
      </c>
      <c r="BO371" s="126">
        <f t="shared" si="69"/>
        <v>617.52599999999995</v>
      </c>
      <c r="BP371" s="127">
        <f t="shared" si="70"/>
        <v>630.33000000000004</v>
      </c>
    </row>
    <row r="372" spans="1:68" ht="14.25" hidden="1" customHeight="1" outlineLevel="3" x14ac:dyDescent="0.25">
      <c r="A372" s="10" t="b">
        <f>AND(PREVIOUS_REGULATION_METHODS="Метод индексации",REGULATION_METHODS="Метод индексации")</f>
        <v>1</v>
      </c>
      <c r="B372" s="5" t="b">
        <f t="array" ref="B372">A372</f>
        <v>1</v>
      </c>
      <c r="C372" s="10" t="s">
        <v>83</v>
      </c>
      <c r="D372" s="10" t="s">
        <v>84</v>
      </c>
      <c r="E372" s="10" t="s">
        <v>73</v>
      </c>
      <c r="F372" s="10" t="s">
        <v>74</v>
      </c>
      <c r="G372" s="10" t="s">
        <v>494</v>
      </c>
      <c r="H372" s="10" t="s">
        <v>73</v>
      </c>
      <c r="I372" s="10" t="s">
        <v>73</v>
      </c>
      <c r="J372" s="10" t="s">
        <v>73</v>
      </c>
      <c r="K372" s="12" t="s">
        <v>73</v>
      </c>
      <c r="L372" s="10" t="s">
        <v>452</v>
      </c>
      <c r="M372" s="5" t="str">
        <f t="array" ref="M372">Y96</f>
        <v>1ХВС::1.1</v>
      </c>
      <c r="Y372" s="10">
        <f>COUNT($Y365:Y371)+1</f>
        <v>6</v>
      </c>
      <c r="AB372" s="65" t="str">
        <f>AB339&amp;"."&amp;Y372</f>
        <v>3.1.3.6</v>
      </c>
      <c r="AC372" s="92" t="s">
        <v>494</v>
      </c>
      <c r="AD372" s="51" t="s">
        <v>111</v>
      </c>
      <c r="AE372" s="95"/>
      <c r="AF372" s="178"/>
      <c r="AG372" s="96"/>
      <c r="AH372" s="95"/>
      <c r="AI372" s="178"/>
      <c r="AJ372" s="96"/>
      <c r="AK372" s="95"/>
      <c r="AL372" s="178"/>
      <c r="AM372" s="96"/>
      <c r="AN372" s="95"/>
      <c r="AO372" s="178"/>
      <c r="AP372" s="181"/>
      <c r="AQ372" s="95"/>
      <c r="AR372" s="178"/>
      <c r="AS372" s="181"/>
      <c r="AT372" s="95"/>
      <c r="AU372" s="178"/>
      <c r="AV372" s="181"/>
      <c r="AW372" s="95"/>
      <c r="AX372" s="178"/>
      <c r="AY372" s="181"/>
      <c r="AZ372" s="95"/>
      <c r="BA372" s="178"/>
      <c r="BB372" s="181"/>
      <c r="BC372" s="95"/>
      <c r="BD372" s="178"/>
      <c r="BE372" s="96"/>
      <c r="BF372" s="182"/>
      <c r="BG372" s="183"/>
      <c r="BH372" s="184"/>
      <c r="BI372" s="185"/>
      <c r="BJ372" s="183"/>
      <c r="BK372" s="186"/>
      <c r="BN372" s="125">
        <f t="shared" si="68"/>
        <v>0</v>
      </c>
      <c r="BO372" s="126">
        <f t="shared" si="69"/>
        <v>0</v>
      </c>
      <c r="BP372" s="127">
        <f t="shared" si="70"/>
        <v>0</v>
      </c>
    </row>
    <row r="373" spans="1:68" ht="17.25" hidden="1" customHeight="1" outlineLevel="3" x14ac:dyDescent="0.25">
      <c r="A373" s="10" t="b">
        <f>REGULATION_METHODS="Метод индексации"</f>
        <v>1</v>
      </c>
      <c r="B373" s="5" t="b">
        <f t="array" ref="B373">A373</f>
        <v>1</v>
      </c>
      <c r="C373" s="10" t="s">
        <v>83</v>
      </c>
      <c r="D373" s="10" t="s">
        <v>84</v>
      </c>
      <c r="E373" s="10" t="s">
        <v>73</v>
      </c>
      <c r="F373" s="10" t="s">
        <v>74</v>
      </c>
      <c r="G373" s="10" t="s">
        <v>495</v>
      </c>
      <c r="H373" s="10" t="s">
        <v>73</v>
      </c>
      <c r="I373" s="10" t="s">
        <v>73</v>
      </c>
      <c r="J373" s="10" t="s">
        <v>73</v>
      </c>
      <c r="K373" s="12" t="s">
        <v>73</v>
      </c>
      <c r="L373" s="10" t="s">
        <v>452</v>
      </c>
      <c r="M373" s="5" t="str">
        <f t="array" ref="M373">Y96</f>
        <v>1ХВС::1.1</v>
      </c>
      <c r="Y373" s="10">
        <f>COUNT($Y365:Y372)+1</f>
        <v>7</v>
      </c>
      <c r="AB373" s="65" t="str">
        <f>AB339&amp;"."&amp;Y373</f>
        <v>3.1.3.7</v>
      </c>
      <c r="AC373" s="92" t="s">
        <v>495</v>
      </c>
      <c r="AD373" s="51" t="s">
        <v>111</v>
      </c>
      <c r="AE373" s="95"/>
      <c r="AF373" s="178"/>
      <c r="AG373" s="96"/>
      <c r="AH373" s="95"/>
      <c r="AI373" s="178"/>
      <c r="AJ373" s="96"/>
      <c r="AK373" s="95"/>
      <c r="AL373" s="178"/>
      <c r="AM373" s="96"/>
      <c r="AN373" s="95"/>
      <c r="AO373" s="178"/>
      <c r="AP373" s="181"/>
      <c r="AQ373" s="95"/>
      <c r="AR373" s="178"/>
      <c r="AS373" s="181"/>
      <c r="AT373" s="95"/>
      <c r="AU373" s="178"/>
      <c r="AV373" s="181"/>
      <c r="AW373" s="95"/>
      <c r="AX373" s="178"/>
      <c r="AY373" s="181"/>
      <c r="AZ373" s="95"/>
      <c r="BA373" s="178"/>
      <c r="BB373" s="181"/>
      <c r="BC373" s="95"/>
      <c r="BD373" s="178"/>
      <c r="BE373" s="96"/>
      <c r="BF373" s="182"/>
      <c r="BG373" s="183"/>
      <c r="BH373" s="184"/>
      <c r="BI373" s="185"/>
      <c r="BJ373" s="183"/>
      <c r="BK373" s="186"/>
      <c r="BN373" s="125">
        <f t="shared" si="68"/>
        <v>0</v>
      </c>
      <c r="BO373" s="126">
        <f t="shared" si="69"/>
        <v>0</v>
      </c>
      <c r="BP373" s="127">
        <f t="shared" si="70"/>
        <v>0</v>
      </c>
    </row>
    <row r="374" spans="1:68" ht="17.25" hidden="1" customHeight="1" outlineLevel="3" x14ac:dyDescent="0.25">
      <c r="A374" s="5" t="b">
        <f>REGULATION_METHODS&lt;&gt;"МЭОР"</f>
        <v>1</v>
      </c>
      <c r="C374" s="10" t="s">
        <v>83</v>
      </c>
      <c r="D374" s="10" t="s">
        <v>84</v>
      </c>
      <c r="E374" s="10" t="s">
        <v>73</v>
      </c>
      <c r="F374" s="10" t="s">
        <v>74</v>
      </c>
      <c r="G374" s="10" t="s">
        <v>496</v>
      </c>
      <c r="H374" s="10" t="s">
        <v>73</v>
      </c>
      <c r="I374" s="10" t="s">
        <v>73</v>
      </c>
      <c r="J374" s="10" t="s">
        <v>73</v>
      </c>
      <c r="K374" s="12" t="s">
        <v>73</v>
      </c>
      <c r="L374" s="10" t="s">
        <v>452</v>
      </c>
      <c r="M374" s="5" t="str">
        <f t="array" ref="M374">Y96</f>
        <v>1ХВС::1.1</v>
      </c>
      <c r="Y374" s="10">
        <f>COUNT($Y365:Y373)+1</f>
        <v>8</v>
      </c>
      <c r="AB374" s="65" t="str">
        <f>AB339&amp;"."&amp;Y374</f>
        <v>3.1.3.8</v>
      </c>
      <c r="AC374" s="92" t="s">
        <v>496</v>
      </c>
      <c r="AD374" s="51" t="s">
        <v>111</v>
      </c>
      <c r="AE374" s="95"/>
      <c r="AF374" s="178"/>
      <c r="AG374" s="96"/>
      <c r="AH374" s="95"/>
      <c r="AI374" s="178"/>
      <c r="AJ374" s="96"/>
      <c r="AK374" s="95"/>
      <c r="AL374" s="178"/>
      <c r="AM374" s="96"/>
      <c r="AN374" s="95"/>
      <c r="AO374" s="178"/>
      <c r="AP374" s="181"/>
      <c r="AQ374" s="95"/>
      <c r="AR374" s="178"/>
      <c r="AS374" s="181"/>
      <c r="AT374" s="95"/>
      <c r="AU374" s="178"/>
      <c r="AV374" s="181"/>
      <c r="AW374" s="95"/>
      <c r="AX374" s="178"/>
      <c r="AY374" s="181"/>
      <c r="AZ374" s="95"/>
      <c r="BA374" s="178"/>
      <c r="BB374" s="181"/>
      <c r="BC374" s="95"/>
      <c r="BD374" s="178"/>
      <c r="BE374" s="96"/>
      <c r="BF374" s="139"/>
      <c r="BG374" s="140"/>
      <c r="BH374" s="141"/>
      <c r="BI374" s="142"/>
      <c r="BJ374" s="140"/>
      <c r="BK374" s="143"/>
      <c r="BN374" s="125">
        <f t="shared" si="68"/>
        <v>0</v>
      </c>
      <c r="BO374" s="126">
        <f t="shared" si="69"/>
        <v>0</v>
      </c>
      <c r="BP374" s="127">
        <f t="shared" si="70"/>
        <v>0</v>
      </c>
    </row>
    <row r="375" spans="1:68" s="171" customFormat="1" ht="20.25" customHeight="1" outlineLevel="1" x14ac:dyDescent="0.25">
      <c r="A375" s="166"/>
      <c r="B375" s="166"/>
      <c r="C375" s="167" t="s">
        <v>83</v>
      </c>
      <c r="D375" s="167" t="s">
        <v>84</v>
      </c>
      <c r="E375" s="167" t="s">
        <v>73</v>
      </c>
      <c r="F375" s="167" t="s">
        <v>74</v>
      </c>
      <c r="G375" s="167" t="s">
        <v>497</v>
      </c>
      <c r="H375" s="167" t="s">
        <v>73</v>
      </c>
      <c r="I375" s="167" t="s">
        <v>73</v>
      </c>
      <c r="J375" s="167" t="s">
        <v>73</v>
      </c>
      <c r="K375" s="168" t="s">
        <v>73</v>
      </c>
      <c r="L375" s="167" t="s">
        <v>133</v>
      </c>
      <c r="M375" s="166" t="str">
        <f t="array" ref="M375">Y96</f>
        <v>1ХВС::1.1</v>
      </c>
      <c r="N375" s="166"/>
      <c r="O375" s="166"/>
      <c r="P375" s="166"/>
      <c r="Q375" s="166"/>
      <c r="R375" s="166"/>
      <c r="S375" s="166"/>
      <c r="T375" s="166"/>
      <c r="U375" s="166"/>
      <c r="V375" s="166"/>
      <c r="W375" s="166"/>
      <c r="X375" s="166"/>
      <c r="Y375" s="166"/>
      <c r="Z375" s="166"/>
      <c r="AA375" s="166"/>
      <c r="AB375" s="155" t="str">
        <f>AB145&amp;".2"</f>
        <v>3.2</v>
      </c>
      <c r="AC375" s="295" t="s">
        <v>497</v>
      </c>
      <c r="AD375" s="157" t="s">
        <v>111</v>
      </c>
      <c r="AE375" s="253">
        <v>198019.22</v>
      </c>
      <c r="AF375" s="159">
        <v>36533.97</v>
      </c>
      <c r="AG375" s="254">
        <v>182830.91</v>
      </c>
      <c r="AH375" s="253">
        <v>9963.0300000000007</v>
      </c>
      <c r="AI375" s="159"/>
      <c r="AJ375" s="254">
        <v>5900.85</v>
      </c>
      <c r="AK375" s="253">
        <v>14011.64</v>
      </c>
      <c r="AL375" s="159">
        <v>2580</v>
      </c>
      <c r="AM375" s="254">
        <v>13884.48</v>
      </c>
      <c r="AN375" s="253">
        <v>4826.96</v>
      </c>
      <c r="AO375" s="159">
        <v>1145.5999999999999</v>
      </c>
      <c r="AP375" s="263">
        <v>8038.52</v>
      </c>
      <c r="AQ375" s="253">
        <v>1963.85</v>
      </c>
      <c r="AR375" s="159">
        <v>798.42</v>
      </c>
      <c r="AS375" s="263">
        <v>2153.3000000000002</v>
      </c>
      <c r="AT375" s="253">
        <v>2143.1</v>
      </c>
      <c r="AU375" s="159"/>
      <c r="AV375" s="263">
        <v>2530.6999999999998</v>
      </c>
      <c r="AW375" s="253">
        <v>4512.7</v>
      </c>
      <c r="AX375" s="159">
        <v>1009.5</v>
      </c>
      <c r="AY375" s="263">
        <v>3167.32</v>
      </c>
      <c r="AZ375" s="253">
        <v>3714.61</v>
      </c>
      <c r="BA375" s="159"/>
      <c r="BB375" s="263">
        <v>4176.53</v>
      </c>
      <c r="BC375" s="253">
        <v>17879.169999999998</v>
      </c>
      <c r="BD375" s="159"/>
      <c r="BE375" s="254">
        <v>18680.36</v>
      </c>
      <c r="BF375" s="264">
        <v>1063.6600000000001</v>
      </c>
      <c r="BG375" s="296"/>
      <c r="BH375" s="266">
        <v>1063.664</v>
      </c>
      <c r="BI375" s="267">
        <v>148.375</v>
      </c>
      <c r="BJ375" s="296"/>
      <c r="BK375" s="268">
        <v>140.29499999999999</v>
      </c>
      <c r="BL375" s="170"/>
      <c r="BM375" s="166"/>
      <c r="BN375" s="163">
        <f t="shared" si="68"/>
        <v>258246.31500000003</v>
      </c>
      <c r="BO375" s="164">
        <f t="shared" si="69"/>
        <v>42067.49</v>
      </c>
      <c r="BP375" s="165">
        <f t="shared" si="70"/>
        <v>242566.92900000003</v>
      </c>
    </row>
    <row r="376" spans="1:68" s="171" customFormat="1" ht="20.25" customHeight="1" outlineLevel="1" x14ac:dyDescent="0.25">
      <c r="A376" s="166"/>
      <c r="B376" s="166"/>
      <c r="C376" s="167" t="s">
        <v>83</v>
      </c>
      <c r="D376" s="167" t="s">
        <v>84</v>
      </c>
      <c r="E376" s="167" t="s">
        <v>73</v>
      </c>
      <c r="F376" s="167" t="s">
        <v>74</v>
      </c>
      <c r="G376" s="167" t="s">
        <v>498</v>
      </c>
      <c r="H376" s="167" t="s">
        <v>73</v>
      </c>
      <c r="I376" s="167" t="s">
        <v>73</v>
      </c>
      <c r="J376" s="167" t="s">
        <v>73</v>
      </c>
      <c r="K376" s="168" t="s">
        <v>73</v>
      </c>
      <c r="L376" s="167" t="s">
        <v>133</v>
      </c>
      <c r="M376" s="166" t="str">
        <f t="array" ref="M376">Y96</f>
        <v>1ХВС::1.1</v>
      </c>
      <c r="N376" s="166"/>
      <c r="O376" s="166"/>
      <c r="P376" s="166"/>
      <c r="Q376" s="166"/>
      <c r="R376" s="166"/>
      <c r="S376" s="166"/>
      <c r="T376" s="166"/>
      <c r="U376" s="166"/>
      <c r="V376" s="166"/>
      <c r="W376" s="166"/>
      <c r="X376" s="166"/>
      <c r="Y376" s="166"/>
      <c r="Z376" s="166"/>
      <c r="AA376" s="166"/>
      <c r="AB376" s="155" t="str">
        <f>AB145&amp;".3"</f>
        <v>3.3</v>
      </c>
      <c r="AC376" s="169" t="s">
        <v>498</v>
      </c>
      <c r="AD376" s="157" t="s">
        <v>111</v>
      </c>
      <c r="AE376" s="253">
        <f t="shared" ref="AE376:BK376" si="73">AE377</f>
        <v>10241.716</v>
      </c>
      <c r="AF376" s="159">
        <f t="shared" si="73"/>
        <v>14073.19</v>
      </c>
      <c r="AG376" s="254">
        <f t="shared" si="73"/>
        <v>20395.72</v>
      </c>
      <c r="AH376" s="253">
        <f t="shared" si="73"/>
        <v>6.15</v>
      </c>
      <c r="AI376" s="159">
        <f t="shared" si="73"/>
        <v>0</v>
      </c>
      <c r="AJ376" s="254">
        <f t="shared" si="73"/>
        <v>60.35</v>
      </c>
      <c r="AK376" s="253">
        <f t="shared" si="73"/>
        <v>0</v>
      </c>
      <c r="AL376" s="159">
        <f t="shared" si="73"/>
        <v>0</v>
      </c>
      <c r="AM376" s="254">
        <f t="shared" si="73"/>
        <v>664.46</v>
      </c>
      <c r="AN376" s="253">
        <f t="shared" si="73"/>
        <v>0</v>
      </c>
      <c r="AO376" s="159">
        <f t="shared" si="73"/>
        <v>0</v>
      </c>
      <c r="AP376" s="263">
        <f t="shared" si="73"/>
        <v>594.54999999999995</v>
      </c>
      <c r="AQ376" s="253">
        <f t="shared" si="73"/>
        <v>0</v>
      </c>
      <c r="AR376" s="159">
        <f t="shared" si="73"/>
        <v>0</v>
      </c>
      <c r="AS376" s="263">
        <f t="shared" si="73"/>
        <v>132.31</v>
      </c>
      <c r="AT376" s="253">
        <f t="shared" si="73"/>
        <v>0</v>
      </c>
      <c r="AU376" s="159">
        <f t="shared" si="73"/>
        <v>183.08</v>
      </c>
      <c r="AV376" s="263">
        <f t="shared" si="73"/>
        <v>637.23</v>
      </c>
      <c r="AW376" s="253">
        <f t="shared" si="73"/>
        <v>184.35</v>
      </c>
      <c r="AX376" s="159">
        <f t="shared" si="73"/>
        <v>0</v>
      </c>
      <c r="AY376" s="263">
        <f t="shared" si="73"/>
        <v>372.52</v>
      </c>
      <c r="AZ376" s="253">
        <f t="shared" si="73"/>
        <v>693.97</v>
      </c>
      <c r="BA376" s="159">
        <f t="shared" si="73"/>
        <v>0</v>
      </c>
      <c r="BB376" s="263">
        <f t="shared" si="73"/>
        <v>926.33</v>
      </c>
      <c r="BC376" s="253">
        <f t="shared" si="73"/>
        <v>0</v>
      </c>
      <c r="BD376" s="159">
        <f t="shared" si="73"/>
        <v>0</v>
      </c>
      <c r="BE376" s="254">
        <f t="shared" si="73"/>
        <v>0</v>
      </c>
      <c r="BF376" s="264">
        <f t="shared" si="73"/>
        <v>19.489999999999998</v>
      </c>
      <c r="BG376" s="296">
        <f t="shared" si="73"/>
        <v>0</v>
      </c>
      <c r="BH376" s="266">
        <f t="shared" si="73"/>
        <v>37.624000000000002</v>
      </c>
      <c r="BI376" s="267">
        <f t="shared" si="73"/>
        <v>91.864999999999995</v>
      </c>
      <c r="BJ376" s="296">
        <f t="shared" si="73"/>
        <v>0</v>
      </c>
      <c r="BK376" s="268">
        <f t="shared" si="73"/>
        <v>235.905</v>
      </c>
      <c r="BL376" s="170"/>
      <c r="BM376" s="166"/>
      <c r="BN376" s="163">
        <f t="shared" si="68"/>
        <v>11237.540999999999</v>
      </c>
      <c r="BO376" s="164">
        <f t="shared" si="69"/>
        <v>14256.27</v>
      </c>
      <c r="BP376" s="165">
        <f t="shared" si="70"/>
        <v>24056.999</v>
      </c>
    </row>
    <row r="377" spans="1:68" ht="58.5" customHeight="1" outlineLevel="3" x14ac:dyDescent="0.25">
      <c r="C377" s="10" t="s">
        <v>83</v>
      </c>
      <c r="D377" s="10" t="s">
        <v>84</v>
      </c>
      <c r="E377" s="10" t="s">
        <v>73</v>
      </c>
      <c r="F377" s="10" t="s">
        <v>74</v>
      </c>
      <c r="G377" s="10" t="s">
        <v>499</v>
      </c>
      <c r="H377" s="10" t="s">
        <v>73</v>
      </c>
      <c r="I377" s="10" t="s">
        <v>73</v>
      </c>
      <c r="J377" s="10" t="s">
        <v>73</v>
      </c>
      <c r="K377" s="12" t="s">
        <v>73</v>
      </c>
      <c r="L377" s="10" t="s">
        <v>133</v>
      </c>
      <c r="M377" s="5" t="str">
        <f t="array" ref="M377">Y96</f>
        <v>1ХВС::1.1</v>
      </c>
      <c r="AB377" s="65" t="str">
        <f>AB376&amp;".3"</f>
        <v>3.3.3</v>
      </c>
      <c r="AC377" s="87" t="s">
        <v>500</v>
      </c>
      <c r="AD377" s="51" t="s">
        <v>111</v>
      </c>
      <c r="AE377" s="95">
        <v>10241.716</v>
      </c>
      <c r="AF377" s="178">
        <v>14073.19</v>
      </c>
      <c r="AG377" s="96">
        <v>20395.72</v>
      </c>
      <c r="AH377" s="95">
        <v>6.15</v>
      </c>
      <c r="AI377" s="178"/>
      <c r="AJ377" s="96">
        <v>60.35</v>
      </c>
      <c r="AK377" s="95"/>
      <c r="AL377" s="178"/>
      <c r="AM377" s="96">
        <v>664.46</v>
      </c>
      <c r="AN377" s="95"/>
      <c r="AO377" s="178"/>
      <c r="AP377" s="181">
        <v>594.54999999999995</v>
      </c>
      <c r="AQ377" s="95"/>
      <c r="AR377" s="178"/>
      <c r="AS377" s="181">
        <v>132.31</v>
      </c>
      <c r="AT377" s="95"/>
      <c r="AU377" s="178">
        <v>183.08</v>
      </c>
      <c r="AV377" s="181">
        <v>637.23</v>
      </c>
      <c r="AW377" s="95">
        <v>184.35</v>
      </c>
      <c r="AX377" s="178"/>
      <c r="AY377" s="181">
        <v>372.52</v>
      </c>
      <c r="AZ377" s="95">
        <v>693.97</v>
      </c>
      <c r="BA377" s="178"/>
      <c r="BB377" s="181">
        <v>926.33</v>
      </c>
      <c r="BC377" s="95"/>
      <c r="BD377" s="178"/>
      <c r="BE377" s="96"/>
      <c r="BF377" s="182">
        <v>19.489999999999998</v>
      </c>
      <c r="BG377" s="183"/>
      <c r="BH377" s="184">
        <v>37.624000000000002</v>
      </c>
      <c r="BI377" s="185">
        <v>91.864999999999995</v>
      </c>
      <c r="BJ377" s="183"/>
      <c r="BK377" s="186">
        <v>235.905</v>
      </c>
      <c r="BN377" s="125">
        <f t="shared" si="68"/>
        <v>11237.540999999999</v>
      </c>
      <c r="BO377" s="126">
        <f t="shared" si="69"/>
        <v>14256.27</v>
      </c>
      <c r="BP377" s="127">
        <f t="shared" si="70"/>
        <v>24056.999</v>
      </c>
    </row>
    <row r="378" spans="1:68" ht="1.5" hidden="1" customHeight="1" outlineLevel="3" x14ac:dyDescent="0.25">
      <c r="C378" s="10" t="s">
        <v>83</v>
      </c>
      <c r="D378" s="297" t="s">
        <v>84</v>
      </c>
      <c r="E378" s="297" t="s">
        <v>73</v>
      </c>
      <c r="F378" s="10" t="s">
        <v>74</v>
      </c>
      <c r="G378" s="297" t="s">
        <v>501</v>
      </c>
      <c r="H378" s="297" t="s">
        <v>73</v>
      </c>
      <c r="I378" s="297" t="s">
        <v>73</v>
      </c>
      <c r="J378" s="297" t="s">
        <v>73</v>
      </c>
      <c r="K378" s="298" t="s">
        <v>73</v>
      </c>
      <c r="L378" s="10" t="s">
        <v>133</v>
      </c>
      <c r="M378" s="5" t="str">
        <f t="array" ref="M378">Y96</f>
        <v>1ХВС::1.1</v>
      </c>
      <c r="AB378" s="299" t="s">
        <v>502</v>
      </c>
      <c r="AC378" s="281" t="s">
        <v>503</v>
      </c>
      <c r="AD378" s="51" t="s">
        <v>119</v>
      </c>
      <c r="AE378" s="72">
        <v>0.64</v>
      </c>
      <c r="AF378" s="73">
        <v>0.94</v>
      </c>
      <c r="AG378" s="74">
        <v>0.98</v>
      </c>
      <c r="AH378" s="72"/>
      <c r="AI378" s="73"/>
      <c r="AJ378" s="74"/>
      <c r="AK378" s="72"/>
      <c r="AL378" s="73"/>
      <c r="AM378" s="74">
        <v>0.83</v>
      </c>
      <c r="AN378" s="72"/>
      <c r="AO378" s="73"/>
      <c r="AP378" s="138">
        <v>0.62</v>
      </c>
      <c r="AQ378" s="72"/>
      <c r="AR378" s="73"/>
      <c r="AS378" s="138">
        <v>0.32</v>
      </c>
      <c r="AT378" s="72"/>
      <c r="AU378" s="73">
        <v>0.24</v>
      </c>
      <c r="AV378" s="138">
        <v>0.53</v>
      </c>
      <c r="AW378" s="72"/>
      <c r="AX378" s="73"/>
      <c r="AY378" s="138"/>
      <c r="AZ378" s="72"/>
      <c r="BA378" s="73"/>
      <c r="BB378" s="138"/>
      <c r="BC378" s="72"/>
      <c r="BD378" s="73"/>
      <c r="BE378" s="74"/>
      <c r="BF378" s="139">
        <v>0.06</v>
      </c>
      <c r="BG378" s="140"/>
      <c r="BH378" s="141">
        <v>0.1</v>
      </c>
      <c r="BI378" s="142">
        <v>0.28999999999999998</v>
      </c>
      <c r="BJ378" s="140"/>
      <c r="BK378" s="143">
        <v>0.52</v>
      </c>
      <c r="BN378" s="125">
        <f t="shared" si="68"/>
        <v>0.99</v>
      </c>
      <c r="BO378" s="126">
        <f t="shared" si="69"/>
        <v>1.18</v>
      </c>
      <c r="BP378" s="127">
        <f t="shared" si="70"/>
        <v>3.9000000000000004</v>
      </c>
    </row>
    <row r="379" spans="1:68" s="171" customFormat="1" ht="25.5" customHeight="1" x14ac:dyDescent="0.25">
      <c r="A379" s="167" t="b">
        <f>REGULATION_METHODS="Метод индексации"</f>
        <v>1</v>
      </c>
      <c r="B379" s="166" t="b">
        <f t="array" ref="B379">A379</f>
        <v>1</v>
      </c>
      <c r="C379" s="167" t="s">
        <v>83</v>
      </c>
      <c r="D379" s="167" t="s">
        <v>84</v>
      </c>
      <c r="E379" s="167" t="s">
        <v>73</v>
      </c>
      <c r="F379" s="167" t="s">
        <v>74</v>
      </c>
      <c r="G379" s="167" t="s">
        <v>504</v>
      </c>
      <c r="H379" s="167" t="s">
        <v>73</v>
      </c>
      <c r="I379" s="167" t="s">
        <v>73</v>
      </c>
      <c r="J379" s="167" t="s">
        <v>73</v>
      </c>
      <c r="K379" s="168" t="s">
        <v>73</v>
      </c>
      <c r="L379" s="167" t="s">
        <v>133</v>
      </c>
      <c r="M379" s="166" t="str">
        <f t="array" ref="M379">Y96</f>
        <v>1ХВС::1.1</v>
      </c>
      <c r="N379" s="166"/>
      <c r="O379" s="166"/>
      <c r="P379" s="166"/>
      <c r="Q379" s="166"/>
      <c r="R379" s="166"/>
      <c r="S379" s="166"/>
      <c r="T379" s="166"/>
      <c r="U379" s="166"/>
      <c r="V379" s="166"/>
      <c r="W379" s="166"/>
      <c r="X379" s="166"/>
      <c r="Y379" s="166"/>
      <c r="Z379" s="166"/>
      <c r="AA379" s="166"/>
      <c r="AB379" s="155">
        <f>AB145+1</f>
        <v>4</v>
      </c>
      <c r="AC379" s="156" t="s">
        <v>504</v>
      </c>
      <c r="AD379" s="157" t="s">
        <v>111</v>
      </c>
      <c r="AE379" s="253">
        <f>SUM(AE380:AE387)</f>
        <v>0</v>
      </c>
      <c r="AF379" s="159">
        <f>SUM(AF380:AF387)</f>
        <v>-110643.72799999999</v>
      </c>
      <c r="AG379" s="254">
        <f>AG387</f>
        <v>228401.3</v>
      </c>
      <c r="AH379" s="253">
        <f>SUM(AH380:AH387)</f>
        <v>0</v>
      </c>
      <c r="AI379" s="159">
        <f>AI381+AI386+AI384</f>
        <v>-335.56999999999994</v>
      </c>
      <c r="AJ379" s="254">
        <f>AJ387</f>
        <v>11620.4</v>
      </c>
      <c r="AK379" s="253">
        <f>SUM(AK380:AK387)</f>
        <v>0</v>
      </c>
      <c r="AL379" s="159">
        <f>AL381+AL382+AL383</f>
        <v>4405.3509999999997</v>
      </c>
      <c r="AM379" s="254">
        <f>AM387</f>
        <v>24652.343000000001</v>
      </c>
      <c r="AN379" s="253"/>
      <c r="AO379" s="159">
        <f>AO381+AO382+AO383</f>
        <v>-2216.4599999999991</v>
      </c>
      <c r="AP379" s="263">
        <f>AP387</f>
        <v>16203.53</v>
      </c>
      <c r="AQ379" s="253">
        <f>SUM(AQ380:AQ387)</f>
        <v>0</v>
      </c>
      <c r="AR379" s="159">
        <f>SUM(AR380:AR387)</f>
        <v>961.74</v>
      </c>
      <c r="AS379" s="263">
        <f>SUM(AS380:AS387)</f>
        <v>19950.235000000001</v>
      </c>
      <c r="AT379" s="253">
        <f>SUM(AT380:AT387)</f>
        <v>0</v>
      </c>
      <c r="AU379" s="159">
        <f>AU380</f>
        <v>0</v>
      </c>
      <c r="AV379" s="263">
        <f>AV387</f>
        <v>24120.25</v>
      </c>
      <c r="AW379" s="253">
        <f>SUM(AW380:AW387)</f>
        <v>0</v>
      </c>
      <c r="AX379" s="159">
        <f>AX387</f>
        <v>-1808.94</v>
      </c>
      <c r="AY379" s="263">
        <f>AY387</f>
        <v>0</v>
      </c>
      <c r="AZ379" s="253">
        <f>SUM(AZ380:AZ387)</f>
        <v>0</v>
      </c>
      <c r="BA379" s="159">
        <f>BA380</f>
        <v>0</v>
      </c>
      <c r="BB379" s="263">
        <f>BB387</f>
        <v>0</v>
      </c>
      <c r="BC379" s="253">
        <f t="shared" ref="BC379:BK379" si="74">SUM(BC380:BC387)</f>
        <v>59212.93</v>
      </c>
      <c r="BD379" s="159">
        <f t="shared" si="74"/>
        <v>7069.44</v>
      </c>
      <c r="BE379" s="254">
        <f t="shared" si="74"/>
        <v>0</v>
      </c>
      <c r="BF379" s="264">
        <f t="shared" si="74"/>
        <v>0</v>
      </c>
      <c r="BG379" s="296">
        <f t="shared" si="74"/>
        <v>-516.30999999999995</v>
      </c>
      <c r="BH379" s="266">
        <f t="shared" si="74"/>
        <v>854.20399999999995</v>
      </c>
      <c r="BI379" s="267">
        <f t="shared" si="74"/>
        <v>0</v>
      </c>
      <c r="BJ379" s="296">
        <f t="shared" si="74"/>
        <v>2443.16</v>
      </c>
      <c r="BK379" s="268">
        <f t="shared" si="74"/>
        <v>0</v>
      </c>
      <c r="BL379" s="170"/>
      <c r="BM379" s="166"/>
      <c r="BN379" s="163">
        <f t="shared" si="68"/>
        <v>59212.93</v>
      </c>
      <c r="BO379" s="164">
        <f t="shared" si="69"/>
        <v>-100641.317</v>
      </c>
      <c r="BP379" s="165">
        <f t="shared" si="70"/>
        <v>325802.26200000005</v>
      </c>
    </row>
    <row r="380" spans="1:68" ht="66" customHeight="1" outlineLevel="1" x14ac:dyDescent="0.25">
      <c r="A380" s="10" t="e">
        <f t="array" ref="A380">#REF!</f>
        <v>#REF!</v>
      </c>
      <c r="B380" s="5" t="e">
        <f t="array" ref="B380">A380</f>
        <v>#REF!</v>
      </c>
      <c r="C380" s="10" t="s">
        <v>83</v>
      </c>
      <c r="D380" s="10" t="s">
        <v>84</v>
      </c>
      <c r="E380" s="10" t="s">
        <v>73</v>
      </c>
      <c r="F380" s="10" t="s">
        <v>74</v>
      </c>
      <c r="G380" s="10" t="s">
        <v>505</v>
      </c>
      <c r="H380" s="10" t="s">
        <v>73</v>
      </c>
      <c r="I380" s="10" t="s">
        <v>73</v>
      </c>
      <c r="J380" s="10" t="s">
        <v>73</v>
      </c>
      <c r="K380" s="12" t="s">
        <v>73</v>
      </c>
      <c r="L380" s="10" t="s">
        <v>133</v>
      </c>
      <c r="M380" s="5" t="str">
        <f t="array" ref="M380">Y96</f>
        <v>1ХВС::1.1</v>
      </c>
      <c r="AB380" s="65" t="str">
        <f>AB379&amp;".4"</f>
        <v>4.4</v>
      </c>
      <c r="AC380" s="80" t="s">
        <v>506</v>
      </c>
      <c r="AD380" s="51" t="s">
        <v>111</v>
      </c>
      <c r="AE380" s="95"/>
      <c r="AF380" s="178"/>
      <c r="AG380" s="96"/>
      <c r="AH380" s="95"/>
      <c r="AI380" s="178"/>
      <c r="AJ380" s="96"/>
      <c r="AK380" s="95"/>
      <c r="AL380" s="178"/>
      <c r="AM380" s="96"/>
      <c r="AN380" s="95"/>
      <c r="AO380" s="178"/>
      <c r="AP380" s="181"/>
      <c r="AQ380" s="95"/>
      <c r="AR380" s="178"/>
      <c r="AS380" s="181"/>
      <c r="AT380" s="95"/>
      <c r="AU380" s="178"/>
      <c r="AV380" s="181"/>
      <c r="AW380" s="95"/>
      <c r="AX380" s="178"/>
      <c r="AY380" s="181"/>
      <c r="AZ380" s="95"/>
      <c r="BA380" s="178"/>
      <c r="BB380" s="181"/>
      <c r="BC380" s="95"/>
      <c r="BD380" s="178"/>
      <c r="BE380" s="96"/>
      <c r="BF380" s="182"/>
      <c r="BG380" s="183"/>
      <c r="BH380" s="184"/>
      <c r="BI380" s="185"/>
      <c r="BJ380" s="183"/>
      <c r="BK380" s="186"/>
      <c r="BN380" s="125">
        <f t="shared" si="68"/>
        <v>0</v>
      </c>
      <c r="BO380" s="126">
        <f t="shared" si="69"/>
        <v>0</v>
      </c>
      <c r="BP380" s="127">
        <f t="shared" si="70"/>
        <v>0</v>
      </c>
    </row>
    <row r="381" spans="1:68" ht="66" customHeight="1" outlineLevel="1" x14ac:dyDescent="0.25">
      <c r="A381" s="10"/>
      <c r="C381" s="10"/>
      <c r="D381" s="10"/>
      <c r="E381" s="10"/>
      <c r="F381" s="10"/>
      <c r="G381" s="10"/>
      <c r="H381" s="10"/>
      <c r="I381" s="10"/>
      <c r="J381" s="10"/>
      <c r="K381" s="12"/>
      <c r="L381" s="10"/>
      <c r="AB381" s="65"/>
      <c r="AC381" s="80" t="s">
        <v>507</v>
      </c>
      <c r="AD381" s="51" t="s">
        <v>111</v>
      </c>
      <c r="AE381" s="95"/>
      <c r="AF381" s="178">
        <f>-33124.954</f>
        <v>-33124.953999999998</v>
      </c>
      <c r="AG381" s="96"/>
      <c r="AH381" s="95"/>
      <c r="AI381" s="178">
        <v>-197.76</v>
      </c>
      <c r="AJ381" s="96"/>
      <c r="AK381" s="95"/>
      <c r="AL381" s="178">
        <v>-768.16499999999996</v>
      </c>
      <c r="AM381" s="96"/>
      <c r="AN381" s="95"/>
      <c r="AO381" s="178">
        <f>-1322.17</f>
        <v>-1322.17</v>
      </c>
      <c r="AP381" s="181"/>
      <c r="AQ381" s="95"/>
      <c r="AR381" s="178"/>
      <c r="AS381" s="181"/>
      <c r="AT381" s="95"/>
      <c r="AU381" s="178"/>
      <c r="AV381" s="181"/>
      <c r="AW381" s="95"/>
      <c r="AX381" s="178"/>
      <c r="AY381" s="181"/>
      <c r="AZ381" s="95"/>
      <c r="BA381" s="178"/>
      <c r="BB381" s="181"/>
      <c r="BC381" s="95"/>
      <c r="BD381" s="178"/>
      <c r="BE381" s="96"/>
      <c r="BF381" s="182"/>
      <c r="BG381" s="183"/>
      <c r="BH381" s="184"/>
      <c r="BI381" s="185"/>
      <c r="BJ381" s="183"/>
      <c r="BK381" s="186"/>
      <c r="BN381" s="125"/>
      <c r="BO381" s="126"/>
      <c r="BP381" s="127"/>
    </row>
    <row r="382" spans="1:68" ht="66" customHeight="1" outlineLevel="1" x14ac:dyDescent="0.25">
      <c r="A382" s="10"/>
      <c r="C382" s="10"/>
      <c r="D382" s="10"/>
      <c r="E382" s="10"/>
      <c r="F382" s="10"/>
      <c r="G382" s="10"/>
      <c r="H382" s="10"/>
      <c r="I382" s="10"/>
      <c r="J382" s="10"/>
      <c r="K382" s="12"/>
      <c r="L382" s="10"/>
      <c r="AB382" s="65"/>
      <c r="AC382" s="80" t="s">
        <v>508</v>
      </c>
      <c r="AD382" s="51" t="s">
        <v>111</v>
      </c>
      <c r="AE382" s="95"/>
      <c r="AF382" s="178">
        <v>-50281.913999999997</v>
      </c>
      <c r="AG382" s="96"/>
      <c r="AH382" s="95"/>
      <c r="AI382" s="178"/>
      <c r="AJ382" s="96"/>
      <c r="AK382" s="95"/>
      <c r="AL382" s="178">
        <v>-2517.174</v>
      </c>
      <c r="AM382" s="96"/>
      <c r="AN382" s="95"/>
      <c r="AO382" s="178">
        <v>-1145.5999999999999</v>
      </c>
      <c r="AP382" s="181"/>
      <c r="AQ382" s="95"/>
      <c r="AR382" s="178"/>
      <c r="AS382" s="181"/>
      <c r="AT382" s="95"/>
      <c r="AU382" s="178"/>
      <c r="AV382" s="181"/>
      <c r="AW382" s="95"/>
      <c r="AX382" s="178"/>
      <c r="AY382" s="181"/>
      <c r="AZ382" s="95"/>
      <c r="BA382" s="178"/>
      <c r="BB382" s="181"/>
      <c r="BC382" s="95"/>
      <c r="BD382" s="178"/>
      <c r="BE382" s="96"/>
      <c r="BF382" s="182"/>
      <c r="BG382" s="183"/>
      <c r="BH382" s="184"/>
      <c r="BI382" s="185"/>
      <c r="BJ382" s="183"/>
      <c r="BK382" s="186"/>
      <c r="BN382" s="125"/>
      <c r="BO382" s="126"/>
      <c r="BP382" s="127"/>
    </row>
    <row r="383" spans="1:68" ht="66" customHeight="1" outlineLevel="1" x14ac:dyDescent="0.25">
      <c r="A383" s="10"/>
      <c r="C383" s="10"/>
      <c r="D383" s="10"/>
      <c r="E383" s="10"/>
      <c r="F383" s="10"/>
      <c r="G383" s="10"/>
      <c r="H383" s="10"/>
      <c r="I383" s="10"/>
      <c r="J383" s="10"/>
      <c r="K383" s="12"/>
      <c r="L383" s="10"/>
      <c r="AB383" s="65"/>
      <c r="AC383" s="80" t="s">
        <v>509</v>
      </c>
      <c r="AD383" s="51" t="s">
        <v>111</v>
      </c>
      <c r="AE383" s="95"/>
      <c r="AF383" s="178">
        <v>-27236.86</v>
      </c>
      <c r="AG383" s="96"/>
      <c r="AH383" s="95"/>
      <c r="AI383" s="300">
        <v>2527.48</v>
      </c>
      <c r="AJ383" s="96"/>
      <c r="AK383" s="95"/>
      <c r="AL383" s="178">
        <f>31437.05-21640.16-2106.2</f>
        <v>7690.69</v>
      </c>
      <c r="AM383" s="96"/>
      <c r="AN383" s="95"/>
      <c r="AO383" s="178">
        <f>40901.55-39499.26-1150.98</f>
        <v>251.31000000000085</v>
      </c>
      <c r="AP383" s="181"/>
      <c r="AQ383" s="95"/>
      <c r="AR383" s="178"/>
      <c r="AS383" s="181"/>
      <c r="AT383" s="95"/>
      <c r="AU383" s="178"/>
      <c r="AV383" s="181"/>
      <c r="AW383" s="95"/>
      <c r="AX383" s="178"/>
      <c r="AY383" s="181"/>
      <c r="AZ383" s="95"/>
      <c r="BA383" s="178"/>
      <c r="BB383" s="181"/>
      <c r="BC383" s="95"/>
      <c r="BD383" s="178"/>
      <c r="BE383" s="96"/>
      <c r="BF383" s="182"/>
      <c r="BG383" s="183"/>
      <c r="BH383" s="184"/>
      <c r="BI383" s="185"/>
      <c r="BJ383" s="183"/>
      <c r="BK383" s="186"/>
      <c r="BN383" s="125"/>
      <c r="BO383" s="126"/>
      <c r="BP383" s="127"/>
    </row>
    <row r="384" spans="1:68" ht="25.5" customHeight="1" outlineLevel="1" x14ac:dyDescent="0.25">
      <c r="A384" s="10"/>
      <c r="C384" s="10"/>
      <c r="D384" s="10"/>
      <c r="E384" s="10"/>
      <c r="F384" s="10"/>
      <c r="G384" s="10"/>
      <c r="H384" s="10"/>
      <c r="I384" s="10"/>
      <c r="J384" s="10"/>
      <c r="K384" s="12"/>
      <c r="L384" s="10"/>
      <c r="AB384" s="65"/>
      <c r="AC384" s="301" t="s">
        <v>510</v>
      </c>
      <c r="AD384" s="302"/>
      <c r="AE384" s="303"/>
      <c r="AF384" s="301"/>
      <c r="AG384" s="304"/>
      <c r="AH384" s="303"/>
      <c r="AI384" s="300">
        <v>252.75</v>
      </c>
      <c r="AJ384" s="96"/>
      <c r="AK384" s="95"/>
      <c r="AL384" s="178"/>
      <c r="AM384" s="96"/>
      <c r="AN384" s="95"/>
      <c r="AO384" s="178"/>
      <c r="AP384" s="181"/>
      <c r="AQ384" s="95"/>
      <c r="AR384" s="178"/>
      <c r="AS384" s="181"/>
      <c r="AT384" s="95"/>
      <c r="AU384" s="178"/>
      <c r="AV384" s="181"/>
      <c r="AW384" s="95"/>
      <c r="AX384" s="178"/>
      <c r="AY384" s="181"/>
      <c r="AZ384" s="95"/>
      <c r="BA384" s="178"/>
      <c r="BB384" s="181"/>
      <c r="BC384" s="95"/>
      <c r="BD384" s="178"/>
      <c r="BE384" s="96"/>
      <c r="BF384" s="182"/>
      <c r="BG384" s="183"/>
      <c r="BH384" s="184"/>
      <c r="BI384" s="185"/>
      <c r="BJ384" s="183"/>
      <c r="BK384" s="186"/>
      <c r="BN384" s="125"/>
      <c r="BO384" s="126"/>
      <c r="BP384" s="127"/>
    </row>
    <row r="385" spans="1:68" ht="25.5" customHeight="1" outlineLevel="1" x14ac:dyDescent="0.25">
      <c r="A385" s="10"/>
      <c r="C385" s="10"/>
      <c r="D385" s="10"/>
      <c r="E385" s="10"/>
      <c r="F385" s="10"/>
      <c r="G385" s="10"/>
      <c r="H385" s="10"/>
      <c r="I385" s="10"/>
      <c r="J385" s="10"/>
      <c r="K385" s="12"/>
      <c r="L385" s="10"/>
      <c r="AB385" s="65"/>
      <c r="AC385" s="301" t="s">
        <v>511</v>
      </c>
      <c r="AD385" s="302"/>
      <c r="AE385" s="303"/>
      <c r="AF385" s="301"/>
      <c r="AG385" s="304"/>
      <c r="AH385" s="303"/>
      <c r="AI385" s="300">
        <f>AI383-AI384</f>
        <v>2274.73</v>
      </c>
      <c r="AJ385" s="96"/>
      <c r="AK385" s="95"/>
      <c r="AL385" s="178"/>
      <c r="AM385" s="96"/>
      <c r="AN385" s="95"/>
      <c r="AO385" s="178"/>
      <c r="AP385" s="181"/>
      <c r="AQ385" s="95"/>
      <c r="AR385" s="178"/>
      <c r="AS385" s="181"/>
      <c r="AT385" s="95"/>
      <c r="AU385" s="178"/>
      <c r="AV385" s="181"/>
      <c r="AW385" s="95"/>
      <c r="AX385" s="178"/>
      <c r="AY385" s="181"/>
      <c r="AZ385" s="95"/>
      <c r="BA385" s="178"/>
      <c r="BB385" s="181"/>
      <c r="BC385" s="95"/>
      <c r="BD385" s="178"/>
      <c r="BE385" s="96"/>
      <c r="BF385" s="182"/>
      <c r="BG385" s="183"/>
      <c r="BH385" s="184"/>
      <c r="BI385" s="185"/>
      <c r="BJ385" s="183"/>
      <c r="BK385" s="186"/>
      <c r="BN385" s="125"/>
      <c r="BO385" s="126"/>
      <c r="BP385" s="127"/>
    </row>
    <row r="386" spans="1:68" ht="25.5" customHeight="1" outlineLevel="1" x14ac:dyDescent="0.25">
      <c r="A386" s="10"/>
      <c r="C386" s="10"/>
      <c r="D386" s="10"/>
      <c r="E386" s="10"/>
      <c r="F386" s="10"/>
      <c r="G386" s="10"/>
      <c r="H386" s="10"/>
      <c r="I386" s="10"/>
      <c r="J386" s="10"/>
      <c r="K386" s="12"/>
      <c r="L386" s="10"/>
      <c r="AB386" s="65"/>
      <c r="AC386" s="305" t="s">
        <v>512</v>
      </c>
      <c r="AD386" s="302"/>
      <c r="AE386" s="303"/>
      <c r="AF386" s="301"/>
      <c r="AG386" s="304"/>
      <c r="AH386" s="303"/>
      <c r="AI386" s="306">
        <v>-390.56</v>
      </c>
      <c r="AJ386" s="96"/>
      <c r="AK386" s="95"/>
      <c r="AL386" s="178"/>
      <c r="AM386" s="96"/>
      <c r="AN386" s="95"/>
      <c r="AO386" s="178"/>
      <c r="AP386" s="181"/>
      <c r="AQ386" s="95"/>
      <c r="AR386" s="178"/>
      <c r="AS386" s="181"/>
      <c r="AT386" s="95"/>
      <c r="AU386" s="178"/>
      <c r="AV386" s="181"/>
      <c r="AW386" s="95"/>
      <c r="AX386" s="178"/>
      <c r="AY386" s="181"/>
      <c r="AZ386" s="95"/>
      <c r="BA386" s="178"/>
      <c r="BB386" s="181"/>
      <c r="BC386" s="95"/>
      <c r="BD386" s="178"/>
      <c r="BE386" s="96"/>
      <c r="BF386" s="182"/>
      <c r="BG386" s="183"/>
      <c r="BH386" s="184"/>
      <c r="BI386" s="185"/>
      <c r="BJ386" s="183"/>
      <c r="BK386" s="186"/>
      <c r="BN386" s="125"/>
      <c r="BO386" s="126"/>
      <c r="BP386" s="127"/>
    </row>
    <row r="387" spans="1:68" ht="66.75" customHeight="1" outlineLevel="1" x14ac:dyDescent="0.25">
      <c r="A387" s="10" t="e">
        <f t="array" ref="A387">#REF!</f>
        <v>#REF!</v>
      </c>
      <c r="B387" s="5" t="e">
        <f t="array" ref="B387">A387</f>
        <v>#REF!</v>
      </c>
      <c r="C387" s="10" t="s">
        <v>83</v>
      </c>
      <c r="D387" s="10" t="s">
        <v>84</v>
      </c>
      <c r="E387" s="10" t="s">
        <v>73</v>
      </c>
      <c r="F387" s="10" t="s">
        <v>74</v>
      </c>
      <c r="G387" s="10" t="s">
        <v>513</v>
      </c>
      <c r="H387" s="10" t="s">
        <v>73</v>
      </c>
      <c r="I387" s="10" t="s">
        <v>73</v>
      </c>
      <c r="J387" s="10" t="s">
        <v>73</v>
      </c>
      <c r="K387" s="12" t="s">
        <v>73</v>
      </c>
      <c r="L387" s="10" t="s">
        <v>133</v>
      </c>
      <c r="M387" s="5" t="str">
        <f t="array" ref="M387">Y96</f>
        <v>1ХВС::1.1</v>
      </c>
      <c r="AB387" s="65" t="str">
        <f>AB379&amp;".6"</f>
        <v>4.6</v>
      </c>
      <c r="AC387" s="80" t="s">
        <v>513</v>
      </c>
      <c r="AD387" s="51" t="s">
        <v>111</v>
      </c>
      <c r="AE387" s="95"/>
      <c r="AF387" s="178"/>
      <c r="AG387" s="96">
        <v>228401.3</v>
      </c>
      <c r="AH387" s="95"/>
      <c r="AI387" s="178"/>
      <c r="AJ387" s="96">
        <v>11620.4</v>
      </c>
      <c r="AK387" s="95"/>
      <c r="AL387" s="178"/>
      <c r="AM387" s="96">
        <v>24652.343000000001</v>
      </c>
      <c r="AN387" s="95"/>
      <c r="AO387" s="178"/>
      <c r="AP387" s="181">
        <v>16203.53</v>
      </c>
      <c r="AQ387" s="95"/>
      <c r="AR387" s="178">
        <v>961.74</v>
      </c>
      <c r="AS387" s="181">
        <v>19950.235000000001</v>
      </c>
      <c r="AT387" s="95"/>
      <c r="AU387" s="178"/>
      <c r="AV387" s="181">
        <v>24120.25</v>
      </c>
      <c r="AW387" s="95"/>
      <c r="AX387" s="178">
        <v>-1808.94</v>
      </c>
      <c r="AY387" s="181"/>
      <c r="AZ387" s="95"/>
      <c r="BA387" s="178"/>
      <c r="BB387" s="181"/>
      <c r="BC387" s="95">
        <v>59212.93</v>
      </c>
      <c r="BD387" s="178">
        <v>7069.44</v>
      </c>
      <c r="BE387" s="96">
        <v>0</v>
      </c>
      <c r="BF387" s="182"/>
      <c r="BG387" s="183">
        <v>-516.30999999999995</v>
      </c>
      <c r="BH387" s="184">
        <v>854.20399999999995</v>
      </c>
      <c r="BI387" s="185"/>
      <c r="BJ387" s="183">
        <v>2443.16</v>
      </c>
      <c r="BK387" s="186"/>
      <c r="BN387" s="125">
        <f t="shared" ref="BN387:BP394" si="75">AE387+AH387+AK387+AN387+AQ387+AT387+AW387+AZ387+BC387+BF387+BI387</f>
        <v>59212.93</v>
      </c>
      <c r="BO387" s="126">
        <f t="shared" si="75"/>
        <v>8149.09</v>
      </c>
      <c r="BP387" s="127">
        <f t="shared" si="75"/>
        <v>325802.26200000005</v>
      </c>
    </row>
    <row r="388" spans="1:68" s="171" customFormat="1" ht="30.75" customHeight="1" x14ac:dyDescent="0.25">
      <c r="A388" s="167" t="b">
        <f>REGULATION_METHODS="Метод индексации"</f>
        <v>1</v>
      </c>
      <c r="B388" s="166" t="b">
        <f t="array" ref="B388">A388</f>
        <v>1</v>
      </c>
      <c r="C388" s="167" t="s">
        <v>83</v>
      </c>
      <c r="D388" s="167" t="s">
        <v>84</v>
      </c>
      <c r="E388" s="167" t="s">
        <v>73</v>
      </c>
      <c r="F388" s="167" t="s">
        <v>74</v>
      </c>
      <c r="G388" s="167" t="s">
        <v>514</v>
      </c>
      <c r="H388" s="167" t="s">
        <v>73</v>
      </c>
      <c r="I388" s="167" t="s">
        <v>73</v>
      </c>
      <c r="J388" s="167" t="s">
        <v>73</v>
      </c>
      <c r="K388" s="168" t="s">
        <v>73</v>
      </c>
      <c r="L388" s="167" t="s">
        <v>133</v>
      </c>
      <c r="M388" s="166" t="str">
        <f t="array" ref="M388">Y96</f>
        <v>1ХВС::1.1</v>
      </c>
      <c r="N388" s="166"/>
      <c r="O388" s="166"/>
      <c r="P388" s="166"/>
      <c r="Q388" s="166"/>
      <c r="R388" s="166"/>
      <c r="S388" s="166"/>
      <c r="T388" s="166"/>
      <c r="U388" s="166"/>
      <c r="V388" s="166"/>
      <c r="W388" s="166"/>
      <c r="X388" s="166"/>
      <c r="Y388" s="166"/>
      <c r="Z388" s="166"/>
      <c r="AA388" s="166"/>
      <c r="AB388" s="155">
        <f>COUNT(AB379,AB145,AB99)+2</f>
        <v>5</v>
      </c>
      <c r="AC388" s="156" t="s">
        <v>515</v>
      </c>
      <c r="AD388" s="157" t="s">
        <v>111</v>
      </c>
      <c r="AE388" s="307"/>
      <c r="AF388" s="262">
        <v>-18490</v>
      </c>
      <c r="AG388" s="308"/>
      <c r="AH388" s="307"/>
      <c r="AI388" s="262"/>
      <c r="AJ388" s="308"/>
      <c r="AK388" s="307"/>
      <c r="AL388" s="262">
        <v>245</v>
      </c>
      <c r="AM388" s="308"/>
      <c r="AN388" s="307"/>
      <c r="AO388" s="262"/>
      <c r="AP388" s="309"/>
      <c r="AQ388" s="307"/>
      <c r="AR388" s="262">
        <v>1000</v>
      </c>
      <c r="AS388" s="309"/>
      <c r="AT388" s="307"/>
      <c r="AU388" s="262"/>
      <c r="AV388" s="309"/>
      <c r="AW388" s="307"/>
      <c r="AX388" s="262">
        <v>1000</v>
      </c>
      <c r="AY388" s="309"/>
      <c r="AZ388" s="307"/>
      <c r="BA388" s="262"/>
      <c r="BB388" s="309"/>
      <c r="BC388" s="307"/>
      <c r="BD388" s="262">
        <v>-32000</v>
      </c>
      <c r="BE388" s="308">
        <v>0</v>
      </c>
      <c r="BF388" s="310"/>
      <c r="BG388" s="265">
        <v>-9000</v>
      </c>
      <c r="BH388" s="311"/>
      <c r="BI388" s="312"/>
      <c r="BJ388" s="265">
        <v>-11000</v>
      </c>
      <c r="BK388" s="313"/>
      <c r="BL388" s="170"/>
      <c r="BM388" s="166"/>
      <c r="BN388" s="163">
        <f t="shared" si="75"/>
        <v>0</v>
      </c>
      <c r="BO388" s="164">
        <f t="shared" si="75"/>
        <v>-68245</v>
      </c>
      <c r="BP388" s="165">
        <f t="shared" si="75"/>
        <v>0</v>
      </c>
    </row>
    <row r="389" spans="1:68" s="171" customFormat="1" ht="35.25" customHeight="1" x14ac:dyDescent="0.25">
      <c r="A389" s="166"/>
      <c r="B389" s="166"/>
      <c r="C389" s="167" t="s">
        <v>83</v>
      </c>
      <c r="D389" s="167" t="s">
        <v>84</v>
      </c>
      <c r="E389" s="167" t="s">
        <v>73</v>
      </c>
      <c r="F389" s="167" t="s">
        <v>74</v>
      </c>
      <c r="G389" s="314" t="s">
        <v>516</v>
      </c>
      <c r="H389" s="167" t="s">
        <v>73</v>
      </c>
      <c r="I389" s="167" t="s">
        <v>73</v>
      </c>
      <c r="J389" s="167" t="s">
        <v>73</v>
      </c>
      <c r="K389" s="168" t="s">
        <v>73</v>
      </c>
      <c r="L389" s="315" t="s">
        <v>73</v>
      </c>
      <c r="M389" s="166" t="str">
        <f t="array" ref="M389">Y96</f>
        <v>1ХВС::1.1</v>
      </c>
      <c r="N389" s="166"/>
      <c r="O389" s="166"/>
      <c r="P389" s="166"/>
      <c r="Q389" s="166"/>
      <c r="R389" s="166"/>
      <c r="S389" s="166"/>
      <c r="T389" s="166"/>
      <c r="U389" s="166"/>
      <c r="V389" s="166"/>
      <c r="W389" s="166"/>
      <c r="X389" s="166"/>
      <c r="Y389" s="166"/>
      <c r="Z389" s="166"/>
      <c r="AA389" s="166"/>
      <c r="AB389" s="155">
        <f>COUNT(AB379,AB145,AB99,AB388,#REF!)+2</f>
        <v>6</v>
      </c>
      <c r="AC389" s="156" t="s">
        <v>517</v>
      </c>
      <c r="AD389" s="157" t="s">
        <v>111</v>
      </c>
      <c r="AE389" s="307"/>
      <c r="AF389" s="262"/>
      <c r="AG389" s="308"/>
      <c r="AH389" s="307"/>
      <c r="AI389" s="262"/>
      <c r="AJ389" s="308"/>
      <c r="AK389" s="307"/>
      <c r="AL389" s="262">
        <v>-1272.18</v>
      </c>
      <c r="AM389" s="308"/>
      <c r="AN389" s="307"/>
      <c r="AO389" s="262"/>
      <c r="AP389" s="309"/>
      <c r="AQ389" s="307"/>
      <c r="AR389" s="262">
        <f>AR391</f>
        <v>-7488.5829999999996</v>
      </c>
      <c r="AS389" s="309">
        <f>AS391</f>
        <v>0</v>
      </c>
      <c r="AT389" s="307">
        <f>AT391</f>
        <v>0</v>
      </c>
      <c r="AU389" s="262">
        <f>AU391</f>
        <v>-9374.2199999999993</v>
      </c>
      <c r="AV389" s="309">
        <f>AV391</f>
        <v>0</v>
      </c>
      <c r="AW389" s="307"/>
      <c r="AX389" s="262">
        <f>AX391</f>
        <v>11548.32</v>
      </c>
      <c r="AY389" s="309"/>
      <c r="AZ389" s="307"/>
      <c r="BA389" s="262">
        <f>BA391</f>
        <v>43478.745000000003</v>
      </c>
      <c r="BB389" s="309"/>
      <c r="BC389" s="307"/>
      <c r="BD389" s="262">
        <v>-26132.01</v>
      </c>
      <c r="BE389" s="308">
        <v>0</v>
      </c>
      <c r="BF389" s="310"/>
      <c r="BG389" s="265">
        <f>BG390+BG391</f>
        <v>-15666.35</v>
      </c>
      <c r="BH389" s="311"/>
      <c r="BI389" s="312"/>
      <c r="BJ389" s="265">
        <f>BJ390+BJ391</f>
        <v>-21213.07</v>
      </c>
      <c r="BK389" s="313"/>
      <c r="BL389" s="170"/>
      <c r="BM389" s="166"/>
      <c r="BN389" s="163">
        <f t="shared" si="75"/>
        <v>0</v>
      </c>
      <c r="BO389" s="164">
        <f t="shared" si="75"/>
        <v>-26119.347999999998</v>
      </c>
      <c r="BP389" s="165">
        <f t="shared" si="75"/>
        <v>0</v>
      </c>
    </row>
    <row r="390" spans="1:68" ht="37.5" hidden="1" customHeight="1" x14ac:dyDescent="0.25">
      <c r="C390" s="316" t="s">
        <v>83</v>
      </c>
      <c r="D390" s="316" t="s">
        <v>84</v>
      </c>
      <c r="E390" s="316" t="s">
        <v>73</v>
      </c>
      <c r="F390" s="316" t="s">
        <v>74</v>
      </c>
      <c r="G390" s="316" t="s">
        <v>518</v>
      </c>
      <c r="H390" s="316" t="s">
        <v>73</v>
      </c>
      <c r="I390" s="316" t="s">
        <v>73</v>
      </c>
      <c r="J390" s="316" t="s">
        <v>73</v>
      </c>
      <c r="K390" s="317" t="s">
        <v>73</v>
      </c>
      <c r="L390" s="316" t="s">
        <v>73</v>
      </c>
      <c r="M390" s="5" t="str">
        <f t="array" ref="M390">Y96</f>
        <v>1ХВС::1.1</v>
      </c>
      <c r="AB390" s="29" t="str">
        <f>AB389&amp;".1"</f>
        <v>6.1</v>
      </c>
      <c r="AC390" s="80" t="s">
        <v>518</v>
      </c>
      <c r="AD390" s="51" t="s">
        <v>111</v>
      </c>
      <c r="AE390" s="95"/>
      <c r="AF390" s="178"/>
      <c r="AG390" s="96"/>
      <c r="AH390" s="95"/>
      <c r="AI390" s="178"/>
      <c r="AJ390" s="96"/>
      <c r="AK390" s="95"/>
      <c r="AL390" s="178"/>
      <c r="AM390" s="96"/>
      <c r="AN390" s="95"/>
      <c r="AO390" s="178"/>
      <c r="AP390" s="181"/>
      <c r="AQ390" s="95"/>
      <c r="AR390" s="178"/>
      <c r="AS390" s="181"/>
      <c r="AT390" s="95"/>
      <c r="AU390" s="178"/>
      <c r="AV390" s="181"/>
      <c r="AW390" s="95"/>
      <c r="AX390" s="178"/>
      <c r="AY390" s="181"/>
      <c r="AZ390" s="95"/>
      <c r="BA390" s="178"/>
      <c r="BB390" s="181"/>
      <c r="BC390" s="95"/>
      <c r="BD390" s="178"/>
      <c r="BE390" s="96"/>
      <c r="BF390" s="182"/>
      <c r="BG390" s="183"/>
      <c r="BH390" s="184"/>
      <c r="BI390" s="185"/>
      <c r="BJ390" s="183"/>
      <c r="BK390" s="186"/>
      <c r="BN390" s="125">
        <f t="shared" si="75"/>
        <v>0</v>
      </c>
      <c r="BO390" s="126">
        <f t="shared" si="75"/>
        <v>0</v>
      </c>
      <c r="BP390" s="127">
        <f t="shared" si="75"/>
        <v>0</v>
      </c>
    </row>
    <row r="391" spans="1:68" ht="45" customHeight="1" x14ac:dyDescent="0.25">
      <c r="C391" s="316" t="s">
        <v>83</v>
      </c>
      <c r="D391" s="316" t="s">
        <v>84</v>
      </c>
      <c r="E391" s="316" t="s">
        <v>73</v>
      </c>
      <c r="F391" s="316" t="s">
        <v>74</v>
      </c>
      <c r="G391" s="316" t="s">
        <v>519</v>
      </c>
      <c r="H391" s="316" t="s">
        <v>73</v>
      </c>
      <c r="I391" s="316" t="s">
        <v>73</v>
      </c>
      <c r="J391" s="316" t="s">
        <v>73</v>
      </c>
      <c r="K391" s="317" t="s">
        <v>73</v>
      </c>
      <c r="L391" s="316" t="s">
        <v>73</v>
      </c>
      <c r="M391" s="5" t="str">
        <f t="array" ref="M391">Y96</f>
        <v>1ХВС::1.1</v>
      </c>
      <c r="AB391" s="29" t="str">
        <f>AB389&amp;".2"</f>
        <v>6.2</v>
      </c>
      <c r="AC391" s="80" t="s">
        <v>519</v>
      </c>
      <c r="AD391" s="51" t="s">
        <v>111</v>
      </c>
      <c r="AE391" s="318"/>
      <c r="AF391" s="319"/>
      <c r="AG391" s="320"/>
      <c r="AH391" s="318"/>
      <c r="AI391" s="319"/>
      <c r="AJ391" s="320"/>
      <c r="AK391" s="95"/>
      <c r="AL391" s="178">
        <v>-1272.18</v>
      </c>
      <c r="AM391" s="96"/>
      <c r="AN391" s="95"/>
      <c r="AO391" s="178"/>
      <c r="AP391" s="181"/>
      <c r="AQ391" s="95"/>
      <c r="AR391" s="178">
        <v>-7488.5829999999996</v>
      </c>
      <c r="AS391" s="181"/>
      <c r="AT391" s="95"/>
      <c r="AU391" s="178">
        <v>-9374.2199999999993</v>
      </c>
      <c r="AV391" s="181"/>
      <c r="AW391" s="95"/>
      <c r="AX391" s="178">
        <v>11548.32</v>
      </c>
      <c r="AY391" s="181"/>
      <c r="AZ391" s="95"/>
      <c r="BA391" s="178">
        <v>43478.745000000003</v>
      </c>
      <c r="BB391" s="181"/>
      <c r="BC391" s="95"/>
      <c r="BD391" s="178">
        <v>-26132.01</v>
      </c>
      <c r="BE391" s="96"/>
      <c r="BF391" s="182"/>
      <c r="BG391" s="183">
        <v>-15666.35</v>
      </c>
      <c r="BH391" s="184"/>
      <c r="BI391" s="185"/>
      <c r="BJ391" s="183">
        <v>-21213.07</v>
      </c>
      <c r="BK391" s="186"/>
      <c r="BN391" s="125">
        <f t="shared" si="75"/>
        <v>0</v>
      </c>
      <c r="BO391" s="126">
        <f t="shared" si="75"/>
        <v>-26119.347999999998</v>
      </c>
      <c r="BP391" s="127">
        <f t="shared" si="75"/>
        <v>0</v>
      </c>
    </row>
    <row r="392" spans="1:68" s="171" customFormat="1" ht="30" hidden="1" customHeight="1" x14ac:dyDescent="0.25">
      <c r="A392" s="166"/>
      <c r="B392" s="166"/>
      <c r="C392" s="321" t="s">
        <v>83</v>
      </c>
      <c r="D392" s="315" t="s">
        <v>84</v>
      </c>
      <c r="E392" s="315" t="s">
        <v>73</v>
      </c>
      <c r="F392" s="315" t="s">
        <v>74</v>
      </c>
      <c r="G392" s="315" t="s">
        <v>520</v>
      </c>
      <c r="H392" s="315" t="s">
        <v>73</v>
      </c>
      <c r="I392" s="315" t="s">
        <v>73</v>
      </c>
      <c r="J392" s="315" t="s">
        <v>73</v>
      </c>
      <c r="K392" s="322" t="s">
        <v>73</v>
      </c>
      <c r="L392" s="315" t="s">
        <v>73</v>
      </c>
      <c r="M392" s="166" t="str">
        <f t="array" ref="M392">Y96</f>
        <v>1ХВС::1.1</v>
      </c>
      <c r="N392" s="166"/>
      <c r="O392" s="166"/>
      <c r="P392" s="166"/>
      <c r="Q392" s="166"/>
      <c r="R392" s="166"/>
      <c r="S392" s="166"/>
      <c r="T392" s="166"/>
      <c r="U392" s="166"/>
      <c r="V392" s="166"/>
      <c r="W392" s="166"/>
      <c r="X392" s="166"/>
      <c r="Y392" s="166"/>
      <c r="Z392" s="166"/>
      <c r="AA392" s="166"/>
      <c r="AB392" s="323">
        <f>COUNT(AB379,AB145,AB99,AB388,#REF!,AB389,#REF!)+2</f>
        <v>7</v>
      </c>
      <c r="AC392" s="324" t="s">
        <v>520</v>
      </c>
      <c r="AD392" s="325" t="s">
        <v>111</v>
      </c>
      <c r="AE392" s="326"/>
      <c r="AF392" s="327"/>
      <c r="AG392" s="328"/>
      <c r="AH392" s="326"/>
      <c r="AI392" s="327"/>
      <c r="AJ392" s="328"/>
      <c r="AK392" s="329"/>
      <c r="AL392" s="330"/>
      <c r="AM392" s="331"/>
      <c r="AN392" s="329"/>
      <c r="AO392" s="330"/>
      <c r="AP392" s="332"/>
      <c r="AQ392" s="329"/>
      <c r="AR392" s="330"/>
      <c r="AS392" s="332"/>
      <c r="AT392" s="329"/>
      <c r="AU392" s="330"/>
      <c r="AV392" s="332"/>
      <c r="AW392" s="329"/>
      <c r="AX392" s="330"/>
      <c r="AY392" s="332"/>
      <c r="AZ392" s="329"/>
      <c r="BA392" s="330"/>
      <c r="BB392" s="332"/>
      <c r="BC392" s="329"/>
      <c r="BD392" s="330"/>
      <c r="BE392" s="331"/>
      <c r="BF392" s="333"/>
      <c r="BG392" s="334"/>
      <c r="BH392" s="335"/>
      <c r="BI392" s="336"/>
      <c r="BJ392" s="334"/>
      <c r="BK392" s="337"/>
      <c r="BL392" s="170"/>
      <c r="BM392" s="166"/>
      <c r="BN392" s="125">
        <f t="shared" si="75"/>
        <v>0</v>
      </c>
      <c r="BO392" s="126">
        <f t="shared" si="75"/>
        <v>0</v>
      </c>
      <c r="BP392" s="127">
        <f t="shared" si="75"/>
        <v>0</v>
      </c>
    </row>
    <row r="393" spans="1:68" s="171" customFormat="1" ht="31.5" hidden="1" customHeight="1" x14ac:dyDescent="0.25">
      <c r="A393" s="166"/>
      <c r="B393" s="166"/>
      <c r="C393" s="321" t="s">
        <v>83</v>
      </c>
      <c r="D393" s="315" t="s">
        <v>84</v>
      </c>
      <c r="E393" s="315" t="s">
        <v>73</v>
      </c>
      <c r="F393" s="315" t="s">
        <v>74</v>
      </c>
      <c r="G393" s="315" t="s">
        <v>521</v>
      </c>
      <c r="H393" s="315" t="s">
        <v>73</v>
      </c>
      <c r="I393" s="315" t="s">
        <v>73</v>
      </c>
      <c r="J393" s="315" t="s">
        <v>73</v>
      </c>
      <c r="K393" s="322" t="s">
        <v>73</v>
      </c>
      <c r="L393" s="315" t="s">
        <v>73</v>
      </c>
      <c r="M393" s="166" t="str">
        <f t="array" ref="M393">Y96</f>
        <v>1ХВС::1.1</v>
      </c>
      <c r="N393" s="166"/>
      <c r="O393" s="166"/>
      <c r="P393" s="166"/>
      <c r="Q393" s="166"/>
      <c r="R393" s="166"/>
      <c r="S393" s="166"/>
      <c r="T393" s="166"/>
      <c r="U393" s="166"/>
      <c r="V393" s="166"/>
      <c r="W393" s="166"/>
      <c r="X393" s="166"/>
      <c r="Y393" s="166"/>
      <c r="Z393" s="166"/>
      <c r="AA393" s="166"/>
      <c r="AB393" s="338">
        <f>COUNT(AB379,AB145,AB99,AB388,#REF!,AB389,AB392,#REF!)+2</f>
        <v>8</v>
      </c>
      <c r="AC393" s="339" t="s">
        <v>521</v>
      </c>
      <c r="AD393" s="340" t="s">
        <v>111</v>
      </c>
      <c r="AE393" s="341"/>
      <c r="AF393" s="342"/>
      <c r="AG393" s="343"/>
      <c r="AH393" s="341"/>
      <c r="AI393" s="342"/>
      <c r="AJ393" s="343"/>
      <c r="AK393" s="341"/>
      <c r="AL393" s="342"/>
      <c r="AM393" s="343"/>
      <c r="AN393" s="341"/>
      <c r="AO393" s="342"/>
      <c r="AP393" s="344"/>
      <c r="AQ393" s="341"/>
      <c r="AR393" s="342"/>
      <c r="AS393" s="344"/>
      <c r="AT393" s="341"/>
      <c r="AU393" s="342"/>
      <c r="AV393" s="344"/>
      <c r="AW393" s="341"/>
      <c r="AX393" s="342"/>
      <c r="AY393" s="344"/>
      <c r="AZ393" s="341"/>
      <c r="BA393" s="342"/>
      <c r="BB393" s="344"/>
      <c r="BC393" s="341"/>
      <c r="BD393" s="342"/>
      <c r="BE393" s="343"/>
      <c r="BF393" s="345"/>
      <c r="BG393" s="346"/>
      <c r="BH393" s="347"/>
      <c r="BI393" s="348"/>
      <c r="BJ393" s="346"/>
      <c r="BK393" s="349"/>
      <c r="BL393" s="170"/>
      <c r="BM393" s="166"/>
      <c r="BN393" s="125">
        <f t="shared" si="75"/>
        <v>0</v>
      </c>
      <c r="BO393" s="126">
        <f t="shared" si="75"/>
        <v>0</v>
      </c>
      <c r="BP393" s="127">
        <f t="shared" si="75"/>
        <v>0</v>
      </c>
    </row>
    <row r="394" spans="1:68" s="171" customFormat="1" ht="26.25" customHeight="1" x14ac:dyDescent="0.25">
      <c r="A394" s="166"/>
      <c r="B394" s="166"/>
      <c r="C394" s="167" t="s">
        <v>83</v>
      </c>
      <c r="D394" s="167" t="s">
        <v>84</v>
      </c>
      <c r="E394" s="167" t="s">
        <v>73</v>
      </c>
      <c r="F394" s="167" t="s">
        <v>74</v>
      </c>
      <c r="G394" s="167" t="s">
        <v>85</v>
      </c>
      <c r="H394" s="167" t="s">
        <v>73</v>
      </c>
      <c r="I394" s="167" t="s">
        <v>73</v>
      </c>
      <c r="J394" s="167" t="s">
        <v>73</v>
      </c>
      <c r="K394" s="168" t="s">
        <v>73</v>
      </c>
      <c r="L394" s="167" t="s">
        <v>133</v>
      </c>
      <c r="M394" s="166" t="str">
        <f t="array" ref="M394">Y96</f>
        <v>1ХВС::1.1</v>
      </c>
      <c r="N394" s="166"/>
      <c r="O394" s="166"/>
      <c r="P394" s="166"/>
      <c r="Q394" s="166"/>
      <c r="R394" s="166"/>
      <c r="S394" s="166"/>
      <c r="T394" s="166"/>
      <c r="U394" s="166"/>
      <c r="V394" s="166"/>
      <c r="W394" s="166"/>
      <c r="X394" s="166"/>
      <c r="Y394" s="166"/>
      <c r="Z394" s="166"/>
      <c r="AA394" s="166"/>
      <c r="AB394" s="350">
        <f>COUNT(AB379,AB145,AB99,AB388,#REF!,AB389,AB392,AB393,#REF!)+2</f>
        <v>9</v>
      </c>
      <c r="AC394" s="351" t="s">
        <v>522</v>
      </c>
      <c r="AD394" s="352" t="s">
        <v>111</v>
      </c>
      <c r="AE394" s="353">
        <f t="shared" ref="AE394:AW394" si="76">AE146+AE375+AE376+AE379+AE388+AE389</f>
        <v>1611478.3340580531</v>
      </c>
      <c r="AF394" s="354">
        <f t="shared" si="76"/>
        <v>1380762.2273414219</v>
      </c>
      <c r="AG394" s="355">
        <f t="shared" si="76"/>
        <v>2336602.7407540255</v>
      </c>
      <c r="AH394" s="353">
        <f t="shared" si="76"/>
        <v>19586.074429200002</v>
      </c>
      <c r="AI394" s="354">
        <f t="shared" si="76"/>
        <v>6638.57</v>
      </c>
      <c r="AJ394" s="355">
        <f t="shared" si="76"/>
        <v>37581.580945100002</v>
      </c>
      <c r="AK394" s="353">
        <f t="shared" si="76"/>
        <v>64126.684430819994</v>
      </c>
      <c r="AL394" s="354">
        <f t="shared" si="76"/>
        <v>34457.789842400001</v>
      </c>
      <c r="AM394" s="355">
        <f t="shared" si="76"/>
        <v>105297.85289440001</v>
      </c>
      <c r="AN394" s="353">
        <f t="shared" si="76"/>
        <v>69469.992562080006</v>
      </c>
      <c r="AO394" s="354">
        <f t="shared" si="76"/>
        <v>46271.447376972006</v>
      </c>
      <c r="AP394" s="356">
        <f t="shared" si="76"/>
        <v>112218.46419997999</v>
      </c>
      <c r="AQ394" s="353">
        <f t="shared" si="76"/>
        <v>32157.999299119998</v>
      </c>
      <c r="AR394" s="354">
        <f t="shared" si="76"/>
        <v>7325.0286952000015</v>
      </c>
      <c r="AS394" s="356">
        <f t="shared" si="76"/>
        <v>61904.749328000005</v>
      </c>
      <c r="AT394" s="353">
        <f t="shared" si="76"/>
        <v>86959.794469900022</v>
      </c>
      <c r="AU394" s="354">
        <f t="shared" si="76"/>
        <v>68089.755503769993</v>
      </c>
      <c r="AV394" s="356">
        <f t="shared" si="76"/>
        <v>144087.11742596998</v>
      </c>
      <c r="AW394" s="353">
        <f t="shared" si="76"/>
        <v>61298.975146209996</v>
      </c>
      <c r="AX394" s="354">
        <f>AX146+AX375+AX376+AX379+AX388-AX389</f>
        <v>13618.817903200001</v>
      </c>
      <c r="AY394" s="356">
        <f>AY146+AY375+AY376+AY379+AY388+AY389</f>
        <v>67277.24303920001</v>
      </c>
      <c r="AZ394" s="353">
        <f>AZ146+AZ375+AZ376+AZ379+AZ388+AZ389</f>
        <v>114764.74250909498</v>
      </c>
      <c r="BA394" s="354">
        <f>BA146+BA375+BA376+BA379+BA388-BA389</f>
        <v>85404.302288999985</v>
      </c>
      <c r="BB394" s="356">
        <f t="shared" ref="BB394:BK394" si="77">BB146+BB375+BB376+BB379+BB388+BB389</f>
        <v>155405.88929939308</v>
      </c>
      <c r="BC394" s="353">
        <f t="shared" si="77"/>
        <v>226743.87175359996</v>
      </c>
      <c r="BD394" s="354">
        <f t="shared" si="77"/>
        <v>78301.740000000005</v>
      </c>
      <c r="BE394" s="355">
        <f t="shared" si="77"/>
        <v>198835.967925</v>
      </c>
      <c r="BF394" s="357">
        <f t="shared" si="77"/>
        <v>34090.336577499998</v>
      </c>
      <c r="BG394" s="354">
        <f t="shared" si="77"/>
        <v>4629.7796760000037</v>
      </c>
      <c r="BH394" s="356">
        <f t="shared" si="77"/>
        <v>38617.25664688</v>
      </c>
      <c r="BI394" s="353">
        <f t="shared" si="77"/>
        <v>32257.124699309996</v>
      </c>
      <c r="BJ394" s="354">
        <f t="shared" si="77"/>
        <v>9629.227575200006</v>
      </c>
      <c r="BK394" s="355">
        <f t="shared" si="77"/>
        <v>46040.571460199993</v>
      </c>
      <c r="BL394" s="170"/>
      <c r="BM394" s="166"/>
      <c r="BN394" s="358">
        <f t="shared" si="75"/>
        <v>2352933.9299348881</v>
      </c>
      <c r="BO394" s="359">
        <f t="shared" si="75"/>
        <v>1735128.6862031638</v>
      </c>
      <c r="BP394" s="360">
        <f t="shared" si="75"/>
        <v>3303869.4339181487</v>
      </c>
    </row>
    <row r="395" spans="1:68" s="171" customFormat="1" ht="24.75" customHeight="1" x14ac:dyDescent="0.25">
      <c r="A395" s="167" t="b">
        <f>$W96="одноставочный"</f>
        <v>1</v>
      </c>
      <c r="B395" s="166" t="b">
        <f t="array" ref="B395">A395</f>
        <v>1</v>
      </c>
      <c r="C395" s="167" t="s">
        <v>90</v>
      </c>
      <c r="D395" s="167" t="s">
        <v>91</v>
      </c>
      <c r="E395" s="167" t="s">
        <v>73</v>
      </c>
      <c r="F395" s="167" t="s">
        <v>74</v>
      </c>
      <c r="G395" s="167" t="s">
        <v>73</v>
      </c>
      <c r="H395" s="167" t="s">
        <v>73</v>
      </c>
      <c r="I395" s="167" t="s">
        <v>73</v>
      </c>
      <c r="J395" s="167" t="s">
        <v>73</v>
      </c>
      <c r="K395" s="168" t="s">
        <v>73</v>
      </c>
      <c r="L395" s="167" t="s">
        <v>133</v>
      </c>
      <c r="M395" s="166" t="str">
        <f t="array" ref="M395">Y96</f>
        <v>1ХВС::1.1</v>
      </c>
      <c r="N395" s="166"/>
      <c r="O395" s="166"/>
      <c r="P395" s="166"/>
      <c r="Q395" s="166"/>
      <c r="R395" s="166"/>
      <c r="S395" s="166"/>
      <c r="T395" s="166"/>
      <c r="U395" s="166"/>
      <c r="V395" s="166"/>
      <c r="W395" s="166"/>
      <c r="X395" s="166"/>
      <c r="Y395" s="166"/>
      <c r="Z395" s="166"/>
      <c r="AA395" s="166"/>
      <c r="AB395" s="361">
        <f>COUNT(AB379,AB145,AB99,AB388,#REF!,AB389,AB394,AB392,AB393,#REF!,#REF!,#REF!,#REF!)+2</f>
        <v>10</v>
      </c>
      <c r="AC395" s="362" t="s">
        <v>523</v>
      </c>
      <c r="AD395" s="363" t="s">
        <v>524</v>
      </c>
      <c r="AE395" s="364">
        <f t="shared" ref="AE395:BK395" si="78">AE394/AE110</f>
        <v>41.641478614030298</v>
      </c>
      <c r="AF395" s="365">
        <f t="shared" si="78"/>
        <v>34.546560791573782</v>
      </c>
      <c r="AG395" s="366">
        <f t="shared" si="78"/>
        <v>59.612769536069145</v>
      </c>
      <c r="AH395" s="364">
        <f t="shared" si="78"/>
        <v>448.48127929107903</v>
      </c>
      <c r="AI395" s="365">
        <f t="shared" si="78"/>
        <v>45.277383712999587</v>
      </c>
      <c r="AJ395" s="366">
        <f t="shared" si="78"/>
        <v>775.64560689135646</v>
      </c>
      <c r="AK395" s="364">
        <f t="shared" si="78"/>
        <v>66.523389093064935</v>
      </c>
      <c r="AL395" s="365">
        <f t="shared" si="78"/>
        <v>27.414029183891042</v>
      </c>
      <c r="AM395" s="366">
        <f t="shared" si="78"/>
        <v>89.136210096892114</v>
      </c>
      <c r="AN395" s="364">
        <f t="shared" si="78"/>
        <v>33.490344377425181</v>
      </c>
      <c r="AO395" s="365">
        <f t="shared" si="78"/>
        <v>22.959851228078918</v>
      </c>
      <c r="AP395" s="367">
        <f t="shared" si="78"/>
        <v>56.391754791495387</v>
      </c>
      <c r="AQ395" s="364">
        <f t="shared" si="78"/>
        <v>80.96173036032225</v>
      </c>
      <c r="AR395" s="365">
        <f t="shared" si="78"/>
        <v>16.228075446851879</v>
      </c>
      <c r="AS395" s="367">
        <f t="shared" si="78"/>
        <v>153.18028685818922</v>
      </c>
      <c r="AT395" s="364">
        <f t="shared" si="78"/>
        <v>36.153559225665106</v>
      </c>
      <c r="AU395" s="365">
        <f t="shared" si="78"/>
        <v>22.184999088932546</v>
      </c>
      <c r="AV395" s="367">
        <f t="shared" si="78"/>
        <v>63.670842874931495</v>
      </c>
      <c r="AW395" s="364">
        <f t="shared" si="78"/>
        <v>88.812064655988749</v>
      </c>
      <c r="AX395" s="365">
        <f t="shared" si="78"/>
        <v>19.142071097742669</v>
      </c>
      <c r="AY395" s="367">
        <f t="shared" si="78"/>
        <v>96.289996821498406</v>
      </c>
      <c r="AZ395" s="364">
        <f t="shared" si="78"/>
        <v>37.979549773987003</v>
      </c>
      <c r="BA395" s="365">
        <f t="shared" si="78"/>
        <v>27.275001289908438</v>
      </c>
      <c r="BB395" s="367">
        <f t="shared" si="78"/>
        <v>50.340739242064693</v>
      </c>
      <c r="BC395" s="364">
        <f t="shared" si="78"/>
        <v>79.277470518333061</v>
      </c>
      <c r="BD395" s="365">
        <f t="shared" si="78"/>
        <v>29.862133825151368</v>
      </c>
      <c r="BE395" s="366">
        <f t="shared" si="78"/>
        <v>68.527925221917258</v>
      </c>
      <c r="BF395" s="368">
        <f t="shared" si="78"/>
        <v>231.08959176721802</v>
      </c>
      <c r="BG395" s="365">
        <f t="shared" si="78"/>
        <v>26.254846750595458</v>
      </c>
      <c r="BH395" s="367">
        <f t="shared" si="78"/>
        <v>259.00239199785375</v>
      </c>
      <c r="BI395" s="364">
        <f t="shared" si="78"/>
        <v>111.72459372163341</v>
      </c>
      <c r="BJ395" s="365">
        <f t="shared" si="78"/>
        <v>26.25484669865854</v>
      </c>
      <c r="BK395" s="366">
        <f t="shared" si="78"/>
        <v>158.19327741959867</v>
      </c>
      <c r="BL395" s="170"/>
      <c r="BM395" s="166"/>
      <c r="BN395" s="369"/>
      <c r="BO395" s="369"/>
      <c r="BP395" s="369"/>
    </row>
    <row r="396" spans="1:68" ht="18.75" hidden="1" customHeight="1" outlineLevel="1" x14ac:dyDescent="0.25">
      <c r="A396" s="6"/>
      <c r="B396" s="116" t="b">
        <f>AND(OR(isFIRST_PERIOD="да",$AD$56="нет"),$W96="одноставочный")</f>
        <v>1</v>
      </c>
      <c r="C396" s="116" t="s">
        <v>92</v>
      </c>
      <c r="D396" s="116" t="s">
        <v>93</v>
      </c>
      <c r="E396" s="116" t="s">
        <v>73</v>
      </c>
      <c r="F396" s="116" t="s">
        <v>74</v>
      </c>
      <c r="G396" s="116" t="s">
        <v>73</v>
      </c>
      <c r="H396" s="116" t="s">
        <v>73</v>
      </c>
      <c r="I396" s="116" t="s">
        <v>73</v>
      </c>
      <c r="J396" s="116" t="s">
        <v>73</v>
      </c>
      <c r="K396" s="209" t="s">
        <v>73</v>
      </c>
      <c r="L396" s="116" t="s">
        <v>133</v>
      </c>
      <c r="M396" s="6" t="str">
        <f t="array" ref="M396">Y96</f>
        <v>1ХВС::1.1</v>
      </c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29" t="str">
        <f>AB395&amp;".1"</f>
        <v>10.1</v>
      </c>
      <c r="AC396" s="80" t="s">
        <v>525</v>
      </c>
      <c r="AD396" s="370" t="s">
        <v>524</v>
      </c>
      <c r="AE396" s="95">
        <f>AE395</f>
        <v>41.641478614030298</v>
      </c>
      <c r="AF396" s="178">
        <v>30.22</v>
      </c>
      <c r="AG396" s="96">
        <v>38.869999999999997</v>
      </c>
      <c r="AH396" s="95">
        <f>AH395</f>
        <v>448.48127929107903</v>
      </c>
      <c r="AI396" s="178">
        <v>41.01</v>
      </c>
      <c r="AJ396" s="96">
        <v>775.65</v>
      </c>
      <c r="AK396" s="95">
        <f>AK395</f>
        <v>66.523389093064935</v>
      </c>
      <c r="AL396" s="178">
        <v>25.22</v>
      </c>
      <c r="AM396" s="96">
        <v>84.09</v>
      </c>
      <c r="AN396" s="95">
        <f>AN395</f>
        <v>33.490344377425181</v>
      </c>
      <c r="AO396" s="178">
        <v>22.29</v>
      </c>
      <c r="AP396" s="181">
        <v>56.39</v>
      </c>
      <c r="AQ396" s="95">
        <f>AQ395</f>
        <v>80.96173036032225</v>
      </c>
      <c r="AR396" s="178">
        <v>14.67</v>
      </c>
      <c r="AS396" s="181">
        <v>153.18</v>
      </c>
      <c r="AT396" s="95">
        <f>AT395</f>
        <v>36.153559225665106</v>
      </c>
      <c r="AU396" s="178">
        <v>21.69</v>
      </c>
      <c r="AV396" s="181">
        <v>26.11</v>
      </c>
      <c r="AW396" s="95">
        <f>AW395</f>
        <v>88.812064655988749</v>
      </c>
      <c r="AX396" s="178">
        <v>17.61</v>
      </c>
      <c r="AY396" s="181">
        <v>20.67</v>
      </c>
      <c r="AZ396" s="95">
        <f>AZ395</f>
        <v>37.979549773987003</v>
      </c>
      <c r="BA396" s="178">
        <v>23.72</v>
      </c>
      <c r="BB396" s="181">
        <v>30.83</v>
      </c>
      <c r="BC396" s="95">
        <f>BC395</f>
        <v>79.277470518333061</v>
      </c>
      <c r="BD396" s="178">
        <v>20.399999999999999</v>
      </c>
      <c r="BE396" s="96">
        <v>26.52</v>
      </c>
      <c r="BF396" s="182">
        <f>BF395</f>
        <v>231.08959176721802</v>
      </c>
      <c r="BG396" s="183">
        <v>22.9</v>
      </c>
      <c r="BH396" s="184">
        <v>29.61</v>
      </c>
      <c r="BI396" s="185">
        <f>BI395</f>
        <v>111.72459372163341</v>
      </c>
      <c r="BJ396" s="183">
        <v>22.9</v>
      </c>
      <c r="BK396" s="186">
        <v>29.61</v>
      </c>
      <c r="BN396" s="371"/>
      <c r="BO396" s="371"/>
      <c r="BP396" s="371"/>
    </row>
    <row r="397" spans="1:68" ht="16.5" hidden="1" customHeight="1" outlineLevel="1" x14ac:dyDescent="0.25">
      <c r="A397" s="6"/>
      <c r="B397" s="116" t="b">
        <f>AND(OR(isFIRST_PERIOD="да",$AD$56="нет"),$W96="одноставочный")</f>
        <v>1</v>
      </c>
      <c r="C397" s="116" t="s">
        <v>94</v>
      </c>
      <c r="D397" s="116" t="s">
        <v>95</v>
      </c>
      <c r="E397" s="116" t="s">
        <v>73</v>
      </c>
      <c r="F397" s="116" t="s">
        <v>74</v>
      </c>
      <c r="G397" s="116" t="s">
        <v>73</v>
      </c>
      <c r="H397" s="116" t="s">
        <v>73</v>
      </c>
      <c r="I397" s="116" t="s">
        <v>73</v>
      </c>
      <c r="J397" s="116" t="s">
        <v>73</v>
      </c>
      <c r="K397" s="209" t="s">
        <v>73</v>
      </c>
      <c r="L397" s="116" t="s">
        <v>133</v>
      </c>
      <c r="M397" s="6" t="str">
        <f t="array" ref="M397">Y96</f>
        <v>1ХВС::1.1</v>
      </c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29" t="str">
        <f>AB395&amp;".2"</f>
        <v>10.2</v>
      </c>
      <c r="AC397" s="80" t="s">
        <v>526</v>
      </c>
      <c r="AD397" s="370" t="s">
        <v>524</v>
      </c>
      <c r="AE397" s="95">
        <f>AE396</f>
        <v>41.641478614030298</v>
      </c>
      <c r="AF397" s="178">
        <v>61.06</v>
      </c>
      <c r="AG397" s="74">
        <v>78.84</v>
      </c>
      <c r="AH397" s="95">
        <f>AH396</f>
        <v>448.48127929107903</v>
      </c>
      <c r="AI397" s="178">
        <v>49.54</v>
      </c>
      <c r="AJ397" s="74">
        <v>775.65</v>
      </c>
      <c r="AK397" s="95">
        <f>AK396</f>
        <v>66.523389093064935</v>
      </c>
      <c r="AL397" s="178">
        <v>29.61</v>
      </c>
      <c r="AM397" s="74">
        <f>ROUND(IF($U96="Водоснабжение",IF(AM112=0,0,(AM394-AM111*AM396)/AM112),IF(AM129=0,0,(AM394-AM128*AM396)/AM129)),2)</f>
        <v>84.08</v>
      </c>
      <c r="AN397" s="95">
        <f>AN396</f>
        <v>33.490344377425181</v>
      </c>
      <c r="AO397" s="178">
        <v>23.63</v>
      </c>
      <c r="AP397" s="138">
        <f>ROUND(IF($U96="Водоснабжение",IF(AP112=0,0,(AP394-AP111*AP396)/AP112),IF(AP129=0,0,(AP394-AP128*AP396)/AP129)),2)</f>
        <v>56.39</v>
      </c>
      <c r="AQ397" s="95">
        <f>AQ396</f>
        <v>80.96173036032225</v>
      </c>
      <c r="AR397" s="178">
        <v>18.34</v>
      </c>
      <c r="AS397" s="138">
        <f>ROUND(IF($U96="Водоснабжение",IF(AS112=0,0,(AS394-AS111*AS396)/AS112),IF(AS129=0,0,(AS394-AS128*AS396)/AS129)),2)</f>
        <v>153.18</v>
      </c>
      <c r="AT397" s="95">
        <f>AT396</f>
        <v>36.153559225665106</v>
      </c>
      <c r="AU397" s="178">
        <v>22.68</v>
      </c>
      <c r="AV397" s="138">
        <v>101.23</v>
      </c>
      <c r="AW397" s="95">
        <f>AW396</f>
        <v>88.812064655988749</v>
      </c>
      <c r="AX397" s="178">
        <v>20.67</v>
      </c>
      <c r="AY397" s="138">
        <v>171.91</v>
      </c>
      <c r="AZ397" s="95">
        <f>AZ396</f>
        <v>37.979549773987003</v>
      </c>
      <c r="BA397" s="178">
        <v>30.83</v>
      </c>
      <c r="BB397" s="138">
        <v>69.849999999999994</v>
      </c>
      <c r="BC397" s="95">
        <f>BC396</f>
        <v>79.277470518333061</v>
      </c>
      <c r="BD397" s="178">
        <v>26.52</v>
      </c>
      <c r="BE397" s="74">
        <v>110.54</v>
      </c>
      <c r="BF397" s="182">
        <f>BF396</f>
        <v>231.08959176721802</v>
      </c>
      <c r="BG397" s="183">
        <v>29.61</v>
      </c>
      <c r="BH397" s="141">
        <v>488.39</v>
      </c>
      <c r="BI397" s="185">
        <f>BI396</f>
        <v>111.72459372163341</v>
      </c>
      <c r="BJ397" s="183">
        <v>29.61</v>
      </c>
      <c r="BK397" s="143">
        <v>286.77999999999997</v>
      </c>
      <c r="BN397" s="371">
        <f>BN394-BN431</f>
        <v>0</v>
      </c>
      <c r="BO397" s="371">
        <f>BO394-BO431</f>
        <v>0</v>
      </c>
      <c r="BP397" s="371">
        <f>BP394-BP431</f>
        <v>0</v>
      </c>
    </row>
    <row r="398" spans="1:68" ht="19.5" hidden="1" customHeight="1" outlineLevel="1" x14ac:dyDescent="0.25">
      <c r="A398" s="116" t="b">
        <f>$W96="одноставочный"</f>
        <v>1</v>
      </c>
      <c r="B398" s="6" t="b">
        <f t="array" ref="B398">A398</f>
        <v>1</v>
      </c>
      <c r="C398" s="116" t="s">
        <v>96</v>
      </c>
      <c r="D398" s="116" t="s">
        <v>97</v>
      </c>
      <c r="E398" s="116" t="s">
        <v>73</v>
      </c>
      <c r="F398" s="116" t="s">
        <v>74</v>
      </c>
      <c r="G398" s="116" t="s">
        <v>73</v>
      </c>
      <c r="H398" s="116" t="s">
        <v>73</v>
      </c>
      <c r="I398" s="116" t="s">
        <v>73</v>
      </c>
      <c r="J398" s="116" t="s">
        <v>73</v>
      </c>
      <c r="K398" s="209" t="s">
        <v>73</v>
      </c>
      <c r="L398" s="116" t="s">
        <v>133</v>
      </c>
      <c r="M398" s="6" t="str">
        <f t="array" ref="M398">Y96</f>
        <v>1ХВС::1.1</v>
      </c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372" t="str">
        <f>AB395&amp;".3"</f>
        <v>10.3</v>
      </c>
      <c r="AC398" s="373" t="s">
        <v>97</v>
      </c>
      <c r="AD398" s="374" t="s">
        <v>119</v>
      </c>
      <c r="AE398" s="375">
        <f t="shared" ref="AE398:BK398" si="79">AE397/AE396*100</f>
        <v>100</v>
      </c>
      <c r="AF398" s="376">
        <f t="shared" si="79"/>
        <v>202.05162144275315</v>
      </c>
      <c r="AG398" s="377">
        <f t="shared" si="79"/>
        <v>202.82994597375873</v>
      </c>
      <c r="AH398" s="375">
        <f t="shared" si="79"/>
        <v>100</v>
      </c>
      <c r="AI398" s="376">
        <f t="shared" si="79"/>
        <v>120.7998049256279</v>
      </c>
      <c r="AJ398" s="377">
        <f t="shared" si="79"/>
        <v>100</v>
      </c>
      <c r="AK398" s="375">
        <f t="shared" si="79"/>
        <v>100</v>
      </c>
      <c r="AL398" s="376">
        <f t="shared" si="79"/>
        <v>117.40681998413957</v>
      </c>
      <c r="AM398" s="377">
        <f t="shared" si="79"/>
        <v>99.988107979545717</v>
      </c>
      <c r="AN398" s="375">
        <f t="shared" si="79"/>
        <v>100</v>
      </c>
      <c r="AO398" s="376">
        <f t="shared" si="79"/>
        <v>106.01166442350829</v>
      </c>
      <c r="AP398" s="378">
        <f t="shared" si="79"/>
        <v>100</v>
      </c>
      <c r="AQ398" s="375">
        <f t="shared" si="79"/>
        <v>100</v>
      </c>
      <c r="AR398" s="376">
        <f t="shared" si="79"/>
        <v>125.01704158145877</v>
      </c>
      <c r="AS398" s="378">
        <f t="shared" si="79"/>
        <v>100</v>
      </c>
      <c r="AT398" s="375">
        <f t="shared" si="79"/>
        <v>100</v>
      </c>
      <c r="AU398" s="376">
        <f t="shared" si="79"/>
        <v>104.56431535269708</v>
      </c>
      <c r="AV398" s="378">
        <f t="shared" si="79"/>
        <v>387.70585982382232</v>
      </c>
      <c r="AW398" s="375">
        <f t="shared" si="79"/>
        <v>100</v>
      </c>
      <c r="AX398" s="376">
        <f t="shared" si="79"/>
        <v>117.37649063032369</v>
      </c>
      <c r="AY398" s="378">
        <f t="shared" si="79"/>
        <v>831.68843734881466</v>
      </c>
      <c r="AZ398" s="375">
        <f t="shared" si="79"/>
        <v>100</v>
      </c>
      <c r="BA398" s="376">
        <f t="shared" si="79"/>
        <v>129.97470489038784</v>
      </c>
      <c r="BB398" s="378">
        <f t="shared" si="79"/>
        <v>226.56503405773597</v>
      </c>
      <c r="BC398" s="375">
        <f t="shared" si="79"/>
        <v>100</v>
      </c>
      <c r="BD398" s="376">
        <f t="shared" si="79"/>
        <v>130</v>
      </c>
      <c r="BE398" s="377">
        <f t="shared" si="79"/>
        <v>416.81749622926094</v>
      </c>
      <c r="BF398" s="379">
        <f t="shared" si="79"/>
        <v>100</v>
      </c>
      <c r="BG398" s="376">
        <f t="shared" si="79"/>
        <v>129.30131004366814</v>
      </c>
      <c r="BH398" s="378">
        <f t="shared" si="79"/>
        <v>1649.4089834515369</v>
      </c>
      <c r="BI398" s="375">
        <f t="shared" si="79"/>
        <v>100</v>
      </c>
      <c r="BJ398" s="376">
        <f t="shared" si="79"/>
        <v>129.30131004366814</v>
      </c>
      <c r="BK398" s="377">
        <f t="shared" si="79"/>
        <v>968.52414724755147</v>
      </c>
      <c r="BN398" s="371"/>
      <c r="BO398" s="371"/>
      <c r="BP398" s="371"/>
    </row>
    <row r="399" spans="1:68" ht="14.25" hidden="1" customHeight="1" x14ac:dyDescent="0.25">
      <c r="A399" s="10" t="b">
        <f>$W96&lt;&gt;"одноставочный"</f>
        <v>0</v>
      </c>
      <c r="B399" s="5" t="b">
        <f t="array" ref="B399">A399</f>
        <v>0</v>
      </c>
      <c r="C399" s="75" t="s">
        <v>527</v>
      </c>
      <c r="D399" s="5" t="s">
        <v>528</v>
      </c>
      <c r="E399" s="10" t="s">
        <v>73</v>
      </c>
      <c r="F399" s="10" t="s">
        <v>74</v>
      </c>
      <c r="G399" s="10" t="s">
        <v>73</v>
      </c>
      <c r="H399" s="10" t="s">
        <v>73</v>
      </c>
      <c r="I399" s="10" t="s">
        <v>73</v>
      </c>
      <c r="J399" s="10" t="s">
        <v>73</v>
      </c>
      <c r="K399" s="12" t="s">
        <v>73</v>
      </c>
      <c r="M399" s="5" t="str">
        <f t="array" ref="M399">Y96</f>
        <v>1ХВС::1.1</v>
      </c>
      <c r="Z399" s="6"/>
      <c r="AA399" s="6"/>
      <c r="AB399" s="380"/>
      <c r="AC399" s="381"/>
      <c r="AD399" s="380"/>
      <c r="AE399" s="382"/>
      <c r="AF399" s="382"/>
      <c r="AG399" s="382"/>
      <c r="BN399" s="383">
        <f t="shared" ref="BN399:BN428" si="80">AE399+AH399+AK399+AN399+AQ399+AT399+AW399+AZ399+BC399+BF399+BI399</f>
        <v>0</v>
      </c>
      <c r="BO399" s="383">
        <f t="shared" ref="BO399:BO428" si="81">AF399+AI399+AL399+AO399+AR399+AU399+AX399+BA399+BD399+BG399+BJ399</f>
        <v>0</v>
      </c>
      <c r="BP399" s="383">
        <f t="shared" ref="BP399:BP428" si="82">AG399+AJ399+AM399+AP399+AS399+AV399+AY399+BB399+BE399+BH399+BK399</f>
        <v>0</v>
      </c>
    </row>
    <row r="400" spans="1:68" ht="14.25" hidden="1" customHeight="1" outlineLevel="1" x14ac:dyDescent="0.25">
      <c r="A400" s="10" t="b">
        <f>AND($AD$56="нет",$W96&lt;&gt;"одноставочный")</f>
        <v>0</v>
      </c>
      <c r="B400" s="5" t="b">
        <f t="array" ref="B400">A400</f>
        <v>0</v>
      </c>
      <c r="C400" s="75" t="s">
        <v>529</v>
      </c>
      <c r="D400" s="5" t="s">
        <v>530</v>
      </c>
      <c r="E400" s="10" t="s">
        <v>73</v>
      </c>
      <c r="F400" s="10" t="s">
        <v>74</v>
      </c>
      <c r="G400" s="10" t="s">
        <v>73</v>
      </c>
      <c r="H400" s="10" t="s">
        <v>73</v>
      </c>
      <c r="I400" s="10" t="s">
        <v>73</v>
      </c>
      <c r="J400" s="10" t="s">
        <v>73</v>
      </c>
      <c r="K400" s="12" t="s">
        <v>73</v>
      </c>
      <c r="M400" s="5" t="str">
        <f t="array" ref="M400">Y96</f>
        <v>1ХВС::1.1</v>
      </c>
      <c r="Z400" s="6"/>
      <c r="AA400" s="6"/>
      <c r="AB400" s="384"/>
      <c r="AC400" s="385"/>
      <c r="AD400" s="384"/>
      <c r="AE400" s="386"/>
      <c r="AF400" s="386"/>
      <c r="AG400" s="386"/>
      <c r="BN400" s="125">
        <f t="shared" si="80"/>
        <v>0</v>
      </c>
      <c r="BO400" s="125">
        <f t="shared" si="81"/>
        <v>0</v>
      </c>
      <c r="BP400" s="125">
        <f t="shared" si="82"/>
        <v>0</v>
      </c>
    </row>
    <row r="401" spans="1:68" ht="14.25" hidden="1" customHeight="1" outlineLevel="1" x14ac:dyDescent="0.25">
      <c r="A401" s="10" t="b">
        <f>AND($AD$56="нет",$W96&lt;&gt;"одноставочный")</f>
        <v>0</v>
      </c>
      <c r="B401" s="5" t="b">
        <f t="array" ref="B401">A401</f>
        <v>0</v>
      </c>
      <c r="C401" s="75" t="s">
        <v>531</v>
      </c>
      <c r="D401" s="5" t="s">
        <v>532</v>
      </c>
      <c r="E401" s="10" t="s">
        <v>73</v>
      </c>
      <c r="F401" s="10" t="s">
        <v>74</v>
      </c>
      <c r="G401" s="10" t="s">
        <v>73</v>
      </c>
      <c r="H401" s="10" t="s">
        <v>73</v>
      </c>
      <c r="I401" s="10" t="s">
        <v>73</v>
      </c>
      <c r="J401" s="10" t="s">
        <v>73</v>
      </c>
      <c r="K401" s="12" t="s">
        <v>73</v>
      </c>
      <c r="M401" s="5" t="str">
        <f t="array" ref="M401">Y96</f>
        <v>1ХВС::1.1</v>
      </c>
      <c r="Z401" s="6"/>
      <c r="AA401" s="6"/>
      <c r="AB401" s="384"/>
      <c r="AC401" s="385"/>
      <c r="AD401" s="384"/>
      <c r="AE401" s="386"/>
      <c r="AF401" s="386"/>
      <c r="AG401" s="386"/>
      <c r="BN401" s="125">
        <f t="shared" si="80"/>
        <v>0</v>
      </c>
      <c r="BO401" s="125">
        <f t="shared" si="81"/>
        <v>0</v>
      </c>
      <c r="BP401" s="125">
        <f t="shared" si="82"/>
        <v>0</v>
      </c>
    </row>
    <row r="402" spans="1:68" ht="14.25" hidden="1" customHeight="1" outlineLevel="1" x14ac:dyDescent="0.25">
      <c r="A402" s="10" t="b">
        <f>$W96&lt;&gt;"одноставочный"</f>
        <v>0</v>
      </c>
      <c r="B402" s="5" t="b">
        <f t="array" ref="B402">A402</f>
        <v>0</v>
      </c>
      <c r="C402" s="75" t="s">
        <v>533</v>
      </c>
      <c r="D402" s="5" t="s">
        <v>534</v>
      </c>
      <c r="E402" s="10" t="s">
        <v>73</v>
      </c>
      <c r="F402" s="10" t="s">
        <v>74</v>
      </c>
      <c r="G402" s="10" t="s">
        <v>73</v>
      </c>
      <c r="H402" s="10" t="s">
        <v>73</v>
      </c>
      <c r="I402" s="10" t="s">
        <v>73</v>
      </c>
      <c r="J402" s="10" t="s">
        <v>73</v>
      </c>
      <c r="K402" s="12" t="s">
        <v>73</v>
      </c>
      <c r="M402" s="5" t="str">
        <f t="array" ref="M402">Y96</f>
        <v>1ХВС::1.1</v>
      </c>
      <c r="Z402" s="6"/>
      <c r="AA402" s="6"/>
      <c r="AB402" s="384"/>
      <c r="AC402" s="385"/>
      <c r="AD402" s="384"/>
      <c r="AE402" s="386"/>
      <c r="AF402" s="386"/>
      <c r="AG402" s="386"/>
      <c r="BN402" s="125">
        <f t="shared" si="80"/>
        <v>0</v>
      </c>
      <c r="BO402" s="125">
        <f t="shared" si="81"/>
        <v>0</v>
      </c>
      <c r="BP402" s="125">
        <f t="shared" si="82"/>
        <v>0</v>
      </c>
    </row>
    <row r="403" spans="1:68" ht="14.25" hidden="1" customHeight="1" x14ac:dyDescent="0.25">
      <c r="A403" s="10" t="b">
        <f>$W96&lt;&gt;"одноставочный"</f>
        <v>0</v>
      </c>
      <c r="B403" s="76" t="b">
        <f>AND(A403,NOT(NDS="нет"))</f>
        <v>0</v>
      </c>
      <c r="C403" s="75" t="s">
        <v>535</v>
      </c>
      <c r="D403" s="5" t="s">
        <v>536</v>
      </c>
      <c r="E403" s="10" t="s">
        <v>73</v>
      </c>
      <c r="F403" s="10" t="s">
        <v>74</v>
      </c>
      <c r="G403" s="10" t="s">
        <v>73</v>
      </c>
      <c r="H403" s="10" t="s">
        <v>73</v>
      </c>
      <c r="I403" s="10" t="s">
        <v>73</v>
      </c>
      <c r="J403" s="10" t="s">
        <v>73</v>
      </c>
      <c r="K403" s="12" t="s">
        <v>73</v>
      </c>
      <c r="M403" s="5" t="str">
        <f t="array" ref="M403">Y96</f>
        <v>1ХВС::1.1</v>
      </c>
      <c r="Z403" s="6"/>
      <c r="AA403" s="6"/>
      <c r="AB403" s="387"/>
      <c r="AC403" s="388"/>
      <c r="AD403" s="387"/>
      <c r="AE403" s="389"/>
      <c r="AF403" s="389"/>
      <c r="AG403" s="389"/>
      <c r="BN403" s="125">
        <f t="shared" si="80"/>
        <v>0</v>
      </c>
      <c r="BO403" s="125">
        <f t="shared" si="81"/>
        <v>0</v>
      </c>
      <c r="BP403" s="125">
        <f t="shared" si="82"/>
        <v>0</v>
      </c>
    </row>
    <row r="404" spans="1:68" ht="14.25" hidden="1" customHeight="1" outlineLevel="1" x14ac:dyDescent="0.25">
      <c r="A404" s="10" t="b">
        <f>AND($AD$56="нет",$W96&lt;&gt;"одноставочный")</f>
        <v>0</v>
      </c>
      <c r="B404" s="76" t="b">
        <f>AND(A404,NOT(NDS="нет"))</f>
        <v>0</v>
      </c>
      <c r="C404" s="75" t="s">
        <v>537</v>
      </c>
      <c r="D404" s="5" t="s">
        <v>538</v>
      </c>
      <c r="E404" s="10" t="s">
        <v>73</v>
      </c>
      <c r="F404" s="10" t="s">
        <v>74</v>
      </c>
      <c r="G404" s="10" t="s">
        <v>73</v>
      </c>
      <c r="H404" s="10" t="s">
        <v>73</v>
      </c>
      <c r="I404" s="10" t="s">
        <v>73</v>
      </c>
      <c r="J404" s="10" t="s">
        <v>73</v>
      </c>
      <c r="K404" s="12" t="s">
        <v>73</v>
      </c>
      <c r="M404" s="5" t="str">
        <f t="array" ref="M404">Y96</f>
        <v>1ХВС::1.1</v>
      </c>
      <c r="Z404" s="6"/>
      <c r="AA404" s="6"/>
      <c r="AB404" s="384"/>
      <c r="AC404" s="385"/>
      <c r="AD404" s="384"/>
      <c r="AE404" s="389"/>
      <c r="AF404" s="389"/>
      <c r="AG404" s="389"/>
      <c r="BN404" s="125">
        <f t="shared" si="80"/>
        <v>0</v>
      </c>
      <c r="BO404" s="125">
        <f t="shared" si="81"/>
        <v>0</v>
      </c>
      <c r="BP404" s="125">
        <f t="shared" si="82"/>
        <v>0</v>
      </c>
    </row>
    <row r="405" spans="1:68" ht="14.25" hidden="1" customHeight="1" outlineLevel="1" x14ac:dyDescent="0.25">
      <c r="A405" s="10" t="b">
        <f>AND($AD$56="нет",$W96&lt;&gt;"одноставочный")</f>
        <v>0</v>
      </c>
      <c r="B405" s="76" t="b">
        <f>AND(A405,NOT(NDS="нет"))</f>
        <v>0</v>
      </c>
      <c r="C405" s="75" t="s">
        <v>539</v>
      </c>
      <c r="D405" s="5" t="s">
        <v>540</v>
      </c>
      <c r="E405" s="10" t="s">
        <v>73</v>
      </c>
      <c r="F405" s="10" t="s">
        <v>74</v>
      </c>
      <c r="G405" s="10" t="s">
        <v>73</v>
      </c>
      <c r="H405" s="10" t="s">
        <v>73</v>
      </c>
      <c r="I405" s="10" t="s">
        <v>73</v>
      </c>
      <c r="J405" s="10" t="s">
        <v>73</v>
      </c>
      <c r="K405" s="12" t="s">
        <v>73</v>
      </c>
      <c r="M405" s="5" t="str">
        <f t="array" ref="M405">Y96</f>
        <v>1ХВС::1.1</v>
      </c>
      <c r="Z405" s="6"/>
      <c r="AA405" s="6"/>
      <c r="AB405" s="384"/>
      <c r="AC405" s="385"/>
      <c r="AD405" s="384"/>
      <c r="AE405" s="390"/>
      <c r="AF405" s="390"/>
      <c r="AG405" s="390"/>
      <c r="BN405" s="125">
        <f t="shared" si="80"/>
        <v>0</v>
      </c>
      <c r="BO405" s="125">
        <f t="shared" si="81"/>
        <v>0</v>
      </c>
      <c r="BP405" s="125">
        <f t="shared" si="82"/>
        <v>0</v>
      </c>
    </row>
    <row r="406" spans="1:68" ht="14.25" hidden="1" customHeight="1" outlineLevel="1" x14ac:dyDescent="0.25">
      <c r="A406" s="10" t="b">
        <f>$W96&lt;&gt;"одноставочный"</f>
        <v>0</v>
      </c>
      <c r="B406" s="76" t="b">
        <f>AND(A406,NOT(NDS="нет"))</f>
        <v>0</v>
      </c>
      <c r="C406" s="75" t="s">
        <v>541</v>
      </c>
      <c r="D406" s="5" t="s">
        <v>542</v>
      </c>
      <c r="E406" s="10" t="s">
        <v>73</v>
      </c>
      <c r="F406" s="10" t="s">
        <v>74</v>
      </c>
      <c r="G406" s="10" t="s">
        <v>73</v>
      </c>
      <c r="H406" s="10" t="s">
        <v>73</v>
      </c>
      <c r="I406" s="10" t="s">
        <v>73</v>
      </c>
      <c r="J406" s="10" t="s">
        <v>73</v>
      </c>
      <c r="K406" s="12" t="s">
        <v>73</v>
      </c>
      <c r="M406" s="5" t="str">
        <f t="array" ref="M406">Y96</f>
        <v>1ХВС::1.1</v>
      </c>
      <c r="Z406" s="6"/>
      <c r="AA406" s="6"/>
      <c r="AB406" s="384"/>
      <c r="AC406" s="385"/>
      <c r="AD406" s="384"/>
      <c r="AE406" s="389"/>
      <c r="AF406" s="389"/>
      <c r="AG406" s="389"/>
      <c r="BN406" s="125">
        <f t="shared" si="80"/>
        <v>0</v>
      </c>
      <c r="BO406" s="125">
        <f t="shared" si="81"/>
        <v>0</v>
      </c>
      <c r="BP406" s="125">
        <f t="shared" si="82"/>
        <v>0</v>
      </c>
    </row>
    <row r="407" spans="1:68" ht="14.25" hidden="1" customHeight="1" x14ac:dyDescent="0.25">
      <c r="A407" s="10" t="b">
        <f>$W96&lt;&gt;"одноставочный"</f>
        <v>0</v>
      </c>
      <c r="B407" s="5" t="b">
        <f t="array" ref="B407">A407</f>
        <v>0</v>
      </c>
      <c r="C407" s="75" t="s">
        <v>543</v>
      </c>
      <c r="D407" s="5" t="s">
        <v>544</v>
      </c>
      <c r="E407" s="10" t="s">
        <v>73</v>
      </c>
      <c r="F407" s="10" t="s">
        <v>74</v>
      </c>
      <c r="G407" s="10" t="s">
        <v>73</v>
      </c>
      <c r="H407" s="10" t="s">
        <v>73</v>
      </c>
      <c r="I407" s="10" t="s">
        <v>73</v>
      </c>
      <c r="J407" s="10" t="s">
        <v>73</v>
      </c>
      <c r="K407" s="12" t="s">
        <v>73</v>
      </c>
      <c r="M407" s="5" t="str">
        <f t="array" ref="M407">Y96</f>
        <v>1ХВС::1.1</v>
      </c>
      <c r="Z407" s="6"/>
      <c r="AA407" s="6"/>
      <c r="AB407" s="387"/>
      <c r="AC407" s="388"/>
      <c r="AD407" s="387"/>
      <c r="AE407" s="386"/>
      <c r="AF407" s="386"/>
      <c r="AG407" s="386"/>
      <c r="BN407" s="125">
        <f t="shared" si="80"/>
        <v>0</v>
      </c>
      <c r="BO407" s="125">
        <f t="shared" si="81"/>
        <v>0</v>
      </c>
      <c r="BP407" s="125">
        <f t="shared" si="82"/>
        <v>0</v>
      </c>
    </row>
    <row r="408" spans="1:68" ht="14.25" hidden="1" customHeight="1" outlineLevel="1" x14ac:dyDescent="0.25">
      <c r="A408" s="10" t="b">
        <f>AND($AD$56="нет",$W96&lt;&gt;"одноставочный")</f>
        <v>0</v>
      </c>
      <c r="B408" s="5" t="b">
        <f t="array" ref="B408">A408</f>
        <v>0</v>
      </c>
      <c r="C408" s="75" t="s">
        <v>545</v>
      </c>
      <c r="D408" s="5" t="s">
        <v>546</v>
      </c>
      <c r="E408" s="10" t="s">
        <v>73</v>
      </c>
      <c r="F408" s="10" t="s">
        <v>74</v>
      </c>
      <c r="G408" s="10" t="s">
        <v>73</v>
      </c>
      <c r="H408" s="10" t="s">
        <v>73</v>
      </c>
      <c r="I408" s="10" t="s">
        <v>73</v>
      </c>
      <c r="J408" s="10" t="s">
        <v>73</v>
      </c>
      <c r="K408" s="12" t="s">
        <v>73</v>
      </c>
      <c r="M408" s="5" t="str">
        <f t="array" ref="M408">Y96</f>
        <v>1ХВС::1.1</v>
      </c>
      <c r="Z408" s="6"/>
      <c r="AA408" s="6"/>
      <c r="AB408" s="384"/>
      <c r="AC408" s="385"/>
      <c r="AD408" s="384"/>
      <c r="AE408" s="386"/>
      <c r="AF408" s="386"/>
      <c r="AG408" s="386"/>
      <c r="BN408" s="125">
        <f t="shared" si="80"/>
        <v>0</v>
      </c>
      <c r="BO408" s="125">
        <f t="shared" si="81"/>
        <v>0</v>
      </c>
      <c r="BP408" s="125">
        <f t="shared" si="82"/>
        <v>0</v>
      </c>
    </row>
    <row r="409" spans="1:68" ht="14.25" hidden="1" customHeight="1" outlineLevel="1" x14ac:dyDescent="0.25">
      <c r="A409" s="10" t="b">
        <f>AND($AD$56="нет",$W96&lt;&gt;"одноставочный")</f>
        <v>0</v>
      </c>
      <c r="B409" s="5" t="b">
        <f t="array" ref="B409">A409</f>
        <v>0</v>
      </c>
      <c r="C409" s="75" t="s">
        <v>547</v>
      </c>
      <c r="D409" s="5" t="s">
        <v>548</v>
      </c>
      <c r="E409" s="10" t="s">
        <v>73</v>
      </c>
      <c r="F409" s="10" t="s">
        <v>74</v>
      </c>
      <c r="G409" s="10" t="s">
        <v>73</v>
      </c>
      <c r="H409" s="10" t="s">
        <v>73</v>
      </c>
      <c r="I409" s="10" t="s">
        <v>73</v>
      </c>
      <c r="J409" s="10" t="s">
        <v>73</v>
      </c>
      <c r="K409" s="12" t="s">
        <v>73</v>
      </c>
      <c r="M409" s="5" t="str">
        <f t="array" ref="M409">Y96</f>
        <v>1ХВС::1.1</v>
      </c>
      <c r="Z409" s="6"/>
      <c r="AA409" s="6"/>
      <c r="AB409" s="384"/>
      <c r="AC409" s="385"/>
      <c r="AD409" s="384"/>
      <c r="AE409" s="386"/>
      <c r="AF409" s="386"/>
      <c r="AG409" s="386"/>
      <c r="BN409" s="125">
        <f t="shared" si="80"/>
        <v>0</v>
      </c>
      <c r="BO409" s="125">
        <f t="shared" si="81"/>
        <v>0</v>
      </c>
      <c r="BP409" s="125">
        <f t="shared" si="82"/>
        <v>0</v>
      </c>
    </row>
    <row r="410" spans="1:68" ht="14.25" hidden="1" customHeight="1" outlineLevel="1" x14ac:dyDescent="0.25">
      <c r="A410" s="10" t="b">
        <f>$W96&lt;&gt;"одноставочный"</f>
        <v>0</v>
      </c>
      <c r="B410" s="5" t="b">
        <f t="array" ref="B410">A410</f>
        <v>0</v>
      </c>
      <c r="C410" s="75" t="s">
        <v>549</v>
      </c>
      <c r="D410" s="5" t="s">
        <v>550</v>
      </c>
      <c r="E410" s="10" t="s">
        <v>73</v>
      </c>
      <c r="F410" s="10" t="s">
        <v>74</v>
      </c>
      <c r="G410" s="10" t="s">
        <v>73</v>
      </c>
      <c r="H410" s="10" t="s">
        <v>73</v>
      </c>
      <c r="I410" s="10" t="s">
        <v>73</v>
      </c>
      <c r="J410" s="10" t="s">
        <v>73</v>
      </c>
      <c r="K410" s="12" t="s">
        <v>73</v>
      </c>
      <c r="M410" s="5" t="str">
        <f t="array" ref="M410">Y96</f>
        <v>1ХВС::1.1</v>
      </c>
      <c r="Z410" s="6"/>
      <c r="AA410" s="6"/>
      <c r="AB410" s="384"/>
      <c r="AC410" s="385"/>
      <c r="AD410" s="384"/>
      <c r="AE410" s="386"/>
      <c r="AF410" s="386"/>
      <c r="AG410" s="386"/>
      <c r="BN410" s="125">
        <f t="shared" si="80"/>
        <v>0</v>
      </c>
      <c r="BO410" s="125">
        <f t="shared" si="81"/>
        <v>0</v>
      </c>
      <c r="BP410" s="125">
        <f t="shared" si="82"/>
        <v>0</v>
      </c>
    </row>
    <row r="411" spans="1:68" ht="14.25" hidden="1" customHeight="1" x14ac:dyDescent="0.25">
      <c r="A411" s="10" t="b">
        <f>$W96&lt;&gt;"одноставочный"</f>
        <v>0</v>
      </c>
      <c r="B411" s="76" t="b">
        <f>AND(A411,NOT(NDS="нет"))</f>
        <v>0</v>
      </c>
      <c r="C411" s="75" t="s">
        <v>551</v>
      </c>
      <c r="D411" s="5" t="s">
        <v>552</v>
      </c>
      <c r="E411" s="10" t="s">
        <v>73</v>
      </c>
      <c r="F411" s="10" t="s">
        <v>74</v>
      </c>
      <c r="G411" s="10" t="s">
        <v>73</v>
      </c>
      <c r="H411" s="10" t="s">
        <v>73</v>
      </c>
      <c r="I411" s="10" t="s">
        <v>73</v>
      </c>
      <c r="J411" s="10" t="s">
        <v>73</v>
      </c>
      <c r="K411" s="12" t="s">
        <v>73</v>
      </c>
      <c r="M411" s="5" t="str">
        <f t="array" ref="M411">Y96</f>
        <v>1ХВС::1.1</v>
      </c>
      <c r="Z411" s="6"/>
      <c r="AA411" s="6"/>
      <c r="AB411" s="387"/>
      <c r="AC411" s="388"/>
      <c r="AD411" s="387"/>
      <c r="AE411" s="389"/>
      <c r="AF411" s="389"/>
      <c r="AG411" s="389"/>
      <c r="BN411" s="125">
        <f t="shared" si="80"/>
        <v>0</v>
      </c>
      <c r="BO411" s="125">
        <f t="shared" si="81"/>
        <v>0</v>
      </c>
      <c r="BP411" s="125">
        <f t="shared" si="82"/>
        <v>0</v>
      </c>
    </row>
    <row r="412" spans="1:68" ht="14.25" hidden="1" customHeight="1" outlineLevel="1" x14ac:dyDescent="0.25">
      <c r="A412" s="10" t="b">
        <f>AND($AD$56="нет",$W96&lt;&gt;"одноставочный")</f>
        <v>0</v>
      </c>
      <c r="B412" s="76" t="b">
        <f>AND(A412,NOT(NDS="нет"))</f>
        <v>0</v>
      </c>
      <c r="C412" s="75" t="s">
        <v>553</v>
      </c>
      <c r="D412" s="5" t="s">
        <v>554</v>
      </c>
      <c r="E412" s="10" t="s">
        <v>73</v>
      </c>
      <c r="F412" s="10" t="s">
        <v>74</v>
      </c>
      <c r="G412" s="10" t="s">
        <v>73</v>
      </c>
      <c r="H412" s="10" t="s">
        <v>73</v>
      </c>
      <c r="I412" s="10" t="s">
        <v>73</v>
      </c>
      <c r="J412" s="10" t="s">
        <v>73</v>
      </c>
      <c r="K412" s="12" t="s">
        <v>73</v>
      </c>
      <c r="M412" s="5" t="str">
        <f t="array" ref="M412">Y96</f>
        <v>1ХВС::1.1</v>
      </c>
      <c r="Z412" s="6"/>
      <c r="AA412" s="6"/>
      <c r="AB412" s="384"/>
      <c r="AC412" s="385"/>
      <c r="AD412" s="384"/>
      <c r="AE412" s="389"/>
      <c r="AF412" s="389"/>
      <c r="AG412" s="389"/>
      <c r="BN412" s="125">
        <f t="shared" si="80"/>
        <v>0</v>
      </c>
      <c r="BO412" s="125">
        <f t="shared" si="81"/>
        <v>0</v>
      </c>
      <c r="BP412" s="125">
        <f t="shared" si="82"/>
        <v>0</v>
      </c>
    </row>
    <row r="413" spans="1:68" ht="14.25" hidden="1" customHeight="1" outlineLevel="1" x14ac:dyDescent="0.25">
      <c r="A413" s="10" t="b">
        <f>AND($AD$56="нет",$W96&lt;&gt;"одноставочный")</f>
        <v>0</v>
      </c>
      <c r="B413" s="76" t="b">
        <f>AND(A413,NOT(NDS="нет"))</f>
        <v>0</v>
      </c>
      <c r="C413" s="75" t="s">
        <v>555</v>
      </c>
      <c r="D413" s="5" t="s">
        <v>556</v>
      </c>
      <c r="E413" s="10" t="s">
        <v>73</v>
      </c>
      <c r="F413" s="10" t="s">
        <v>74</v>
      </c>
      <c r="G413" s="10" t="s">
        <v>73</v>
      </c>
      <c r="H413" s="10" t="s">
        <v>73</v>
      </c>
      <c r="I413" s="10" t="s">
        <v>73</v>
      </c>
      <c r="J413" s="10" t="s">
        <v>73</v>
      </c>
      <c r="K413" s="12" t="s">
        <v>73</v>
      </c>
      <c r="M413" s="5" t="str">
        <f t="array" ref="M413">Y96</f>
        <v>1ХВС::1.1</v>
      </c>
      <c r="Z413" s="6"/>
      <c r="AA413" s="6"/>
      <c r="AB413" s="384"/>
      <c r="AC413" s="385"/>
      <c r="AD413" s="384"/>
      <c r="AE413" s="390"/>
      <c r="AF413" s="390"/>
      <c r="AG413" s="390"/>
      <c r="BN413" s="125">
        <f t="shared" si="80"/>
        <v>0</v>
      </c>
      <c r="BO413" s="125">
        <f t="shared" si="81"/>
        <v>0</v>
      </c>
      <c r="BP413" s="125">
        <f t="shared" si="82"/>
        <v>0</v>
      </c>
    </row>
    <row r="414" spans="1:68" ht="14.25" hidden="1" customHeight="1" outlineLevel="1" x14ac:dyDescent="0.25">
      <c r="A414" s="10" t="b">
        <f>$W96&lt;&gt;"одноставочный"</f>
        <v>0</v>
      </c>
      <c r="B414" s="76" t="b">
        <f>AND(A414,NOT(NDS="нет"))</f>
        <v>0</v>
      </c>
      <c r="C414" s="75" t="s">
        <v>557</v>
      </c>
      <c r="D414" s="5" t="s">
        <v>558</v>
      </c>
      <c r="E414" s="10" t="s">
        <v>73</v>
      </c>
      <c r="F414" s="10" t="s">
        <v>74</v>
      </c>
      <c r="G414" s="10" t="s">
        <v>73</v>
      </c>
      <c r="H414" s="10" t="s">
        <v>73</v>
      </c>
      <c r="I414" s="10" t="s">
        <v>73</v>
      </c>
      <c r="J414" s="10" t="s">
        <v>73</v>
      </c>
      <c r="K414" s="12" t="s">
        <v>73</v>
      </c>
      <c r="M414" s="5" t="str">
        <f t="array" ref="M414">Y96</f>
        <v>1ХВС::1.1</v>
      </c>
      <c r="Z414" s="6"/>
      <c r="AA414" s="6"/>
      <c r="AB414" s="384"/>
      <c r="AC414" s="385"/>
      <c r="AD414" s="384"/>
      <c r="AE414" s="386"/>
      <c r="AF414" s="386"/>
      <c r="AG414" s="386"/>
      <c r="BN414" s="125">
        <f t="shared" si="80"/>
        <v>0</v>
      </c>
      <c r="BO414" s="125">
        <f t="shared" si="81"/>
        <v>0</v>
      </c>
      <c r="BP414" s="125">
        <f t="shared" si="82"/>
        <v>0</v>
      </c>
    </row>
    <row r="415" spans="1:68" ht="14.25" hidden="1" customHeight="1" outlineLevel="1" x14ac:dyDescent="0.25">
      <c r="A415" s="10" t="b">
        <f>$V96="разделение внутри одной сметы"</f>
        <v>0</v>
      </c>
      <c r="B415" s="10" t="b">
        <f>AND($V96="разделение внутри одной сметы",A415)</f>
        <v>0</v>
      </c>
      <c r="C415" s="75" t="s">
        <v>559</v>
      </c>
      <c r="D415" s="5" t="s">
        <v>560</v>
      </c>
      <c r="E415" s="10" t="s">
        <v>73</v>
      </c>
      <c r="F415" s="10" t="s">
        <v>74</v>
      </c>
      <c r="G415" s="10" t="s">
        <v>73</v>
      </c>
      <c r="H415" s="10" t="s">
        <v>73</v>
      </c>
      <c r="I415" s="10" t="s">
        <v>73</v>
      </c>
      <c r="J415" s="10" t="s">
        <v>73</v>
      </c>
      <c r="K415" s="12" t="s">
        <v>73</v>
      </c>
      <c r="M415" s="5" t="str">
        <f t="array" ref="M415">Y96</f>
        <v>1ХВС::1.1</v>
      </c>
      <c r="Z415" s="6"/>
      <c r="AA415" s="6"/>
      <c r="AB415" s="387"/>
      <c r="AC415" s="388"/>
      <c r="AD415" s="387"/>
      <c r="AE415" s="387"/>
      <c r="AF415" s="387"/>
      <c r="AG415" s="387"/>
      <c r="BN415" s="125">
        <f t="shared" si="80"/>
        <v>0</v>
      </c>
      <c r="BO415" s="125">
        <f t="shared" si="81"/>
        <v>0</v>
      </c>
      <c r="BP415" s="125">
        <f t="shared" si="82"/>
        <v>0</v>
      </c>
    </row>
    <row r="416" spans="1:68" hidden="1" outlineLevel="2" x14ac:dyDescent="0.25">
      <c r="B416" s="10" t="b">
        <f>$V97="разделение внутри одной сметы"</f>
        <v>0</v>
      </c>
      <c r="C416" s="75" t="s">
        <v>561</v>
      </c>
      <c r="E416" s="10" t="s">
        <v>73</v>
      </c>
      <c r="F416" s="10" t="s">
        <v>74</v>
      </c>
      <c r="G416" s="10" t="s">
        <v>73</v>
      </c>
      <c r="H416" s="10" t="s">
        <v>73</v>
      </c>
      <c r="I416" s="10" t="s">
        <v>73</v>
      </c>
      <c r="J416" s="10" t="s">
        <v>73</v>
      </c>
      <c r="K416" s="12" t="s">
        <v>73</v>
      </c>
      <c r="M416" s="5" t="str">
        <f t="array" ref="M416">Y96</f>
        <v>1ХВС::1.1</v>
      </c>
      <c r="AB416" s="384" t="str">
        <f>AB415&amp;".0"</f>
        <v>.0</v>
      </c>
      <c r="AC416" s="385"/>
      <c r="AD416" s="384"/>
      <c r="AE416" s="391"/>
      <c r="AF416" s="391"/>
      <c r="AG416" s="391"/>
      <c r="BN416" s="125">
        <f t="shared" si="80"/>
        <v>0</v>
      </c>
      <c r="BO416" s="125">
        <f t="shared" si="81"/>
        <v>0</v>
      </c>
      <c r="BP416" s="125">
        <f t="shared" si="82"/>
        <v>0</v>
      </c>
    </row>
    <row r="417" spans="1:68" ht="14.25" hidden="1" customHeight="1" outlineLevel="2" x14ac:dyDescent="0.25">
      <c r="A417" s="10" t="b">
        <f t="array" ref="A417">$B415</f>
        <v>0</v>
      </c>
      <c r="B417" s="10" t="b">
        <f t="array" ref="B417">$B415</f>
        <v>0</v>
      </c>
      <c r="C417" s="75" t="s">
        <v>562</v>
      </c>
      <c r="D417" s="5" t="s">
        <v>563</v>
      </c>
      <c r="E417" s="10" t="s">
        <v>73</v>
      </c>
      <c r="F417" s="10" t="s">
        <v>74</v>
      </c>
      <c r="G417" s="10" t="s">
        <v>73</v>
      </c>
      <c r="H417" s="10" t="s">
        <v>73</v>
      </c>
      <c r="I417" s="10" t="s">
        <v>73</v>
      </c>
      <c r="J417" s="10" t="s">
        <v>73</v>
      </c>
      <c r="K417" s="12" t="s">
        <v>73</v>
      </c>
      <c r="M417" s="5" t="str">
        <f t="array" ref="M417">Y96</f>
        <v>1ХВС::1.1</v>
      </c>
      <c r="Z417" s="6"/>
      <c r="AA417" s="6"/>
      <c r="AB417" s="384"/>
      <c r="AC417" s="392"/>
      <c r="AD417" s="384"/>
      <c r="AE417" s="393"/>
      <c r="AF417" s="393"/>
      <c r="AG417" s="393"/>
      <c r="BN417" s="125">
        <f t="shared" si="80"/>
        <v>0</v>
      </c>
      <c r="BO417" s="125">
        <f t="shared" si="81"/>
        <v>0</v>
      </c>
      <c r="BP417" s="125">
        <f t="shared" si="82"/>
        <v>0</v>
      </c>
    </row>
    <row r="418" spans="1:68" ht="14.25" hidden="1" customHeight="1" outlineLevel="3" x14ac:dyDescent="0.25">
      <c r="A418" s="10" t="b">
        <f t="array" ref="A418">$B415</f>
        <v>0</v>
      </c>
      <c r="B418" s="10" t="b">
        <f t="array" ref="B418">$B415</f>
        <v>0</v>
      </c>
      <c r="C418" s="75" t="s">
        <v>564</v>
      </c>
      <c r="D418" s="5" t="s">
        <v>565</v>
      </c>
      <c r="E418" s="10" t="s">
        <v>73</v>
      </c>
      <c r="F418" s="10" t="s">
        <v>74</v>
      </c>
      <c r="G418" s="10" t="s">
        <v>73</v>
      </c>
      <c r="H418" s="10" t="s">
        <v>73</v>
      </c>
      <c r="I418" s="10" t="s">
        <v>73</v>
      </c>
      <c r="J418" s="10" t="s">
        <v>73</v>
      </c>
      <c r="K418" s="12" t="s">
        <v>73</v>
      </c>
      <c r="M418" s="5" t="str">
        <f t="array" ref="M418">Y96</f>
        <v>1ХВС::1.1</v>
      </c>
      <c r="Z418" s="6"/>
      <c r="AA418" s="6"/>
      <c r="AB418" s="384"/>
      <c r="AC418" s="394"/>
      <c r="AD418" s="384"/>
      <c r="AE418" s="393"/>
      <c r="AF418" s="393"/>
      <c r="AG418" s="393"/>
      <c r="BN418" s="125">
        <f t="shared" si="80"/>
        <v>0</v>
      </c>
      <c r="BO418" s="125">
        <f t="shared" si="81"/>
        <v>0</v>
      </c>
      <c r="BP418" s="125">
        <f t="shared" si="82"/>
        <v>0</v>
      </c>
    </row>
    <row r="419" spans="1:68" ht="14.25" hidden="1" customHeight="1" outlineLevel="3" x14ac:dyDescent="0.25">
      <c r="A419" s="10" t="b">
        <f t="array" ref="A419">$B415</f>
        <v>0</v>
      </c>
      <c r="B419" s="10" t="b">
        <f t="array" ref="B419">$B415</f>
        <v>0</v>
      </c>
      <c r="C419" s="75" t="s">
        <v>566</v>
      </c>
      <c r="D419" s="5" t="s">
        <v>567</v>
      </c>
      <c r="E419" s="10" t="s">
        <v>73</v>
      </c>
      <c r="F419" s="10" t="s">
        <v>74</v>
      </c>
      <c r="G419" s="10" t="s">
        <v>73</v>
      </c>
      <c r="H419" s="10" t="s">
        <v>73</v>
      </c>
      <c r="I419" s="10" t="s">
        <v>73</v>
      </c>
      <c r="J419" s="10" t="s">
        <v>73</v>
      </c>
      <c r="K419" s="12" t="s">
        <v>73</v>
      </c>
      <c r="M419" s="5" t="str">
        <f t="array" ref="M419">Y96</f>
        <v>1ХВС::1.1</v>
      </c>
      <c r="Z419" s="6"/>
      <c r="AA419" s="6"/>
      <c r="AB419" s="384"/>
      <c r="AC419" s="394"/>
      <c r="AD419" s="384"/>
      <c r="AE419" s="393"/>
      <c r="AF419" s="393"/>
      <c r="AG419" s="393"/>
      <c r="BN419" s="125">
        <f t="shared" si="80"/>
        <v>0</v>
      </c>
      <c r="BO419" s="125">
        <f t="shared" si="81"/>
        <v>0</v>
      </c>
      <c r="BP419" s="125">
        <f t="shared" si="82"/>
        <v>0</v>
      </c>
    </row>
    <row r="420" spans="1:68" ht="14.25" hidden="1" customHeight="1" outlineLevel="3" x14ac:dyDescent="0.25">
      <c r="A420" s="10" t="b">
        <f t="array" ref="A420">$B415</f>
        <v>0</v>
      </c>
      <c r="B420" s="10" t="b">
        <f t="array" ref="B420">$B415</f>
        <v>0</v>
      </c>
      <c r="C420" s="75" t="s">
        <v>568</v>
      </c>
      <c r="D420" s="5" t="s">
        <v>569</v>
      </c>
      <c r="E420" s="10" t="s">
        <v>73</v>
      </c>
      <c r="F420" s="10" t="s">
        <v>74</v>
      </c>
      <c r="G420" s="10" t="s">
        <v>73</v>
      </c>
      <c r="H420" s="10" t="s">
        <v>73</v>
      </c>
      <c r="I420" s="10" t="s">
        <v>73</v>
      </c>
      <c r="J420" s="10" t="s">
        <v>73</v>
      </c>
      <c r="K420" s="12" t="s">
        <v>73</v>
      </c>
      <c r="M420" s="5" t="str">
        <f t="array" ref="M420">Y96</f>
        <v>1ХВС::1.1</v>
      </c>
      <c r="Z420" s="6"/>
      <c r="AA420" s="6"/>
      <c r="AB420" s="384"/>
      <c r="AC420" s="394"/>
      <c r="AD420" s="384"/>
      <c r="AE420" s="393"/>
      <c r="AF420" s="393"/>
      <c r="AG420" s="393"/>
      <c r="BN420" s="125">
        <f t="shared" si="80"/>
        <v>0</v>
      </c>
      <c r="BO420" s="125">
        <f t="shared" si="81"/>
        <v>0</v>
      </c>
      <c r="BP420" s="125">
        <f t="shared" si="82"/>
        <v>0</v>
      </c>
    </row>
    <row r="421" spans="1:68" ht="14.25" hidden="1" customHeight="1" outlineLevel="3" x14ac:dyDescent="0.25">
      <c r="A421" s="10" t="b">
        <f t="array" ref="A421">$B415</f>
        <v>0</v>
      </c>
      <c r="B421" s="10" t="b">
        <f t="array" ref="B421">$B415</f>
        <v>0</v>
      </c>
      <c r="C421" s="75" t="s">
        <v>570</v>
      </c>
      <c r="D421" s="5" t="s">
        <v>571</v>
      </c>
      <c r="E421" s="10" t="s">
        <v>73</v>
      </c>
      <c r="F421" s="10" t="s">
        <v>74</v>
      </c>
      <c r="G421" s="10" t="s">
        <v>73</v>
      </c>
      <c r="H421" s="10" t="s">
        <v>73</v>
      </c>
      <c r="I421" s="10" t="s">
        <v>73</v>
      </c>
      <c r="J421" s="10" t="s">
        <v>73</v>
      </c>
      <c r="K421" s="12" t="s">
        <v>73</v>
      </c>
      <c r="M421" s="5" t="str">
        <f t="array" ref="M421">Y96</f>
        <v>1ХВС::1.1</v>
      </c>
      <c r="Z421" s="6"/>
      <c r="AA421" s="6"/>
      <c r="AB421" s="384"/>
      <c r="AC421" s="385"/>
      <c r="AD421" s="384"/>
      <c r="AE421" s="393"/>
      <c r="AF421" s="393"/>
      <c r="AG421" s="393"/>
      <c r="BN421" s="125">
        <f t="shared" si="80"/>
        <v>0</v>
      </c>
      <c r="BO421" s="125">
        <f t="shared" si="81"/>
        <v>0</v>
      </c>
      <c r="BP421" s="125">
        <f t="shared" si="82"/>
        <v>0</v>
      </c>
    </row>
    <row r="422" spans="1:68" ht="14.25" hidden="1" customHeight="1" outlineLevel="4" x14ac:dyDescent="0.25">
      <c r="A422" s="10" t="b">
        <f t="array" ref="A422">$B415</f>
        <v>0</v>
      </c>
      <c r="B422" s="10" t="b">
        <f t="array" ref="B422">$B415</f>
        <v>0</v>
      </c>
      <c r="C422" s="75" t="s">
        <v>572</v>
      </c>
      <c r="D422" s="5" t="s">
        <v>573</v>
      </c>
      <c r="E422" s="10" t="s">
        <v>73</v>
      </c>
      <c r="F422" s="10" t="s">
        <v>74</v>
      </c>
      <c r="G422" s="10" t="s">
        <v>73</v>
      </c>
      <c r="H422" s="10" t="s">
        <v>73</v>
      </c>
      <c r="I422" s="10" t="s">
        <v>73</v>
      </c>
      <c r="J422" s="10" t="s">
        <v>73</v>
      </c>
      <c r="K422" s="12" t="s">
        <v>73</v>
      </c>
      <c r="M422" s="5" t="str">
        <f t="array" ref="M422">Y96</f>
        <v>1ХВС::1.1</v>
      </c>
      <c r="Z422" s="6"/>
      <c r="AA422" s="6"/>
      <c r="AB422" s="384"/>
      <c r="AC422" s="394"/>
      <c r="AD422" s="384"/>
      <c r="AE422" s="393"/>
      <c r="AF422" s="393"/>
      <c r="AG422" s="393"/>
      <c r="BN422" s="125">
        <f t="shared" si="80"/>
        <v>0</v>
      </c>
      <c r="BO422" s="125">
        <f t="shared" si="81"/>
        <v>0</v>
      </c>
      <c r="BP422" s="125">
        <f t="shared" si="82"/>
        <v>0</v>
      </c>
    </row>
    <row r="423" spans="1:68" ht="14.25" hidden="1" customHeight="1" outlineLevel="4" x14ac:dyDescent="0.25">
      <c r="A423" s="10" t="b">
        <f t="array" ref="A423">$B415</f>
        <v>0</v>
      </c>
      <c r="B423" s="10" t="b">
        <f t="array" ref="B423">$B415</f>
        <v>0</v>
      </c>
      <c r="C423" s="75" t="s">
        <v>574</v>
      </c>
      <c r="D423" s="5" t="s">
        <v>575</v>
      </c>
      <c r="E423" s="10" t="s">
        <v>73</v>
      </c>
      <c r="F423" s="10" t="s">
        <v>74</v>
      </c>
      <c r="G423" s="10" t="s">
        <v>73</v>
      </c>
      <c r="H423" s="10" t="s">
        <v>73</v>
      </c>
      <c r="I423" s="10" t="s">
        <v>73</v>
      </c>
      <c r="J423" s="10" t="s">
        <v>73</v>
      </c>
      <c r="K423" s="12" t="s">
        <v>73</v>
      </c>
      <c r="M423" s="5" t="str">
        <f t="array" ref="M423">Y96</f>
        <v>1ХВС::1.1</v>
      </c>
      <c r="Z423" s="6"/>
      <c r="AA423" s="6"/>
      <c r="AB423" s="384"/>
      <c r="AC423" s="394"/>
      <c r="AD423" s="384"/>
      <c r="AE423" s="393"/>
      <c r="AF423" s="393"/>
      <c r="AG423" s="393"/>
      <c r="BN423" s="125">
        <f t="shared" si="80"/>
        <v>0</v>
      </c>
      <c r="BO423" s="125">
        <f t="shared" si="81"/>
        <v>0</v>
      </c>
      <c r="BP423" s="125">
        <f t="shared" si="82"/>
        <v>0</v>
      </c>
    </row>
    <row r="424" spans="1:68" ht="14.25" hidden="1" customHeight="1" outlineLevel="3" x14ac:dyDescent="0.25">
      <c r="A424" s="10" t="b">
        <f t="array" ref="A424">$B415</f>
        <v>0</v>
      </c>
      <c r="B424" s="10" t="b">
        <f t="array" ref="B424">$B415</f>
        <v>0</v>
      </c>
      <c r="C424" s="75" t="s">
        <v>576</v>
      </c>
      <c r="D424" s="5" t="s">
        <v>577</v>
      </c>
      <c r="E424" s="10" t="s">
        <v>73</v>
      </c>
      <c r="F424" s="10" t="s">
        <v>74</v>
      </c>
      <c r="G424" s="10" t="s">
        <v>73</v>
      </c>
      <c r="H424" s="10" t="s">
        <v>73</v>
      </c>
      <c r="I424" s="10" t="s">
        <v>73</v>
      </c>
      <c r="J424" s="10" t="s">
        <v>73</v>
      </c>
      <c r="K424" s="12" t="s">
        <v>73</v>
      </c>
      <c r="M424" s="5" t="str">
        <f t="array" ref="M424">Y96</f>
        <v>1ХВС::1.1</v>
      </c>
      <c r="Z424" s="6"/>
      <c r="AA424" s="6"/>
      <c r="AB424" s="384"/>
      <c r="AC424" s="385"/>
      <c r="AD424" s="384"/>
      <c r="AE424" s="393"/>
      <c r="AF424" s="393"/>
      <c r="AG424" s="393"/>
      <c r="BN424" s="125">
        <f t="shared" si="80"/>
        <v>0</v>
      </c>
      <c r="BO424" s="125">
        <f t="shared" si="81"/>
        <v>0</v>
      </c>
      <c r="BP424" s="125">
        <f t="shared" si="82"/>
        <v>0</v>
      </c>
    </row>
    <row r="425" spans="1:68" ht="14.25" hidden="1" customHeight="1" outlineLevel="4" x14ac:dyDescent="0.25">
      <c r="A425" s="10" t="b">
        <f t="array" ref="A425">$B415</f>
        <v>0</v>
      </c>
      <c r="B425" s="10" t="b">
        <f t="array" ref="B425">$B415</f>
        <v>0</v>
      </c>
      <c r="C425" s="75" t="s">
        <v>86</v>
      </c>
      <c r="D425" s="5" t="s">
        <v>87</v>
      </c>
      <c r="E425" s="10" t="s">
        <v>73</v>
      </c>
      <c r="F425" s="10" t="s">
        <v>74</v>
      </c>
      <c r="G425" s="10" t="s">
        <v>73</v>
      </c>
      <c r="H425" s="10" t="s">
        <v>73</v>
      </c>
      <c r="I425" s="10" t="s">
        <v>73</v>
      </c>
      <c r="J425" s="10" t="s">
        <v>73</v>
      </c>
      <c r="K425" s="12" t="s">
        <v>73</v>
      </c>
      <c r="M425" s="5" t="str">
        <f t="array" ref="M425">Y96</f>
        <v>1ХВС::1.1</v>
      </c>
      <c r="Z425" s="6"/>
      <c r="AA425" s="6"/>
      <c r="AB425" s="384"/>
      <c r="AC425" s="394"/>
      <c r="AD425" s="384"/>
      <c r="AE425" s="393"/>
      <c r="AF425" s="393"/>
      <c r="AG425" s="393"/>
      <c r="BN425" s="125">
        <f t="shared" si="80"/>
        <v>0</v>
      </c>
      <c r="BO425" s="125">
        <f t="shared" si="81"/>
        <v>0</v>
      </c>
      <c r="BP425" s="125">
        <f t="shared" si="82"/>
        <v>0</v>
      </c>
    </row>
    <row r="426" spans="1:68" ht="14.25" hidden="1" customHeight="1" outlineLevel="4" x14ac:dyDescent="0.25">
      <c r="A426" s="10" t="b">
        <f t="array" ref="A426">$B415</f>
        <v>0</v>
      </c>
      <c r="B426" s="10" t="b">
        <f t="array" ref="B426">$B415</f>
        <v>0</v>
      </c>
      <c r="C426" s="75" t="s">
        <v>88</v>
      </c>
      <c r="D426" s="5" t="s">
        <v>89</v>
      </c>
      <c r="E426" s="10" t="s">
        <v>73</v>
      </c>
      <c r="F426" s="10" t="s">
        <v>74</v>
      </c>
      <c r="G426" s="10" t="s">
        <v>73</v>
      </c>
      <c r="H426" s="10" t="s">
        <v>73</v>
      </c>
      <c r="I426" s="10" t="s">
        <v>73</v>
      </c>
      <c r="J426" s="10" t="s">
        <v>73</v>
      </c>
      <c r="K426" s="12" t="s">
        <v>73</v>
      </c>
      <c r="M426" s="5" t="str">
        <f t="array" ref="M426">Y96</f>
        <v>1ХВС::1.1</v>
      </c>
      <c r="Z426" s="6"/>
      <c r="AA426" s="6"/>
      <c r="AB426" s="384"/>
      <c r="AC426" s="394"/>
      <c r="AD426" s="384"/>
      <c r="AE426" s="393"/>
      <c r="AF426" s="393"/>
      <c r="AG426" s="393"/>
      <c r="BN426" s="125">
        <f t="shared" si="80"/>
        <v>0</v>
      </c>
      <c r="BO426" s="125">
        <f t="shared" si="81"/>
        <v>0</v>
      </c>
      <c r="BP426" s="125">
        <f t="shared" si="82"/>
        <v>0</v>
      </c>
    </row>
    <row r="427" spans="1:68" hidden="1" outlineLevel="4" x14ac:dyDescent="0.25">
      <c r="A427" s="10" t="b">
        <f t="array" ref="A427">$B415</f>
        <v>0</v>
      </c>
      <c r="B427" s="10" t="b">
        <f t="array" ref="B427">$B415</f>
        <v>0</v>
      </c>
      <c r="D427" s="5" t="s">
        <v>577</v>
      </c>
      <c r="E427" s="10" t="s">
        <v>73</v>
      </c>
      <c r="F427" s="10" t="s">
        <v>74</v>
      </c>
      <c r="G427" s="10" t="s">
        <v>73</v>
      </c>
      <c r="H427" s="10" t="s">
        <v>73</v>
      </c>
      <c r="I427" s="10" t="s">
        <v>73</v>
      </c>
      <c r="J427" s="10" t="s">
        <v>73</v>
      </c>
      <c r="K427" s="12" t="s">
        <v>73</v>
      </c>
      <c r="Z427" s="6"/>
      <c r="AA427" s="6"/>
      <c r="AB427" s="384"/>
      <c r="AC427" s="394"/>
      <c r="AD427" s="384"/>
      <c r="AE427" s="393"/>
      <c r="AF427" s="393"/>
      <c r="AG427" s="393"/>
      <c r="BN427" s="125">
        <f t="shared" si="80"/>
        <v>0</v>
      </c>
      <c r="BO427" s="125">
        <f t="shared" si="81"/>
        <v>0</v>
      </c>
      <c r="BP427" s="125">
        <f t="shared" si="82"/>
        <v>0</v>
      </c>
    </row>
    <row r="428" spans="1:68" ht="14.25" hidden="1" customHeight="1" outlineLevel="2" x14ac:dyDescent="0.25">
      <c r="A428" s="10" t="b">
        <f t="array" ref="A428">$B415</f>
        <v>0</v>
      </c>
      <c r="B428" s="10" t="b">
        <f t="array" ref="B428">$B415</f>
        <v>0</v>
      </c>
      <c r="Y428" s="10" t="s">
        <v>578</v>
      </c>
      <c r="Z428" s="6"/>
      <c r="AA428" s="6"/>
      <c r="AB428" s="395"/>
      <c r="AC428" s="396"/>
      <c r="AD428" s="397"/>
      <c r="AE428" s="397"/>
      <c r="AF428" s="397"/>
      <c r="AG428" s="397"/>
      <c r="BN428" s="125">
        <f t="shared" si="80"/>
        <v>0</v>
      </c>
      <c r="BO428" s="125">
        <f t="shared" si="81"/>
        <v>0</v>
      </c>
      <c r="BP428" s="125">
        <f t="shared" si="82"/>
        <v>0</v>
      </c>
    </row>
    <row r="429" spans="1:68" ht="14.25" customHeight="1" x14ac:dyDescent="0.25">
      <c r="BN429" s="398"/>
      <c r="BO429" s="398"/>
      <c r="BP429" s="398"/>
    </row>
    <row r="430" spans="1:68" s="400" customFormat="1" ht="14.25" hidden="1" customHeight="1" x14ac:dyDescent="0.25">
      <c r="A430" s="5"/>
      <c r="B430" s="5"/>
      <c r="C430" s="5" t="s">
        <v>579</v>
      </c>
      <c r="D430" s="5" t="s">
        <v>73</v>
      </c>
      <c r="E430" s="5" t="s">
        <v>73</v>
      </c>
      <c r="F430" s="5" t="s">
        <v>73</v>
      </c>
      <c r="G430" s="5" t="s">
        <v>73</v>
      </c>
      <c r="H430" s="5" t="s">
        <v>73</v>
      </c>
      <c r="I430" s="5" t="s">
        <v>73</v>
      </c>
      <c r="J430" s="5" t="s">
        <v>73</v>
      </c>
      <c r="K430" s="5" t="s">
        <v>73</v>
      </c>
      <c r="L430" s="5" t="s">
        <v>73</v>
      </c>
      <c r="M430" s="5" t="s">
        <v>73</v>
      </c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4"/>
      <c r="AC430" s="4"/>
      <c r="AD430" s="4"/>
      <c r="AE430" s="399" t="e">
        <f>SUM(AE80:AE429)</f>
        <v>#REF!</v>
      </c>
      <c r="AF430" s="399" t="e">
        <f>SUM(AF80:AF429)</f>
        <v>#REF!</v>
      </c>
      <c r="AG430" s="399" t="e">
        <f>SUM(AG80:AG429)</f>
        <v>#REF!</v>
      </c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  <c r="BJ430" s="6"/>
      <c r="BK430" s="6"/>
      <c r="BL430" s="6"/>
      <c r="BM430" s="5"/>
      <c r="BN430" s="398"/>
      <c r="BO430" s="398"/>
      <c r="BP430" s="398"/>
    </row>
    <row r="431" spans="1:68" ht="20.25" customHeight="1" x14ac:dyDescent="0.25">
      <c r="BM431" s="5" t="s">
        <v>580</v>
      </c>
      <c r="BN431" s="398">
        <f>AE394+AH394+AK394+AN394+AQ394+AT394+AW394+AZ394+BC394+BF394+BI394</f>
        <v>2352933.9299348881</v>
      </c>
      <c r="BO431" s="398">
        <f>AF394+AI394+AL394+AO394+AR394+AU394+AX394+BA394+BD394+BG394+BJ394</f>
        <v>1735128.6862031638</v>
      </c>
      <c r="BP431" s="398">
        <f>AG394+AJ394+AM394+AP394+AS394+AV394+AY394+BB394+BE394+BH394+BK394</f>
        <v>3303869.4339181487</v>
      </c>
    </row>
    <row r="432" spans="1:68" ht="14.25" customHeight="1" x14ac:dyDescent="0.25">
      <c r="BN432" s="398"/>
      <c r="BO432" s="398"/>
      <c r="BP432" s="398"/>
    </row>
    <row r="433" spans="1:68" ht="14.25" customHeight="1" x14ac:dyDescent="0.25">
      <c r="BN433" s="398"/>
      <c r="BO433" s="398"/>
      <c r="BP433" s="398"/>
    </row>
    <row r="434" spans="1:68" ht="15" customHeight="1" x14ac:dyDescent="0.25">
      <c r="AB434" s="16" t="s">
        <v>49</v>
      </c>
      <c r="AC434" s="170"/>
      <c r="AD434" s="6"/>
      <c r="BN434" s="398"/>
      <c r="BO434" s="398"/>
      <c r="BP434" s="398"/>
    </row>
    <row r="435" spans="1:68" ht="26.25" customHeight="1" x14ac:dyDescent="0.25">
      <c r="AC435" s="6"/>
      <c r="AD435" s="6"/>
      <c r="BN435" s="401"/>
      <c r="BO435" s="398"/>
      <c r="BP435" s="398"/>
    </row>
    <row r="436" spans="1:68" s="402" customFormat="1" ht="23.25" customHeight="1" x14ac:dyDescent="0.25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1106" t="s">
        <v>581</v>
      </c>
      <c r="AC436" s="1106"/>
      <c r="AD436" s="1106"/>
      <c r="AE436" s="1105" t="s">
        <v>51</v>
      </c>
      <c r="AF436" s="1105"/>
      <c r="AG436" s="1105"/>
      <c r="AH436" s="1105" t="s">
        <v>52</v>
      </c>
      <c r="AI436" s="1105"/>
      <c r="AJ436" s="1105"/>
      <c r="AK436" s="1105" t="s">
        <v>53</v>
      </c>
      <c r="AL436" s="1105"/>
      <c r="AM436" s="1105"/>
      <c r="AN436" s="1105" t="s">
        <v>582</v>
      </c>
      <c r="AO436" s="1105"/>
      <c r="AP436" s="1105"/>
      <c r="AQ436" s="1105" t="s">
        <v>55</v>
      </c>
      <c r="AR436" s="1105"/>
      <c r="AS436" s="1105"/>
      <c r="AT436" s="1105" t="s">
        <v>583</v>
      </c>
      <c r="AU436" s="1105"/>
      <c r="AV436" s="1105"/>
      <c r="AW436" s="1105" t="s">
        <v>57</v>
      </c>
      <c r="AX436" s="1105"/>
      <c r="AY436" s="1105"/>
      <c r="AZ436" s="1105" t="s">
        <v>58</v>
      </c>
      <c r="BA436" s="1105"/>
      <c r="BB436" s="1105"/>
      <c r="BC436" s="1105" t="s">
        <v>59</v>
      </c>
      <c r="BD436" s="1105"/>
      <c r="BE436" s="1105"/>
      <c r="BF436" s="1105" t="s">
        <v>60</v>
      </c>
      <c r="BG436" s="1105"/>
      <c r="BH436" s="1105"/>
      <c r="BI436" s="1105" t="s">
        <v>61</v>
      </c>
      <c r="BJ436" s="1105"/>
      <c r="BK436" s="1105"/>
      <c r="BL436" s="6"/>
      <c r="BM436" s="5"/>
      <c r="BN436" s="1106" t="s">
        <v>584</v>
      </c>
      <c r="BO436" s="1106"/>
      <c r="BP436" s="1106"/>
    </row>
    <row r="437" spans="1:68" s="402" customFormat="1" ht="24.75" customHeight="1" x14ac:dyDescent="0.25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1107" t="s">
        <v>63</v>
      </c>
      <c r="AC437" s="1108" t="s">
        <v>64</v>
      </c>
      <c r="AD437" s="1109" t="s">
        <v>65</v>
      </c>
      <c r="AE437" s="24">
        <f>god-2</f>
        <v>2024</v>
      </c>
      <c r="AF437" s="25">
        <f>god-1</f>
        <v>2025</v>
      </c>
      <c r="AG437" s="26">
        <f>god</f>
        <v>2026</v>
      </c>
      <c r="AH437" s="24">
        <f>god-2</f>
        <v>2024</v>
      </c>
      <c r="AI437" s="25">
        <f>god-1</f>
        <v>2025</v>
      </c>
      <c r="AJ437" s="26">
        <f>god</f>
        <v>2026</v>
      </c>
      <c r="AK437" s="24">
        <f>god-2</f>
        <v>2024</v>
      </c>
      <c r="AL437" s="25">
        <f>god-1</f>
        <v>2025</v>
      </c>
      <c r="AM437" s="27">
        <f>god</f>
        <v>2026</v>
      </c>
      <c r="AN437" s="24">
        <f>god-2</f>
        <v>2024</v>
      </c>
      <c r="AO437" s="25">
        <f>god-1</f>
        <v>2025</v>
      </c>
      <c r="AP437" s="27">
        <f>god</f>
        <v>2026</v>
      </c>
      <c r="AQ437" s="24">
        <f>god-2</f>
        <v>2024</v>
      </c>
      <c r="AR437" s="25">
        <f>god-1</f>
        <v>2025</v>
      </c>
      <c r="AS437" s="27">
        <f>god</f>
        <v>2026</v>
      </c>
      <c r="AT437" s="24">
        <f>god-2</f>
        <v>2024</v>
      </c>
      <c r="AU437" s="25">
        <f>god-1</f>
        <v>2025</v>
      </c>
      <c r="AV437" s="27">
        <f>god</f>
        <v>2026</v>
      </c>
      <c r="AW437" s="24">
        <f>god-2</f>
        <v>2024</v>
      </c>
      <c r="AX437" s="25">
        <f>god-1</f>
        <v>2025</v>
      </c>
      <c r="AY437" s="27">
        <f>god</f>
        <v>2026</v>
      </c>
      <c r="AZ437" s="24">
        <f>god-2</f>
        <v>2024</v>
      </c>
      <c r="BA437" s="25">
        <f>god-1</f>
        <v>2025</v>
      </c>
      <c r="BB437" s="27">
        <f>god</f>
        <v>2026</v>
      </c>
      <c r="BC437" s="24">
        <f>god-2</f>
        <v>2024</v>
      </c>
      <c r="BD437" s="25">
        <f>god-1</f>
        <v>2025</v>
      </c>
      <c r="BE437" s="27">
        <f>god</f>
        <v>2026</v>
      </c>
      <c r="BF437" s="24">
        <f>god-2</f>
        <v>2024</v>
      </c>
      <c r="BG437" s="25">
        <f>god-1</f>
        <v>2025</v>
      </c>
      <c r="BH437" s="27">
        <f>god</f>
        <v>2026</v>
      </c>
      <c r="BI437" s="24">
        <f>god-2</f>
        <v>2024</v>
      </c>
      <c r="BJ437" s="25">
        <f>god-1</f>
        <v>2025</v>
      </c>
      <c r="BK437" s="26">
        <f>god</f>
        <v>2026</v>
      </c>
      <c r="BL437" s="6"/>
      <c r="BM437" s="5"/>
      <c r="BN437" s="29">
        <f>god-2</f>
        <v>2024</v>
      </c>
      <c r="BO437" s="30">
        <f>god-1</f>
        <v>2025</v>
      </c>
      <c r="BP437" s="31">
        <f>god</f>
        <v>2026</v>
      </c>
    </row>
    <row r="438" spans="1:68" s="402" customFormat="1" ht="46.5" customHeight="1" x14ac:dyDescent="0.25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1107"/>
      <c r="AC438" s="1108"/>
      <c r="AD438" s="1109"/>
      <c r="AE438" s="29" t="s">
        <v>66</v>
      </c>
      <c r="AF438" s="30" t="s">
        <v>67</v>
      </c>
      <c r="AG438" s="31" t="str">
        <f>"план организации"&amp;IF(TYPE="Корректировка"," (корректировка)","")</f>
        <v>план организации (корректировка)</v>
      </c>
      <c r="AH438" s="29" t="s">
        <v>66</v>
      </c>
      <c r="AI438" s="30" t="s">
        <v>67</v>
      </c>
      <c r="AJ438" s="31" t="str">
        <f>"план организации"&amp;IF(TYPE="Корректировка"," (корректировка)","")</f>
        <v>план организации (корректировка)</v>
      </c>
      <c r="AK438" s="29" t="s">
        <v>66</v>
      </c>
      <c r="AL438" s="30" t="s">
        <v>67</v>
      </c>
      <c r="AM438" s="32" t="str">
        <f>"план организации"&amp;IF(TYPE="Корректировка"," (корректировка)","")</f>
        <v>план организации (корректировка)</v>
      </c>
      <c r="AN438" s="29" t="s">
        <v>66</v>
      </c>
      <c r="AO438" s="30" t="s">
        <v>67</v>
      </c>
      <c r="AP438" s="32" t="str">
        <f>"план организации"&amp;IF(TYPE="Корректировка"," (корректировка)","")</f>
        <v>план организации (корректировка)</v>
      </c>
      <c r="AQ438" s="29" t="s">
        <v>66</v>
      </c>
      <c r="AR438" s="30" t="s">
        <v>67</v>
      </c>
      <c r="AS438" s="32" t="str">
        <f>"план организации"&amp;IF(TYPE="Корректировка"," (корректировка)","")</f>
        <v>план организации (корректировка)</v>
      </c>
      <c r="AT438" s="29" t="s">
        <v>66</v>
      </c>
      <c r="AU438" s="30" t="s">
        <v>67</v>
      </c>
      <c r="AV438" s="32" t="str">
        <f>"план организации"&amp;IF(TYPE="Корректировка"," (корректировка)","")</f>
        <v>план организации (корректировка)</v>
      </c>
      <c r="AW438" s="29" t="s">
        <v>66</v>
      </c>
      <c r="AX438" s="30" t="s">
        <v>67</v>
      </c>
      <c r="AY438" s="32" t="str">
        <f>"план организации"&amp;IF(TYPE="Корректировка"," (корректировка)","")</f>
        <v>план организации (корректировка)</v>
      </c>
      <c r="AZ438" s="29" t="s">
        <v>66</v>
      </c>
      <c r="BA438" s="30" t="s">
        <v>67</v>
      </c>
      <c r="BB438" s="32" t="str">
        <f>"план организации"&amp;IF(TYPE="Корректировка"," (корректировка)","")</f>
        <v>план организации (корректировка)</v>
      </c>
      <c r="BC438" s="29" t="s">
        <v>66</v>
      </c>
      <c r="BD438" s="30" t="s">
        <v>67</v>
      </c>
      <c r="BE438" s="32" t="str">
        <f>"план организации"&amp;IF(TYPE="Корректировка"," (корректировка)","")</f>
        <v>план организации (корректировка)</v>
      </c>
      <c r="BF438" s="29" t="s">
        <v>66</v>
      </c>
      <c r="BG438" s="30" t="s">
        <v>67</v>
      </c>
      <c r="BH438" s="32" t="str">
        <f>"план организации"&amp;IF(TYPE="Корректировка"," (корректировка)","")</f>
        <v>план организации (корректировка)</v>
      </c>
      <c r="BI438" s="29" t="s">
        <v>66</v>
      </c>
      <c r="BJ438" s="30" t="s">
        <v>67</v>
      </c>
      <c r="BK438" s="31" t="str">
        <f>"план организации"&amp;IF(TYPE="Корректировка"," (корректировка)","")</f>
        <v>план организации (корректировка)</v>
      </c>
      <c r="BL438" s="6"/>
      <c r="BM438" s="5"/>
      <c r="BN438" s="34" t="s">
        <v>66</v>
      </c>
      <c r="BO438" s="35" t="s">
        <v>67</v>
      </c>
      <c r="BP438" s="36" t="str">
        <f>"план организации"&amp;IF(TYPE="Корректировка"," (корректировка)","")</f>
        <v>план организации (корректировка)</v>
      </c>
    </row>
    <row r="439" spans="1:68" ht="19.5" hidden="1" customHeight="1" x14ac:dyDescent="0.25">
      <c r="B439" s="5" t="b">
        <f>$AD$56="да"</f>
        <v>0</v>
      </c>
      <c r="AB439" s="1107"/>
      <c r="AC439" s="1108"/>
      <c r="AD439" s="1109"/>
      <c r="AE439" s="37" t="s">
        <v>68</v>
      </c>
      <c r="AF439" s="38" t="s">
        <v>68</v>
      </c>
      <c r="AG439" s="39" t="s">
        <v>68</v>
      </c>
      <c r="AH439" s="40"/>
      <c r="AI439" s="41"/>
      <c r="AJ439" s="42"/>
      <c r="AK439" s="40"/>
      <c r="AL439" s="41"/>
      <c r="AM439" s="43"/>
      <c r="AN439" s="40"/>
      <c r="AO439" s="41"/>
      <c r="AP439" s="43"/>
      <c r="AQ439" s="40"/>
      <c r="AR439" s="41"/>
      <c r="AS439" s="43"/>
      <c r="AT439" s="40"/>
      <c r="AU439" s="41"/>
      <c r="AV439" s="43"/>
      <c r="AW439" s="40"/>
      <c r="AX439" s="41"/>
      <c r="AY439" s="43"/>
      <c r="AZ439" s="40"/>
      <c r="BA439" s="41"/>
      <c r="BB439" s="43"/>
      <c r="BC439" s="40"/>
      <c r="BD439" s="41"/>
      <c r="BE439" s="43"/>
      <c r="BF439" s="40"/>
      <c r="BG439" s="41"/>
      <c r="BH439" s="43"/>
      <c r="BI439" s="40"/>
      <c r="BJ439" s="41"/>
      <c r="BK439" s="42"/>
      <c r="BN439" s="45"/>
      <c r="BO439" s="46"/>
      <c r="BP439" s="47"/>
    </row>
    <row r="440" spans="1:68" ht="12" hidden="1" customHeight="1" x14ac:dyDescent="0.25">
      <c r="B440" s="10" t="b">
        <f>FALSE()</f>
        <v>0</v>
      </c>
      <c r="AB440" s="1107"/>
      <c r="AC440" s="1108"/>
      <c r="AD440" s="1109"/>
      <c r="AE440" s="48" t="e">
        <f>OR(#REF!&lt;god_reagenty,AND(FIRST_PERIOD_IN_LT&lt;god_reagenty,#REF!&gt;=FIRST_PERIOD_IN_LT),AND(FIRST_PERIOD_IN_LT-PREVIOUS_PERIOD_LENGTH&lt;god_reagenty,#REF!&lt;FIRST_PERIOD_IN_LT))</f>
        <v>#REF!</v>
      </c>
      <c r="AF440" s="49" t="e">
        <f>OR(#REF!&lt;god_reagenty,AND(FIRST_PERIOD_IN_LT&lt;god_reagenty,#REF!&gt;=FIRST_PERIOD_IN_LT),AND(FIRST_PERIOD_IN_LT-PREVIOUS_PERIOD_LENGTH&lt;god_reagenty,#REF!&lt;FIRST_PERIOD_IN_LT))</f>
        <v>#REF!</v>
      </c>
      <c r="AG440" s="50" t="e">
        <f>OR(#REF!&lt;god_reagenty,AND(FIRST_PERIOD_IN_LT&lt;god_reagenty,#REF!&gt;=FIRST_PERIOD_IN_LT),AND(FIRST_PERIOD_IN_LT-PREVIOUS_PERIOD_LENGTH&lt;god_reagenty,#REF!&lt;FIRST_PERIOD_IN_LT))</f>
        <v>#REF!</v>
      </c>
      <c r="AH440" s="40"/>
      <c r="AI440" s="41"/>
      <c r="AJ440" s="42"/>
      <c r="AK440" s="40"/>
      <c r="AL440" s="41"/>
      <c r="AM440" s="43"/>
      <c r="AN440" s="40"/>
      <c r="AO440" s="41"/>
      <c r="AP440" s="43"/>
      <c r="AQ440" s="40"/>
      <c r="AR440" s="41"/>
      <c r="AS440" s="43"/>
      <c r="AT440" s="40"/>
      <c r="AU440" s="41"/>
      <c r="AV440" s="43"/>
      <c r="AW440" s="40"/>
      <c r="AX440" s="41"/>
      <c r="AY440" s="43"/>
      <c r="AZ440" s="40"/>
      <c r="BA440" s="41"/>
      <c r="BB440" s="43"/>
      <c r="BC440" s="40"/>
      <c r="BD440" s="41"/>
      <c r="BE440" s="43"/>
      <c r="BF440" s="40"/>
      <c r="BG440" s="41"/>
      <c r="BH440" s="43"/>
      <c r="BI440" s="40"/>
      <c r="BJ440" s="41"/>
      <c r="BK440" s="42"/>
      <c r="BN440" s="45"/>
      <c r="BO440" s="46"/>
      <c r="BP440" s="47"/>
    </row>
    <row r="441" spans="1:68" ht="12" hidden="1" customHeight="1" x14ac:dyDescent="0.25">
      <c r="B441" s="10" t="b">
        <f>FALSE()</f>
        <v>0</v>
      </c>
      <c r="AB441" s="1107"/>
      <c r="AC441" s="1108"/>
      <c r="AD441" s="1109"/>
      <c r="AE441" s="48" t="b">
        <f>FALSE()</f>
        <v>0</v>
      </c>
      <c r="AF441" s="49" t="e">
        <f>OR(AND(PREVIOUS_REGULATION_METHODS="Метод индексации",TYPE="Базовый"),AND(#REF!&gt;FIRST_PERIOD_IN_LT,TYPE="Корректировка",#REF!&lt;&gt;[4]Титульный!$AD$93))</f>
        <v>#REF!</v>
      </c>
      <c r="AG441" s="50" t="e">
        <f>AND(TYPE="Корректировка",#REF!&lt;&gt;[4]Титульный!$AD$93)</f>
        <v>#REF!</v>
      </c>
      <c r="AH441" s="40"/>
      <c r="AI441" s="41"/>
      <c r="AJ441" s="42"/>
      <c r="AK441" s="40"/>
      <c r="AL441" s="41"/>
      <c r="AM441" s="43"/>
      <c r="AN441" s="40"/>
      <c r="AO441" s="41"/>
      <c r="AP441" s="43"/>
      <c r="AQ441" s="40"/>
      <c r="AR441" s="41"/>
      <c r="AS441" s="43"/>
      <c r="AT441" s="40"/>
      <c r="AU441" s="41"/>
      <c r="AV441" s="43"/>
      <c r="AW441" s="40"/>
      <c r="AX441" s="41"/>
      <c r="AY441" s="43"/>
      <c r="AZ441" s="40"/>
      <c r="BA441" s="41"/>
      <c r="BB441" s="43"/>
      <c r="BC441" s="40"/>
      <c r="BD441" s="41"/>
      <c r="BE441" s="43"/>
      <c r="BF441" s="40"/>
      <c r="BG441" s="41"/>
      <c r="BH441" s="43"/>
      <c r="BI441" s="40"/>
      <c r="BJ441" s="41"/>
      <c r="BK441" s="42"/>
      <c r="BN441" s="45"/>
      <c r="BO441" s="46"/>
      <c r="BP441" s="47"/>
    </row>
    <row r="442" spans="1:68" ht="12" hidden="1" customHeight="1" x14ac:dyDescent="0.25">
      <c r="B442" s="10" t="b">
        <f>FALSE()</f>
        <v>0</v>
      </c>
      <c r="AB442" s="403"/>
      <c r="AC442" s="404" t="s">
        <v>70</v>
      </c>
      <c r="AD442" s="32"/>
      <c r="AE442" s="53">
        <f t="array" ref="AE442">[4]Индексы!$AH$92</f>
        <v>12</v>
      </c>
      <c r="AF442" s="54">
        <f t="array" ref="AF442">[4]Индексы!$AI$92</f>
        <v>12</v>
      </c>
      <c r="AG442" s="55">
        <f t="array" ref="AG442">[4]Индексы!$AK$92</f>
        <v>12</v>
      </c>
      <c r="AH442" s="40"/>
      <c r="AI442" s="41"/>
      <c r="AJ442" s="42"/>
      <c r="AK442" s="40"/>
      <c r="AL442" s="41"/>
      <c r="AM442" s="43"/>
      <c r="AN442" s="40"/>
      <c r="AO442" s="41"/>
      <c r="AP442" s="43"/>
      <c r="AQ442" s="40"/>
      <c r="AR442" s="41"/>
      <c r="AS442" s="43"/>
      <c r="AT442" s="40"/>
      <c r="AU442" s="41"/>
      <c r="AV442" s="43"/>
      <c r="AW442" s="40"/>
      <c r="AX442" s="41"/>
      <c r="AY442" s="43"/>
      <c r="AZ442" s="40"/>
      <c r="BA442" s="41"/>
      <c r="BB442" s="43"/>
      <c r="BC442" s="40"/>
      <c r="BD442" s="41"/>
      <c r="BE442" s="43"/>
      <c r="BF442" s="40"/>
      <c r="BG442" s="41"/>
      <c r="BH442" s="43"/>
      <c r="BI442" s="40"/>
      <c r="BJ442" s="41"/>
      <c r="BK442" s="42"/>
      <c r="BN442" s="45"/>
      <c r="BO442" s="46"/>
      <c r="BP442" s="47"/>
    </row>
    <row r="443" spans="1:68" ht="24" hidden="1" customHeight="1" x14ac:dyDescent="0.25">
      <c r="A443" s="5" t="b">
        <f>$AD$56="да"</f>
        <v>0</v>
      </c>
      <c r="B443" s="5" t="b">
        <f t="array" ref="B443">A443</f>
        <v>0</v>
      </c>
      <c r="C443" s="5" t="s">
        <v>71</v>
      </c>
      <c r="D443" s="5" t="s">
        <v>72</v>
      </c>
      <c r="E443" s="5" t="s">
        <v>73</v>
      </c>
      <c r="F443" s="5" t="s">
        <v>74</v>
      </c>
      <c r="G443" s="5" t="s">
        <v>73</v>
      </c>
      <c r="H443" s="5" t="s">
        <v>73</v>
      </c>
      <c r="I443" s="5" t="s">
        <v>73</v>
      </c>
      <c r="J443" s="5" t="s">
        <v>73</v>
      </c>
      <c r="K443" s="5" t="s">
        <v>73</v>
      </c>
      <c r="M443" s="5">
        <f t="shared" ref="M443:M459" si="83">$AC$93</f>
        <v>0</v>
      </c>
      <c r="Z443" s="6"/>
      <c r="AA443" s="6"/>
      <c r="AB443" s="40"/>
      <c r="AC443" s="404"/>
      <c r="AD443" s="43"/>
      <c r="AE443" s="58"/>
      <c r="AF443" s="59"/>
      <c r="AG443" s="60"/>
      <c r="AH443" s="40"/>
      <c r="AI443" s="41"/>
      <c r="AJ443" s="42"/>
      <c r="AK443" s="40"/>
      <c r="AL443" s="41"/>
      <c r="AM443" s="43"/>
      <c r="AN443" s="40"/>
      <c r="AO443" s="41"/>
      <c r="AP443" s="43"/>
      <c r="AQ443" s="40"/>
      <c r="AR443" s="41"/>
      <c r="AS443" s="43"/>
      <c r="AT443" s="40"/>
      <c r="AU443" s="41"/>
      <c r="AV443" s="43"/>
      <c r="AW443" s="40"/>
      <c r="AX443" s="41"/>
      <c r="AY443" s="43"/>
      <c r="AZ443" s="40"/>
      <c r="BA443" s="41"/>
      <c r="BB443" s="43"/>
      <c r="BC443" s="40"/>
      <c r="BD443" s="41"/>
      <c r="BE443" s="43"/>
      <c r="BF443" s="40"/>
      <c r="BG443" s="41"/>
      <c r="BH443" s="43"/>
      <c r="BI443" s="40"/>
      <c r="BJ443" s="41"/>
      <c r="BK443" s="42"/>
      <c r="BN443" s="45"/>
      <c r="BO443" s="46"/>
      <c r="BP443" s="47"/>
    </row>
    <row r="444" spans="1:68" ht="13.5" hidden="1" customHeight="1" x14ac:dyDescent="0.25">
      <c r="B444" s="10" t="b">
        <f>TRUE()</f>
        <v>1</v>
      </c>
      <c r="M444" s="5">
        <f t="shared" si="83"/>
        <v>0</v>
      </c>
      <c r="AB444" s="403"/>
      <c r="AC444" s="405"/>
      <c r="AD444" s="32"/>
      <c r="AE444" s="48"/>
      <c r="AF444" s="49"/>
      <c r="AG444" s="50"/>
      <c r="AH444" s="40"/>
      <c r="AI444" s="41"/>
      <c r="AJ444" s="42"/>
      <c r="AK444" s="40"/>
      <c r="AL444" s="41"/>
      <c r="AM444" s="43"/>
      <c r="AN444" s="40"/>
      <c r="AO444" s="41"/>
      <c r="AP444" s="43"/>
      <c r="AQ444" s="40"/>
      <c r="AR444" s="41"/>
      <c r="AS444" s="43"/>
      <c r="AT444" s="40"/>
      <c r="AU444" s="41"/>
      <c r="AV444" s="43"/>
      <c r="AW444" s="40"/>
      <c r="AX444" s="41"/>
      <c r="AY444" s="43"/>
      <c r="AZ444" s="40"/>
      <c r="BA444" s="41"/>
      <c r="BB444" s="43"/>
      <c r="BC444" s="40"/>
      <c r="BD444" s="41"/>
      <c r="BE444" s="43"/>
      <c r="BF444" s="40"/>
      <c r="BG444" s="41"/>
      <c r="BH444" s="43"/>
      <c r="BI444" s="40"/>
      <c r="BJ444" s="41"/>
      <c r="BK444" s="42"/>
      <c r="BN444" s="45"/>
      <c r="BO444" s="46"/>
      <c r="BP444" s="47"/>
    </row>
    <row r="445" spans="1:68" ht="13.5" hidden="1" customHeight="1" x14ac:dyDescent="0.25">
      <c r="A445" s="10" t="e">
        <f>COUNTIF([4]Тарифы!$AK$87:$AK$90,"с дифференциацией (несколько смет)")&gt;0</f>
        <v>#VALUE!</v>
      </c>
      <c r="B445" s="10" t="e">
        <f t="array" ref="B445">A445</f>
        <v>#VALUE!</v>
      </c>
      <c r="M445" s="5">
        <f t="shared" si="83"/>
        <v>0</v>
      </c>
      <c r="Z445" s="6"/>
      <c r="AA445" s="6"/>
      <c r="AB445" s="406"/>
      <c r="AC445" s="407"/>
      <c r="AD445" s="408"/>
      <c r="AE445" s="61"/>
      <c r="AF445" s="62"/>
      <c r="AG445" s="64"/>
      <c r="AH445" s="40"/>
      <c r="AI445" s="41"/>
      <c r="AJ445" s="42"/>
      <c r="AK445" s="40"/>
      <c r="AL445" s="41"/>
      <c r="AM445" s="43"/>
      <c r="AN445" s="40"/>
      <c r="AO445" s="41"/>
      <c r="AP445" s="43"/>
      <c r="AQ445" s="40"/>
      <c r="AR445" s="41"/>
      <c r="AS445" s="43"/>
      <c r="AT445" s="40"/>
      <c r="AU445" s="41"/>
      <c r="AV445" s="43"/>
      <c r="AW445" s="40"/>
      <c r="AX445" s="41"/>
      <c r="AY445" s="43"/>
      <c r="AZ445" s="40"/>
      <c r="BA445" s="41"/>
      <c r="BB445" s="43"/>
      <c r="BC445" s="40"/>
      <c r="BD445" s="41"/>
      <c r="BE445" s="43"/>
      <c r="BF445" s="40"/>
      <c r="BG445" s="41"/>
      <c r="BH445" s="43"/>
      <c r="BI445" s="40"/>
      <c r="BJ445" s="41"/>
      <c r="BK445" s="42"/>
      <c r="BN445" s="45"/>
      <c r="BO445" s="46"/>
      <c r="BP445" s="47"/>
    </row>
    <row r="446" spans="1:68" ht="14.25" hidden="1" customHeight="1" outlineLevel="1" x14ac:dyDescent="0.25">
      <c r="A446" s="10" t="e">
        <f>COUNTIF([4]Тарифы!$AK$87:$AK$90,"с дифференциацией (несколько смет)")&gt;0</f>
        <v>#VALUE!</v>
      </c>
      <c r="B446" s="10" t="e">
        <f t="array" ref="B446">A446</f>
        <v>#VALUE!</v>
      </c>
      <c r="C446" s="5" t="s">
        <v>75</v>
      </c>
      <c r="D446" s="10" t="s">
        <v>76</v>
      </c>
      <c r="E446" s="5" t="s">
        <v>73</v>
      </c>
      <c r="F446" s="5" t="s">
        <v>73</v>
      </c>
      <c r="G446" s="5" t="s">
        <v>73</v>
      </c>
      <c r="H446" s="5" t="s">
        <v>73</v>
      </c>
      <c r="I446" s="5" t="s">
        <v>73</v>
      </c>
      <c r="J446" s="5" t="s">
        <v>73</v>
      </c>
      <c r="K446" s="5" t="s">
        <v>77</v>
      </c>
      <c r="M446" s="5">
        <f t="shared" si="83"/>
        <v>0</v>
      </c>
      <c r="Z446" s="6"/>
      <c r="AA446" s="6"/>
      <c r="AB446" s="403"/>
      <c r="AC446" s="409"/>
      <c r="AD446" s="32"/>
      <c r="AE446" s="66"/>
      <c r="AF446" s="67"/>
      <c r="AG446" s="68"/>
      <c r="AH446" s="40"/>
      <c r="AI446" s="41"/>
      <c r="AJ446" s="42"/>
      <c r="AK446" s="40"/>
      <c r="AL446" s="41"/>
      <c r="AM446" s="43"/>
      <c r="AN446" s="40"/>
      <c r="AO446" s="41"/>
      <c r="AP446" s="43"/>
      <c r="AQ446" s="40"/>
      <c r="AR446" s="41"/>
      <c r="AS446" s="43"/>
      <c r="AT446" s="40"/>
      <c r="AU446" s="41"/>
      <c r="AV446" s="43"/>
      <c r="AW446" s="40"/>
      <c r="AX446" s="41"/>
      <c r="AY446" s="43"/>
      <c r="AZ446" s="40"/>
      <c r="BA446" s="41"/>
      <c r="BB446" s="43"/>
      <c r="BC446" s="40"/>
      <c r="BD446" s="41"/>
      <c r="BE446" s="43"/>
      <c r="BF446" s="40"/>
      <c r="BG446" s="41"/>
      <c r="BH446" s="43"/>
      <c r="BI446" s="40"/>
      <c r="BJ446" s="41"/>
      <c r="BK446" s="42"/>
      <c r="BN446" s="45"/>
      <c r="BO446" s="46"/>
      <c r="BP446" s="47"/>
    </row>
    <row r="447" spans="1:68" ht="14.25" hidden="1" customHeight="1" outlineLevel="1" x14ac:dyDescent="0.25">
      <c r="A447" s="10" t="e">
        <f>COUNTIF([4]Тарифы!$AK$87:$AK$90,"с дифференциацией (несколько смет)")&gt;0</f>
        <v>#VALUE!</v>
      </c>
      <c r="B447" s="10" t="e">
        <f t="array" ref="B447">A447</f>
        <v>#VALUE!</v>
      </c>
      <c r="C447" s="69" t="s">
        <v>78</v>
      </c>
      <c r="D447" s="70" t="s">
        <v>79</v>
      </c>
      <c r="E447" s="70" t="s">
        <v>80</v>
      </c>
      <c r="F447" s="70" t="s">
        <v>80</v>
      </c>
      <c r="G447" s="70" t="s">
        <v>80</v>
      </c>
      <c r="H447" s="70" t="s">
        <v>80</v>
      </c>
      <c r="I447" s="70" t="s">
        <v>80</v>
      </c>
      <c r="J447" s="70" t="s">
        <v>80</v>
      </c>
      <c r="K447" s="5" t="s">
        <v>77</v>
      </c>
      <c r="M447" s="5">
        <f t="shared" si="83"/>
        <v>0</v>
      </c>
      <c r="Z447" s="6"/>
      <c r="AA447" s="6"/>
      <c r="AB447" s="410"/>
      <c r="AC447" s="305"/>
      <c r="AD447" s="32"/>
      <c r="AE447" s="66"/>
      <c r="AF447" s="67"/>
      <c r="AG447" s="68"/>
      <c r="AH447" s="40"/>
      <c r="AI447" s="41"/>
      <c r="AJ447" s="42"/>
      <c r="AK447" s="40"/>
      <c r="AL447" s="41"/>
      <c r="AM447" s="43"/>
      <c r="AN447" s="40"/>
      <c r="AO447" s="41"/>
      <c r="AP447" s="43"/>
      <c r="AQ447" s="40"/>
      <c r="AR447" s="41"/>
      <c r="AS447" s="43"/>
      <c r="AT447" s="40"/>
      <c r="AU447" s="41"/>
      <c r="AV447" s="43"/>
      <c r="AW447" s="40"/>
      <c r="AX447" s="41"/>
      <c r="AY447" s="43"/>
      <c r="AZ447" s="40"/>
      <c r="BA447" s="41"/>
      <c r="BB447" s="43"/>
      <c r="BC447" s="40"/>
      <c r="BD447" s="41"/>
      <c r="BE447" s="43"/>
      <c r="BF447" s="40"/>
      <c r="BG447" s="41"/>
      <c r="BH447" s="43"/>
      <c r="BI447" s="40"/>
      <c r="BJ447" s="41"/>
      <c r="BK447" s="42"/>
      <c r="BN447" s="45"/>
      <c r="BO447" s="46"/>
      <c r="BP447" s="47"/>
    </row>
    <row r="448" spans="1:68" ht="14.25" hidden="1" customHeight="1" outlineLevel="1" x14ac:dyDescent="0.25">
      <c r="A448" s="10" t="e">
        <f>COUNTIF([4]Тарифы!$AK$87:$AK$90,"с дифференциацией (несколько смет)")&gt;0</f>
        <v>#VALUE!</v>
      </c>
      <c r="B448" s="10" t="e">
        <f t="array" ref="B448">A448</f>
        <v>#VALUE!</v>
      </c>
      <c r="C448" s="69" t="s">
        <v>81</v>
      </c>
      <c r="D448" s="70" t="s">
        <v>82</v>
      </c>
      <c r="E448" s="70" t="s">
        <v>73</v>
      </c>
      <c r="F448" s="70" t="s">
        <v>73</v>
      </c>
      <c r="G448" s="70" t="s">
        <v>73</v>
      </c>
      <c r="H448" s="70" t="s">
        <v>73</v>
      </c>
      <c r="I448" s="70" t="s">
        <v>73</v>
      </c>
      <c r="J448" s="70" t="s">
        <v>73</v>
      </c>
      <c r="K448" s="5" t="s">
        <v>77</v>
      </c>
      <c r="M448" s="5">
        <f t="shared" si="83"/>
        <v>0</v>
      </c>
      <c r="Z448" s="6"/>
      <c r="AA448" s="6"/>
      <c r="AB448" s="410"/>
      <c r="AC448" s="305"/>
      <c r="AD448" s="32"/>
      <c r="AE448" s="66"/>
      <c r="AF448" s="67"/>
      <c r="AG448" s="68"/>
      <c r="AH448" s="40"/>
      <c r="AI448" s="41"/>
      <c r="AJ448" s="42"/>
      <c r="AK448" s="40"/>
      <c r="AL448" s="41"/>
      <c r="AM448" s="43"/>
      <c r="AN448" s="40"/>
      <c r="AO448" s="41"/>
      <c r="AP448" s="43"/>
      <c r="AQ448" s="40"/>
      <c r="AR448" s="41"/>
      <c r="AS448" s="43"/>
      <c r="AT448" s="40"/>
      <c r="AU448" s="41"/>
      <c r="AV448" s="43"/>
      <c r="AW448" s="40"/>
      <c r="AX448" s="41"/>
      <c r="AY448" s="43"/>
      <c r="AZ448" s="40"/>
      <c r="BA448" s="41"/>
      <c r="BB448" s="43"/>
      <c r="BC448" s="40"/>
      <c r="BD448" s="41"/>
      <c r="BE448" s="43"/>
      <c r="BF448" s="40"/>
      <c r="BG448" s="41"/>
      <c r="BH448" s="43"/>
      <c r="BI448" s="40"/>
      <c r="BJ448" s="41"/>
      <c r="BK448" s="42"/>
      <c r="BN448" s="45"/>
      <c r="BO448" s="46"/>
      <c r="BP448" s="47"/>
    </row>
    <row r="449" spans="1:68" ht="14.25" hidden="1" customHeight="1" outlineLevel="1" x14ac:dyDescent="0.25">
      <c r="A449" s="10" t="e">
        <f>COUNTIF([4]Тарифы!$AK$87:$AK$90,"с дифференциацией (несколько смет)")&gt;0</f>
        <v>#VALUE!</v>
      </c>
      <c r="B449" s="10" t="e">
        <f t="array" ref="B449">A449</f>
        <v>#VALUE!</v>
      </c>
      <c r="C449" s="10" t="s">
        <v>83</v>
      </c>
      <c r="D449" s="10" t="s">
        <v>84</v>
      </c>
      <c r="E449" s="10" t="s">
        <v>73</v>
      </c>
      <c r="F449" s="10" t="s">
        <v>74</v>
      </c>
      <c r="G449" s="10" t="s">
        <v>85</v>
      </c>
      <c r="H449" s="10" t="s">
        <v>73</v>
      </c>
      <c r="I449" s="10" t="s">
        <v>73</v>
      </c>
      <c r="J449" s="10" t="s">
        <v>73</v>
      </c>
      <c r="K449" s="5" t="s">
        <v>77</v>
      </c>
      <c r="M449" s="5">
        <f t="shared" si="83"/>
        <v>0</v>
      </c>
      <c r="Z449" s="6"/>
      <c r="AA449" s="6"/>
      <c r="AB449" s="403"/>
      <c r="AC449" s="409"/>
      <c r="AD449" s="32"/>
      <c r="AE449" s="72"/>
      <c r="AF449" s="73"/>
      <c r="AG449" s="74"/>
      <c r="AH449" s="40"/>
      <c r="AI449" s="41"/>
      <c r="AJ449" s="42"/>
      <c r="AK449" s="40"/>
      <c r="AL449" s="41"/>
      <c r="AM449" s="43"/>
      <c r="AN449" s="40"/>
      <c r="AO449" s="41"/>
      <c r="AP449" s="43"/>
      <c r="AQ449" s="40"/>
      <c r="AR449" s="41"/>
      <c r="AS449" s="43"/>
      <c r="AT449" s="40"/>
      <c r="AU449" s="41"/>
      <c r="AV449" s="43"/>
      <c r="AW449" s="40"/>
      <c r="AX449" s="41"/>
      <c r="AY449" s="43"/>
      <c r="AZ449" s="40"/>
      <c r="BA449" s="41"/>
      <c r="BB449" s="43"/>
      <c r="BC449" s="40"/>
      <c r="BD449" s="41"/>
      <c r="BE449" s="43"/>
      <c r="BF449" s="40"/>
      <c r="BG449" s="41"/>
      <c r="BH449" s="43"/>
      <c r="BI449" s="40"/>
      <c r="BJ449" s="41"/>
      <c r="BK449" s="42"/>
      <c r="BN449" s="45"/>
      <c r="BO449" s="46"/>
      <c r="BP449" s="47"/>
    </row>
    <row r="450" spans="1:68" ht="14.25" hidden="1" customHeight="1" outlineLevel="1" x14ac:dyDescent="0.25">
      <c r="A450" s="10" t="e">
        <f>COUNTIF([4]Тарифы!$AK$87:$AK$90,"с дифференциацией (несколько смет)")&gt;0</f>
        <v>#VALUE!</v>
      </c>
      <c r="B450" s="10" t="e">
        <f t="array" ref="B450">A450</f>
        <v>#VALUE!</v>
      </c>
      <c r="C450" s="75" t="s">
        <v>86</v>
      </c>
      <c r="D450" s="5" t="s">
        <v>87</v>
      </c>
      <c r="E450" s="10" t="s">
        <v>73</v>
      </c>
      <c r="F450" s="10" t="s">
        <v>74</v>
      </c>
      <c r="G450" s="10" t="s">
        <v>73</v>
      </c>
      <c r="H450" s="10" t="s">
        <v>73</v>
      </c>
      <c r="I450" s="10" t="s">
        <v>73</v>
      </c>
      <c r="J450" s="10" t="s">
        <v>73</v>
      </c>
      <c r="K450" s="5" t="s">
        <v>77</v>
      </c>
      <c r="M450" s="5">
        <f t="shared" si="83"/>
        <v>0</v>
      </c>
      <c r="Z450" s="6"/>
      <c r="AA450" s="6"/>
      <c r="AB450" s="410"/>
      <c r="AC450" s="305"/>
      <c r="AD450" s="32"/>
      <c r="AE450" s="56"/>
      <c r="AF450" s="73"/>
      <c r="AG450" s="74"/>
      <c r="AH450" s="40"/>
      <c r="AI450" s="41"/>
      <c r="AJ450" s="42"/>
      <c r="AK450" s="40"/>
      <c r="AL450" s="41"/>
      <c r="AM450" s="43"/>
      <c r="AN450" s="40"/>
      <c r="AO450" s="41"/>
      <c r="AP450" s="43"/>
      <c r="AQ450" s="40"/>
      <c r="AR450" s="41"/>
      <c r="AS450" s="43"/>
      <c r="AT450" s="40"/>
      <c r="AU450" s="41"/>
      <c r="AV450" s="43"/>
      <c r="AW450" s="40"/>
      <c r="AX450" s="41"/>
      <c r="AY450" s="43"/>
      <c r="AZ450" s="40"/>
      <c r="BA450" s="41"/>
      <c r="BB450" s="43"/>
      <c r="BC450" s="40"/>
      <c r="BD450" s="41"/>
      <c r="BE450" s="43"/>
      <c r="BF450" s="40"/>
      <c r="BG450" s="41"/>
      <c r="BH450" s="43"/>
      <c r="BI450" s="40"/>
      <c r="BJ450" s="41"/>
      <c r="BK450" s="42"/>
      <c r="BN450" s="45"/>
      <c r="BO450" s="46"/>
      <c r="BP450" s="47"/>
    </row>
    <row r="451" spans="1:68" ht="14.25" hidden="1" customHeight="1" outlineLevel="1" x14ac:dyDescent="0.25">
      <c r="A451" s="10" t="e">
        <f>COUNTIF([4]Тарифы!$AK$87:$AK$90,"с дифференциацией (несколько смет)")&gt;0</f>
        <v>#VALUE!</v>
      </c>
      <c r="B451" s="10" t="e">
        <f t="array" ref="B451">A451</f>
        <v>#VALUE!</v>
      </c>
      <c r="C451" s="75" t="s">
        <v>88</v>
      </c>
      <c r="D451" s="5" t="s">
        <v>89</v>
      </c>
      <c r="E451" s="10" t="s">
        <v>73</v>
      </c>
      <c r="F451" s="10" t="s">
        <v>74</v>
      </c>
      <c r="G451" s="10" t="s">
        <v>73</v>
      </c>
      <c r="H451" s="10" t="s">
        <v>73</v>
      </c>
      <c r="I451" s="10" t="s">
        <v>73</v>
      </c>
      <c r="J451" s="10" t="s">
        <v>73</v>
      </c>
      <c r="K451" s="5" t="s">
        <v>77</v>
      </c>
      <c r="M451" s="5">
        <f t="shared" si="83"/>
        <v>0</v>
      </c>
      <c r="Z451" s="6"/>
      <c r="AA451" s="6"/>
      <c r="AB451" s="410"/>
      <c r="AC451" s="305"/>
      <c r="AD451" s="32"/>
      <c r="AE451" s="56"/>
      <c r="AF451" s="73"/>
      <c r="AG451" s="74"/>
      <c r="AH451" s="40"/>
      <c r="AI451" s="41"/>
      <c r="AJ451" s="42"/>
      <c r="AK451" s="40"/>
      <c r="AL451" s="41"/>
      <c r="AM451" s="43"/>
      <c r="AN451" s="40"/>
      <c r="AO451" s="41"/>
      <c r="AP451" s="43"/>
      <c r="AQ451" s="40"/>
      <c r="AR451" s="41"/>
      <c r="AS451" s="43"/>
      <c r="AT451" s="40"/>
      <c r="AU451" s="41"/>
      <c r="AV451" s="43"/>
      <c r="AW451" s="40"/>
      <c r="AX451" s="41"/>
      <c r="AY451" s="43"/>
      <c r="AZ451" s="40"/>
      <c r="BA451" s="41"/>
      <c r="BB451" s="43"/>
      <c r="BC451" s="40"/>
      <c r="BD451" s="41"/>
      <c r="BE451" s="43"/>
      <c r="BF451" s="40"/>
      <c r="BG451" s="41"/>
      <c r="BH451" s="43"/>
      <c r="BI451" s="40"/>
      <c r="BJ451" s="41"/>
      <c r="BK451" s="42"/>
      <c r="BN451" s="45"/>
      <c r="BO451" s="46"/>
      <c r="BP451" s="47"/>
    </row>
    <row r="452" spans="1:68" ht="14.25" hidden="1" customHeight="1" outlineLevel="1" x14ac:dyDescent="0.25">
      <c r="A452" s="10" t="e">
        <f>COUNTIF([4]Тарифы!$AK$87:$AK$90,"с дифференциацией (несколько смет)")&gt;0</f>
        <v>#VALUE!</v>
      </c>
      <c r="B452" s="10" t="e">
        <f t="array" ref="B452">A452</f>
        <v>#VALUE!</v>
      </c>
      <c r="C452" s="10" t="s">
        <v>90</v>
      </c>
      <c r="D452" s="10" t="s">
        <v>91</v>
      </c>
      <c r="E452" s="10" t="s">
        <v>73</v>
      </c>
      <c r="F452" s="10" t="s">
        <v>74</v>
      </c>
      <c r="G452" s="10" t="s">
        <v>73</v>
      </c>
      <c r="H452" s="10" t="s">
        <v>73</v>
      </c>
      <c r="I452" s="10" t="s">
        <v>73</v>
      </c>
      <c r="J452" s="10" t="s">
        <v>73</v>
      </c>
      <c r="K452" s="5" t="s">
        <v>77</v>
      </c>
      <c r="M452" s="5">
        <f t="shared" si="83"/>
        <v>0</v>
      </c>
      <c r="Z452" s="6"/>
      <c r="AA452" s="6"/>
      <c r="AB452" s="403"/>
      <c r="AC452" s="409"/>
      <c r="AD452" s="32"/>
      <c r="AE452" s="72"/>
      <c r="AF452" s="73"/>
      <c r="AG452" s="74"/>
      <c r="AH452" s="40"/>
      <c r="AI452" s="41"/>
      <c r="AJ452" s="42"/>
      <c r="AK452" s="40"/>
      <c r="AL452" s="41"/>
      <c r="AM452" s="43"/>
      <c r="AN452" s="40"/>
      <c r="AO452" s="41"/>
      <c r="AP452" s="43"/>
      <c r="AQ452" s="40"/>
      <c r="AR452" s="41"/>
      <c r="AS452" s="43"/>
      <c r="AT452" s="40"/>
      <c r="AU452" s="41"/>
      <c r="AV452" s="43"/>
      <c r="AW452" s="40"/>
      <c r="AX452" s="41"/>
      <c r="AY452" s="43"/>
      <c r="AZ452" s="40"/>
      <c r="BA452" s="41"/>
      <c r="BB452" s="43"/>
      <c r="BC452" s="40"/>
      <c r="BD452" s="41"/>
      <c r="BE452" s="43"/>
      <c r="BF452" s="40"/>
      <c r="BG452" s="41"/>
      <c r="BH452" s="43"/>
      <c r="BI452" s="40"/>
      <c r="BJ452" s="41"/>
      <c r="BK452" s="42"/>
      <c r="BN452" s="45"/>
      <c r="BO452" s="46"/>
      <c r="BP452" s="47"/>
    </row>
    <row r="453" spans="1:68" ht="14.25" hidden="1" customHeight="1" outlineLevel="1" x14ac:dyDescent="0.25">
      <c r="A453" s="10" t="e">
        <f>COUNTIF([4]Тарифы!$AK$87:$AK$90,"с дифференциацией (несколько смет)")&gt;0</f>
        <v>#VALUE!</v>
      </c>
      <c r="B453" s="10" t="e">
        <f t="array" ref="B453">A453</f>
        <v>#VALUE!</v>
      </c>
      <c r="C453" s="10" t="s">
        <v>92</v>
      </c>
      <c r="D453" s="10" t="s">
        <v>93</v>
      </c>
      <c r="E453" s="10" t="s">
        <v>73</v>
      </c>
      <c r="F453" s="10" t="s">
        <v>74</v>
      </c>
      <c r="G453" s="10" t="s">
        <v>73</v>
      </c>
      <c r="H453" s="10" t="s">
        <v>73</v>
      </c>
      <c r="I453" s="10" t="s">
        <v>73</v>
      </c>
      <c r="J453" s="10" t="s">
        <v>73</v>
      </c>
      <c r="K453" s="5" t="s">
        <v>77</v>
      </c>
      <c r="M453" s="5">
        <f t="shared" si="83"/>
        <v>0</v>
      </c>
      <c r="Z453" s="6"/>
      <c r="AA453" s="6"/>
      <c r="AB453" s="410"/>
      <c r="AC453" s="305"/>
      <c r="AD453" s="32"/>
      <c r="AE453" s="56"/>
      <c r="AF453" s="73"/>
      <c r="AG453" s="74"/>
      <c r="AH453" s="40"/>
      <c r="AI453" s="41"/>
      <c r="AJ453" s="42"/>
      <c r="AK453" s="40"/>
      <c r="AL453" s="41"/>
      <c r="AM453" s="43"/>
      <c r="AN453" s="40"/>
      <c r="AO453" s="41"/>
      <c r="AP453" s="43"/>
      <c r="AQ453" s="40"/>
      <c r="AR453" s="41"/>
      <c r="AS453" s="43"/>
      <c r="AT453" s="40"/>
      <c r="AU453" s="41"/>
      <c r="AV453" s="43"/>
      <c r="AW453" s="40"/>
      <c r="AX453" s="41"/>
      <c r="AY453" s="43"/>
      <c r="AZ453" s="40"/>
      <c r="BA453" s="41"/>
      <c r="BB453" s="43"/>
      <c r="BC453" s="40"/>
      <c r="BD453" s="41"/>
      <c r="BE453" s="43"/>
      <c r="BF453" s="40"/>
      <c r="BG453" s="41"/>
      <c r="BH453" s="43"/>
      <c r="BI453" s="40"/>
      <c r="BJ453" s="41"/>
      <c r="BK453" s="42"/>
      <c r="BN453" s="45"/>
      <c r="BO453" s="46"/>
      <c r="BP453" s="47"/>
    </row>
    <row r="454" spans="1:68" ht="14.25" hidden="1" customHeight="1" outlineLevel="1" x14ac:dyDescent="0.25">
      <c r="A454" s="10" t="e">
        <f>COUNTIF([4]Тарифы!$AK$87:$AK$90,"с дифференциацией (несколько смет)")&gt;0</f>
        <v>#VALUE!</v>
      </c>
      <c r="B454" s="10" t="e">
        <f t="array" ref="B454">A454</f>
        <v>#VALUE!</v>
      </c>
      <c r="C454" s="10" t="s">
        <v>94</v>
      </c>
      <c r="D454" s="10" t="s">
        <v>95</v>
      </c>
      <c r="E454" s="10" t="s">
        <v>73</v>
      </c>
      <c r="F454" s="10" t="s">
        <v>74</v>
      </c>
      <c r="G454" s="10" t="s">
        <v>73</v>
      </c>
      <c r="H454" s="10" t="s">
        <v>73</v>
      </c>
      <c r="I454" s="10" t="s">
        <v>73</v>
      </c>
      <c r="J454" s="10" t="s">
        <v>73</v>
      </c>
      <c r="K454" s="5" t="s">
        <v>77</v>
      </c>
      <c r="M454" s="5">
        <f t="shared" si="83"/>
        <v>0</v>
      </c>
      <c r="Z454" s="6"/>
      <c r="AA454" s="6"/>
      <c r="AB454" s="410"/>
      <c r="AC454" s="305"/>
      <c r="AD454" s="32"/>
      <c r="AE454" s="56"/>
      <c r="AF454" s="73"/>
      <c r="AG454" s="74"/>
      <c r="AH454" s="40"/>
      <c r="AI454" s="41"/>
      <c r="AJ454" s="42"/>
      <c r="AK454" s="40"/>
      <c r="AL454" s="41"/>
      <c r="AM454" s="43"/>
      <c r="AN454" s="40"/>
      <c r="AO454" s="41"/>
      <c r="AP454" s="43"/>
      <c r="AQ454" s="40"/>
      <c r="AR454" s="41"/>
      <c r="AS454" s="43"/>
      <c r="AT454" s="40"/>
      <c r="AU454" s="41"/>
      <c r="AV454" s="43"/>
      <c r="AW454" s="40"/>
      <c r="AX454" s="41"/>
      <c r="AY454" s="43"/>
      <c r="AZ454" s="40"/>
      <c r="BA454" s="41"/>
      <c r="BB454" s="43"/>
      <c r="BC454" s="40"/>
      <c r="BD454" s="41"/>
      <c r="BE454" s="43"/>
      <c r="BF454" s="40"/>
      <c r="BG454" s="41"/>
      <c r="BH454" s="43"/>
      <c r="BI454" s="40"/>
      <c r="BJ454" s="41"/>
      <c r="BK454" s="42"/>
      <c r="BN454" s="45"/>
      <c r="BO454" s="46"/>
      <c r="BP454" s="47"/>
    </row>
    <row r="455" spans="1:68" ht="14.25" hidden="1" customHeight="1" outlineLevel="1" x14ac:dyDescent="0.25">
      <c r="A455" s="10" t="e">
        <f>COUNTIF([4]Тарифы!$AK$87:$AK$90,"с дифференциацией (несколько смет)")&gt;0</f>
        <v>#VALUE!</v>
      </c>
      <c r="B455" s="10" t="e">
        <f t="array" ref="B455">A455</f>
        <v>#VALUE!</v>
      </c>
      <c r="C455" s="10" t="s">
        <v>96</v>
      </c>
      <c r="D455" s="10" t="s">
        <v>97</v>
      </c>
      <c r="E455" s="10" t="s">
        <v>73</v>
      </c>
      <c r="F455" s="10" t="s">
        <v>74</v>
      </c>
      <c r="G455" s="10" t="s">
        <v>73</v>
      </c>
      <c r="H455" s="10" t="s">
        <v>73</v>
      </c>
      <c r="I455" s="10" t="s">
        <v>73</v>
      </c>
      <c r="J455" s="10" t="s">
        <v>73</v>
      </c>
      <c r="K455" s="5" t="s">
        <v>77</v>
      </c>
      <c r="M455" s="5">
        <f t="shared" si="83"/>
        <v>0</v>
      </c>
      <c r="Z455" s="6"/>
      <c r="AA455" s="6"/>
      <c r="AB455" s="410"/>
      <c r="AC455" s="305"/>
      <c r="AD455" s="32"/>
      <c r="AE455" s="72"/>
      <c r="AF455" s="73"/>
      <c r="AG455" s="74"/>
      <c r="AH455" s="40"/>
      <c r="AI455" s="41"/>
      <c r="AJ455" s="42"/>
      <c r="AK455" s="40"/>
      <c r="AL455" s="41"/>
      <c r="AM455" s="43"/>
      <c r="AN455" s="40"/>
      <c r="AO455" s="41"/>
      <c r="AP455" s="43"/>
      <c r="AQ455" s="40"/>
      <c r="AR455" s="41"/>
      <c r="AS455" s="43"/>
      <c r="AT455" s="40"/>
      <c r="AU455" s="41"/>
      <c r="AV455" s="43"/>
      <c r="AW455" s="40"/>
      <c r="AX455" s="41"/>
      <c r="AY455" s="43"/>
      <c r="AZ455" s="40"/>
      <c r="BA455" s="41"/>
      <c r="BB455" s="43"/>
      <c r="BC455" s="40"/>
      <c r="BD455" s="41"/>
      <c r="BE455" s="43"/>
      <c r="BF455" s="40"/>
      <c r="BG455" s="41"/>
      <c r="BH455" s="43"/>
      <c r="BI455" s="40"/>
      <c r="BJ455" s="41"/>
      <c r="BK455" s="42"/>
      <c r="BN455" s="45"/>
      <c r="BO455" s="46"/>
      <c r="BP455" s="47"/>
    </row>
    <row r="456" spans="1:68" ht="14.25" hidden="1" customHeight="1" outlineLevel="1" x14ac:dyDescent="0.25">
      <c r="A456" s="10" t="e">
        <f>COUNTIF([4]Тарифы!$AK$87:$AK$90,"с дифференциацией (несколько смет)")&gt;0</f>
        <v>#VALUE!</v>
      </c>
      <c r="B456" s="76" t="e">
        <f>AND(NOT(NDS="нет"),A456)</f>
        <v>#VALUE!</v>
      </c>
      <c r="C456" s="10" t="s">
        <v>98</v>
      </c>
      <c r="D456" s="10" t="s">
        <v>99</v>
      </c>
      <c r="E456" s="10" t="s">
        <v>73</v>
      </c>
      <c r="F456" s="10" t="s">
        <v>74</v>
      </c>
      <c r="G456" s="10" t="s">
        <v>73</v>
      </c>
      <c r="H456" s="10" t="s">
        <v>73</v>
      </c>
      <c r="I456" s="10" t="s">
        <v>73</v>
      </c>
      <c r="J456" s="10" t="s">
        <v>73</v>
      </c>
      <c r="K456" s="5" t="s">
        <v>77</v>
      </c>
      <c r="M456" s="5">
        <f t="shared" si="83"/>
        <v>0</v>
      </c>
      <c r="Z456" s="6"/>
      <c r="AA456" s="6"/>
      <c r="AB456" s="403"/>
      <c r="AC456" s="409"/>
      <c r="AD456" s="32"/>
      <c r="AE456" s="72"/>
      <c r="AF456" s="73"/>
      <c r="AG456" s="74"/>
      <c r="AH456" s="40"/>
      <c r="AI456" s="41"/>
      <c r="AJ456" s="42"/>
      <c r="AK456" s="40"/>
      <c r="AL456" s="41"/>
      <c r="AM456" s="43"/>
      <c r="AN456" s="40"/>
      <c r="AO456" s="41"/>
      <c r="AP456" s="43"/>
      <c r="AQ456" s="40"/>
      <c r="AR456" s="41"/>
      <c r="AS456" s="43"/>
      <c r="AT456" s="40"/>
      <c r="AU456" s="41"/>
      <c r="AV456" s="43"/>
      <c r="AW456" s="40"/>
      <c r="AX456" s="41"/>
      <c r="AY456" s="43"/>
      <c r="AZ456" s="40"/>
      <c r="BA456" s="41"/>
      <c r="BB456" s="43"/>
      <c r="BC456" s="40"/>
      <c r="BD456" s="41"/>
      <c r="BE456" s="43"/>
      <c r="BF456" s="40"/>
      <c r="BG456" s="41"/>
      <c r="BH456" s="43"/>
      <c r="BI456" s="40"/>
      <c r="BJ456" s="41"/>
      <c r="BK456" s="42"/>
      <c r="BN456" s="45"/>
      <c r="BO456" s="46"/>
      <c r="BP456" s="47"/>
    </row>
    <row r="457" spans="1:68" ht="14.25" hidden="1" customHeight="1" outlineLevel="1" x14ac:dyDescent="0.25">
      <c r="A457" s="10" t="e">
        <f>COUNTIF([4]Тарифы!$AK$87:$AK$90,"с дифференциацией (несколько смет)")&gt;0</f>
        <v>#VALUE!</v>
      </c>
      <c r="B457" s="76" t="e">
        <f>AND(NOT(NDS="нет"),A457)</f>
        <v>#VALUE!</v>
      </c>
      <c r="C457" s="10" t="s">
        <v>100</v>
      </c>
      <c r="D457" s="10" t="s">
        <v>101</v>
      </c>
      <c r="E457" s="10" t="s">
        <v>73</v>
      </c>
      <c r="F457" s="10" t="s">
        <v>74</v>
      </c>
      <c r="G457" s="10" t="s">
        <v>73</v>
      </c>
      <c r="H457" s="10" t="s">
        <v>73</v>
      </c>
      <c r="I457" s="10" t="s">
        <v>73</v>
      </c>
      <c r="J457" s="10" t="s">
        <v>73</v>
      </c>
      <c r="K457" s="5" t="s">
        <v>77</v>
      </c>
      <c r="M457" s="5">
        <f t="shared" si="83"/>
        <v>0</v>
      </c>
      <c r="Z457" s="6"/>
      <c r="AA457" s="6"/>
      <c r="AB457" s="410"/>
      <c r="AC457" s="305"/>
      <c r="AD457" s="32"/>
      <c r="AE457" s="72"/>
      <c r="AF457" s="73"/>
      <c r="AG457" s="74"/>
      <c r="AH457" s="40"/>
      <c r="AI457" s="41"/>
      <c r="AJ457" s="42"/>
      <c r="AK457" s="40"/>
      <c r="AL457" s="41"/>
      <c r="AM457" s="43"/>
      <c r="AN457" s="40"/>
      <c r="AO457" s="41"/>
      <c r="AP457" s="43"/>
      <c r="AQ457" s="40"/>
      <c r="AR457" s="41"/>
      <c r="AS457" s="43"/>
      <c r="AT457" s="40"/>
      <c r="AU457" s="41"/>
      <c r="AV457" s="43"/>
      <c r="AW457" s="40"/>
      <c r="AX457" s="41"/>
      <c r="AY457" s="43"/>
      <c r="AZ457" s="40"/>
      <c r="BA457" s="41"/>
      <c r="BB457" s="43"/>
      <c r="BC457" s="40"/>
      <c r="BD457" s="41"/>
      <c r="BE457" s="43"/>
      <c r="BF457" s="40"/>
      <c r="BG457" s="41"/>
      <c r="BH457" s="43"/>
      <c r="BI457" s="40"/>
      <c r="BJ457" s="41"/>
      <c r="BK457" s="42"/>
      <c r="BN457" s="45"/>
      <c r="BO457" s="46"/>
      <c r="BP457" s="47"/>
    </row>
    <row r="458" spans="1:68" ht="14.25" hidden="1" customHeight="1" outlineLevel="1" x14ac:dyDescent="0.25">
      <c r="A458" s="10" t="e">
        <f>COUNTIF([4]Тарифы!$AK$87:$AK$90,"с дифференциацией (несколько смет)")&gt;0</f>
        <v>#VALUE!</v>
      </c>
      <c r="B458" s="76" t="e">
        <f>AND(NOT(NDS="нет"),A458)</f>
        <v>#VALUE!</v>
      </c>
      <c r="C458" s="10" t="s">
        <v>102</v>
      </c>
      <c r="D458" s="10" t="s">
        <v>103</v>
      </c>
      <c r="E458" s="10" t="s">
        <v>73</v>
      </c>
      <c r="F458" s="10" t="s">
        <v>74</v>
      </c>
      <c r="G458" s="10" t="s">
        <v>73</v>
      </c>
      <c r="H458" s="10" t="s">
        <v>73</v>
      </c>
      <c r="I458" s="10" t="s">
        <v>73</v>
      </c>
      <c r="J458" s="10" t="s">
        <v>73</v>
      </c>
      <c r="K458" s="5" t="s">
        <v>77</v>
      </c>
      <c r="M458" s="5">
        <f t="shared" si="83"/>
        <v>0</v>
      </c>
      <c r="Z458" s="6"/>
      <c r="AA458" s="6"/>
      <c r="AB458" s="410"/>
      <c r="AC458" s="305"/>
      <c r="AD458" s="32"/>
      <c r="AE458" s="72"/>
      <c r="AF458" s="73"/>
      <c r="AG458" s="74"/>
      <c r="AH458" s="40"/>
      <c r="AI458" s="41"/>
      <c r="AJ458" s="42"/>
      <c r="AK458" s="40"/>
      <c r="AL458" s="41"/>
      <c r="AM458" s="43"/>
      <c r="AN458" s="40"/>
      <c r="AO458" s="41"/>
      <c r="AP458" s="43"/>
      <c r="AQ458" s="40"/>
      <c r="AR458" s="41"/>
      <c r="AS458" s="43"/>
      <c r="AT458" s="40"/>
      <c r="AU458" s="41"/>
      <c r="AV458" s="43"/>
      <c r="AW458" s="40"/>
      <c r="AX458" s="41"/>
      <c r="AY458" s="43"/>
      <c r="AZ458" s="40"/>
      <c r="BA458" s="41"/>
      <c r="BB458" s="43"/>
      <c r="BC458" s="40"/>
      <c r="BD458" s="41"/>
      <c r="BE458" s="43"/>
      <c r="BF458" s="40"/>
      <c r="BG458" s="41"/>
      <c r="BH458" s="43"/>
      <c r="BI458" s="40"/>
      <c r="BJ458" s="41"/>
      <c r="BK458" s="42"/>
      <c r="BN458" s="45"/>
      <c r="BO458" s="46"/>
      <c r="BP458" s="47"/>
    </row>
    <row r="459" spans="1:68" ht="14.25" hidden="1" customHeight="1" outlineLevel="1" x14ac:dyDescent="0.25">
      <c r="A459" s="10" t="e">
        <f>COUNTIF([4]Тарифы!$AK$87:$AK$90,"с дифференциацией (несколько смет)")&gt;0</f>
        <v>#VALUE!</v>
      </c>
      <c r="B459" s="76" t="e">
        <f>AND(NOT(NDS="нет"),A459)</f>
        <v>#VALUE!</v>
      </c>
      <c r="C459" s="10" t="s">
        <v>104</v>
      </c>
      <c r="D459" s="10" t="s">
        <v>105</v>
      </c>
      <c r="E459" s="10" t="s">
        <v>73</v>
      </c>
      <c r="F459" s="10" t="s">
        <v>74</v>
      </c>
      <c r="G459" s="10" t="s">
        <v>73</v>
      </c>
      <c r="H459" s="10" t="s">
        <v>73</v>
      </c>
      <c r="I459" s="10" t="s">
        <v>73</v>
      </c>
      <c r="J459" s="10" t="s">
        <v>73</v>
      </c>
      <c r="K459" s="5" t="s">
        <v>77</v>
      </c>
      <c r="M459" s="5">
        <f t="shared" si="83"/>
        <v>0</v>
      </c>
      <c r="Z459" s="6"/>
      <c r="AA459" s="6"/>
      <c r="AB459" s="410"/>
      <c r="AC459" s="305"/>
      <c r="AD459" s="32"/>
      <c r="AE459" s="72"/>
      <c r="AF459" s="73"/>
      <c r="AG459" s="74"/>
      <c r="AH459" s="40"/>
      <c r="AI459" s="41"/>
      <c r="AJ459" s="42"/>
      <c r="AK459" s="40"/>
      <c r="AL459" s="41"/>
      <c r="AM459" s="43"/>
      <c r="AN459" s="40"/>
      <c r="AO459" s="41"/>
      <c r="AP459" s="43"/>
      <c r="AQ459" s="40"/>
      <c r="AR459" s="41"/>
      <c r="AS459" s="43"/>
      <c r="AT459" s="40"/>
      <c r="AU459" s="41"/>
      <c r="AV459" s="43"/>
      <c r="AW459" s="40"/>
      <c r="AX459" s="41"/>
      <c r="AY459" s="43"/>
      <c r="AZ459" s="40"/>
      <c r="BA459" s="41"/>
      <c r="BB459" s="43"/>
      <c r="BC459" s="40"/>
      <c r="BD459" s="41"/>
      <c r="BE459" s="43"/>
      <c r="BF459" s="40"/>
      <c r="BG459" s="41"/>
      <c r="BH459" s="43"/>
      <c r="BI459" s="40"/>
      <c r="BJ459" s="41"/>
      <c r="BK459" s="42"/>
      <c r="BN459" s="45"/>
      <c r="BO459" s="46"/>
      <c r="BP459" s="47"/>
    </row>
    <row r="460" spans="1:68" ht="13.5" hidden="1" customHeight="1" x14ac:dyDescent="0.25">
      <c r="B460" s="10" t="b">
        <f>SETTING_BASE="да"</f>
        <v>0</v>
      </c>
      <c r="M460" s="5" t="str">
        <f t="array" ref="M460">Y460</f>
        <v>1ВО::1.1</v>
      </c>
      <c r="S460" s="10" t="str">
        <f t="array" ref="S460">INDEX([4]Тарифы!$AM$86:$AM$99,MATCH($X460,[4]Тарифы!$Y$86:$Y$99,0))</f>
        <v>да</v>
      </c>
      <c r="T460" s="10" t="str">
        <f t="array" ref="T460">INDEX([4]Тарифы!$AC$86:$AC$99,MATCH($X460,[4]Тарифы!$Y$86:$Y$99,0))</f>
        <v>Тариф на водоотведение</v>
      </c>
      <c r="U460" s="10" t="str">
        <f t="array" ref="U460">INDEX([4]Тарифы!$AB$86:$AB$99,MATCH($X460,[4]Тарифы!$Y$86:$Y$99,0))</f>
        <v>Водоотведение</v>
      </c>
      <c r="V460" s="10" t="str">
        <f t="array" ref="V460">INDEX([4]Тарифы!$AK$86:$AK$99,MATCH($X460,[4]Тарифы!$Y$86:$Y$99,0))</f>
        <v>без дифференциации</v>
      </c>
      <c r="W460" s="10" t="str">
        <f t="array" ref="W460">INDEX([4]Тарифы!$AD$86:$AD$99,MATCH($X460,[4]Тарифы!$Y$86:$Y$99,0))</f>
        <v>одноставочный</v>
      </c>
      <c r="X460" s="10" t="str">
        <f t="array" ref="X460">INDEX([4]Тарифы!$Y$86:$Y$99,MATCH($Y460,[4]Тарифы!$X$86:$X$99,0))</f>
        <v>1ВО</v>
      </c>
      <c r="Y460" s="77" t="str">
        <f t="array" ref="Y460">[4]Тарифы!$X$87</f>
        <v>1ВО::1.1</v>
      </c>
      <c r="AB460" s="406"/>
      <c r="AC460" s="407" t="str">
        <f t="array" ref="AC460">INDEX([4]Тарифы!$U$86:$U$99,MATCH($Y460,[4]Тарифы!$X$86:$X$99,0))</f>
        <v>1ВО - Тариф на водоотведение</v>
      </c>
      <c r="AD460" s="408"/>
      <c r="AE460" s="61"/>
      <c r="AF460" s="62"/>
      <c r="AG460" s="64"/>
      <c r="AH460" s="40"/>
      <c r="AI460" s="41"/>
      <c r="AJ460" s="42"/>
      <c r="AK460" s="40"/>
      <c r="AL460" s="41"/>
      <c r="AM460" s="43"/>
      <c r="AN460" s="40"/>
      <c r="AO460" s="41"/>
      <c r="AP460" s="43"/>
      <c r="AQ460" s="40"/>
      <c r="AR460" s="41"/>
      <c r="AS460" s="43"/>
      <c r="AT460" s="40"/>
      <c r="AU460" s="41"/>
      <c r="AV460" s="43"/>
      <c r="AW460" s="40"/>
      <c r="AX460" s="41"/>
      <c r="AY460" s="43"/>
      <c r="AZ460" s="40"/>
      <c r="BA460" s="41"/>
      <c r="BB460" s="43"/>
      <c r="BC460" s="40"/>
      <c r="BD460" s="41"/>
      <c r="BE460" s="43"/>
      <c r="BF460" s="40"/>
      <c r="BG460" s="41"/>
      <c r="BH460" s="43"/>
      <c r="BI460" s="40"/>
      <c r="BJ460" s="41"/>
      <c r="BK460" s="42"/>
      <c r="BN460" s="45"/>
      <c r="BO460" s="46"/>
      <c r="BP460" s="47"/>
    </row>
    <row r="461" spans="1:68" ht="14.25" hidden="1" customHeight="1" x14ac:dyDescent="0.25">
      <c r="A461" s="10" t="b">
        <f>REGULATION_METHODS="Метод индексации"</f>
        <v>1</v>
      </c>
      <c r="B461" s="5" t="b">
        <f t="array" ref="B461">A461</f>
        <v>1</v>
      </c>
      <c r="M461" s="5" t="str">
        <f t="array" ref="M461">Y460</f>
        <v>1ВО::1.1</v>
      </c>
      <c r="AB461" s="403">
        <v>0</v>
      </c>
      <c r="AC461" s="411" t="s">
        <v>106</v>
      </c>
      <c r="AD461" s="412"/>
      <c r="AE461" s="61"/>
      <c r="AF461" s="62"/>
      <c r="AG461" s="64"/>
      <c r="AH461" s="40"/>
      <c r="AI461" s="41"/>
      <c r="AJ461" s="42"/>
      <c r="AK461" s="40"/>
      <c r="AL461" s="41"/>
      <c r="AM461" s="43"/>
      <c r="AN461" s="40"/>
      <c r="AO461" s="41"/>
      <c r="AP461" s="43"/>
      <c r="AQ461" s="40"/>
      <c r="AR461" s="41"/>
      <c r="AS461" s="43"/>
      <c r="AT461" s="40"/>
      <c r="AU461" s="41"/>
      <c r="AV461" s="43"/>
      <c r="AW461" s="40"/>
      <c r="AX461" s="41"/>
      <c r="AY461" s="43"/>
      <c r="AZ461" s="40"/>
      <c r="BA461" s="41"/>
      <c r="BB461" s="43"/>
      <c r="BC461" s="40"/>
      <c r="BD461" s="41"/>
      <c r="BE461" s="43"/>
      <c r="BF461" s="40"/>
      <c r="BG461" s="41"/>
      <c r="BH461" s="43"/>
      <c r="BI461" s="40"/>
      <c r="BJ461" s="41"/>
      <c r="BK461" s="42"/>
      <c r="BN461" s="45"/>
      <c r="BO461" s="46"/>
      <c r="BP461" s="47"/>
    </row>
    <row r="462" spans="1:68" ht="14.25" hidden="1" customHeight="1" outlineLevel="1" x14ac:dyDescent="0.25">
      <c r="A462" s="10" t="b">
        <f t="array" ref="A462">A461</f>
        <v>1</v>
      </c>
      <c r="C462" s="79" t="s">
        <v>107</v>
      </c>
      <c r="D462" s="79" t="s">
        <v>108</v>
      </c>
      <c r="E462" s="10" t="s">
        <v>73</v>
      </c>
      <c r="F462" s="11" t="s">
        <v>74</v>
      </c>
      <c r="G462" s="79" t="s">
        <v>109</v>
      </c>
      <c r="H462" s="10" t="s">
        <v>73</v>
      </c>
      <c r="I462" s="10" t="s">
        <v>73</v>
      </c>
      <c r="K462" s="12" t="s">
        <v>73</v>
      </c>
      <c r="M462" s="5" t="str">
        <f t="array" ref="M462">Y460</f>
        <v>1ВО::1.1</v>
      </c>
      <c r="AB462" s="403" t="str">
        <f>AB461&amp;".1"</f>
        <v>0.1</v>
      </c>
      <c r="AC462" s="305" t="s">
        <v>110</v>
      </c>
      <c r="AD462" s="32" t="s">
        <v>111</v>
      </c>
      <c r="AE462" s="72"/>
      <c r="AF462" s="73">
        <f>AF512+AF641+AF595+AF604-AF511</f>
        <v>0</v>
      </c>
      <c r="AG462" s="74">
        <f>AG512+AG641+AG595+AG604-AG511</f>
        <v>0</v>
      </c>
      <c r="AH462" s="40"/>
      <c r="AI462" s="41"/>
      <c r="AJ462" s="42"/>
      <c r="AK462" s="40"/>
      <c r="AL462" s="41"/>
      <c r="AM462" s="43"/>
      <c r="AN462" s="40"/>
      <c r="AO462" s="41"/>
      <c r="AP462" s="43"/>
      <c r="AQ462" s="40"/>
      <c r="AR462" s="41"/>
      <c r="AS462" s="43"/>
      <c r="AT462" s="40"/>
      <c r="AU462" s="41"/>
      <c r="AV462" s="43"/>
      <c r="AW462" s="40"/>
      <c r="AX462" s="41"/>
      <c r="AY462" s="43"/>
      <c r="AZ462" s="40"/>
      <c r="BA462" s="41"/>
      <c r="BB462" s="43"/>
      <c r="BC462" s="40"/>
      <c r="BD462" s="41"/>
      <c r="BE462" s="43"/>
      <c r="BF462" s="40"/>
      <c r="BG462" s="41"/>
      <c r="BH462" s="43"/>
      <c r="BI462" s="40"/>
      <c r="BJ462" s="41"/>
      <c r="BK462" s="42"/>
      <c r="BN462" s="45"/>
      <c r="BO462" s="46"/>
      <c r="BP462" s="47"/>
    </row>
    <row r="463" spans="1:68" ht="14.25" hidden="1" customHeight="1" x14ac:dyDescent="0.25">
      <c r="A463" s="10" t="b">
        <f t="array" ref="A463">A462</f>
        <v>1</v>
      </c>
      <c r="M463" s="5" t="str">
        <f t="array" ref="M463">Y460</f>
        <v>1ВО::1.1</v>
      </c>
      <c r="AB463" s="403">
        <v>1</v>
      </c>
      <c r="AC463" s="411" t="s">
        <v>112</v>
      </c>
      <c r="AD463" s="412"/>
      <c r="AE463" s="61"/>
      <c r="AF463" s="62"/>
      <c r="AG463" s="64"/>
      <c r="AH463" s="40"/>
      <c r="AI463" s="41"/>
      <c r="AJ463" s="42"/>
      <c r="AK463" s="40"/>
      <c r="AL463" s="41"/>
      <c r="AM463" s="43"/>
      <c r="AN463" s="40"/>
      <c r="AO463" s="41"/>
      <c r="AP463" s="43"/>
      <c r="AQ463" s="40"/>
      <c r="AR463" s="41"/>
      <c r="AS463" s="43"/>
      <c r="AT463" s="40"/>
      <c r="AU463" s="41"/>
      <c r="AV463" s="43"/>
      <c r="AW463" s="40"/>
      <c r="AX463" s="41"/>
      <c r="AY463" s="43"/>
      <c r="AZ463" s="40"/>
      <c r="BA463" s="41"/>
      <c r="BB463" s="43"/>
      <c r="BC463" s="40"/>
      <c r="BD463" s="41"/>
      <c r="BE463" s="43"/>
      <c r="BF463" s="40"/>
      <c r="BG463" s="41"/>
      <c r="BH463" s="43"/>
      <c r="BI463" s="40"/>
      <c r="BJ463" s="41"/>
      <c r="BK463" s="42"/>
      <c r="BN463" s="45"/>
      <c r="BO463" s="46"/>
      <c r="BP463" s="47"/>
    </row>
    <row r="464" spans="1:68" ht="14.25" hidden="1" customHeight="1" outlineLevel="1" x14ac:dyDescent="0.25">
      <c r="A464" s="10" t="b">
        <f t="array" ref="A464">A463</f>
        <v>1</v>
      </c>
      <c r="C464" s="10" t="s">
        <v>113</v>
      </c>
      <c r="D464" s="10" t="s">
        <v>114</v>
      </c>
      <c r="E464" s="5" t="str">
        <f t="array" ref="E464">AC464</f>
        <v>Коэффициент операционных расходов</v>
      </c>
      <c r="F464" s="11" t="s">
        <v>74</v>
      </c>
      <c r="G464" s="10" t="s">
        <v>73</v>
      </c>
      <c r="H464" s="10" t="s">
        <v>73</v>
      </c>
      <c r="I464" s="10" t="s">
        <v>73</v>
      </c>
      <c r="K464" s="12" t="s">
        <v>73</v>
      </c>
      <c r="L464" s="10" t="s">
        <v>115</v>
      </c>
      <c r="M464" s="5" t="str">
        <f t="array" ref="M464">Y460</f>
        <v>1ВО::1.1</v>
      </c>
      <c r="AB464" s="403" t="str">
        <f>AB463&amp;".1"</f>
        <v>1.1</v>
      </c>
      <c r="AC464" s="305" t="s">
        <v>116</v>
      </c>
      <c r="AD464" s="32"/>
      <c r="AE464" s="81" t="e">
        <f>(1-AE466)*(1+AE467)*(1+AE468)*AE472</f>
        <v>#REF!</v>
      </c>
      <c r="AF464" s="82" t="e">
        <f>(1-AF466)*(1+AF467)*(1+AF468)*AF472</f>
        <v>#REF!</v>
      </c>
      <c r="AG464" s="83">
        <f>(1-AG466)*(1+AG467)*(1+AG468)*AG472</f>
        <v>1.042</v>
      </c>
      <c r="AH464" s="40"/>
      <c r="AI464" s="41"/>
      <c r="AJ464" s="42"/>
      <c r="AK464" s="40"/>
      <c r="AL464" s="41"/>
      <c r="AM464" s="43"/>
      <c r="AN464" s="40"/>
      <c r="AO464" s="41"/>
      <c r="AP464" s="43"/>
      <c r="AQ464" s="40"/>
      <c r="AR464" s="41"/>
      <c r="AS464" s="43"/>
      <c r="AT464" s="40"/>
      <c r="AU464" s="41"/>
      <c r="AV464" s="43"/>
      <c r="AW464" s="40"/>
      <c r="AX464" s="41"/>
      <c r="AY464" s="43"/>
      <c r="AZ464" s="40"/>
      <c r="BA464" s="41"/>
      <c r="BB464" s="43"/>
      <c r="BC464" s="40"/>
      <c r="BD464" s="41"/>
      <c r="BE464" s="43"/>
      <c r="BF464" s="40"/>
      <c r="BG464" s="41"/>
      <c r="BH464" s="43"/>
      <c r="BI464" s="40"/>
      <c r="BJ464" s="41"/>
      <c r="BK464" s="42"/>
      <c r="BN464" s="45"/>
      <c r="BO464" s="46"/>
      <c r="BP464" s="47"/>
    </row>
    <row r="465" spans="1:68" ht="14.25" hidden="1" customHeight="1" outlineLevel="1" x14ac:dyDescent="0.25">
      <c r="A465" s="10" t="b">
        <f t="array" ref="A465">A464</f>
        <v>1</v>
      </c>
      <c r="C465" s="84" t="s">
        <v>113</v>
      </c>
      <c r="D465" s="84" t="s">
        <v>114</v>
      </c>
      <c r="E465" s="85" t="str">
        <f t="array" ref="E465">AC465</f>
        <v>Коэффициент роста ОР к значению прошлого года</v>
      </c>
      <c r="F465" s="84" t="s">
        <v>74</v>
      </c>
      <c r="G465" s="84" t="s">
        <v>73</v>
      </c>
      <c r="H465" s="84" t="s">
        <v>73</v>
      </c>
      <c r="I465" s="84" t="s">
        <v>73</v>
      </c>
      <c r="J465" s="85"/>
      <c r="K465" s="86" t="s">
        <v>73</v>
      </c>
      <c r="L465" s="84" t="s">
        <v>115</v>
      </c>
      <c r="M465" s="5" t="str">
        <f t="array" ref="M465">Y460</f>
        <v>1ВО::1.1</v>
      </c>
      <c r="AB465" s="403" t="str">
        <f>AB463&amp;".1*"</f>
        <v>1.1*</v>
      </c>
      <c r="AC465" s="305" t="s">
        <v>117</v>
      </c>
      <c r="AD465" s="32"/>
      <c r="AE465" s="81" t="e">
        <f>IF(#REF!=0,0,AE511/#REF!)</f>
        <v>#REF!</v>
      </c>
      <c r="AF465" s="82">
        <v>1.046915</v>
      </c>
      <c r="AG465" s="83">
        <v>1.056298</v>
      </c>
      <c r="AH465" s="40"/>
      <c r="AI465" s="41"/>
      <c r="AJ465" s="42"/>
      <c r="AK465" s="40"/>
      <c r="AL465" s="41"/>
      <c r="AM465" s="43"/>
      <c r="AN465" s="40"/>
      <c r="AO465" s="41"/>
      <c r="AP465" s="43"/>
      <c r="AQ465" s="40"/>
      <c r="AR465" s="41"/>
      <c r="AS465" s="43"/>
      <c r="AT465" s="40"/>
      <c r="AU465" s="41"/>
      <c r="AV465" s="43"/>
      <c r="AW465" s="40"/>
      <c r="AX465" s="41"/>
      <c r="AY465" s="43"/>
      <c r="AZ465" s="40"/>
      <c r="BA465" s="41"/>
      <c r="BB465" s="43"/>
      <c r="BC465" s="40"/>
      <c r="BD465" s="41"/>
      <c r="BE465" s="43"/>
      <c r="BF465" s="40"/>
      <c r="BG465" s="41"/>
      <c r="BH465" s="43"/>
      <c r="BI465" s="40"/>
      <c r="BJ465" s="41"/>
      <c r="BK465" s="42"/>
      <c r="BN465" s="45"/>
      <c r="BO465" s="46"/>
      <c r="BP465" s="47"/>
    </row>
    <row r="466" spans="1:68" ht="14.25" hidden="1" customHeight="1" outlineLevel="2" x14ac:dyDescent="0.25">
      <c r="A466" s="10" t="b">
        <f t="array" ref="A466">A464</f>
        <v>1</v>
      </c>
      <c r="C466" s="10" t="s">
        <v>113</v>
      </c>
      <c r="D466" s="10" t="s">
        <v>114</v>
      </c>
      <c r="E466" s="10" t="s">
        <v>118</v>
      </c>
      <c r="F466" s="11" t="s">
        <v>74</v>
      </c>
      <c r="G466" s="10" t="s">
        <v>73</v>
      </c>
      <c r="H466" s="10" t="s">
        <v>73</v>
      </c>
      <c r="I466" s="10" t="s">
        <v>73</v>
      </c>
      <c r="K466" s="12" t="s">
        <v>73</v>
      </c>
      <c r="L466" s="10" t="s">
        <v>115</v>
      </c>
      <c r="M466" s="5" t="str">
        <f t="array" ref="M466">Y460</f>
        <v>1ВО::1.1</v>
      </c>
      <c r="AB466" s="403" t="str">
        <f>AB464&amp;".1"</f>
        <v>1.1.1</v>
      </c>
      <c r="AC466" s="413" t="s">
        <v>118</v>
      </c>
      <c r="AD466" s="32" t="s">
        <v>119</v>
      </c>
      <c r="AE466" s="88" t="e">
        <f>#REF!</f>
        <v>#REF!</v>
      </c>
      <c r="AF466" s="89">
        <v>0.01</v>
      </c>
      <c r="AG466" s="90">
        <v>0</v>
      </c>
      <c r="AH466" s="40"/>
      <c r="AI466" s="41"/>
      <c r="AJ466" s="42"/>
      <c r="AK466" s="40"/>
      <c r="AL466" s="41"/>
      <c r="AM466" s="43"/>
      <c r="AN466" s="40"/>
      <c r="AO466" s="41"/>
      <c r="AP466" s="43"/>
      <c r="AQ466" s="40"/>
      <c r="AR466" s="41"/>
      <c r="AS466" s="43"/>
      <c r="AT466" s="40"/>
      <c r="AU466" s="41"/>
      <c r="AV466" s="43"/>
      <c r="AW466" s="40"/>
      <c r="AX466" s="41"/>
      <c r="AY466" s="43"/>
      <c r="AZ466" s="40"/>
      <c r="BA466" s="41"/>
      <c r="BB466" s="43"/>
      <c r="BC466" s="40"/>
      <c r="BD466" s="41"/>
      <c r="BE466" s="43"/>
      <c r="BF466" s="40"/>
      <c r="BG466" s="41"/>
      <c r="BH466" s="43"/>
      <c r="BI466" s="40"/>
      <c r="BJ466" s="41"/>
      <c r="BK466" s="42"/>
      <c r="BN466" s="45"/>
      <c r="BO466" s="46"/>
      <c r="BP466" s="47"/>
    </row>
    <row r="467" spans="1:68" ht="14.25" hidden="1" customHeight="1" outlineLevel="2" x14ac:dyDescent="0.25">
      <c r="A467" s="10" t="b">
        <f t="array" ref="A467">A466</f>
        <v>1</v>
      </c>
      <c r="C467" s="10" t="s">
        <v>113</v>
      </c>
      <c r="D467" s="10" t="s">
        <v>114</v>
      </c>
      <c r="E467" s="10" t="s">
        <v>120</v>
      </c>
      <c r="F467" s="11" t="s">
        <v>74</v>
      </c>
      <c r="G467" s="10" t="s">
        <v>73</v>
      </c>
      <c r="H467" s="10" t="s">
        <v>73</v>
      </c>
      <c r="I467" s="10" t="s">
        <v>73</v>
      </c>
      <c r="K467" s="12" t="s">
        <v>73</v>
      </c>
      <c r="L467" s="10" t="s">
        <v>115</v>
      </c>
      <c r="M467" s="5" t="str">
        <f t="array" ref="M467">Y460</f>
        <v>1ВО::1.1</v>
      </c>
      <c r="AB467" s="403" t="str">
        <f>AB464&amp;".2"</f>
        <v>1.1.2</v>
      </c>
      <c r="AC467" s="413" t="s">
        <v>121</v>
      </c>
      <c r="AD467" s="32"/>
      <c r="AE467" s="53">
        <f>[4]Индексы!AH447-1</f>
        <v>-1</v>
      </c>
      <c r="AF467" s="54">
        <v>4.2000000000000003E-2</v>
      </c>
      <c r="AG467" s="55">
        <v>4.2000000000000003E-2</v>
      </c>
      <c r="AH467" s="40"/>
      <c r="AI467" s="41"/>
      <c r="AJ467" s="42"/>
      <c r="AK467" s="40"/>
      <c r="AL467" s="41"/>
      <c r="AM467" s="43"/>
      <c r="AN467" s="40"/>
      <c r="AO467" s="41"/>
      <c r="AP467" s="43"/>
      <c r="AQ467" s="40"/>
      <c r="AR467" s="41"/>
      <c r="AS467" s="43"/>
      <c r="AT467" s="40"/>
      <c r="AU467" s="41"/>
      <c r="AV467" s="43"/>
      <c r="AW467" s="40"/>
      <c r="AX467" s="41"/>
      <c r="AY467" s="43"/>
      <c r="AZ467" s="40"/>
      <c r="BA467" s="41"/>
      <c r="BB467" s="43"/>
      <c r="BC467" s="40"/>
      <c r="BD467" s="41"/>
      <c r="BE467" s="43"/>
      <c r="BF467" s="40"/>
      <c r="BG467" s="41"/>
      <c r="BH467" s="43"/>
      <c r="BI467" s="40"/>
      <c r="BJ467" s="41"/>
      <c r="BK467" s="42"/>
      <c r="BN467" s="45"/>
      <c r="BO467" s="46"/>
      <c r="BP467" s="47"/>
    </row>
    <row r="468" spans="1:68" ht="14.25" hidden="1" customHeight="1" outlineLevel="2" x14ac:dyDescent="0.25">
      <c r="A468" s="10" t="b">
        <f t="array" ref="A468">A467</f>
        <v>1</v>
      </c>
      <c r="C468" s="10" t="s">
        <v>113</v>
      </c>
      <c r="D468" s="10" t="s">
        <v>114</v>
      </c>
      <c r="E468" s="10" t="s">
        <v>122</v>
      </c>
      <c r="F468" s="11" t="s">
        <v>74</v>
      </c>
      <c r="G468" s="10" t="s">
        <v>73</v>
      </c>
      <c r="H468" s="10" t="s">
        <v>73</v>
      </c>
      <c r="I468" s="10" t="s">
        <v>73</v>
      </c>
      <c r="K468" s="12" t="s">
        <v>73</v>
      </c>
      <c r="L468" s="10" t="s">
        <v>115</v>
      </c>
      <c r="M468" s="5" t="str">
        <f t="array" ref="M468">Y460</f>
        <v>1ВО::1.1</v>
      </c>
      <c r="AB468" s="403" t="str">
        <f>AB464&amp;".3"</f>
        <v>1.1.3</v>
      </c>
      <c r="AC468" s="413" t="s">
        <v>123</v>
      </c>
      <c r="AD468" s="32"/>
      <c r="AE468" s="66"/>
      <c r="AF468" s="91"/>
      <c r="AG468" s="68"/>
      <c r="AH468" s="40"/>
      <c r="AI468" s="41"/>
      <c r="AJ468" s="42"/>
      <c r="AK468" s="40"/>
      <c r="AL468" s="41"/>
      <c r="AM468" s="43"/>
      <c r="AN468" s="40"/>
      <c r="AO468" s="41"/>
      <c r="AP468" s="43"/>
      <c r="AQ468" s="40"/>
      <c r="AR468" s="41"/>
      <c r="AS468" s="43"/>
      <c r="AT468" s="40"/>
      <c r="AU468" s="41"/>
      <c r="AV468" s="43"/>
      <c r="AW468" s="40"/>
      <c r="AX468" s="41"/>
      <c r="AY468" s="43"/>
      <c r="AZ468" s="40"/>
      <c r="BA468" s="41"/>
      <c r="BB468" s="43"/>
      <c r="BC468" s="40"/>
      <c r="BD468" s="41"/>
      <c r="BE468" s="43"/>
      <c r="BF468" s="40"/>
      <c r="BG468" s="41"/>
      <c r="BH468" s="43"/>
      <c r="BI468" s="40"/>
      <c r="BJ468" s="41"/>
      <c r="BK468" s="42"/>
      <c r="BN468" s="45"/>
      <c r="BO468" s="46"/>
      <c r="BP468" s="47"/>
    </row>
    <row r="469" spans="1:68" ht="14.25" hidden="1" customHeight="1" outlineLevel="3" x14ac:dyDescent="0.25">
      <c r="A469" s="10" t="b">
        <f t="array" ref="A469">A468</f>
        <v>1</v>
      </c>
      <c r="C469" s="10" t="s">
        <v>113</v>
      </c>
      <c r="D469" s="10" t="s">
        <v>114</v>
      </c>
      <c r="E469" s="10" t="s">
        <v>124</v>
      </c>
      <c r="F469" s="11" t="s">
        <v>74</v>
      </c>
      <c r="G469" s="10" t="s">
        <v>73</v>
      </c>
      <c r="H469" s="10" t="s">
        <v>73</v>
      </c>
      <c r="I469" s="10" t="s">
        <v>73</v>
      </c>
      <c r="K469" s="12" t="s">
        <v>73</v>
      </c>
      <c r="L469" s="10" t="s">
        <v>115</v>
      </c>
      <c r="M469" s="5" t="str">
        <f t="array" ref="M469">Y460</f>
        <v>1ВО::1.1</v>
      </c>
      <c r="AB469" s="403" t="str">
        <f>AB468&amp;".1"</f>
        <v>1.1.3.1</v>
      </c>
      <c r="AC469" s="414" t="s">
        <v>125</v>
      </c>
      <c r="AD469" s="32" t="s">
        <v>119</v>
      </c>
      <c r="AE469" s="88">
        <v>4.0399999999999998E-2</v>
      </c>
      <c r="AF469" s="93"/>
      <c r="AG469" s="94">
        <v>0</v>
      </c>
      <c r="AH469" s="40"/>
      <c r="AI469" s="41"/>
      <c r="AJ469" s="42"/>
      <c r="AK469" s="40"/>
      <c r="AL469" s="41"/>
      <c r="AM469" s="43"/>
      <c r="AN469" s="40"/>
      <c r="AO469" s="41"/>
      <c r="AP469" s="43"/>
      <c r="AQ469" s="40"/>
      <c r="AR469" s="41"/>
      <c r="AS469" s="43"/>
      <c r="AT469" s="40"/>
      <c r="AU469" s="41"/>
      <c r="AV469" s="43"/>
      <c r="AW469" s="40"/>
      <c r="AX469" s="41"/>
      <c r="AY469" s="43"/>
      <c r="AZ469" s="40"/>
      <c r="BA469" s="41"/>
      <c r="BB469" s="43"/>
      <c r="BC469" s="40"/>
      <c r="BD469" s="41"/>
      <c r="BE469" s="43"/>
      <c r="BF469" s="40"/>
      <c r="BG469" s="41"/>
      <c r="BH469" s="43"/>
      <c r="BI469" s="40"/>
      <c r="BJ469" s="41"/>
      <c r="BK469" s="42"/>
      <c r="BN469" s="45"/>
      <c r="BO469" s="46"/>
      <c r="BP469" s="47"/>
    </row>
    <row r="470" spans="1:68" ht="39" hidden="1" customHeight="1" outlineLevel="3" x14ac:dyDescent="0.25">
      <c r="A470" s="10" t="b">
        <f t="array" ref="A470">A469</f>
        <v>1</v>
      </c>
      <c r="C470" s="10" t="s">
        <v>126</v>
      </c>
      <c r="D470" s="10" t="s">
        <v>127</v>
      </c>
      <c r="E470" s="10" t="s">
        <v>73</v>
      </c>
      <c r="F470" s="11" t="s">
        <v>74</v>
      </c>
      <c r="G470" s="10" t="s">
        <v>73</v>
      </c>
      <c r="H470" s="10" t="s">
        <v>73</v>
      </c>
      <c r="I470" s="10" t="s">
        <v>73</v>
      </c>
      <c r="K470" s="12" t="s">
        <v>73</v>
      </c>
      <c r="L470" s="10" t="s">
        <v>115</v>
      </c>
      <c r="M470" s="5" t="str">
        <f t="array" ref="M470">Y460</f>
        <v>1ВО::1.1</v>
      </c>
      <c r="AB470" s="403" t="str">
        <f>AB468&amp;".2"</f>
        <v>1.1.3.2</v>
      </c>
      <c r="AC470" s="414" t="s">
        <v>128</v>
      </c>
      <c r="AD470" s="32" t="s">
        <v>111</v>
      </c>
      <c r="AE470" s="95"/>
      <c r="AF470" s="93"/>
      <c r="AG470" s="96"/>
      <c r="AH470" s="40"/>
      <c r="AI470" s="41"/>
      <c r="AJ470" s="42"/>
      <c r="AK470" s="40"/>
      <c r="AL470" s="41"/>
      <c r="AM470" s="43"/>
      <c r="AN470" s="40"/>
      <c r="AO470" s="41"/>
      <c r="AP470" s="43"/>
      <c r="AQ470" s="40"/>
      <c r="AR470" s="41"/>
      <c r="AS470" s="43"/>
      <c r="AT470" s="40"/>
      <c r="AU470" s="41"/>
      <c r="AV470" s="43"/>
      <c r="AW470" s="40"/>
      <c r="AX470" s="41"/>
      <c r="AY470" s="43"/>
      <c r="AZ470" s="40"/>
      <c r="BA470" s="41"/>
      <c r="BB470" s="43"/>
      <c r="BC470" s="40"/>
      <c r="BD470" s="41"/>
      <c r="BE470" s="43"/>
      <c r="BF470" s="40"/>
      <c r="BG470" s="41"/>
      <c r="BH470" s="43"/>
      <c r="BI470" s="40"/>
      <c r="BJ470" s="41"/>
      <c r="BK470" s="42"/>
      <c r="BN470" s="45"/>
      <c r="BO470" s="46"/>
      <c r="BP470" s="47"/>
    </row>
    <row r="471" spans="1:68" ht="14.25" hidden="1" customHeight="1" outlineLevel="3" x14ac:dyDescent="0.25">
      <c r="A471" s="10" t="b">
        <f t="array" ref="A471">A470</f>
        <v>1</v>
      </c>
      <c r="C471" s="10" t="s">
        <v>129</v>
      </c>
      <c r="D471" s="10" t="s">
        <v>130</v>
      </c>
      <c r="E471" s="10" t="s">
        <v>73</v>
      </c>
      <c r="F471" s="11" t="s">
        <v>74</v>
      </c>
      <c r="G471" s="10" t="s">
        <v>73</v>
      </c>
      <c r="H471" s="10" t="s">
        <v>73</v>
      </c>
      <c r="I471" s="10" t="s">
        <v>73</v>
      </c>
      <c r="K471" s="12" t="s">
        <v>73</v>
      </c>
      <c r="L471" s="10" t="s">
        <v>115</v>
      </c>
      <c r="M471" s="5" t="str">
        <f t="array" ref="M471">Y460</f>
        <v>1ВО::1.1</v>
      </c>
      <c r="AB471" s="403" t="str">
        <f>AB468&amp;".3"</f>
        <v>1.1.3.3</v>
      </c>
      <c r="AC471" s="414" t="s">
        <v>131</v>
      </c>
      <c r="AD471" s="32"/>
      <c r="AE471" s="97">
        <v>0.01</v>
      </c>
      <c r="AF471" s="93"/>
      <c r="AG471" s="98"/>
      <c r="AH471" s="40"/>
      <c r="AI471" s="41"/>
      <c r="AJ471" s="42"/>
      <c r="AK471" s="40"/>
      <c r="AL471" s="41"/>
      <c r="AM471" s="43"/>
      <c r="AN471" s="40"/>
      <c r="AO471" s="41"/>
      <c r="AP471" s="43"/>
      <c r="AQ471" s="40"/>
      <c r="AR471" s="41"/>
      <c r="AS471" s="43"/>
      <c r="AT471" s="40"/>
      <c r="AU471" s="41"/>
      <c r="AV471" s="43"/>
      <c r="AW471" s="40"/>
      <c r="AX471" s="41"/>
      <c r="AY471" s="43"/>
      <c r="AZ471" s="40"/>
      <c r="BA471" s="41"/>
      <c r="BB471" s="43"/>
      <c r="BC471" s="40"/>
      <c r="BD471" s="41"/>
      <c r="BE471" s="43"/>
      <c r="BF471" s="40"/>
      <c r="BG471" s="41"/>
      <c r="BH471" s="43"/>
      <c r="BI471" s="40"/>
      <c r="BJ471" s="41"/>
      <c r="BK471" s="42"/>
      <c r="BN471" s="45"/>
      <c r="BO471" s="46"/>
      <c r="BP471" s="47"/>
    </row>
    <row r="472" spans="1:68" ht="14.25" hidden="1" customHeight="1" outlineLevel="2" x14ac:dyDescent="0.25">
      <c r="A472" s="10" t="b">
        <f t="array" ref="A472">A471</f>
        <v>1</v>
      </c>
      <c r="C472" s="10" t="s">
        <v>113</v>
      </c>
      <c r="D472" s="10" t="s">
        <v>114</v>
      </c>
      <c r="E472" s="10" t="s">
        <v>132</v>
      </c>
      <c r="F472" s="11" t="s">
        <v>74</v>
      </c>
      <c r="G472" s="10" t="s">
        <v>73</v>
      </c>
      <c r="H472" s="10" t="s">
        <v>73</v>
      </c>
      <c r="I472" s="10" t="s">
        <v>73</v>
      </c>
      <c r="K472" s="12" t="s">
        <v>73</v>
      </c>
      <c r="L472" s="10" t="s">
        <v>133</v>
      </c>
      <c r="M472" s="5" t="str">
        <f t="array" ref="M472">Y460</f>
        <v>1ВО::1.1</v>
      </c>
      <c r="AB472" s="403" t="str">
        <f>AB464&amp;".4"</f>
        <v>1.1.4</v>
      </c>
      <c r="AC472" s="413" t="s">
        <v>132</v>
      </c>
      <c r="AD472" s="32"/>
      <c r="AE472" s="66" t="e">
        <f t="array" ref="AE472">#REF!</f>
        <v>#REF!</v>
      </c>
      <c r="AF472" s="67" t="e">
        <f>IF(#REF!=0,0,AF442/#REF!)</f>
        <v>#REF!</v>
      </c>
      <c r="AG472" s="68">
        <v>1</v>
      </c>
      <c r="AH472" s="40"/>
      <c r="AI472" s="41"/>
      <c r="AJ472" s="42"/>
      <c r="AK472" s="40"/>
      <c r="AL472" s="41"/>
      <c r="AM472" s="43"/>
      <c r="AN472" s="40"/>
      <c r="AO472" s="41"/>
      <c r="AP472" s="43"/>
      <c r="AQ472" s="40"/>
      <c r="AR472" s="41"/>
      <c r="AS472" s="43"/>
      <c r="AT472" s="40"/>
      <c r="AU472" s="41"/>
      <c r="AV472" s="43"/>
      <c r="AW472" s="40"/>
      <c r="AX472" s="41"/>
      <c r="AY472" s="43"/>
      <c r="AZ472" s="40"/>
      <c r="BA472" s="41"/>
      <c r="BB472" s="43"/>
      <c r="BC472" s="40"/>
      <c r="BD472" s="41"/>
      <c r="BE472" s="43"/>
      <c r="BF472" s="40"/>
      <c r="BG472" s="41"/>
      <c r="BH472" s="43"/>
      <c r="BI472" s="40"/>
      <c r="BJ472" s="41"/>
      <c r="BK472" s="42"/>
      <c r="BN472" s="45"/>
      <c r="BO472" s="46"/>
      <c r="BP472" s="47"/>
    </row>
    <row r="473" spans="1:68" ht="14.25" hidden="1" customHeight="1" outlineLevel="1" x14ac:dyDescent="0.25">
      <c r="A473" s="10" t="b">
        <f t="array" ref="A473">A472</f>
        <v>1</v>
      </c>
      <c r="C473" s="10" t="s">
        <v>113</v>
      </c>
      <c r="D473" s="10" t="s">
        <v>114</v>
      </c>
      <c r="E473" s="10" t="s">
        <v>134</v>
      </c>
      <c r="F473" s="11" t="s">
        <v>74</v>
      </c>
      <c r="G473" s="10" t="s">
        <v>73</v>
      </c>
      <c r="H473" s="10" t="s">
        <v>73</v>
      </c>
      <c r="I473" s="10" t="s">
        <v>73</v>
      </c>
      <c r="K473" s="12" t="s">
        <v>73</v>
      </c>
      <c r="L473" s="10" t="s">
        <v>135</v>
      </c>
      <c r="M473" s="5" t="str">
        <f t="array" ref="M473">Y460</f>
        <v>1ВО::1.1</v>
      </c>
      <c r="AB473" s="403" t="str">
        <f>AB463&amp;".2"</f>
        <v>1.2</v>
      </c>
      <c r="AC473" s="305" t="s">
        <v>134</v>
      </c>
      <c r="AD473" s="32"/>
      <c r="AE473" s="53">
        <v>0.09</v>
      </c>
      <c r="AF473" s="54">
        <v>0.06</v>
      </c>
      <c r="AG473" s="55">
        <v>0.06</v>
      </c>
      <c r="AH473" s="40"/>
      <c r="AI473" s="41"/>
      <c r="AJ473" s="42"/>
      <c r="AK473" s="40"/>
      <c r="AL473" s="41"/>
      <c r="AM473" s="43"/>
      <c r="AN473" s="40"/>
      <c r="AO473" s="41"/>
      <c r="AP473" s="43"/>
      <c r="AQ473" s="40"/>
      <c r="AR473" s="41"/>
      <c r="AS473" s="43"/>
      <c r="AT473" s="40"/>
      <c r="AU473" s="41"/>
      <c r="AV473" s="43"/>
      <c r="AW473" s="40"/>
      <c r="AX473" s="41"/>
      <c r="AY473" s="43"/>
      <c r="AZ473" s="40"/>
      <c r="BA473" s="41"/>
      <c r="BB473" s="43"/>
      <c r="BC473" s="40"/>
      <c r="BD473" s="41"/>
      <c r="BE473" s="43"/>
      <c r="BF473" s="40"/>
      <c r="BG473" s="41"/>
      <c r="BH473" s="43"/>
      <c r="BI473" s="40"/>
      <c r="BJ473" s="41"/>
      <c r="BK473" s="42"/>
      <c r="BN473" s="45"/>
      <c r="BO473" s="46"/>
      <c r="BP473" s="47"/>
    </row>
    <row r="474" spans="1:68" ht="14.25" hidden="1" customHeight="1" x14ac:dyDescent="0.25">
      <c r="A474" s="10" t="b">
        <f>$U460="Водоснабжение"</f>
        <v>0</v>
      </c>
      <c r="C474" s="5" t="s">
        <v>75</v>
      </c>
      <c r="D474" s="10" t="s">
        <v>76</v>
      </c>
      <c r="F474" s="11" t="s">
        <v>74</v>
      </c>
      <c r="G474" s="10" t="s">
        <v>73</v>
      </c>
      <c r="H474" s="10" t="s">
        <v>73</v>
      </c>
      <c r="I474" s="10" t="s">
        <v>73</v>
      </c>
      <c r="K474" s="12" t="s">
        <v>73</v>
      </c>
      <c r="M474" s="5" t="str">
        <f t="array" ref="M474">Y460</f>
        <v>1ВО::1.1</v>
      </c>
      <c r="Z474" s="6"/>
      <c r="AA474" s="6"/>
      <c r="AB474" s="403"/>
      <c r="AC474" s="409"/>
      <c r="AD474" s="32"/>
      <c r="AE474" s="147"/>
      <c r="AF474" s="148"/>
      <c r="AG474" s="149"/>
      <c r="AH474" s="40"/>
      <c r="AI474" s="41"/>
      <c r="AJ474" s="42"/>
      <c r="AK474" s="40"/>
      <c r="AL474" s="41"/>
      <c r="AM474" s="43"/>
      <c r="AN474" s="40"/>
      <c r="AO474" s="41"/>
      <c r="AP474" s="43"/>
      <c r="AQ474" s="40"/>
      <c r="AR474" s="41"/>
      <c r="AS474" s="43"/>
      <c r="AT474" s="40"/>
      <c r="AU474" s="41"/>
      <c r="AV474" s="43"/>
      <c r="AW474" s="40"/>
      <c r="AX474" s="41"/>
      <c r="AY474" s="43"/>
      <c r="AZ474" s="40"/>
      <c r="BA474" s="41"/>
      <c r="BB474" s="43"/>
      <c r="BC474" s="40"/>
      <c r="BD474" s="41"/>
      <c r="BE474" s="43"/>
      <c r="BF474" s="40"/>
      <c r="BG474" s="41"/>
      <c r="BH474" s="43"/>
      <c r="BI474" s="40"/>
      <c r="BJ474" s="41"/>
      <c r="BK474" s="42"/>
      <c r="BN474" s="45"/>
      <c r="BO474" s="46"/>
      <c r="BP474" s="47"/>
    </row>
    <row r="475" spans="1:68" ht="14.25" hidden="1" customHeight="1" outlineLevel="2" x14ac:dyDescent="0.25">
      <c r="A475" s="10" t="b">
        <f>AND(A474)</f>
        <v>0</v>
      </c>
      <c r="B475" s="5" t="b">
        <f>AND(OR(isFIRST_PERIOD="да",$AD$56="нет"),A474)</f>
        <v>0</v>
      </c>
      <c r="C475" s="69" t="s">
        <v>78</v>
      </c>
      <c r="D475" s="70" t="s">
        <v>79</v>
      </c>
      <c r="E475" s="70" t="s">
        <v>73</v>
      </c>
      <c r="F475" s="116" t="s">
        <v>74</v>
      </c>
      <c r="G475" s="70" t="s">
        <v>73</v>
      </c>
      <c r="H475" s="70" t="s">
        <v>73</v>
      </c>
      <c r="I475" s="70" t="s">
        <v>73</v>
      </c>
      <c r="J475" s="70" t="s">
        <v>73</v>
      </c>
      <c r="K475" s="70" t="s">
        <v>73</v>
      </c>
      <c r="L475" s="70"/>
      <c r="M475" s="5" t="str">
        <f t="array" ref="M475">Y460</f>
        <v>1ВО::1.1</v>
      </c>
      <c r="N475" s="70"/>
      <c r="Z475" s="6"/>
      <c r="AA475" s="6"/>
      <c r="AB475" s="403"/>
      <c r="AC475" s="415"/>
      <c r="AD475" s="32"/>
      <c r="AE475" s="66"/>
      <c r="AF475" s="67"/>
      <c r="AG475" s="68"/>
      <c r="AH475" s="40"/>
      <c r="AI475" s="41"/>
      <c r="AJ475" s="42"/>
      <c r="AK475" s="40"/>
      <c r="AL475" s="41"/>
      <c r="AM475" s="43"/>
      <c r="AN475" s="40"/>
      <c r="AO475" s="41"/>
      <c r="AP475" s="43"/>
      <c r="AQ475" s="40"/>
      <c r="AR475" s="41"/>
      <c r="AS475" s="43"/>
      <c r="AT475" s="40"/>
      <c r="AU475" s="41"/>
      <c r="AV475" s="43"/>
      <c r="AW475" s="40"/>
      <c r="AX475" s="41"/>
      <c r="AY475" s="43"/>
      <c r="AZ475" s="40"/>
      <c r="BA475" s="41"/>
      <c r="BB475" s="43"/>
      <c r="BC475" s="40"/>
      <c r="BD475" s="41"/>
      <c r="BE475" s="43"/>
      <c r="BF475" s="40"/>
      <c r="BG475" s="41"/>
      <c r="BH475" s="43"/>
      <c r="BI475" s="40"/>
      <c r="BJ475" s="41"/>
      <c r="BK475" s="42"/>
      <c r="BN475" s="45"/>
      <c r="BO475" s="46"/>
      <c r="BP475" s="47"/>
    </row>
    <row r="476" spans="1:68" ht="14.25" hidden="1" customHeight="1" outlineLevel="2" x14ac:dyDescent="0.25">
      <c r="A476" s="10" t="b">
        <f>AND(A474)</f>
        <v>0</v>
      </c>
      <c r="B476" s="5" t="b">
        <f>AND(OR(isFIRST_PERIOD="да",$AD$56="нет"),A474)</f>
        <v>0</v>
      </c>
      <c r="C476" s="69" t="s">
        <v>81</v>
      </c>
      <c r="D476" s="70" t="s">
        <v>82</v>
      </c>
      <c r="E476" s="70" t="s">
        <v>73</v>
      </c>
      <c r="F476" s="116" t="s">
        <v>74</v>
      </c>
      <c r="G476" s="70" t="s">
        <v>73</v>
      </c>
      <c r="H476" s="70" t="s">
        <v>73</v>
      </c>
      <c r="I476" s="70" t="s">
        <v>73</v>
      </c>
      <c r="J476" s="70" t="s">
        <v>73</v>
      </c>
      <c r="K476" s="70" t="s">
        <v>73</v>
      </c>
      <c r="L476" s="70"/>
      <c r="M476" s="5" t="str">
        <f t="array" ref="M476">Y460</f>
        <v>1ВО::1.1</v>
      </c>
      <c r="N476" s="70"/>
      <c r="Z476" s="6"/>
      <c r="AA476" s="6"/>
      <c r="AB476" s="403"/>
      <c r="AC476" s="415"/>
      <c r="AD476" s="32"/>
      <c r="AE476" s="66"/>
      <c r="AF476" s="67"/>
      <c r="AG476" s="68"/>
      <c r="AH476" s="40"/>
      <c r="AI476" s="41"/>
      <c r="AJ476" s="42"/>
      <c r="AK476" s="40"/>
      <c r="AL476" s="41"/>
      <c r="AM476" s="43"/>
      <c r="AN476" s="40"/>
      <c r="AO476" s="41"/>
      <c r="AP476" s="43"/>
      <c r="AQ476" s="40"/>
      <c r="AR476" s="41"/>
      <c r="AS476" s="43"/>
      <c r="AT476" s="40"/>
      <c r="AU476" s="41"/>
      <c r="AV476" s="43"/>
      <c r="AW476" s="40"/>
      <c r="AX476" s="41"/>
      <c r="AY476" s="43"/>
      <c r="AZ476" s="40"/>
      <c r="BA476" s="41"/>
      <c r="BB476" s="43"/>
      <c r="BC476" s="40"/>
      <c r="BD476" s="41"/>
      <c r="BE476" s="43"/>
      <c r="BF476" s="40"/>
      <c r="BG476" s="41"/>
      <c r="BH476" s="43"/>
      <c r="BI476" s="40"/>
      <c r="BJ476" s="41"/>
      <c r="BK476" s="42"/>
      <c r="BN476" s="45"/>
      <c r="BO476" s="46"/>
      <c r="BP476" s="47"/>
    </row>
    <row r="477" spans="1:68" ht="14.25" hidden="1" customHeight="1" outlineLevel="3" x14ac:dyDescent="0.25">
      <c r="A477" s="10" t="b">
        <f>AND($U460="Водоснабжение",$T460&lt;&gt;"Тариф на транспортировку воды")</f>
        <v>0</v>
      </c>
      <c r="C477" s="136" t="s">
        <v>140</v>
      </c>
      <c r="D477" s="136" t="s">
        <v>141</v>
      </c>
      <c r="E477" s="116" t="s">
        <v>142</v>
      </c>
      <c r="F477" s="116" t="s">
        <v>74</v>
      </c>
      <c r="G477" s="116" t="s">
        <v>73</v>
      </c>
      <c r="H477" s="116" t="s">
        <v>73</v>
      </c>
      <c r="I477" s="116" t="s">
        <v>73</v>
      </c>
      <c r="J477" s="116" t="s">
        <v>73</v>
      </c>
      <c r="K477" s="116" t="s">
        <v>73</v>
      </c>
      <c r="L477" s="116"/>
      <c r="M477" s="5" t="str">
        <f t="array" ref="M477">Y460</f>
        <v>1ВО::1.1</v>
      </c>
      <c r="N477" s="116"/>
      <c r="Y477" s="10">
        <v>1</v>
      </c>
      <c r="Z477" s="6"/>
      <c r="AA477" s="6"/>
      <c r="AB477" s="403"/>
      <c r="AC477" s="305"/>
      <c r="AD477" s="32"/>
      <c r="AE477" s="66"/>
      <c r="AF477" s="67"/>
      <c r="AG477" s="68"/>
      <c r="AH477" s="40"/>
      <c r="AI477" s="41"/>
      <c r="AJ477" s="42"/>
      <c r="AK477" s="40"/>
      <c r="AL477" s="41"/>
      <c r="AM477" s="43"/>
      <c r="AN477" s="40"/>
      <c r="AO477" s="41"/>
      <c r="AP477" s="43"/>
      <c r="AQ477" s="40"/>
      <c r="AR477" s="41"/>
      <c r="AS477" s="43"/>
      <c r="AT477" s="40"/>
      <c r="AU477" s="41"/>
      <c r="AV477" s="43"/>
      <c r="AW477" s="40"/>
      <c r="AX477" s="41"/>
      <c r="AY477" s="43"/>
      <c r="AZ477" s="40"/>
      <c r="BA477" s="41"/>
      <c r="BB477" s="43"/>
      <c r="BC477" s="40"/>
      <c r="BD477" s="41"/>
      <c r="BE477" s="43"/>
      <c r="BF477" s="40"/>
      <c r="BG477" s="41"/>
      <c r="BH477" s="43"/>
      <c r="BI477" s="40"/>
      <c r="BJ477" s="41"/>
      <c r="BK477" s="42"/>
      <c r="BN477" s="45"/>
      <c r="BO477" s="46"/>
      <c r="BP477" s="47"/>
    </row>
    <row r="478" spans="1:68" ht="14.25" hidden="1" customHeight="1" outlineLevel="3" x14ac:dyDescent="0.25">
      <c r="A478" s="10" t="b">
        <f>AND($U460="Водоснабжение",$T460&lt;&gt;"Тариф на транспортировку воды",region_name&lt;&gt;"Белгородская область")</f>
        <v>0</v>
      </c>
      <c r="C478" s="136" t="s">
        <v>140</v>
      </c>
      <c r="D478" s="136" t="s">
        <v>141</v>
      </c>
      <c r="E478" s="116" t="s">
        <v>144</v>
      </c>
      <c r="F478" s="116" t="s">
        <v>74</v>
      </c>
      <c r="G478" s="116" t="s">
        <v>73</v>
      </c>
      <c r="H478" s="116" t="s">
        <v>73</v>
      </c>
      <c r="I478" s="116" t="s">
        <v>73</v>
      </c>
      <c r="J478" s="116" t="s">
        <v>73</v>
      </c>
      <c r="K478" s="116" t="s">
        <v>73</v>
      </c>
      <c r="L478" s="116"/>
      <c r="M478" s="5" t="str">
        <f t="array" ref="M478">Y460</f>
        <v>1ВО::1.1</v>
      </c>
      <c r="N478" s="116"/>
      <c r="Y478" s="10">
        <f>COUNT($Y477:Y477)+1</f>
        <v>2</v>
      </c>
      <c r="Z478" s="6"/>
      <c r="AA478" s="6"/>
      <c r="AB478" s="403"/>
      <c r="AC478" s="305"/>
      <c r="AD478" s="32"/>
      <c r="AE478" s="66"/>
      <c r="AF478" s="67"/>
      <c r="AG478" s="68"/>
      <c r="AH478" s="40"/>
      <c r="AI478" s="41"/>
      <c r="AJ478" s="42"/>
      <c r="AK478" s="40"/>
      <c r="AL478" s="41"/>
      <c r="AM478" s="43"/>
      <c r="AN478" s="40"/>
      <c r="AO478" s="41"/>
      <c r="AP478" s="43"/>
      <c r="AQ478" s="40"/>
      <c r="AR478" s="41"/>
      <c r="AS478" s="43"/>
      <c r="AT478" s="40"/>
      <c r="AU478" s="41"/>
      <c r="AV478" s="43"/>
      <c r="AW478" s="40"/>
      <c r="AX478" s="41"/>
      <c r="AY478" s="43"/>
      <c r="AZ478" s="40"/>
      <c r="BA478" s="41"/>
      <c r="BB478" s="43"/>
      <c r="BC478" s="40"/>
      <c r="BD478" s="41"/>
      <c r="BE478" s="43"/>
      <c r="BF478" s="40"/>
      <c r="BG478" s="41"/>
      <c r="BH478" s="43"/>
      <c r="BI478" s="40"/>
      <c r="BJ478" s="41"/>
      <c r="BK478" s="42"/>
      <c r="BN478" s="45"/>
      <c r="BO478" s="46"/>
      <c r="BP478" s="47"/>
    </row>
    <row r="479" spans="1:68" ht="14.25" hidden="1" customHeight="1" outlineLevel="3" x14ac:dyDescent="0.25">
      <c r="A479" s="10" t="b">
        <f>$U460="Водоснабжение"</f>
        <v>0</v>
      </c>
      <c r="C479" s="136" t="s">
        <v>140</v>
      </c>
      <c r="D479" s="136" t="s">
        <v>141</v>
      </c>
      <c r="E479" s="116" t="s">
        <v>145</v>
      </c>
      <c r="F479" s="116" t="s">
        <v>74</v>
      </c>
      <c r="G479" s="116" t="s">
        <v>73</v>
      </c>
      <c r="H479" s="116" t="s">
        <v>73</v>
      </c>
      <c r="I479" s="116" t="s">
        <v>73</v>
      </c>
      <c r="J479" s="116" t="s">
        <v>73</v>
      </c>
      <c r="K479" s="116" t="s">
        <v>73</v>
      </c>
      <c r="L479" s="116"/>
      <c r="M479" s="5" t="str">
        <f t="array" ref="M479">Y460</f>
        <v>1ВО::1.1</v>
      </c>
      <c r="N479" s="116"/>
      <c r="Y479" s="10">
        <f>COUNT($Y477:Y478)+1</f>
        <v>3</v>
      </c>
      <c r="Z479" s="6"/>
      <c r="AA479" s="6"/>
      <c r="AB479" s="403"/>
      <c r="AC479" s="305"/>
      <c r="AD479" s="32"/>
      <c r="AE479" s="66"/>
      <c r="AF479" s="67"/>
      <c r="AG479" s="68"/>
      <c r="AH479" s="40"/>
      <c r="AI479" s="41"/>
      <c r="AJ479" s="42"/>
      <c r="AK479" s="40"/>
      <c r="AL479" s="41"/>
      <c r="AM479" s="43"/>
      <c r="AN479" s="40"/>
      <c r="AO479" s="41"/>
      <c r="AP479" s="43"/>
      <c r="AQ479" s="40"/>
      <c r="AR479" s="41"/>
      <c r="AS479" s="43"/>
      <c r="AT479" s="40"/>
      <c r="AU479" s="41"/>
      <c r="AV479" s="43"/>
      <c r="AW479" s="40"/>
      <c r="AX479" s="41"/>
      <c r="AY479" s="43"/>
      <c r="AZ479" s="40"/>
      <c r="BA479" s="41"/>
      <c r="BB479" s="43"/>
      <c r="BC479" s="40"/>
      <c r="BD479" s="41"/>
      <c r="BE479" s="43"/>
      <c r="BF479" s="40"/>
      <c r="BG479" s="41"/>
      <c r="BH479" s="43"/>
      <c r="BI479" s="40"/>
      <c r="BJ479" s="41"/>
      <c r="BK479" s="42"/>
      <c r="BN479" s="45"/>
      <c r="BO479" s="46"/>
      <c r="BP479" s="47"/>
    </row>
    <row r="480" spans="1:68" ht="14.25" hidden="1" customHeight="1" outlineLevel="3" x14ac:dyDescent="0.25">
      <c r="A480" s="10" t="b">
        <f t="array" ref="A480">A479</f>
        <v>0</v>
      </c>
      <c r="C480" s="136" t="s">
        <v>140</v>
      </c>
      <c r="D480" s="136" t="s">
        <v>141</v>
      </c>
      <c r="E480" s="116" t="s">
        <v>146</v>
      </c>
      <c r="F480" s="116" t="s">
        <v>74</v>
      </c>
      <c r="G480" s="116" t="s">
        <v>73</v>
      </c>
      <c r="H480" s="116" t="s">
        <v>73</v>
      </c>
      <c r="I480" s="116" t="s">
        <v>73</v>
      </c>
      <c r="J480" s="116" t="s">
        <v>73</v>
      </c>
      <c r="K480" s="116" t="s">
        <v>73</v>
      </c>
      <c r="L480" s="116"/>
      <c r="M480" s="5" t="str">
        <f t="array" ref="M480">Y460</f>
        <v>1ВО::1.1</v>
      </c>
      <c r="N480" s="116"/>
      <c r="Y480" s="10">
        <f>COUNT($Y477:Y479)+1</f>
        <v>4</v>
      </c>
      <c r="Z480" s="6"/>
      <c r="AA480" s="6"/>
      <c r="AB480" s="403"/>
      <c r="AC480" s="305"/>
      <c r="AD480" s="32"/>
      <c r="AE480" s="66"/>
      <c r="AF480" s="67"/>
      <c r="AG480" s="68"/>
      <c r="AH480" s="40"/>
      <c r="AI480" s="41"/>
      <c r="AJ480" s="42"/>
      <c r="AK480" s="40"/>
      <c r="AL480" s="41"/>
      <c r="AM480" s="43"/>
      <c r="AN480" s="40"/>
      <c r="AO480" s="41"/>
      <c r="AP480" s="43"/>
      <c r="AQ480" s="40"/>
      <c r="AR480" s="41"/>
      <c r="AS480" s="43"/>
      <c r="AT480" s="40"/>
      <c r="AU480" s="41"/>
      <c r="AV480" s="43"/>
      <c r="AW480" s="40"/>
      <c r="AX480" s="41"/>
      <c r="AY480" s="43"/>
      <c r="AZ480" s="40"/>
      <c r="BA480" s="41"/>
      <c r="BB480" s="43"/>
      <c r="BC480" s="40"/>
      <c r="BD480" s="41"/>
      <c r="BE480" s="43"/>
      <c r="BF480" s="40"/>
      <c r="BG480" s="41"/>
      <c r="BH480" s="43"/>
      <c r="BI480" s="40"/>
      <c r="BJ480" s="41"/>
      <c r="BK480" s="42"/>
      <c r="BN480" s="45"/>
      <c r="BO480" s="46"/>
      <c r="BP480" s="47"/>
    </row>
    <row r="481" spans="1:68" ht="14.25" hidden="1" customHeight="1" outlineLevel="3" x14ac:dyDescent="0.25">
      <c r="A481" s="10" t="b">
        <f>AND($U460="Водоснабжение",$AD$51&lt;&gt;"ФАС")</f>
        <v>0</v>
      </c>
      <c r="C481" s="136" t="s">
        <v>140</v>
      </c>
      <c r="D481" s="136" t="s">
        <v>141</v>
      </c>
      <c r="E481" s="116" t="s">
        <v>147</v>
      </c>
      <c r="F481" s="116" t="s">
        <v>74</v>
      </c>
      <c r="G481" s="116" t="s">
        <v>73</v>
      </c>
      <c r="H481" s="116" t="s">
        <v>73</v>
      </c>
      <c r="I481" s="116" t="s">
        <v>73</v>
      </c>
      <c r="J481" s="116" t="s">
        <v>73</v>
      </c>
      <c r="K481" s="116" t="s">
        <v>73</v>
      </c>
      <c r="L481" s="116"/>
      <c r="M481" s="5" t="str">
        <f t="array" ref="M481">Y460</f>
        <v>1ВО::1.1</v>
      </c>
      <c r="N481" s="116"/>
      <c r="Z481" s="6"/>
      <c r="AA481" s="6"/>
      <c r="AB481" s="403"/>
      <c r="AC481" s="413"/>
      <c r="AD481" s="32"/>
      <c r="AE481" s="66"/>
      <c r="AF481" s="67"/>
      <c r="AG481" s="68"/>
      <c r="AH481" s="40"/>
      <c r="AI481" s="41"/>
      <c r="AJ481" s="42"/>
      <c r="AK481" s="40"/>
      <c r="AL481" s="41"/>
      <c r="AM481" s="43"/>
      <c r="AN481" s="40"/>
      <c r="AO481" s="41"/>
      <c r="AP481" s="43"/>
      <c r="AQ481" s="40"/>
      <c r="AR481" s="41"/>
      <c r="AS481" s="43"/>
      <c r="AT481" s="40"/>
      <c r="AU481" s="41"/>
      <c r="AV481" s="43"/>
      <c r="AW481" s="40"/>
      <c r="AX481" s="41"/>
      <c r="AY481" s="43"/>
      <c r="AZ481" s="40"/>
      <c r="BA481" s="41"/>
      <c r="BB481" s="43"/>
      <c r="BC481" s="40"/>
      <c r="BD481" s="41"/>
      <c r="BE481" s="43"/>
      <c r="BF481" s="40"/>
      <c r="BG481" s="41"/>
      <c r="BH481" s="43"/>
      <c r="BI481" s="40"/>
      <c r="BJ481" s="41"/>
      <c r="BK481" s="42"/>
      <c r="BN481" s="45"/>
      <c r="BO481" s="46"/>
      <c r="BP481" s="47"/>
    </row>
    <row r="482" spans="1:68" ht="14.25" hidden="1" customHeight="1" outlineLevel="3" x14ac:dyDescent="0.25">
      <c r="A482" s="10" t="b">
        <f>$U460="Водоснабжение"</f>
        <v>0</v>
      </c>
      <c r="C482" s="136" t="s">
        <v>140</v>
      </c>
      <c r="D482" s="136" t="s">
        <v>141</v>
      </c>
      <c r="E482" s="116" t="s">
        <v>148</v>
      </c>
      <c r="F482" s="116" t="s">
        <v>74</v>
      </c>
      <c r="G482" s="116" t="s">
        <v>73</v>
      </c>
      <c r="H482" s="116" t="s">
        <v>73</v>
      </c>
      <c r="I482" s="116" t="s">
        <v>73</v>
      </c>
      <c r="J482" s="116" t="s">
        <v>73</v>
      </c>
      <c r="K482" s="116" t="s">
        <v>73</v>
      </c>
      <c r="L482" s="116"/>
      <c r="M482" s="5" t="str">
        <f t="array" ref="M482">Y460</f>
        <v>1ВО::1.1</v>
      </c>
      <c r="N482" s="116"/>
      <c r="Z482" s="6"/>
      <c r="AA482" s="6"/>
      <c r="AB482" s="403"/>
      <c r="AC482" s="413"/>
      <c r="AD482" s="32"/>
      <c r="AE482" s="66"/>
      <c r="AF482" s="67"/>
      <c r="AG482" s="68"/>
      <c r="AH482" s="40"/>
      <c r="AI482" s="41"/>
      <c r="AJ482" s="42"/>
      <c r="AK482" s="40"/>
      <c r="AL482" s="41"/>
      <c r="AM482" s="43"/>
      <c r="AN482" s="40"/>
      <c r="AO482" s="41"/>
      <c r="AP482" s="43"/>
      <c r="AQ482" s="40"/>
      <c r="AR482" s="41"/>
      <c r="AS482" s="43"/>
      <c r="AT482" s="40"/>
      <c r="AU482" s="41"/>
      <c r="AV482" s="43"/>
      <c r="AW482" s="40"/>
      <c r="AX482" s="41"/>
      <c r="AY482" s="43"/>
      <c r="AZ482" s="40"/>
      <c r="BA482" s="41"/>
      <c r="BB482" s="43"/>
      <c r="BC482" s="40"/>
      <c r="BD482" s="41"/>
      <c r="BE482" s="43"/>
      <c r="BF482" s="40"/>
      <c r="BG482" s="41"/>
      <c r="BH482" s="43"/>
      <c r="BI482" s="40"/>
      <c r="BJ482" s="41"/>
      <c r="BK482" s="42"/>
      <c r="BN482" s="45"/>
      <c r="BO482" s="46"/>
      <c r="BP482" s="47"/>
    </row>
    <row r="483" spans="1:68" ht="14.25" hidden="1" customHeight="1" outlineLevel="3" x14ac:dyDescent="0.25">
      <c r="A483" s="10" t="b">
        <f t="array" ref="A483">A482</f>
        <v>0</v>
      </c>
      <c r="C483" s="136" t="s">
        <v>149</v>
      </c>
      <c r="D483" s="136" t="s">
        <v>150</v>
      </c>
      <c r="E483" s="116" t="s">
        <v>73</v>
      </c>
      <c r="F483" s="116" t="s">
        <v>74</v>
      </c>
      <c r="G483" s="116" t="s">
        <v>73</v>
      </c>
      <c r="H483" s="116" t="s">
        <v>73</v>
      </c>
      <c r="I483" s="116" t="s">
        <v>73</v>
      </c>
      <c r="J483" s="116" t="s">
        <v>73</v>
      </c>
      <c r="K483" s="116" t="s">
        <v>73</v>
      </c>
      <c r="L483" s="116"/>
      <c r="M483" s="5" t="str">
        <f t="array" ref="M483">Y460</f>
        <v>1ВО::1.1</v>
      </c>
      <c r="N483" s="116"/>
      <c r="Z483" s="6"/>
      <c r="AA483" s="6"/>
      <c r="AB483" s="403"/>
      <c r="AC483" s="416"/>
      <c r="AD483" s="32"/>
      <c r="AE483" s="72"/>
      <c r="AF483" s="73"/>
      <c r="AG483" s="74"/>
      <c r="AH483" s="40"/>
      <c r="AI483" s="41"/>
      <c r="AJ483" s="42"/>
      <c r="AK483" s="40"/>
      <c r="AL483" s="41"/>
      <c r="AM483" s="43"/>
      <c r="AN483" s="40"/>
      <c r="AO483" s="41"/>
      <c r="AP483" s="43"/>
      <c r="AQ483" s="40"/>
      <c r="AR483" s="41"/>
      <c r="AS483" s="43"/>
      <c r="AT483" s="40"/>
      <c r="AU483" s="41"/>
      <c r="AV483" s="43"/>
      <c r="AW483" s="40"/>
      <c r="AX483" s="41"/>
      <c r="AY483" s="43"/>
      <c r="AZ483" s="40"/>
      <c r="BA483" s="41"/>
      <c r="BB483" s="43"/>
      <c r="BC483" s="40"/>
      <c r="BD483" s="41"/>
      <c r="BE483" s="43"/>
      <c r="BF483" s="40"/>
      <c r="BG483" s="41"/>
      <c r="BH483" s="43"/>
      <c r="BI483" s="40"/>
      <c r="BJ483" s="41"/>
      <c r="BK483" s="42"/>
      <c r="BN483" s="45"/>
      <c r="BO483" s="46"/>
      <c r="BP483" s="47"/>
    </row>
    <row r="484" spans="1:68" ht="14.25" hidden="1" customHeight="1" outlineLevel="3" x14ac:dyDescent="0.25">
      <c r="A484" s="10" t="b">
        <f t="array" ref="A484">A483</f>
        <v>0</v>
      </c>
      <c r="C484" s="136" t="s">
        <v>140</v>
      </c>
      <c r="D484" s="136" t="s">
        <v>141</v>
      </c>
      <c r="E484" s="116" t="s">
        <v>152</v>
      </c>
      <c r="F484" s="116" t="s">
        <v>74</v>
      </c>
      <c r="G484" s="116" t="s">
        <v>73</v>
      </c>
      <c r="H484" s="116" t="s">
        <v>73</v>
      </c>
      <c r="I484" s="116" t="s">
        <v>73</v>
      </c>
      <c r="J484" s="116" t="s">
        <v>73</v>
      </c>
      <c r="K484" s="116" t="s">
        <v>73</v>
      </c>
      <c r="L484" s="116"/>
      <c r="M484" s="5" t="str">
        <f t="array" ref="M484">Y460</f>
        <v>1ВО::1.1</v>
      </c>
      <c r="N484" s="116"/>
      <c r="Y484" s="10">
        <f>COUNT($Y477:Y483)+1</f>
        <v>5</v>
      </c>
      <c r="Z484" s="6"/>
      <c r="AA484" s="6"/>
      <c r="AB484" s="403"/>
      <c r="AC484" s="305"/>
      <c r="AD484" s="32"/>
      <c r="AE484" s="66"/>
      <c r="AF484" s="67"/>
      <c r="AG484" s="68"/>
      <c r="AH484" s="40"/>
      <c r="AI484" s="41"/>
      <c r="AJ484" s="42"/>
      <c r="AK484" s="40"/>
      <c r="AL484" s="41"/>
      <c r="AM484" s="43"/>
      <c r="AN484" s="40"/>
      <c r="AO484" s="41"/>
      <c r="AP484" s="43"/>
      <c r="AQ484" s="40"/>
      <c r="AR484" s="41"/>
      <c r="AS484" s="43"/>
      <c r="AT484" s="40"/>
      <c r="AU484" s="41"/>
      <c r="AV484" s="43"/>
      <c r="AW484" s="40"/>
      <c r="AX484" s="41"/>
      <c r="AY484" s="43"/>
      <c r="AZ484" s="40"/>
      <c r="BA484" s="41"/>
      <c r="BB484" s="43"/>
      <c r="BC484" s="40"/>
      <c r="BD484" s="41"/>
      <c r="BE484" s="43"/>
      <c r="BF484" s="40"/>
      <c r="BG484" s="41"/>
      <c r="BH484" s="43"/>
      <c r="BI484" s="40"/>
      <c r="BJ484" s="41"/>
      <c r="BK484" s="42"/>
      <c r="BN484" s="45"/>
      <c r="BO484" s="46"/>
      <c r="BP484" s="47"/>
    </row>
    <row r="485" spans="1:68" ht="14.25" hidden="1" customHeight="1" outlineLevel="3" x14ac:dyDescent="0.25">
      <c r="A485" s="10" t="b">
        <f t="array" ref="A485">A484</f>
        <v>0</v>
      </c>
      <c r="C485" s="136" t="s">
        <v>140</v>
      </c>
      <c r="D485" s="136" t="s">
        <v>141</v>
      </c>
      <c r="E485" s="116" t="s">
        <v>154</v>
      </c>
      <c r="F485" s="116" t="s">
        <v>74</v>
      </c>
      <c r="G485" s="116" t="s">
        <v>73</v>
      </c>
      <c r="H485" s="116" t="s">
        <v>73</v>
      </c>
      <c r="I485" s="116" t="s">
        <v>73</v>
      </c>
      <c r="J485" s="116" t="s">
        <v>73</v>
      </c>
      <c r="K485" s="116" t="s">
        <v>73</v>
      </c>
      <c r="L485" s="116"/>
      <c r="M485" s="5" t="str">
        <f t="array" ref="M485">Y460</f>
        <v>1ВО::1.1</v>
      </c>
      <c r="N485" s="116"/>
      <c r="Z485" s="6"/>
      <c r="AA485" s="6"/>
      <c r="AB485" s="403"/>
      <c r="AC485" s="413"/>
      <c r="AD485" s="32"/>
      <c r="AE485" s="66"/>
      <c r="AF485" s="67"/>
      <c r="AG485" s="68"/>
      <c r="AH485" s="40"/>
      <c r="AI485" s="41"/>
      <c r="AJ485" s="42"/>
      <c r="AK485" s="40"/>
      <c r="AL485" s="41"/>
      <c r="AM485" s="43"/>
      <c r="AN485" s="40"/>
      <c r="AO485" s="41"/>
      <c r="AP485" s="43"/>
      <c r="AQ485" s="40"/>
      <c r="AR485" s="41"/>
      <c r="AS485" s="43"/>
      <c r="AT485" s="40"/>
      <c r="AU485" s="41"/>
      <c r="AV485" s="43"/>
      <c r="AW485" s="40"/>
      <c r="AX485" s="41"/>
      <c r="AY485" s="43"/>
      <c r="AZ485" s="40"/>
      <c r="BA485" s="41"/>
      <c r="BB485" s="43"/>
      <c r="BC485" s="40"/>
      <c r="BD485" s="41"/>
      <c r="BE485" s="43"/>
      <c r="BF485" s="40"/>
      <c r="BG485" s="41"/>
      <c r="BH485" s="43"/>
      <c r="BI485" s="40"/>
      <c r="BJ485" s="41"/>
      <c r="BK485" s="42"/>
      <c r="BN485" s="45"/>
      <c r="BO485" s="46"/>
      <c r="BP485" s="47"/>
    </row>
    <row r="486" spans="1:68" ht="14.25" hidden="1" customHeight="1" outlineLevel="3" x14ac:dyDescent="0.25">
      <c r="A486" s="10" t="b">
        <f t="array" ref="A486">A485</f>
        <v>0</v>
      </c>
      <c r="C486" s="136" t="s">
        <v>140</v>
      </c>
      <c r="D486" s="136" t="s">
        <v>141</v>
      </c>
      <c r="E486" s="116" t="s">
        <v>156</v>
      </c>
      <c r="F486" s="116" t="s">
        <v>74</v>
      </c>
      <c r="G486" s="116" t="s">
        <v>73</v>
      </c>
      <c r="H486" s="116" t="s">
        <v>73</v>
      </c>
      <c r="I486" s="116" t="s">
        <v>73</v>
      </c>
      <c r="J486" s="116" t="s">
        <v>73</v>
      </c>
      <c r="K486" s="116" t="s">
        <v>73</v>
      </c>
      <c r="L486" s="116"/>
      <c r="M486" s="5" t="str">
        <f t="array" ref="M486">Y460</f>
        <v>1ВО::1.1</v>
      </c>
      <c r="N486" s="116"/>
      <c r="Z486" s="6"/>
      <c r="AA486" s="6"/>
      <c r="AB486" s="403"/>
      <c r="AC486" s="413"/>
      <c r="AD486" s="32"/>
      <c r="AE486" s="66"/>
      <c r="AF486" s="67"/>
      <c r="AG486" s="68"/>
      <c r="AH486" s="40"/>
      <c r="AI486" s="41"/>
      <c r="AJ486" s="42"/>
      <c r="AK486" s="40"/>
      <c r="AL486" s="41"/>
      <c r="AM486" s="43"/>
      <c r="AN486" s="40"/>
      <c r="AO486" s="41"/>
      <c r="AP486" s="43"/>
      <c r="AQ486" s="40"/>
      <c r="AR486" s="41"/>
      <c r="AS486" s="43"/>
      <c r="AT486" s="40"/>
      <c r="AU486" s="41"/>
      <c r="AV486" s="43"/>
      <c r="AW486" s="40"/>
      <c r="AX486" s="41"/>
      <c r="AY486" s="43"/>
      <c r="AZ486" s="40"/>
      <c r="BA486" s="41"/>
      <c r="BB486" s="43"/>
      <c r="BC486" s="40"/>
      <c r="BD486" s="41"/>
      <c r="BE486" s="43"/>
      <c r="BF486" s="40"/>
      <c r="BG486" s="41"/>
      <c r="BH486" s="43"/>
      <c r="BI486" s="40"/>
      <c r="BJ486" s="41"/>
      <c r="BK486" s="42"/>
      <c r="BN486" s="45"/>
      <c r="BO486" s="46"/>
      <c r="BP486" s="47"/>
    </row>
    <row r="487" spans="1:68" ht="14.25" hidden="1" customHeight="1" outlineLevel="3" x14ac:dyDescent="0.25">
      <c r="A487" s="10" t="b">
        <f t="array" ref="A487">A486</f>
        <v>0</v>
      </c>
      <c r="C487" s="136" t="s">
        <v>140</v>
      </c>
      <c r="D487" s="136" t="s">
        <v>141</v>
      </c>
      <c r="E487" s="116" t="s">
        <v>158</v>
      </c>
      <c r="F487" s="116" t="s">
        <v>74</v>
      </c>
      <c r="G487" s="116" t="s">
        <v>73</v>
      </c>
      <c r="H487" s="116" t="s">
        <v>73</v>
      </c>
      <c r="I487" s="116" t="s">
        <v>73</v>
      </c>
      <c r="J487" s="116" t="s">
        <v>73</v>
      </c>
      <c r="K487" s="116" t="s">
        <v>73</v>
      </c>
      <c r="L487" s="116"/>
      <c r="M487" s="5" t="str">
        <f t="array" ref="M487">Y460</f>
        <v>1ВО::1.1</v>
      </c>
      <c r="N487" s="116"/>
      <c r="Z487" s="6"/>
      <c r="AA487" s="6"/>
      <c r="AB487" s="403"/>
      <c r="AC487" s="414"/>
      <c r="AD487" s="32"/>
      <c r="AE487" s="66"/>
      <c r="AF487" s="67"/>
      <c r="AG487" s="68"/>
      <c r="AH487" s="40"/>
      <c r="AI487" s="41"/>
      <c r="AJ487" s="42"/>
      <c r="AK487" s="40"/>
      <c r="AL487" s="41"/>
      <c r="AM487" s="43"/>
      <c r="AN487" s="40"/>
      <c r="AO487" s="41"/>
      <c r="AP487" s="43"/>
      <c r="AQ487" s="40"/>
      <c r="AR487" s="41"/>
      <c r="AS487" s="43"/>
      <c r="AT487" s="40"/>
      <c r="AU487" s="41"/>
      <c r="AV487" s="43"/>
      <c r="AW487" s="40"/>
      <c r="AX487" s="41"/>
      <c r="AY487" s="43"/>
      <c r="AZ487" s="40"/>
      <c r="BA487" s="41"/>
      <c r="BB487" s="43"/>
      <c r="BC487" s="40"/>
      <c r="BD487" s="41"/>
      <c r="BE487" s="43"/>
      <c r="BF487" s="40"/>
      <c r="BG487" s="41"/>
      <c r="BH487" s="43"/>
      <c r="BI487" s="40"/>
      <c r="BJ487" s="41"/>
      <c r="BK487" s="42"/>
      <c r="BN487" s="45"/>
      <c r="BO487" s="46"/>
      <c r="BP487" s="47"/>
    </row>
    <row r="488" spans="1:68" ht="14.25" hidden="1" customHeight="1" outlineLevel="3" x14ac:dyDescent="0.25">
      <c r="A488" s="10" t="b">
        <f t="array" ref="A488">A487</f>
        <v>0</v>
      </c>
      <c r="C488" s="136" t="s">
        <v>140</v>
      </c>
      <c r="D488" s="136" t="s">
        <v>141</v>
      </c>
      <c r="E488" s="116" t="s">
        <v>160</v>
      </c>
      <c r="F488" s="116" t="s">
        <v>74</v>
      </c>
      <c r="G488" s="116" t="s">
        <v>73</v>
      </c>
      <c r="H488" s="116" t="s">
        <v>73</v>
      </c>
      <c r="I488" s="116" t="s">
        <v>73</v>
      </c>
      <c r="J488" s="116" t="s">
        <v>73</v>
      </c>
      <c r="K488" s="116" t="s">
        <v>73</v>
      </c>
      <c r="L488" s="116"/>
      <c r="M488" s="5" t="str">
        <f t="array" ref="M488">Y460</f>
        <v>1ВО::1.1</v>
      </c>
      <c r="N488" s="116"/>
      <c r="Z488" s="6"/>
      <c r="AA488" s="6"/>
      <c r="AB488" s="403"/>
      <c r="AC488" s="414"/>
      <c r="AD488" s="32"/>
      <c r="AE488" s="66"/>
      <c r="AF488" s="67"/>
      <c r="AG488" s="68"/>
      <c r="AH488" s="40"/>
      <c r="AI488" s="41"/>
      <c r="AJ488" s="42"/>
      <c r="AK488" s="40"/>
      <c r="AL488" s="41"/>
      <c r="AM488" s="43"/>
      <c r="AN488" s="40"/>
      <c r="AO488" s="41"/>
      <c r="AP488" s="43"/>
      <c r="AQ488" s="40"/>
      <c r="AR488" s="41"/>
      <c r="AS488" s="43"/>
      <c r="AT488" s="40"/>
      <c r="AU488" s="41"/>
      <c r="AV488" s="43"/>
      <c r="AW488" s="40"/>
      <c r="AX488" s="41"/>
      <c r="AY488" s="43"/>
      <c r="AZ488" s="40"/>
      <c r="BA488" s="41"/>
      <c r="BB488" s="43"/>
      <c r="BC488" s="40"/>
      <c r="BD488" s="41"/>
      <c r="BE488" s="43"/>
      <c r="BF488" s="40"/>
      <c r="BG488" s="41"/>
      <c r="BH488" s="43"/>
      <c r="BI488" s="40"/>
      <c r="BJ488" s="41"/>
      <c r="BK488" s="42"/>
      <c r="BN488" s="45"/>
      <c r="BO488" s="46"/>
      <c r="BP488" s="47"/>
    </row>
    <row r="489" spans="1:68" ht="14.25" hidden="1" customHeight="1" outlineLevel="3" x14ac:dyDescent="0.25">
      <c r="A489" s="10" t="b">
        <f t="array" ref="A489">A488</f>
        <v>0</v>
      </c>
      <c r="C489" s="136" t="s">
        <v>140</v>
      </c>
      <c r="D489" s="136" t="s">
        <v>141</v>
      </c>
      <c r="E489" s="116" t="s">
        <v>162</v>
      </c>
      <c r="F489" s="116" t="s">
        <v>74</v>
      </c>
      <c r="G489" s="116" t="s">
        <v>73</v>
      </c>
      <c r="H489" s="116" t="s">
        <v>73</v>
      </c>
      <c r="I489" s="116" t="s">
        <v>73</v>
      </c>
      <c r="J489" s="116" t="s">
        <v>73</v>
      </c>
      <c r="K489" s="116" t="s">
        <v>73</v>
      </c>
      <c r="L489" s="116"/>
      <c r="M489" s="5" t="str">
        <f t="array" ref="M489">Y460</f>
        <v>1ВО::1.1</v>
      </c>
      <c r="N489" s="116"/>
      <c r="Z489" s="6"/>
      <c r="AA489" s="6"/>
      <c r="AB489" s="403"/>
      <c r="AC489" s="414"/>
      <c r="AD489" s="32"/>
      <c r="AE489" s="66"/>
      <c r="AF489" s="67"/>
      <c r="AG489" s="68"/>
      <c r="AH489" s="40"/>
      <c r="AI489" s="41"/>
      <c r="AJ489" s="42"/>
      <c r="AK489" s="40"/>
      <c r="AL489" s="41"/>
      <c r="AM489" s="43"/>
      <c r="AN489" s="40"/>
      <c r="AO489" s="41"/>
      <c r="AP489" s="43"/>
      <c r="AQ489" s="40"/>
      <c r="AR489" s="41"/>
      <c r="AS489" s="43"/>
      <c r="AT489" s="40"/>
      <c r="AU489" s="41"/>
      <c r="AV489" s="43"/>
      <c r="AW489" s="40"/>
      <c r="AX489" s="41"/>
      <c r="AY489" s="43"/>
      <c r="AZ489" s="40"/>
      <c r="BA489" s="41"/>
      <c r="BB489" s="43"/>
      <c r="BC489" s="40"/>
      <c r="BD489" s="41"/>
      <c r="BE489" s="43"/>
      <c r="BF489" s="40"/>
      <c r="BG489" s="41"/>
      <c r="BH489" s="43"/>
      <c r="BI489" s="40"/>
      <c r="BJ489" s="41"/>
      <c r="BK489" s="42"/>
      <c r="BN489" s="45"/>
      <c r="BO489" s="46"/>
      <c r="BP489" s="47"/>
    </row>
    <row r="490" spans="1:68" ht="14.25" hidden="1" customHeight="1" outlineLevel="3" x14ac:dyDescent="0.25">
      <c r="A490" s="10" t="b">
        <f t="array" ref="A490">A489</f>
        <v>0</v>
      </c>
      <c r="C490" s="136" t="s">
        <v>140</v>
      </c>
      <c r="D490" s="136" t="s">
        <v>141</v>
      </c>
      <c r="E490" s="116" t="s">
        <v>164</v>
      </c>
      <c r="F490" s="116" t="s">
        <v>74</v>
      </c>
      <c r="G490" s="116" t="s">
        <v>73</v>
      </c>
      <c r="H490" s="116" t="s">
        <v>73</v>
      </c>
      <c r="I490" s="116" t="s">
        <v>73</v>
      </c>
      <c r="J490" s="116" t="s">
        <v>73</v>
      </c>
      <c r="K490" s="116" t="s">
        <v>73</v>
      </c>
      <c r="L490" s="116"/>
      <c r="M490" s="5" t="str">
        <f t="array" ref="M490">Y460</f>
        <v>1ВО::1.1</v>
      </c>
      <c r="N490" s="116"/>
      <c r="Z490" s="6"/>
      <c r="AA490" s="6"/>
      <c r="AB490" s="403"/>
      <c r="AC490" s="414"/>
      <c r="AD490" s="32"/>
      <c r="AE490" s="66"/>
      <c r="AF490" s="67"/>
      <c r="AG490" s="68"/>
      <c r="AH490" s="40"/>
      <c r="AI490" s="41"/>
      <c r="AJ490" s="42"/>
      <c r="AK490" s="40"/>
      <c r="AL490" s="41"/>
      <c r="AM490" s="43"/>
      <c r="AN490" s="40"/>
      <c r="AO490" s="41"/>
      <c r="AP490" s="43"/>
      <c r="AQ490" s="40"/>
      <c r="AR490" s="41"/>
      <c r="AS490" s="43"/>
      <c r="AT490" s="40"/>
      <c r="AU490" s="41"/>
      <c r="AV490" s="43"/>
      <c r="AW490" s="40"/>
      <c r="AX490" s="41"/>
      <c r="AY490" s="43"/>
      <c r="AZ490" s="40"/>
      <c r="BA490" s="41"/>
      <c r="BB490" s="43"/>
      <c r="BC490" s="40"/>
      <c r="BD490" s="41"/>
      <c r="BE490" s="43"/>
      <c r="BF490" s="40"/>
      <c r="BG490" s="41"/>
      <c r="BH490" s="43"/>
      <c r="BI490" s="40"/>
      <c r="BJ490" s="41"/>
      <c r="BK490" s="42"/>
      <c r="BN490" s="45"/>
      <c r="BO490" s="46"/>
      <c r="BP490" s="47"/>
    </row>
    <row r="491" spans="1:68" s="115" customFormat="1" ht="18" customHeight="1" x14ac:dyDescent="0.25">
      <c r="A491" s="99" t="b">
        <f>$U460="Водоотведение"</f>
        <v>1</v>
      </c>
      <c r="B491" s="100"/>
      <c r="C491" s="100" t="s">
        <v>166</v>
      </c>
      <c r="D491" s="100" t="s">
        <v>167</v>
      </c>
      <c r="E491" s="417" t="s">
        <v>73</v>
      </c>
      <c r="F491" s="129" t="s">
        <v>74</v>
      </c>
      <c r="G491" s="129" t="s">
        <v>73</v>
      </c>
      <c r="H491" s="129" t="s">
        <v>73</v>
      </c>
      <c r="I491" s="129" t="s">
        <v>73</v>
      </c>
      <c r="J491" s="129" t="s">
        <v>73</v>
      </c>
      <c r="K491" s="129" t="s">
        <v>73</v>
      </c>
      <c r="L491" s="129"/>
      <c r="M491" s="100" t="str">
        <f t="array" ref="M491">Y460</f>
        <v>1ВО::1.1</v>
      </c>
      <c r="N491" s="100"/>
      <c r="O491" s="100"/>
      <c r="P491" s="100"/>
      <c r="Q491" s="100"/>
      <c r="R491" s="100"/>
      <c r="S491" s="100"/>
      <c r="T491" s="100"/>
      <c r="U491" s="100"/>
      <c r="V491" s="100"/>
      <c r="W491" s="100"/>
      <c r="X491" s="100"/>
      <c r="Y491" s="100"/>
      <c r="Z491" s="100"/>
      <c r="AA491" s="100"/>
      <c r="AB491" s="418">
        <f>AB463+1</f>
        <v>2</v>
      </c>
      <c r="AC491" s="419" t="s">
        <v>167</v>
      </c>
      <c r="AD491" s="420" t="s">
        <v>137</v>
      </c>
      <c r="AE491" s="106">
        <f t="array" ref="AE491">AE496</f>
        <v>39009.819000000003</v>
      </c>
      <c r="AF491" s="107">
        <f t="array" ref="AF491">AF496</f>
        <v>37611.42</v>
      </c>
      <c r="AG491" s="108">
        <f t="array" ref="AG491">AG496</f>
        <v>39611.031000000003</v>
      </c>
      <c r="AH491" s="106">
        <f t="array" ref="AH491">AH496</f>
        <v>43.262</v>
      </c>
      <c r="AI491" s="107">
        <f t="array" ref="AI491">AI496</f>
        <v>123.72</v>
      </c>
      <c r="AJ491" s="108">
        <f t="array" ref="AJ491">AJ496</f>
        <v>47.469000000000001</v>
      </c>
      <c r="AK491" s="106"/>
      <c r="AL491" s="107"/>
      <c r="AM491" s="109"/>
      <c r="AN491" s="106">
        <f t="array" ref="AN491">AN496</f>
        <v>202.97</v>
      </c>
      <c r="AO491" s="107">
        <f t="array" ref="AO491">AO496</f>
        <v>236.79</v>
      </c>
      <c r="AP491" s="109">
        <f t="array" ref="AP491">AP496</f>
        <v>199</v>
      </c>
      <c r="AQ491" s="106">
        <f t="array" ref="AQ491">AQ496</f>
        <v>502.17</v>
      </c>
      <c r="AR491" s="107">
        <f t="array" ref="AR491">AR496</f>
        <v>438.95</v>
      </c>
      <c r="AS491" s="109">
        <f t="array" ref="AS491">AS496</f>
        <v>482.28</v>
      </c>
      <c r="AT491" s="106">
        <f t="array" ref="AT491">AT496</f>
        <v>274.77999999999997</v>
      </c>
      <c r="AU491" s="107">
        <f t="array" ref="AU491">AU496</f>
        <v>319.74</v>
      </c>
      <c r="AV491" s="109">
        <f t="array" ref="AV491">AV496</f>
        <v>250</v>
      </c>
      <c r="AW491" s="106">
        <f t="array" ref="AW491">AW496</f>
        <v>269.49</v>
      </c>
      <c r="AX491" s="107">
        <f t="array" ref="AX491">AX496</f>
        <v>313.95999999999998</v>
      </c>
      <c r="AY491" s="109">
        <f t="array" ref="AY491">AY496</f>
        <v>269.49</v>
      </c>
      <c r="AZ491" s="106">
        <f t="array" ref="AZ491">AZ496</f>
        <v>2480.741</v>
      </c>
      <c r="BA491" s="107">
        <f t="array" ref="BA491">BA496</f>
        <v>2107.4699999999998</v>
      </c>
      <c r="BB491" s="109">
        <f t="array" ref="BB491">BB496</f>
        <v>2543.17</v>
      </c>
      <c r="BC491" s="106">
        <f t="array" ref="BC491">BC496</f>
        <v>2636.1909999999998</v>
      </c>
      <c r="BD491" s="107">
        <f t="array" ref="BD491">BD496</f>
        <v>399.23599999999999</v>
      </c>
      <c r="BE491" s="109">
        <f t="array" ref="BE491">BE496</f>
        <v>2642.37</v>
      </c>
      <c r="BF491" s="106">
        <f t="array" ref="BF491">BF496</f>
        <v>80.02</v>
      </c>
      <c r="BG491" s="107">
        <f t="array" ref="BG491">BG496</f>
        <v>89.34</v>
      </c>
      <c r="BH491" s="109">
        <f t="array" ref="BH491">BH496</f>
        <v>81.542000000000002</v>
      </c>
      <c r="BI491" s="106">
        <f t="array" ref="BI491">BI496</f>
        <v>243.79</v>
      </c>
      <c r="BJ491" s="107">
        <f t="array" ref="BJ491">BJ496</f>
        <v>300.23</v>
      </c>
      <c r="BK491" s="108">
        <f t="array" ref="BK491">BK496</f>
        <v>252.55</v>
      </c>
      <c r="BL491" s="111"/>
      <c r="BM491" s="100"/>
      <c r="BN491" s="112">
        <f t="shared" ref="BN491:BN519" si="84">AE491+AH491+AK491+AN491+AQ491+AT491+AW491+AZ491+BC491+BF491+BI491</f>
        <v>45743.233</v>
      </c>
      <c r="BO491" s="113">
        <f t="shared" ref="BO491:BO519" si="85">AF491+AI491+AL491+AO491+AR491+AU491+AX491+BA491+BD491+BG491+BJ491</f>
        <v>41940.855999999992</v>
      </c>
      <c r="BP491" s="114">
        <f t="shared" ref="BP491:BP519" si="86">AG491+AJ491+AM491+AP491+AS491+AV491+AY491+BB491+BE491+BH491+BK491</f>
        <v>46378.902000000002</v>
      </c>
    </row>
    <row r="492" spans="1:68" ht="14.25" customHeight="1" outlineLevel="2" x14ac:dyDescent="0.25">
      <c r="A492" s="10" t="b">
        <f>AND(A491)</f>
        <v>1</v>
      </c>
      <c r="B492" s="5" t="b">
        <f>AND(OR(isFIRST_PERIOD="да",$AD$56="нет"),A491)</f>
        <v>1</v>
      </c>
      <c r="C492" s="8" t="s">
        <v>168</v>
      </c>
      <c r="D492" s="152" t="s">
        <v>169</v>
      </c>
      <c r="E492" s="8" t="s">
        <v>73</v>
      </c>
      <c r="F492" s="8" t="s">
        <v>74</v>
      </c>
      <c r="G492" s="8" t="s">
        <v>73</v>
      </c>
      <c r="H492" s="8" t="s">
        <v>73</v>
      </c>
      <c r="I492" s="8" t="s">
        <v>73</v>
      </c>
      <c r="J492" s="8" t="s">
        <v>73</v>
      </c>
      <c r="K492" s="8" t="s">
        <v>73</v>
      </c>
      <c r="L492" s="8"/>
      <c r="M492" s="5" t="str">
        <f t="array" ref="M492">Y460</f>
        <v>1ВО::1.1</v>
      </c>
      <c r="N492" s="4"/>
      <c r="AB492" s="403" t="str">
        <f>AB491&amp;".I"</f>
        <v>2.I</v>
      </c>
      <c r="AC492" s="421" t="s">
        <v>138</v>
      </c>
      <c r="AD492" s="422" t="s">
        <v>137</v>
      </c>
      <c r="AE492" s="66">
        <v>19504.909</v>
      </c>
      <c r="AF492" s="67">
        <v>19033.146000000001</v>
      </c>
      <c r="AG492" s="68">
        <v>19805.516</v>
      </c>
      <c r="AH492" s="66">
        <f>AH491/2</f>
        <v>21.631</v>
      </c>
      <c r="AI492" s="67">
        <f>AI491/2</f>
        <v>61.86</v>
      </c>
      <c r="AJ492" s="68">
        <f>AJ491/2</f>
        <v>23.734500000000001</v>
      </c>
      <c r="AK492" s="66"/>
      <c r="AL492" s="67"/>
      <c r="AM492" s="119"/>
      <c r="AN492" s="66">
        <v>101.485</v>
      </c>
      <c r="AO492" s="67">
        <v>125.5</v>
      </c>
      <c r="AP492" s="119">
        <v>99.5</v>
      </c>
      <c r="AQ492" s="66">
        <v>251.08500000000001</v>
      </c>
      <c r="AR492" s="67">
        <v>219.47499999999999</v>
      </c>
      <c r="AS492" s="119">
        <v>241.14</v>
      </c>
      <c r="AT492" s="66">
        <v>137.38999999999999</v>
      </c>
      <c r="AU492" s="67">
        <v>159.87</v>
      </c>
      <c r="AV492" s="119">
        <v>125</v>
      </c>
      <c r="AW492" s="66">
        <v>134.745</v>
      </c>
      <c r="AX492" s="67">
        <f>AX491/2</f>
        <v>156.97999999999999</v>
      </c>
      <c r="AY492" s="119">
        <v>134.745</v>
      </c>
      <c r="AZ492" s="66">
        <f>AZ491/2</f>
        <v>1240.3705</v>
      </c>
      <c r="BA492" s="67">
        <f>BA491/2</f>
        <v>1053.7349999999999</v>
      </c>
      <c r="BB492" s="119">
        <f>BB491/2</f>
        <v>1271.585</v>
      </c>
      <c r="BC492" s="66">
        <v>1318.096</v>
      </c>
      <c r="BD492" s="67">
        <v>199.61799999999999</v>
      </c>
      <c r="BE492" s="119">
        <v>1321.1849999999999</v>
      </c>
      <c r="BF492" s="123">
        <v>40.01</v>
      </c>
      <c r="BG492" s="121">
        <v>42.218000000000004</v>
      </c>
      <c r="BH492" s="122">
        <v>40.771000000000001</v>
      </c>
      <c r="BI492" s="123">
        <v>121.895</v>
      </c>
      <c r="BJ492" s="121">
        <v>142.53299999999999</v>
      </c>
      <c r="BK492" s="124">
        <v>126.27500000000001</v>
      </c>
      <c r="BN492" s="125">
        <f t="shared" si="84"/>
        <v>22871.6165</v>
      </c>
      <c r="BO492" s="126">
        <f t="shared" si="85"/>
        <v>21194.934999999998</v>
      </c>
      <c r="BP492" s="127">
        <f t="shared" si="86"/>
        <v>23189.451499999999</v>
      </c>
    </row>
    <row r="493" spans="1:68" ht="14.25" customHeight="1" outlineLevel="2" x14ac:dyDescent="0.25">
      <c r="A493" s="10" t="b">
        <f>AND(A491)</f>
        <v>1</v>
      </c>
      <c r="B493" s="5" t="b">
        <f>AND(OR(isFIRST_PERIOD="да",$AD$56="нет"),A491)</f>
        <v>1</v>
      </c>
      <c r="C493" s="8" t="s">
        <v>170</v>
      </c>
      <c r="D493" s="152" t="s">
        <v>171</v>
      </c>
      <c r="E493" s="8" t="s">
        <v>73</v>
      </c>
      <c r="F493" s="8" t="s">
        <v>74</v>
      </c>
      <c r="G493" s="8" t="s">
        <v>73</v>
      </c>
      <c r="H493" s="8" t="s">
        <v>73</v>
      </c>
      <c r="I493" s="8" t="s">
        <v>73</v>
      </c>
      <c r="J493" s="8" t="s">
        <v>73</v>
      </c>
      <c r="K493" s="8" t="s">
        <v>73</v>
      </c>
      <c r="L493" s="8"/>
      <c r="M493" s="5" t="str">
        <f t="array" ref="M493">Y460</f>
        <v>1ВО::1.1</v>
      </c>
      <c r="N493" s="4"/>
      <c r="AB493" s="403" t="str">
        <f>AB491&amp;".II"</f>
        <v>2.II</v>
      </c>
      <c r="AC493" s="421" t="s">
        <v>139</v>
      </c>
      <c r="AD493" s="422" t="s">
        <v>137</v>
      </c>
      <c r="AE493" s="66">
        <v>19504.909</v>
      </c>
      <c r="AF493" s="67">
        <v>18578.274000000001</v>
      </c>
      <c r="AG493" s="68">
        <v>19805.516</v>
      </c>
      <c r="AH493" s="66">
        <f>AH491-AH492</f>
        <v>21.631</v>
      </c>
      <c r="AI493" s="67">
        <f>AI491-AI492</f>
        <v>61.86</v>
      </c>
      <c r="AJ493" s="68">
        <f>AJ491-AJ492</f>
        <v>23.734500000000001</v>
      </c>
      <c r="AK493" s="66"/>
      <c r="AL493" s="67"/>
      <c r="AM493" s="119"/>
      <c r="AN493" s="66">
        <v>101.485</v>
      </c>
      <c r="AO493" s="67">
        <v>111.29</v>
      </c>
      <c r="AP493" s="119">
        <v>99.5</v>
      </c>
      <c r="AQ493" s="66">
        <v>251.08500000000001</v>
      </c>
      <c r="AR493" s="67">
        <v>219.47499999999999</v>
      </c>
      <c r="AS493" s="119">
        <v>241.14</v>
      </c>
      <c r="AT493" s="66">
        <v>137.38999999999999</v>
      </c>
      <c r="AU493" s="67">
        <v>159.87</v>
      </c>
      <c r="AV493" s="119">
        <v>125</v>
      </c>
      <c r="AW493" s="66">
        <v>134.745</v>
      </c>
      <c r="AX493" s="67">
        <f>AX491-AX492</f>
        <v>156.97999999999999</v>
      </c>
      <c r="AY493" s="119">
        <v>134.745</v>
      </c>
      <c r="AZ493" s="66">
        <f>AZ491-AZ492</f>
        <v>1240.3705</v>
      </c>
      <c r="BA493" s="67">
        <f>BA491-BA492</f>
        <v>1053.7349999999999</v>
      </c>
      <c r="BB493" s="119">
        <f>BB491-BB492</f>
        <v>1271.585</v>
      </c>
      <c r="BC493" s="66">
        <v>1318.096</v>
      </c>
      <c r="BD493" s="67">
        <v>199.61799999999999</v>
      </c>
      <c r="BE493" s="119">
        <v>1321.1849999999999</v>
      </c>
      <c r="BF493" s="123">
        <v>40.01</v>
      </c>
      <c r="BG493" s="121">
        <v>47.122999999999998</v>
      </c>
      <c r="BH493" s="122">
        <v>40.771000000000001</v>
      </c>
      <c r="BI493" s="123">
        <v>121.895</v>
      </c>
      <c r="BJ493" s="121">
        <v>157.697</v>
      </c>
      <c r="BK493" s="124">
        <v>126.27500000000001</v>
      </c>
      <c r="BN493" s="125">
        <f t="shared" si="84"/>
        <v>22871.6165</v>
      </c>
      <c r="BO493" s="126">
        <f t="shared" si="85"/>
        <v>20745.921999999999</v>
      </c>
      <c r="BP493" s="127">
        <f t="shared" si="86"/>
        <v>23189.451499999999</v>
      </c>
    </row>
    <row r="494" spans="1:68" ht="14.25" hidden="1" customHeight="1" outlineLevel="3" x14ac:dyDescent="0.25">
      <c r="A494" s="10" t="b">
        <f>AND(A491,region_name="Республика Татарстан")</f>
        <v>0</v>
      </c>
      <c r="C494" s="8" t="s">
        <v>140</v>
      </c>
      <c r="D494" s="8" t="s">
        <v>141</v>
      </c>
      <c r="E494" s="8" t="s">
        <v>172</v>
      </c>
      <c r="F494" s="8" t="s">
        <v>74</v>
      </c>
      <c r="G494" s="8" t="s">
        <v>73</v>
      </c>
      <c r="H494" s="8" t="s">
        <v>73</v>
      </c>
      <c r="I494" s="8" t="s">
        <v>73</v>
      </c>
      <c r="J494" s="8" t="s">
        <v>73</v>
      </c>
      <c r="K494" s="8" t="s">
        <v>73</v>
      </c>
      <c r="L494" s="8"/>
      <c r="M494" s="5" t="str">
        <f t="array" ref="M494">Y460</f>
        <v>1ВО::1.1</v>
      </c>
      <c r="N494" s="4"/>
      <c r="Z494" s="6"/>
      <c r="AA494" s="6"/>
      <c r="AB494" s="403"/>
      <c r="AC494" s="305"/>
      <c r="AD494" s="422"/>
      <c r="AE494" s="66"/>
      <c r="AF494" s="67"/>
      <c r="AG494" s="68"/>
      <c r="AH494" s="66"/>
      <c r="AI494" s="67"/>
      <c r="AJ494" s="68"/>
      <c r="AK494" s="66"/>
      <c r="AL494" s="67"/>
      <c r="AM494" s="119"/>
      <c r="AN494" s="66"/>
      <c r="AO494" s="67"/>
      <c r="AP494" s="119"/>
      <c r="AQ494" s="66"/>
      <c r="AR494" s="67"/>
      <c r="AS494" s="119"/>
      <c r="AT494" s="66"/>
      <c r="AU494" s="67"/>
      <c r="AV494" s="119"/>
      <c r="AW494" s="66"/>
      <c r="AX494" s="67"/>
      <c r="AY494" s="119"/>
      <c r="AZ494" s="66"/>
      <c r="BA494" s="67"/>
      <c r="BB494" s="119"/>
      <c r="BC494" s="66"/>
      <c r="BD494" s="67"/>
      <c r="BE494" s="119"/>
      <c r="BF494" s="123"/>
      <c r="BG494" s="121"/>
      <c r="BH494" s="122"/>
      <c r="BI494" s="123"/>
      <c r="BJ494" s="121"/>
      <c r="BK494" s="124"/>
      <c r="BN494" s="125">
        <f t="shared" si="84"/>
        <v>0</v>
      </c>
      <c r="BO494" s="126">
        <f t="shared" si="85"/>
        <v>0</v>
      </c>
      <c r="BP494" s="127">
        <f t="shared" si="86"/>
        <v>0</v>
      </c>
    </row>
    <row r="495" spans="1:68" ht="14.25" hidden="1" customHeight="1" outlineLevel="3" x14ac:dyDescent="0.25">
      <c r="A495" s="10" t="b">
        <f>AND(A491,region_name="Республика Татарстан")</f>
        <v>0</v>
      </c>
      <c r="C495" s="8" t="s">
        <v>140</v>
      </c>
      <c r="D495" s="8" t="s">
        <v>141</v>
      </c>
      <c r="E495" s="8" t="s">
        <v>173</v>
      </c>
      <c r="F495" s="8" t="s">
        <v>74</v>
      </c>
      <c r="G495" s="8" t="s">
        <v>73</v>
      </c>
      <c r="H495" s="8" t="s">
        <v>73</v>
      </c>
      <c r="I495" s="8" t="s">
        <v>73</v>
      </c>
      <c r="J495" s="8" t="s">
        <v>73</v>
      </c>
      <c r="K495" s="8" t="s">
        <v>73</v>
      </c>
      <c r="L495" s="8"/>
      <c r="M495" s="5" t="str">
        <f t="array" ref="M495">Y460</f>
        <v>1ВО::1.1</v>
      </c>
      <c r="N495" s="4"/>
      <c r="Z495" s="6"/>
      <c r="AA495" s="6"/>
      <c r="AB495" s="403"/>
      <c r="AC495" s="413"/>
      <c r="AD495" s="422"/>
      <c r="AE495" s="66"/>
      <c r="AF495" s="67"/>
      <c r="AG495" s="68"/>
      <c r="AH495" s="66"/>
      <c r="AI495" s="67"/>
      <c r="AJ495" s="68"/>
      <c r="AK495" s="66"/>
      <c r="AL495" s="67"/>
      <c r="AM495" s="119"/>
      <c r="AN495" s="66"/>
      <c r="AO495" s="67"/>
      <c r="AP495" s="119"/>
      <c r="AQ495" s="66"/>
      <c r="AR495" s="67"/>
      <c r="AS495" s="119"/>
      <c r="AT495" s="66"/>
      <c r="AU495" s="67"/>
      <c r="AV495" s="119"/>
      <c r="AW495" s="66"/>
      <c r="AX495" s="67"/>
      <c r="AY495" s="119"/>
      <c r="AZ495" s="66"/>
      <c r="BA495" s="67"/>
      <c r="BB495" s="119"/>
      <c r="BC495" s="66"/>
      <c r="BD495" s="67"/>
      <c r="BE495" s="119"/>
      <c r="BF495" s="123"/>
      <c r="BG495" s="121"/>
      <c r="BH495" s="122"/>
      <c r="BI495" s="123"/>
      <c r="BJ495" s="121"/>
      <c r="BK495" s="124"/>
      <c r="BN495" s="125">
        <f t="shared" si="84"/>
        <v>0</v>
      </c>
      <c r="BO495" s="126">
        <f t="shared" si="85"/>
        <v>0</v>
      </c>
      <c r="BP495" s="127">
        <f t="shared" si="86"/>
        <v>0</v>
      </c>
    </row>
    <row r="496" spans="1:68" s="115" customFormat="1" ht="14.25" customHeight="1" outlineLevel="3" x14ac:dyDescent="0.25">
      <c r="A496" s="99" t="b">
        <f t="array" ref="A496">A491</f>
        <v>1</v>
      </c>
      <c r="B496" s="100"/>
      <c r="C496" s="417" t="s">
        <v>140</v>
      </c>
      <c r="D496" s="417" t="s">
        <v>141</v>
      </c>
      <c r="E496" s="417" t="s">
        <v>174</v>
      </c>
      <c r="F496" s="417" t="s">
        <v>74</v>
      </c>
      <c r="G496" s="417" t="s">
        <v>73</v>
      </c>
      <c r="H496" s="417" t="s">
        <v>73</v>
      </c>
      <c r="I496" s="417" t="s">
        <v>73</v>
      </c>
      <c r="J496" s="417" t="s">
        <v>73</v>
      </c>
      <c r="K496" s="417" t="s">
        <v>73</v>
      </c>
      <c r="L496" s="417"/>
      <c r="M496" s="100" t="str">
        <f t="array" ref="M496">Y460</f>
        <v>1ВО::1.1</v>
      </c>
      <c r="N496" s="423"/>
      <c r="O496" s="100"/>
      <c r="P496" s="100"/>
      <c r="Q496" s="100"/>
      <c r="R496" s="100"/>
      <c r="S496" s="100"/>
      <c r="T496" s="100"/>
      <c r="U496" s="100"/>
      <c r="V496" s="100"/>
      <c r="W496" s="100"/>
      <c r="X496" s="100"/>
      <c r="Y496" s="100"/>
      <c r="Z496" s="100"/>
      <c r="AA496" s="100"/>
      <c r="AB496" s="418" t="str">
        <f>AB491&amp;".1"</f>
        <v>2.1</v>
      </c>
      <c r="AC496" s="424" t="s">
        <v>585</v>
      </c>
      <c r="AD496" s="420" t="s">
        <v>137</v>
      </c>
      <c r="AE496" s="106">
        <v>39009.819000000003</v>
      </c>
      <c r="AF496" s="107">
        <v>37611.42</v>
      </c>
      <c r="AG496" s="108">
        <v>39611.031000000003</v>
      </c>
      <c r="AH496" s="106">
        <v>43.262</v>
      </c>
      <c r="AI496" s="107">
        <v>123.72</v>
      </c>
      <c r="AJ496" s="108">
        <v>47.469000000000001</v>
      </c>
      <c r="AK496" s="106"/>
      <c r="AL496" s="107"/>
      <c r="AM496" s="109"/>
      <c r="AN496" s="106">
        <v>202.97</v>
      </c>
      <c r="AO496" s="107">
        <v>236.79</v>
      </c>
      <c r="AP496" s="109">
        <v>199</v>
      </c>
      <c r="AQ496" s="106">
        <v>502.17</v>
      </c>
      <c r="AR496" s="107">
        <v>438.95</v>
      </c>
      <c r="AS496" s="109">
        <v>482.28</v>
      </c>
      <c r="AT496" s="106">
        <v>274.77999999999997</v>
      </c>
      <c r="AU496" s="107">
        <v>319.74</v>
      </c>
      <c r="AV496" s="109">
        <v>250</v>
      </c>
      <c r="AW496" s="106">
        <f>AW498</f>
        <v>269.49</v>
      </c>
      <c r="AX496" s="107">
        <f>AX498</f>
        <v>313.95999999999998</v>
      </c>
      <c r="AY496" s="109">
        <f>AY498</f>
        <v>269.49</v>
      </c>
      <c r="AZ496" s="106">
        <v>2480.741</v>
      </c>
      <c r="BA496" s="107">
        <v>2107.4699999999998</v>
      </c>
      <c r="BB496" s="109">
        <v>2543.17</v>
      </c>
      <c r="BC496" s="106">
        <v>2636.1909999999998</v>
      </c>
      <c r="BD496" s="107">
        <v>399.23599999999999</v>
      </c>
      <c r="BE496" s="109">
        <v>2642.37</v>
      </c>
      <c r="BF496" s="134">
        <v>80.02</v>
      </c>
      <c r="BG496" s="132">
        <v>89.34</v>
      </c>
      <c r="BH496" s="133">
        <v>81.542000000000002</v>
      </c>
      <c r="BI496" s="134">
        <v>243.79</v>
      </c>
      <c r="BJ496" s="132">
        <v>300.23</v>
      </c>
      <c r="BK496" s="135">
        <v>252.55</v>
      </c>
      <c r="BL496" s="111"/>
      <c r="BM496" s="100"/>
      <c r="BN496" s="112">
        <f t="shared" si="84"/>
        <v>45743.233</v>
      </c>
      <c r="BO496" s="113">
        <f t="shared" si="85"/>
        <v>41940.855999999992</v>
      </c>
      <c r="BP496" s="114">
        <f t="shared" si="86"/>
        <v>46378.902000000002</v>
      </c>
    </row>
    <row r="497" spans="1:68" s="115" customFormat="1" ht="14.25" hidden="1" customHeight="1" outlineLevel="3" x14ac:dyDescent="0.25">
      <c r="A497" s="99" t="b">
        <f t="array" ref="A497">A496</f>
        <v>1</v>
      </c>
      <c r="B497" s="100"/>
      <c r="C497" s="417" t="s">
        <v>140</v>
      </c>
      <c r="D497" s="417" t="s">
        <v>141</v>
      </c>
      <c r="E497" s="417" t="s">
        <v>175</v>
      </c>
      <c r="F497" s="417" t="s">
        <v>74</v>
      </c>
      <c r="G497" s="417" t="s">
        <v>73</v>
      </c>
      <c r="H497" s="417" t="s">
        <v>73</v>
      </c>
      <c r="I497" s="417" t="s">
        <v>73</v>
      </c>
      <c r="J497" s="417" t="s">
        <v>73</v>
      </c>
      <c r="K497" s="417" t="s">
        <v>73</v>
      </c>
      <c r="L497" s="417"/>
      <c r="M497" s="100" t="str">
        <f t="array" ref="M497">Y460</f>
        <v>1ВО::1.1</v>
      </c>
      <c r="N497" s="423"/>
      <c r="O497" s="100"/>
      <c r="P497" s="100"/>
      <c r="Q497" s="100"/>
      <c r="R497" s="100"/>
      <c r="S497" s="100"/>
      <c r="T497" s="100"/>
      <c r="U497" s="100"/>
      <c r="V497" s="100"/>
      <c r="W497" s="100"/>
      <c r="X497" s="100"/>
      <c r="Y497" s="100"/>
      <c r="Z497" s="100"/>
      <c r="AA497" s="100"/>
      <c r="AB497" s="418" t="str">
        <f>AB496&amp;".1"</f>
        <v>2.1.1</v>
      </c>
      <c r="AC497" s="425" t="s">
        <v>586</v>
      </c>
      <c r="AD497" s="420" t="s">
        <v>137</v>
      </c>
      <c r="AE497" s="106"/>
      <c r="AF497" s="107"/>
      <c r="AG497" s="108"/>
      <c r="AH497" s="106"/>
      <c r="AI497" s="107"/>
      <c r="AJ497" s="108"/>
      <c r="AK497" s="106"/>
      <c r="AL497" s="107"/>
      <c r="AM497" s="109"/>
      <c r="AN497" s="106"/>
      <c r="AO497" s="107"/>
      <c r="AP497" s="109"/>
      <c r="AQ497" s="106"/>
      <c r="AR497" s="107"/>
      <c r="AS497" s="109"/>
      <c r="AT497" s="106"/>
      <c r="AU497" s="107"/>
      <c r="AV497" s="109"/>
      <c r="AW497" s="106">
        <v>0</v>
      </c>
      <c r="AX497" s="107"/>
      <c r="AY497" s="109">
        <v>0</v>
      </c>
      <c r="AZ497" s="106">
        <v>0</v>
      </c>
      <c r="BA497" s="107">
        <v>0</v>
      </c>
      <c r="BB497" s="109">
        <v>0</v>
      </c>
      <c r="BC497" s="106"/>
      <c r="BD497" s="107"/>
      <c r="BE497" s="109"/>
      <c r="BF497" s="134"/>
      <c r="BG497" s="132"/>
      <c r="BH497" s="133"/>
      <c r="BI497" s="134"/>
      <c r="BJ497" s="132"/>
      <c r="BK497" s="135"/>
      <c r="BL497" s="111"/>
      <c r="BM497" s="100"/>
      <c r="BN497" s="112">
        <f t="shared" si="84"/>
        <v>0</v>
      </c>
      <c r="BO497" s="113">
        <f t="shared" si="85"/>
        <v>0</v>
      </c>
      <c r="BP497" s="114">
        <f t="shared" si="86"/>
        <v>0</v>
      </c>
    </row>
    <row r="498" spans="1:68" s="115" customFormat="1" ht="14.25" customHeight="1" outlineLevel="3" x14ac:dyDescent="0.25">
      <c r="A498" s="99" t="b">
        <f t="array" ref="A498">A497</f>
        <v>1</v>
      </c>
      <c r="B498" s="100"/>
      <c r="C498" s="417" t="s">
        <v>140</v>
      </c>
      <c r="D498" s="417" t="s">
        <v>141</v>
      </c>
      <c r="E498" s="417" t="s">
        <v>176</v>
      </c>
      <c r="F498" s="417" t="s">
        <v>74</v>
      </c>
      <c r="G498" s="417" t="s">
        <v>73</v>
      </c>
      <c r="H498" s="417" t="s">
        <v>73</v>
      </c>
      <c r="I498" s="417" t="s">
        <v>73</v>
      </c>
      <c r="J498" s="417" t="s">
        <v>73</v>
      </c>
      <c r="K498" s="417" t="s">
        <v>73</v>
      </c>
      <c r="L498" s="417"/>
      <c r="M498" s="100" t="str">
        <f t="array" ref="M498">Y460</f>
        <v>1ВО::1.1</v>
      </c>
      <c r="N498" s="423"/>
      <c r="O498" s="100"/>
      <c r="P498" s="100"/>
      <c r="Q498" s="100"/>
      <c r="R498" s="100"/>
      <c r="S498" s="100"/>
      <c r="T498" s="100"/>
      <c r="U498" s="100"/>
      <c r="V498" s="100"/>
      <c r="W498" s="100"/>
      <c r="X498" s="100"/>
      <c r="Y498" s="100"/>
      <c r="Z498" s="100"/>
      <c r="AA498" s="100"/>
      <c r="AB498" s="418" t="str">
        <f>AB496&amp;".2"</f>
        <v>2.1.2</v>
      </c>
      <c r="AC498" s="425" t="s">
        <v>587</v>
      </c>
      <c r="AD498" s="420" t="s">
        <v>137</v>
      </c>
      <c r="AE498" s="106">
        <f t="shared" ref="AE498:AJ498" si="87">AE499+AE503</f>
        <v>39009.82</v>
      </c>
      <c r="AF498" s="107">
        <f t="shared" si="87"/>
        <v>37611.42</v>
      </c>
      <c r="AG498" s="108">
        <f t="shared" si="87"/>
        <v>39611.031000000003</v>
      </c>
      <c r="AH498" s="106">
        <f t="shared" si="87"/>
        <v>43.262</v>
      </c>
      <c r="AI498" s="107">
        <f t="shared" si="87"/>
        <v>123.72</v>
      </c>
      <c r="AJ498" s="108">
        <f t="shared" si="87"/>
        <v>47.469000000000001</v>
      </c>
      <c r="AK498" s="106"/>
      <c r="AL498" s="107"/>
      <c r="AM498" s="109"/>
      <c r="AN498" s="106">
        <f t="shared" ref="AN498:AS498" si="88">AN499+AN503</f>
        <v>202.97</v>
      </c>
      <c r="AO498" s="107">
        <f t="shared" si="88"/>
        <v>236.79</v>
      </c>
      <c r="AP498" s="109">
        <f t="shared" si="88"/>
        <v>199</v>
      </c>
      <c r="AQ498" s="106">
        <f t="shared" si="88"/>
        <v>502.16999999999996</v>
      </c>
      <c r="AR498" s="107">
        <f t="shared" si="88"/>
        <v>438.95</v>
      </c>
      <c r="AS498" s="109">
        <f t="shared" si="88"/>
        <v>482.28</v>
      </c>
      <c r="AT498" s="106">
        <v>274.77999999999997</v>
      </c>
      <c r="AU498" s="107">
        <v>319.74</v>
      </c>
      <c r="AV498" s="109">
        <v>250</v>
      </c>
      <c r="AW498" s="106">
        <f t="shared" ref="AW498:BK498" si="89">AW499+AW503</f>
        <v>269.49</v>
      </c>
      <c r="AX498" s="107">
        <f t="shared" si="89"/>
        <v>313.95999999999998</v>
      </c>
      <c r="AY498" s="109">
        <f t="shared" si="89"/>
        <v>269.49</v>
      </c>
      <c r="AZ498" s="106">
        <f t="shared" si="89"/>
        <v>2480.7410000000004</v>
      </c>
      <c r="BA498" s="107">
        <f t="shared" si="89"/>
        <v>2107.4699999999998</v>
      </c>
      <c r="BB498" s="109">
        <f t="shared" si="89"/>
        <v>2543.1699999999996</v>
      </c>
      <c r="BC498" s="106">
        <f t="shared" si="89"/>
        <v>2636.1909999999998</v>
      </c>
      <c r="BD498" s="107">
        <f t="shared" si="89"/>
        <v>399.23599999999999</v>
      </c>
      <c r="BE498" s="109">
        <f t="shared" si="89"/>
        <v>2642.37</v>
      </c>
      <c r="BF498" s="134">
        <f t="shared" si="89"/>
        <v>80.02</v>
      </c>
      <c r="BG498" s="132">
        <f t="shared" si="89"/>
        <v>89.339999999999989</v>
      </c>
      <c r="BH498" s="133">
        <f t="shared" si="89"/>
        <v>81.542000000000002</v>
      </c>
      <c r="BI498" s="134">
        <f t="shared" si="89"/>
        <v>243.79</v>
      </c>
      <c r="BJ498" s="132">
        <f t="shared" si="89"/>
        <v>300.23</v>
      </c>
      <c r="BK498" s="135">
        <f t="shared" si="89"/>
        <v>252.55</v>
      </c>
      <c r="BL498" s="111"/>
      <c r="BM498" s="100"/>
      <c r="BN498" s="112">
        <f t="shared" si="84"/>
        <v>45743.233999999997</v>
      </c>
      <c r="BO498" s="113">
        <f t="shared" si="85"/>
        <v>41940.855999999992</v>
      </c>
      <c r="BP498" s="114">
        <f t="shared" si="86"/>
        <v>46378.902000000002</v>
      </c>
    </row>
    <row r="499" spans="1:68" ht="14.25" customHeight="1" outlineLevel="3" x14ac:dyDescent="0.25">
      <c r="A499" s="10" t="b">
        <f t="array" ref="A499">A498</f>
        <v>1</v>
      </c>
      <c r="C499" s="116" t="s">
        <v>140</v>
      </c>
      <c r="D499" s="116" t="s">
        <v>141</v>
      </c>
      <c r="E499" s="116" t="s">
        <v>177</v>
      </c>
      <c r="F499" s="116" t="s">
        <v>74</v>
      </c>
      <c r="G499" s="116" t="s">
        <v>73</v>
      </c>
      <c r="H499" s="116" t="s">
        <v>73</v>
      </c>
      <c r="I499" s="116" t="s">
        <v>73</v>
      </c>
      <c r="J499" s="116" t="s">
        <v>73</v>
      </c>
      <c r="K499" s="116" t="s">
        <v>73</v>
      </c>
      <c r="L499" s="116"/>
      <c r="M499" s="5" t="str">
        <f t="array" ref="M499">Y460</f>
        <v>1ВО::1.1</v>
      </c>
      <c r="N499" s="116"/>
      <c r="AB499" s="403" t="str">
        <f>AB498&amp;".1"</f>
        <v>2.1.2.1</v>
      </c>
      <c r="AC499" s="414" t="s">
        <v>588</v>
      </c>
      <c r="AD499" s="422" t="s">
        <v>137</v>
      </c>
      <c r="AE499" s="66">
        <f>AE500+AE501+AE502</f>
        <v>38878.444000000003</v>
      </c>
      <c r="AF499" s="67">
        <f>AF500+AF501+AF502</f>
        <v>37514.57</v>
      </c>
      <c r="AG499" s="68">
        <f>AG500+AG501+AG502</f>
        <v>39475.131000000001</v>
      </c>
      <c r="AH499" s="66">
        <f>AH500+AH501+AH502</f>
        <v>43.262</v>
      </c>
      <c r="AI499" s="67">
        <v>57.89</v>
      </c>
      <c r="AJ499" s="68">
        <f>AJ500+AJ501+AJ502</f>
        <v>47.469000000000001</v>
      </c>
      <c r="AK499" s="66"/>
      <c r="AL499" s="67"/>
      <c r="AM499" s="119"/>
      <c r="AN499" s="66">
        <f t="shared" ref="AN499:BK499" si="90">AN500+AN501+AN502</f>
        <v>202.97</v>
      </c>
      <c r="AO499" s="67">
        <f t="shared" si="90"/>
        <v>236.79</v>
      </c>
      <c r="AP499" s="119">
        <f t="shared" si="90"/>
        <v>199</v>
      </c>
      <c r="AQ499" s="66">
        <f t="shared" si="90"/>
        <v>502.16999999999996</v>
      </c>
      <c r="AR499" s="67">
        <f t="shared" si="90"/>
        <v>438.95</v>
      </c>
      <c r="AS499" s="119">
        <f t="shared" si="90"/>
        <v>482.28</v>
      </c>
      <c r="AT499" s="66">
        <f t="shared" si="90"/>
        <v>274.77999999999997</v>
      </c>
      <c r="AU499" s="67">
        <f t="shared" si="90"/>
        <v>319.74</v>
      </c>
      <c r="AV499" s="119">
        <f t="shared" si="90"/>
        <v>250</v>
      </c>
      <c r="AW499" s="66">
        <f t="shared" si="90"/>
        <v>269.49</v>
      </c>
      <c r="AX499" s="67">
        <f t="shared" si="90"/>
        <v>313.95999999999998</v>
      </c>
      <c r="AY499" s="119">
        <f t="shared" si="90"/>
        <v>269.49</v>
      </c>
      <c r="AZ499" s="66">
        <f t="shared" si="90"/>
        <v>2480.7410000000004</v>
      </c>
      <c r="BA499" s="67">
        <f t="shared" si="90"/>
        <v>2107.4699999999998</v>
      </c>
      <c r="BB499" s="119">
        <f t="shared" si="90"/>
        <v>2543.1699999999996</v>
      </c>
      <c r="BC499" s="66">
        <f t="shared" si="90"/>
        <v>2636.1909999999998</v>
      </c>
      <c r="BD499" s="67">
        <f t="shared" si="90"/>
        <v>399.23599999999999</v>
      </c>
      <c r="BE499" s="119">
        <f t="shared" si="90"/>
        <v>2642.37</v>
      </c>
      <c r="BF499" s="123">
        <f t="shared" si="90"/>
        <v>80.02</v>
      </c>
      <c r="BG499" s="121">
        <f t="shared" si="90"/>
        <v>89.339999999999989</v>
      </c>
      <c r="BH499" s="122">
        <f t="shared" si="90"/>
        <v>81.542000000000002</v>
      </c>
      <c r="BI499" s="123">
        <f t="shared" si="90"/>
        <v>243.79</v>
      </c>
      <c r="BJ499" s="121">
        <f t="shared" si="90"/>
        <v>300.23</v>
      </c>
      <c r="BK499" s="124">
        <f t="shared" si="90"/>
        <v>252.55</v>
      </c>
      <c r="BN499" s="125">
        <f t="shared" si="84"/>
        <v>45611.858</v>
      </c>
      <c r="BO499" s="126">
        <f t="shared" si="85"/>
        <v>41778.175999999992</v>
      </c>
      <c r="BP499" s="127">
        <f t="shared" si="86"/>
        <v>46243.002</v>
      </c>
    </row>
    <row r="500" spans="1:68" ht="14.25" customHeight="1" outlineLevel="3" x14ac:dyDescent="0.25">
      <c r="A500" s="10" t="b">
        <f t="array" ref="A500">A499</f>
        <v>1</v>
      </c>
      <c r="C500" s="116" t="s">
        <v>140</v>
      </c>
      <c r="D500" s="116" t="s">
        <v>141</v>
      </c>
      <c r="E500" s="116" t="s">
        <v>178</v>
      </c>
      <c r="F500" s="116" t="s">
        <v>74</v>
      </c>
      <c r="G500" s="116" t="s">
        <v>73</v>
      </c>
      <c r="H500" s="116" t="s">
        <v>73</v>
      </c>
      <c r="I500" s="116" t="s">
        <v>73</v>
      </c>
      <c r="J500" s="116" t="s">
        <v>73</v>
      </c>
      <c r="K500" s="116" t="s">
        <v>73</v>
      </c>
      <c r="L500" s="116"/>
      <c r="M500" s="5" t="str">
        <f t="array" ref="M500">Y460</f>
        <v>1ВО::1.1</v>
      </c>
      <c r="N500" s="116"/>
      <c r="AB500" s="403" t="str">
        <f>AB499&amp;".1"</f>
        <v>2.1.2.1.1</v>
      </c>
      <c r="AC500" s="426" t="s">
        <v>178</v>
      </c>
      <c r="AD500" s="422" t="s">
        <v>137</v>
      </c>
      <c r="AE500" s="66">
        <v>3055.7269999999999</v>
      </c>
      <c r="AF500" s="67">
        <v>2716.33</v>
      </c>
      <c r="AG500" s="68">
        <v>3349.377</v>
      </c>
      <c r="AH500" s="66"/>
      <c r="AI500" s="67"/>
      <c r="AJ500" s="68"/>
      <c r="AK500" s="66"/>
      <c r="AL500" s="67"/>
      <c r="AM500" s="119"/>
      <c r="AN500" s="66">
        <v>107.78</v>
      </c>
      <c r="AO500" s="67">
        <v>119.36</v>
      </c>
      <c r="AP500" s="119">
        <v>110</v>
      </c>
      <c r="AQ500" s="66">
        <v>50.22</v>
      </c>
      <c r="AR500" s="67">
        <v>32.28</v>
      </c>
      <c r="AS500" s="119">
        <v>50.28</v>
      </c>
      <c r="AT500" s="66">
        <v>77.61</v>
      </c>
      <c r="AU500" s="67">
        <v>85.37</v>
      </c>
      <c r="AV500" s="119">
        <v>70</v>
      </c>
      <c r="AW500" s="66">
        <v>39.450000000000003</v>
      </c>
      <c r="AX500" s="67">
        <v>67.959999999999994</v>
      </c>
      <c r="AY500" s="119">
        <v>39.450000000000003</v>
      </c>
      <c r="AZ500" s="66">
        <v>65.119</v>
      </c>
      <c r="BA500" s="67">
        <v>39.880000000000003</v>
      </c>
      <c r="BB500" s="119">
        <v>71.41</v>
      </c>
      <c r="BC500" s="66">
        <v>334.39400000000001</v>
      </c>
      <c r="BD500" s="67"/>
      <c r="BE500" s="119">
        <v>334.39400000000001</v>
      </c>
      <c r="BF500" s="123">
        <v>3.69</v>
      </c>
      <c r="BG500" s="121">
        <v>6.1459999999999999</v>
      </c>
      <c r="BH500" s="122">
        <v>1.54</v>
      </c>
      <c r="BI500" s="123">
        <v>4.9000000000000004</v>
      </c>
      <c r="BJ500" s="121">
        <v>11.5</v>
      </c>
      <c r="BK500" s="124">
        <v>4.99</v>
      </c>
      <c r="BN500" s="125">
        <f t="shared" si="84"/>
        <v>3738.8900000000003</v>
      </c>
      <c r="BO500" s="126">
        <f t="shared" si="85"/>
        <v>3078.8260000000005</v>
      </c>
      <c r="BP500" s="127">
        <f t="shared" si="86"/>
        <v>4031.4409999999998</v>
      </c>
    </row>
    <row r="501" spans="1:68" ht="14.25" customHeight="1" outlineLevel="3" x14ac:dyDescent="0.25">
      <c r="A501" s="10" t="b">
        <f t="array" ref="A501">A500</f>
        <v>1</v>
      </c>
      <c r="C501" s="116" t="s">
        <v>140</v>
      </c>
      <c r="D501" s="116" t="s">
        <v>141</v>
      </c>
      <c r="E501" s="116" t="s">
        <v>179</v>
      </c>
      <c r="F501" s="116" t="s">
        <v>74</v>
      </c>
      <c r="G501" s="116" t="s">
        <v>73</v>
      </c>
      <c r="H501" s="116" t="s">
        <v>73</v>
      </c>
      <c r="I501" s="116" t="s">
        <v>73</v>
      </c>
      <c r="J501" s="116" t="s">
        <v>73</v>
      </c>
      <c r="K501" s="116" t="s">
        <v>73</v>
      </c>
      <c r="L501" s="116"/>
      <c r="M501" s="5" t="str">
        <f t="array" ref="M501">Y460</f>
        <v>1ВО::1.1</v>
      </c>
      <c r="N501" s="116"/>
      <c r="AB501" s="403" t="str">
        <f>AB499&amp;".2"</f>
        <v>2.1.2.1.2</v>
      </c>
      <c r="AC501" s="426" t="s">
        <v>589</v>
      </c>
      <c r="AD501" s="422" t="s">
        <v>137</v>
      </c>
      <c r="AE501" s="66">
        <v>30745.971000000001</v>
      </c>
      <c r="AF501" s="67">
        <v>29958.87</v>
      </c>
      <c r="AG501" s="68">
        <v>30943.846000000001</v>
      </c>
      <c r="AH501" s="66"/>
      <c r="AI501" s="67"/>
      <c r="AJ501" s="68"/>
      <c r="AK501" s="66"/>
      <c r="AL501" s="67"/>
      <c r="AM501" s="119"/>
      <c r="AN501" s="66">
        <v>91.44</v>
      </c>
      <c r="AO501" s="67">
        <v>114.92</v>
      </c>
      <c r="AP501" s="119">
        <v>86</v>
      </c>
      <c r="AQ501" s="66">
        <v>297.45</v>
      </c>
      <c r="AR501" s="67">
        <v>308.97000000000003</v>
      </c>
      <c r="AS501" s="119">
        <v>292</v>
      </c>
      <c r="AT501" s="66">
        <v>166.2</v>
      </c>
      <c r="AU501" s="67">
        <v>201.12</v>
      </c>
      <c r="AV501" s="119">
        <v>153.85</v>
      </c>
      <c r="AW501" s="66">
        <v>213.02</v>
      </c>
      <c r="AX501" s="67">
        <v>246</v>
      </c>
      <c r="AY501" s="119">
        <v>213.02</v>
      </c>
      <c r="AZ501" s="66">
        <v>2282.7930000000001</v>
      </c>
      <c r="BA501" s="67">
        <v>2008.11</v>
      </c>
      <c r="BB501" s="119">
        <v>2323.79</v>
      </c>
      <c r="BC501" s="66">
        <v>1252.9459999999999</v>
      </c>
      <c r="BD501" s="67"/>
      <c r="BE501" s="119">
        <v>1262.125</v>
      </c>
      <c r="BF501" s="123">
        <v>72.39</v>
      </c>
      <c r="BG501" s="121">
        <v>76.590999999999994</v>
      </c>
      <c r="BH501" s="122">
        <v>75.801000000000002</v>
      </c>
      <c r="BI501" s="123">
        <v>212.44</v>
      </c>
      <c r="BJ501" s="121">
        <v>266.73</v>
      </c>
      <c r="BK501" s="124">
        <v>220.86</v>
      </c>
      <c r="BN501" s="125">
        <f t="shared" si="84"/>
        <v>35334.650000000009</v>
      </c>
      <c r="BO501" s="126">
        <f t="shared" si="85"/>
        <v>33181.311000000002</v>
      </c>
      <c r="BP501" s="127">
        <f t="shared" si="86"/>
        <v>35571.292000000001</v>
      </c>
    </row>
    <row r="502" spans="1:68" ht="14.25" customHeight="1" outlineLevel="3" x14ac:dyDescent="0.25">
      <c r="A502" s="10" t="b">
        <f t="array" ref="A502">A501</f>
        <v>1</v>
      </c>
      <c r="C502" s="116" t="s">
        <v>140</v>
      </c>
      <c r="D502" s="116" t="s">
        <v>141</v>
      </c>
      <c r="E502" s="116" t="s">
        <v>180</v>
      </c>
      <c r="F502" s="116" t="s">
        <v>74</v>
      </c>
      <c r="G502" s="116" t="s">
        <v>73</v>
      </c>
      <c r="H502" s="116" t="s">
        <v>73</v>
      </c>
      <c r="I502" s="116" t="s">
        <v>73</v>
      </c>
      <c r="J502" s="116" t="s">
        <v>73</v>
      </c>
      <c r="K502" s="116" t="s">
        <v>73</v>
      </c>
      <c r="L502" s="116"/>
      <c r="M502" s="5" t="str">
        <f t="array" ref="M502">Y460</f>
        <v>1ВО::1.1</v>
      </c>
      <c r="N502" s="116"/>
      <c r="AB502" s="403" t="str">
        <f>AB499&amp;".3"</f>
        <v>2.1.2.1.3</v>
      </c>
      <c r="AC502" s="426" t="s">
        <v>180</v>
      </c>
      <c r="AD502" s="422" t="s">
        <v>137</v>
      </c>
      <c r="AE502" s="66">
        <v>5076.7460000000001</v>
      </c>
      <c r="AF502" s="67">
        <v>4839.37</v>
      </c>
      <c r="AG502" s="68">
        <v>5181.9080000000004</v>
      </c>
      <c r="AH502" s="66">
        <v>43.262</v>
      </c>
      <c r="AI502" s="67">
        <v>57.89</v>
      </c>
      <c r="AJ502" s="68">
        <v>47.469000000000001</v>
      </c>
      <c r="AK502" s="66"/>
      <c r="AL502" s="67"/>
      <c r="AM502" s="119"/>
      <c r="AN502" s="66">
        <v>3.75</v>
      </c>
      <c r="AO502" s="67">
        <v>2.5099999999999998</v>
      </c>
      <c r="AP502" s="119">
        <v>3</v>
      </c>
      <c r="AQ502" s="66">
        <v>154.5</v>
      </c>
      <c r="AR502" s="67">
        <v>97.7</v>
      </c>
      <c r="AS502" s="119">
        <v>140</v>
      </c>
      <c r="AT502" s="66">
        <v>30.97</v>
      </c>
      <c r="AU502" s="67">
        <v>33.25</v>
      </c>
      <c r="AV502" s="119">
        <v>26.15</v>
      </c>
      <c r="AW502" s="66">
        <v>17.02</v>
      </c>
      <c r="AX502" s="67">
        <v>0</v>
      </c>
      <c r="AY502" s="119">
        <v>17.02</v>
      </c>
      <c r="AZ502" s="66">
        <v>132.82900000000001</v>
      </c>
      <c r="BA502" s="67">
        <v>59.48</v>
      </c>
      <c r="BB502" s="119">
        <v>147.97</v>
      </c>
      <c r="BC502" s="66">
        <v>1048.8510000000001</v>
      </c>
      <c r="BD502" s="67">
        <v>399.23599999999999</v>
      </c>
      <c r="BE502" s="119">
        <v>1045.8510000000001</v>
      </c>
      <c r="BF502" s="123">
        <v>3.94</v>
      </c>
      <c r="BG502" s="121">
        <v>6.6029999999999998</v>
      </c>
      <c r="BH502" s="122">
        <v>4.2009999999999996</v>
      </c>
      <c r="BI502" s="123">
        <v>26.45</v>
      </c>
      <c r="BJ502" s="121">
        <v>22</v>
      </c>
      <c r="BK502" s="124">
        <v>26.7</v>
      </c>
      <c r="BN502" s="125">
        <f t="shared" si="84"/>
        <v>6538.3179999999993</v>
      </c>
      <c r="BO502" s="126">
        <f t="shared" si="85"/>
        <v>5518.0389999999998</v>
      </c>
      <c r="BP502" s="127">
        <f t="shared" si="86"/>
        <v>6640.2690000000002</v>
      </c>
    </row>
    <row r="503" spans="1:68" ht="14.25" customHeight="1" outlineLevel="3" x14ac:dyDescent="0.25">
      <c r="A503" s="10" t="b">
        <f t="array" ref="A503">A502</f>
        <v>1</v>
      </c>
      <c r="C503" s="116" t="s">
        <v>140</v>
      </c>
      <c r="D503" s="116" t="s">
        <v>141</v>
      </c>
      <c r="E503" s="116" t="s">
        <v>181</v>
      </c>
      <c r="F503" s="116" t="s">
        <v>74</v>
      </c>
      <c r="G503" s="116" t="s">
        <v>73</v>
      </c>
      <c r="H503" s="116" t="s">
        <v>73</v>
      </c>
      <c r="I503" s="116" t="s">
        <v>73</v>
      </c>
      <c r="J503" s="116" t="s">
        <v>73</v>
      </c>
      <c r="K503" s="116" t="s">
        <v>73</v>
      </c>
      <c r="L503" s="116"/>
      <c r="M503" s="5" t="str">
        <f t="array" ref="M503">Y460</f>
        <v>1ВО::1.1</v>
      </c>
      <c r="N503" s="116"/>
      <c r="AB503" s="403" t="str">
        <f>AB498&amp;".2"</f>
        <v>2.1.2.2</v>
      </c>
      <c r="AC503" s="414" t="s">
        <v>181</v>
      </c>
      <c r="AD503" s="422" t="s">
        <v>137</v>
      </c>
      <c r="AE503" s="66">
        <v>131.376</v>
      </c>
      <c r="AF503" s="67">
        <v>96.85</v>
      </c>
      <c r="AG503" s="68">
        <v>135.9</v>
      </c>
      <c r="AH503" s="66"/>
      <c r="AI503" s="67">
        <v>65.83</v>
      </c>
      <c r="AJ503" s="68"/>
      <c r="AK503" s="66"/>
      <c r="AL503" s="67"/>
      <c r="AM503" s="119"/>
      <c r="AN503" s="66"/>
      <c r="AO503" s="67"/>
      <c r="AP503" s="119"/>
      <c r="AQ503" s="66"/>
      <c r="AR503" s="67"/>
      <c r="AS503" s="119"/>
      <c r="AT503" s="66">
        <f>AT496</f>
        <v>274.77999999999997</v>
      </c>
      <c r="AU503" s="67">
        <f>AU496</f>
        <v>319.74</v>
      </c>
      <c r="AV503" s="119">
        <f>AV496</f>
        <v>250</v>
      </c>
      <c r="AW503" s="66">
        <v>0</v>
      </c>
      <c r="AX503" s="67"/>
      <c r="AY503" s="119">
        <v>0</v>
      </c>
      <c r="AZ503" s="66">
        <v>0</v>
      </c>
      <c r="BA503" s="67">
        <v>0</v>
      </c>
      <c r="BB503" s="119">
        <v>0</v>
      </c>
      <c r="BC503" s="66"/>
      <c r="BD503" s="67"/>
      <c r="BE503" s="119"/>
      <c r="BF503" s="123"/>
      <c r="BG503" s="121"/>
      <c r="BH503" s="122"/>
      <c r="BI503" s="123"/>
      <c r="BJ503" s="121"/>
      <c r="BK503" s="124"/>
      <c r="BN503" s="125">
        <f t="shared" si="84"/>
        <v>406.15599999999995</v>
      </c>
      <c r="BO503" s="126">
        <f t="shared" si="85"/>
        <v>482.42</v>
      </c>
      <c r="BP503" s="127">
        <f t="shared" si="86"/>
        <v>385.9</v>
      </c>
    </row>
    <row r="504" spans="1:68" ht="14.25" customHeight="1" outlineLevel="3" x14ac:dyDescent="0.25">
      <c r="A504" s="10" t="b">
        <f t="array" ref="A504">A503</f>
        <v>1</v>
      </c>
      <c r="C504" s="116" t="s">
        <v>140</v>
      </c>
      <c r="D504" s="116" t="s">
        <v>141</v>
      </c>
      <c r="E504" s="116" t="s">
        <v>182</v>
      </c>
      <c r="F504" s="116" t="s">
        <v>74</v>
      </c>
      <c r="G504" s="116" t="s">
        <v>73</v>
      </c>
      <c r="H504" s="116" t="s">
        <v>73</v>
      </c>
      <c r="I504" s="116" t="s">
        <v>73</v>
      </c>
      <c r="J504" s="116" t="s">
        <v>73</v>
      </c>
      <c r="K504" s="116" t="s">
        <v>73</v>
      </c>
      <c r="L504" s="116"/>
      <c r="M504" s="5" t="str">
        <f t="array" ref="M504">Y460</f>
        <v>1ВО::1.1</v>
      </c>
      <c r="N504" s="116"/>
      <c r="AB504" s="403" t="str">
        <f>AB498&amp;".3"</f>
        <v>2.1.2.3</v>
      </c>
      <c r="AC504" s="413" t="s">
        <v>590</v>
      </c>
      <c r="AD504" s="422" t="s">
        <v>137</v>
      </c>
      <c r="AE504" s="66">
        <v>21088.756000000001</v>
      </c>
      <c r="AF504" s="67">
        <v>15931.075999999999</v>
      </c>
      <c r="AG504" s="68">
        <v>21038.28</v>
      </c>
      <c r="AH504" s="66">
        <v>24.335999999999999</v>
      </c>
      <c r="AI504" s="67">
        <v>24.61</v>
      </c>
      <c r="AJ504" s="68">
        <v>33.045000000000002</v>
      </c>
      <c r="AK504" s="66"/>
      <c r="AL504" s="67"/>
      <c r="AM504" s="119"/>
      <c r="AN504" s="66"/>
      <c r="AO504" s="67"/>
      <c r="AP504" s="119"/>
      <c r="AQ504" s="66"/>
      <c r="AR504" s="67"/>
      <c r="AS504" s="119"/>
      <c r="AT504" s="66"/>
      <c r="AU504" s="67"/>
      <c r="AV504" s="119"/>
      <c r="AW504" s="66">
        <v>0</v>
      </c>
      <c r="AX504" s="67"/>
      <c r="AY504" s="119">
        <v>6.5000000000000002E-2</v>
      </c>
      <c r="AZ504" s="66">
        <v>0</v>
      </c>
      <c r="BA504" s="67">
        <v>0</v>
      </c>
      <c r="BB504" s="119">
        <v>426.77</v>
      </c>
      <c r="BC504" s="66">
        <v>47.612000000000002</v>
      </c>
      <c r="BD504" s="67">
        <v>45.877000000000002</v>
      </c>
      <c r="BE504" s="119">
        <v>46.189</v>
      </c>
      <c r="BF504" s="123"/>
      <c r="BG504" s="121"/>
      <c r="BH504" s="122">
        <v>0.02</v>
      </c>
      <c r="BI504" s="123"/>
      <c r="BJ504" s="121"/>
      <c r="BK504" s="124">
        <v>5.8000000000000003E-2</v>
      </c>
      <c r="BN504" s="125">
        <f t="shared" si="84"/>
        <v>21160.704000000002</v>
      </c>
      <c r="BO504" s="126">
        <f t="shared" si="85"/>
        <v>16001.563</v>
      </c>
      <c r="BP504" s="127">
        <f t="shared" si="86"/>
        <v>21544.426999999996</v>
      </c>
    </row>
    <row r="505" spans="1:68" ht="14.25" customHeight="1" outlineLevel="3" x14ac:dyDescent="0.25">
      <c r="A505" s="10" t="b">
        <f t="array" ref="A505">A504</f>
        <v>1</v>
      </c>
      <c r="C505" s="116" t="s">
        <v>140</v>
      </c>
      <c r="D505" s="116" t="s">
        <v>141</v>
      </c>
      <c r="E505" s="116" t="s">
        <v>183</v>
      </c>
      <c r="F505" s="116" t="s">
        <v>74</v>
      </c>
      <c r="G505" s="116" t="s">
        <v>73</v>
      </c>
      <c r="H505" s="116" t="s">
        <v>73</v>
      </c>
      <c r="I505" s="116" t="s">
        <v>73</v>
      </c>
      <c r="J505" s="116" t="s">
        <v>73</v>
      </c>
      <c r="K505" s="116" t="s">
        <v>73</v>
      </c>
      <c r="L505" s="116"/>
      <c r="M505" s="5" t="str">
        <f t="array" ref="M505">Y460</f>
        <v>1ВО::1.1</v>
      </c>
      <c r="N505" s="116"/>
      <c r="AB505" s="403" t="str">
        <f>AB491&amp;".2"</f>
        <v>2.2</v>
      </c>
      <c r="AC505" s="305" t="s">
        <v>183</v>
      </c>
      <c r="AD505" s="422" t="s">
        <v>137</v>
      </c>
      <c r="AE505" s="66">
        <v>57218.796999999999</v>
      </c>
      <c r="AF505" s="67">
        <v>50643.701999999997</v>
      </c>
      <c r="AG505" s="68">
        <v>57711.123</v>
      </c>
      <c r="AH505" s="66">
        <v>218.95</v>
      </c>
      <c r="AI505" s="67">
        <v>148.33000000000001</v>
      </c>
      <c r="AJ505" s="68">
        <v>225.84200000000001</v>
      </c>
      <c r="AK505" s="66"/>
      <c r="AL505" s="67"/>
      <c r="AM505" s="119"/>
      <c r="AN505" s="66">
        <f>AN498</f>
        <v>202.97</v>
      </c>
      <c r="AO505" s="67">
        <v>217</v>
      </c>
      <c r="AP505" s="119">
        <v>199</v>
      </c>
      <c r="AQ505" s="66">
        <v>502.17</v>
      </c>
      <c r="AR505" s="67"/>
      <c r="AS505" s="119">
        <v>482.28</v>
      </c>
      <c r="AT505" s="66">
        <f>AT503</f>
        <v>274.77999999999997</v>
      </c>
      <c r="AU505" s="67">
        <f>AU503</f>
        <v>319.74</v>
      </c>
      <c r="AV505" s="119">
        <f>AV503</f>
        <v>250</v>
      </c>
      <c r="AW505" s="66">
        <f>AW498</f>
        <v>269.49</v>
      </c>
      <c r="AX505" s="67"/>
      <c r="AY505" s="119">
        <v>269.55500000000001</v>
      </c>
      <c r="AZ505" s="66">
        <v>2845.18</v>
      </c>
      <c r="BA505" s="67">
        <v>2107.4699999999998</v>
      </c>
      <c r="BB505" s="119">
        <v>2723.42</v>
      </c>
      <c r="BC505" s="66">
        <v>4295.6499999999996</v>
      </c>
      <c r="BD505" s="67">
        <v>2273.1999999999998</v>
      </c>
      <c r="BE505" s="119">
        <v>3113.3440000000001</v>
      </c>
      <c r="BF505" s="123"/>
      <c r="BG505" s="121"/>
      <c r="BH505" s="122"/>
      <c r="BI505" s="123">
        <v>243.79</v>
      </c>
      <c r="BJ505" s="121">
        <v>300.23</v>
      </c>
      <c r="BK505" s="124">
        <v>252.608</v>
      </c>
      <c r="BN505" s="125">
        <f t="shared" si="84"/>
        <v>66071.776999999987</v>
      </c>
      <c r="BO505" s="126">
        <f t="shared" si="85"/>
        <v>56009.671999999999</v>
      </c>
      <c r="BP505" s="127">
        <f t="shared" si="86"/>
        <v>65227.171999999991</v>
      </c>
    </row>
    <row r="506" spans="1:68" ht="14.25" customHeight="1" outlineLevel="3" x14ac:dyDescent="0.25">
      <c r="A506" s="10" t="b">
        <f t="array" ref="A506">A505</f>
        <v>1</v>
      </c>
      <c r="C506" s="116" t="s">
        <v>140</v>
      </c>
      <c r="D506" s="116" t="s">
        <v>141</v>
      </c>
      <c r="E506" s="116" t="s">
        <v>184</v>
      </c>
      <c r="F506" s="116" t="s">
        <v>74</v>
      </c>
      <c r="G506" s="116" t="s">
        <v>73</v>
      </c>
      <c r="H506" s="116" t="s">
        <v>73</v>
      </c>
      <c r="I506" s="116" t="s">
        <v>73</v>
      </c>
      <c r="J506" s="116" t="s">
        <v>73</v>
      </c>
      <c r="K506" s="116" t="s">
        <v>73</v>
      </c>
      <c r="L506" s="116"/>
      <c r="M506" s="5" t="str">
        <f t="array" ref="M506">Y460</f>
        <v>1ВО::1.1</v>
      </c>
      <c r="N506" s="116"/>
      <c r="AB506" s="403" t="str">
        <f>AB505&amp;".1"</f>
        <v>2.2.1</v>
      </c>
      <c r="AC506" s="413" t="s">
        <v>591</v>
      </c>
      <c r="AD506" s="422" t="s">
        <v>137</v>
      </c>
      <c r="AE506" s="66">
        <v>57193.531000000003</v>
      </c>
      <c r="AF506" s="67">
        <v>50612.762000000002</v>
      </c>
      <c r="AG506" s="68">
        <v>57681.752</v>
      </c>
      <c r="AH506" s="66">
        <v>218.95</v>
      </c>
      <c r="AI506" s="67">
        <v>148.33000000000001</v>
      </c>
      <c r="AJ506" s="68">
        <v>225.84200000000001</v>
      </c>
      <c r="AK506" s="66"/>
      <c r="AL506" s="67"/>
      <c r="AM506" s="119"/>
      <c r="AN506" s="66">
        <f>AN505</f>
        <v>202.97</v>
      </c>
      <c r="AO506" s="67">
        <f>AO505</f>
        <v>217</v>
      </c>
      <c r="AP506" s="119">
        <v>199</v>
      </c>
      <c r="AQ506" s="66"/>
      <c r="AR506" s="67"/>
      <c r="AS506" s="119"/>
      <c r="AT506" s="66">
        <f>AT505</f>
        <v>274.77999999999997</v>
      </c>
      <c r="AU506" s="67">
        <f>AU505</f>
        <v>319.74</v>
      </c>
      <c r="AV506" s="119">
        <f>AV505</f>
        <v>250</v>
      </c>
      <c r="AW506" s="66">
        <v>0</v>
      </c>
      <c r="AX506" s="67"/>
      <c r="AY506" s="119">
        <v>0</v>
      </c>
      <c r="AZ506" s="66">
        <v>2751.09</v>
      </c>
      <c r="BA506" s="67">
        <v>1971.38</v>
      </c>
      <c r="BB506" s="119">
        <v>2723.42</v>
      </c>
      <c r="BC506" s="66">
        <v>2680.654</v>
      </c>
      <c r="BD506" s="67">
        <v>1478.3309999999999</v>
      </c>
      <c r="BE506" s="119">
        <v>2685.5059999999999</v>
      </c>
      <c r="BF506" s="123"/>
      <c r="BG506" s="121"/>
      <c r="BH506" s="122"/>
      <c r="BI506" s="123"/>
      <c r="BJ506" s="121"/>
      <c r="BK506" s="124"/>
      <c r="BN506" s="125">
        <f t="shared" si="84"/>
        <v>63321.974999999999</v>
      </c>
      <c r="BO506" s="126">
        <f t="shared" si="85"/>
        <v>54747.542999999998</v>
      </c>
      <c r="BP506" s="127">
        <f t="shared" si="86"/>
        <v>63765.52</v>
      </c>
    </row>
    <row r="507" spans="1:68" ht="14.25" customHeight="1" outlineLevel="3" x14ac:dyDescent="0.25">
      <c r="A507" s="10" t="b">
        <f t="array" ref="A507">A506</f>
        <v>1</v>
      </c>
      <c r="C507" s="116" t="s">
        <v>140</v>
      </c>
      <c r="D507" s="116" t="s">
        <v>141</v>
      </c>
      <c r="E507" s="116" t="s">
        <v>185</v>
      </c>
      <c r="F507" s="116" t="s">
        <v>74</v>
      </c>
      <c r="G507" s="116" t="s">
        <v>73</v>
      </c>
      <c r="H507" s="116" t="s">
        <v>73</v>
      </c>
      <c r="I507" s="116" t="s">
        <v>73</v>
      </c>
      <c r="J507" s="116" t="s">
        <v>73</v>
      </c>
      <c r="K507" s="116" t="s">
        <v>73</v>
      </c>
      <c r="L507" s="116"/>
      <c r="M507" s="5" t="str">
        <f t="array" ref="M507">Y460</f>
        <v>1ВО::1.1</v>
      </c>
      <c r="N507" s="116"/>
      <c r="AB507" s="403" t="str">
        <f>AB505&amp;".2"</f>
        <v>2.2.2</v>
      </c>
      <c r="AC507" s="413" t="s">
        <v>592</v>
      </c>
      <c r="AD507" s="422" t="s">
        <v>137</v>
      </c>
      <c r="AE507" s="66">
        <v>25.265999999999998</v>
      </c>
      <c r="AF507" s="67">
        <v>30.94</v>
      </c>
      <c r="AG507" s="68">
        <v>29.370999999999999</v>
      </c>
      <c r="AH507" s="66"/>
      <c r="AI507" s="67"/>
      <c r="AJ507" s="68"/>
      <c r="AK507" s="66"/>
      <c r="AL507" s="67"/>
      <c r="AM507" s="119"/>
      <c r="AN507" s="66"/>
      <c r="AO507" s="67"/>
      <c r="AP507" s="119"/>
      <c r="AQ507" s="66"/>
      <c r="AR507" s="67"/>
      <c r="AS507" s="119"/>
      <c r="AT507" s="66"/>
      <c r="AU507" s="67"/>
      <c r="AV507" s="119"/>
      <c r="AW507" s="66">
        <v>0</v>
      </c>
      <c r="AX507" s="67"/>
      <c r="AY507" s="119">
        <v>0</v>
      </c>
      <c r="AZ507" s="66">
        <v>94.09</v>
      </c>
      <c r="BA507" s="67">
        <v>0</v>
      </c>
      <c r="BB507" s="119">
        <v>0</v>
      </c>
      <c r="BC507" s="66"/>
      <c r="BD507" s="67"/>
      <c r="BE507" s="119">
        <v>0</v>
      </c>
      <c r="BF507" s="123"/>
      <c r="BG507" s="121"/>
      <c r="BH507" s="122"/>
      <c r="BI507" s="123"/>
      <c r="BJ507" s="121"/>
      <c r="BK507" s="124"/>
      <c r="BN507" s="125">
        <f t="shared" si="84"/>
        <v>119.35599999999999</v>
      </c>
      <c r="BO507" s="126">
        <f t="shared" si="85"/>
        <v>30.94</v>
      </c>
      <c r="BP507" s="127">
        <f t="shared" si="86"/>
        <v>29.370999999999999</v>
      </c>
    </row>
    <row r="508" spans="1:68" ht="14.25" customHeight="1" outlineLevel="3" x14ac:dyDescent="0.25">
      <c r="A508" s="10" t="b">
        <f t="array" ref="A508">A507</f>
        <v>1</v>
      </c>
      <c r="C508" s="154" t="s">
        <v>140</v>
      </c>
      <c r="D508" s="154" t="s">
        <v>141</v>
      </c>
      <c r="E508" s="154" t="s">
        <v>186</v>
      </c>
      <c r="F508" s="116" t="s">
        <v>74</v>
      </c>
      <c r="G508" s="154" t="s">
        <v>73</v>
      </c>
      <c r="H508" s="154" t="s">
        <v>73</v>
      </c>
      <c r="I508" s="154" t="s">
        <v>73</v>
      </c>
      <c r="J508" s="154" t="s">
        <v>73</v>
      </c>
      <c r="K508" s="154" t="s">
        <v>73</v>
      </c>
      <c r="L508" s="154"/>
      <c r="M508" s="5" t="str">
        <f t="array" ref="M508">Y460</f>
        <v>1ВО::1.1</v>
      </c>
      <c r="N508" s="116"/>
      <c r="AB508" s="403" t="str">
        <f>AB491&amp;".3"</f>
        <v>2.3</v>
      </c>
      <c r="AC508" s="305" t="s">
        <v>186</v>
      </c>
      <c r="AD508" s="422" t="s">
        <v>137</v>
      </c>
      <c r="AE508" s="427">
        <v>60174.777999999998</v>
      </c>
      <c r="AF508" s="67">
        <v>53511.555999999997</v>
      </c>
      <c r="AG508" s="428">
        <v>60721.131999999998</v>
      </c>
      <c r="AH508" s="66">
        <v>218.95</v>
      </c>
      <c r="AI508" s="67">
        <v>148.33000000000001</v>
      </c>
      <c r="AJ508" s="68">
        <v>225.84200000000001</v>
      </c>
      <c r="AK508" s="66"/>
      <c r="AL508" s="67"/>
      <c r="AM508" s="119"/>
      <c r="AN508" s="66">
        <f>AN506</f>
        <v>202.97</v>
      </c>
      <c r="AO508" s="67">
        <v>119.23</v>
      </c>
      <c r="AP508" s="119">
        <v>199</v>
      </c>
      <c r="AQ508" s="66"/>
      <c r="AR508" s="67"/>
      <c r="AS508" s="119"/>
      <c r="AT508" s="66">
        <f>AT506</f>
        <v>274.77999999999997</v>
      </c>
      <c r="AU508" s="67">
        <f>AU506</f>
        <v>319.74</v>
      </c>
      <c r="AV508" s="119">
        <f>AV506</f>
        <v>250</v>
      </c>
      <c r="AW508" s="66">
        <v>0</v>
      </c>
      <c r="AX508" s="67"/>
      <c r="AY508" s="119">
        <v>0</v>
      </c>
      <c r="AZ508" s="66">
        <v>2657</v>
      </c>
      <c r="BA508" s="67">
        <v>1971.38</v>
      </c>
      <c r="BB508" s="119">
        <v>2723.42</v>
      </c>
      <c r="BC508" s="66">
        <v>1191.194</v>
      </c>
      <c r="BD508" s="67">
        <v>1478.3309999999999</v>
      </c>
      <c r="BE508" s="119">
        <v>2385.232</v>
      </c>
      <c r="BF508" s="123"/>
      <c r="BG508" s="121"/>
      <c r="BH508" s="122"/>
      <c r="BI508" s="123"/>
      <c r="BJ508" s="121"/>
      <c r="BK508" s="124">
        <v>252.608</v>
      </c>
      <c r="BN508" s="125">
        <f t="shared" si="84"/>
        <v>64719.671999999999</v>
      </c>
      <c r="BO508" s="126">
        <f t="shared" si="85"/>
        <v>57548.566999999995</v>
      </c>
      <c r="BP508" s="127">
        <f t="shared" si="86"/>
        <v>66757.233999999982</v>
      </c>
    </row>
    <row r="509" spans="1:68" s="171" customFormat="1" ht="21" customHeight="1" x14ac:dyDescent="0.25">
      <c r="A509" s="166"/>
      <c r="B509" s="166"/>
      <c r="C509" s="167" t="s">
        <v>83</v>
      </c>
      <c r="D509" s="167" t="s">
        <v>84</v>
      </c>
      <c r="E509" s="167" t="s">
        <v>73</v>
      </c>
      <c r="F509" s="167" t="s">
        <v>74</v>
      </c>
      <c r="G509" s="167" t="s">
        <v>187</v>
      </c>
      <c r="H509" s="167" t="s">
        <v>73</v>
      </c>
      <c r="I509" s="167" t="s">
        <v>73</v>
      </c>
      <c r="J509" s="166"/>
      <c r="K509" s="168" t="s">
        <v>73</v>
      </c>
      <c r="L509" s="167" t="s">
        <v>133</v>
      </c>
      <c r="M509" s="166" t="str">
        <f t="array" ref="M509">Y460</f>
        <v>1ВО::1.1</v>
      </c>
      <c r="N509" s="166"/>
      <c r="O509" s="166"/>
      <c r="P509" s="166"/>
      <c r="Q509" s="166"/>
      <c r="R509" s="166"/>
      <c r="S509" s="166"/>
      <c r="T509" s="166"/>
      <c r="U509" s="166"/>
      <c r="V509" s="166"/>
      <c r="W509" s="166"/>
      <c r="X509" s="166"/>
      <c r="Y509" s="166"/>
      <c r="Z509" s="166"/>
      <c r="AA509" s="166"/>
      <c r="AB509" s="429">
        <f t="array" ref="AB509">IF($U460="Водоснабжение",AB474,AB491)+1</f>
        <v>3</v>
      </c>
      <c r="AC509" s="430" t="s">
        <v>187</v>
      </c>
      <c r="AD509" s="431" t="s">
        <v>111</v>
      </c>
      <c r="AE509" s="432">
        <f t="shared" ref="AE509:BK509" si="91">AE510+AE716+AE723+AE732</f>
        <v>1311006.5431379999</v>
      </c>
      <c r="AF509" s="433">
        <f t="shared" si="91"/>
        <v>1103501.4809999999</v>
      </c>
      <c r="AG509" s="434">
        <f t="shared" si="91"/>
        <v>1555308.101</v>
      </c>
      <c r="AH509" s="432">
        <f t="shared" si="91"/>
        <v>39392.546533999994</v>
      </c>
      <c r="AI509" s="433">
        <f t="shared" si="91"/>
        <v>12048.1</v>
      </c>
      <c r="AJ509" s="434">
        <f t="shared" si="91"/>
        <v>33177.109735999999</v>
      </c>
      <c r="AK509" s="432">
        <f t="shared" si="91"/>
        <v>0</v>
      </c>
      <c r="AL509" s="433">
        <f t="shared" si="91"/>
        <v>0</v>
      </c>
      <c r="AM509" s="434">
        <f t="shared" si="91"/>
        <v>0</v>
      </c>
      <c r="AN509" s="432">
        <f t="shared" si="91"/>
        <v>18577.570000000003</v>
      </c>
      <c r="AO509" s="433">
        <f t="shared" si="91"/>
        <v>4480.51</v>
      </c>
      <c r="AP509" s="434">
        <f t="shared" si="91"/>
        <v>22426.359999999997</v>
      </c>
      <c r="AQ509" s="432">
        <f t="shared" si="91"/>
        <v>17474.435000000001</v>
      </c>
      <c r="AR509" s="433">
        <f t="shared" si="91"/>
        <v>3230.64</v>
      </c>
      <c r="AS509" s="434">
        <f t="shared" si="91"/>
        <v>27240.790000000005</v>
      </c>
      <c r="AT509" s="432">
        <f t="shared" si="91"/>
        <v>13173.109999999999</v>
      </c>
      <c r="AU509" s="433">
        <f t="shared" si="91"/>
        <v>33782.65</v>
      </c>
      <c r="AV509" s="434">
        <f t="shared" si="91"/>
        <v>32004.46</v>
      </c>
      <c r="AW509" s="432">
        <f t="shared" si="91"/>
        <v>31776.933135650001</v>
      </c>
      <c r="AX509" s="433">
        <f t="shared" si="91"/>
        <v>4942.0089226</v>
      </c>
      <c r="AY509" s="434">
        <f t="shared" si="91"/>
        <v>46772.987237000001</v>
      </c>
      <c r="AZ509" s="432">
        <f t="shared" si="91"/>
        <v>116763.590214</v>
      </c>
      <c r="BA509" s="433">
        <f t="shared" si="91"/>
        <v>103080.202234</v>
      </c>
      <c r="BB509" s="434">
        <f t="shared" si="91"/>
        <v>191178.28456</v>
      </c>
      <c r="BC509" s="432">
        <f t="shared" si="91"/>
        <v>141417.46606000001</v>
      </c>
      <c r="BD509" s="433">
        <f t="shared" si="91"/>
        <v>84550.8</v>
      </c>
      <c r="BE509" s="434">
        <f t="shared" si="91"/>
        <v>168947.4044</v>
      </c>
      <c r="BF509" s="432">
        <f t="shared" si="91"/>
        <v>7592.1489999999994</v>
      </c>
      <c r="BG509" s="433">
        <f t="shared" si="91"/>
        <v>3779.11</v>
      </c>
      <c r="BH509" s="434">
        <f t="shared" si="91"/>
        <v>10228.530000000002</v>
      </c>
      <c r="BI509" s="432">
        <f t="shared" si="91"/>
        <v>41187.152000000002</v>
      </c>
      <c r="BJ509" s="433">
        <f t="shared" si="91"/>
        <v>23895.530000000006</v>
      </c>
      <c r="BK509" s="435">
        <f t="shared" si="91"/>
        <v>54894.993000000002</v>
      </c>
      <c r="BL509" s="170"/>
      <c r="BM509" s="166"/>
      <c r="BN509" s="436">
        <f t="shared" si="84"/>
        <v>1738361.4950816501</v>
      </c>
      <c r="BO509" s="437">
        <f t="shared" si="85"/>
        <v>1377291.0321565999</v>
      </c>
      <c r="BP509" s="438">
        <f t="shared" si="86"/>
        <v>2142179.0199330002</v>
      </c>
    </row>
    <row r="510" spans="1:68" s="171" customFormat="1" ht="21" customHeight="1" outlineLevel="1" x14ac:dyDescent="0.25">
      <c r="A510" s="166"/>
      <c r="B510" s="166"/>
      <c r="C510" s="167" t="s">
        <v>83</v>
      </c>
      <c r="D510" s="167" t="s">
        <v>84</v>
      </c>
      <c r="E510" s="167" t="s">
        <v>73</v>
      </c>
      <c r="F510" s="167" t="s">
        <v>74</v>
      </c>
      <c r="G510" s="167" t="s">
        <v>188</v>
      </c>
      <c r="H510" s="167" t="s">
        <v>73</v>
      </c>
      <c r="I510" s="167" t="s">
        <v>73</v>
      </c>
      <c r="J510" s="166"/>
      <c r="K510" s="168" t="s">
        <v>73</v>
      </c>
      <c r="L510" s="167" t="s">
        <v>133</v>
      </c>
      <c r="M510" s="166" t="str">
        <f t="array" ref="M510">Y460</f>
        <v>1ВО::1.1</v>
      </c>
      <c r="N510" s="166"/>
      <c r="O510" s="166"/>
      <c r="P510" s="166"/>
      <c r="Q510" s="166"/>
      <c r="R510" s="166"/>
      <c r="S510" s="166"/>
      <c r="T510" s="166"/>
      <c r="U510" s="166"/>
      <c r="V510" s="166"/>
      <c r="W510" s="166"/>
      <c r="X510" s="166"/>
      <c r="Y510" s="166"/>
      <c r="Z510" s="166"/>
      <c r="AA510" s="166"/>
      <c r="AB510" s="429" t="str">
        <f>AB509&amp;".1"</f>
        <v>3.1</v>
      </c>
      <c r="AC510" s="439" t="s">
        <v>188</v>
      </c>
      <c r="AD510" s="431" t="s">
        <v>111</v>
      </c>
      <c r="AE510" s="432">
        <f t="shared" ref="AE510:BK510" si="92">AE511+AE655+AE672</f>
        <v>1071054.5231379999</v>
      </c>
      <c r="AF510" s="433">
        <f t="shared" si="92"/>
        <v>1080986.3569999998</v>
      </c>
      <c r="AG510" s="434">
        <f t="shared" si="92"/>
        <v>1331194.2109999999</v>
      </c>
      <c r="AH510" s="432">
        <f t="shared" si="92"/>
        <v>18333.086533999998</v>
      </c>
      <c r="AI510" s="433">
        <f t="shared" si="92"/>
        <v>12048.1</v>
      </c>
      <c r="AJ510" s="434">
        <f t="shared" si="92"/>
        <v>22027.379736000003</v>
      </c>
      <c r="AK510" s="432">
        <f t="shared" si="92"/>
        <v>0</v>
      </c>
      <c r="AL510" s="433">
        <f t="shared" si="92"/>
        <v>0</v>
      </c>
      <c r="AM510" s="434">
        <f t="shared" si="92"/>
        <v>0</v>
      </c>
      <c r="AN510" s="432">
        <f t="shared" si="92"/>
        <v>18227.570000000003</v>
      </c>
      <c r="AO510" s="433">
        <f t="shared" si="92"/>
        <v>4480.51</v>
      </c>
      <c r="AP510" s="434">
        <f t="shared" si="92"/>
        <v>21664.859999999997</v>
      </c>
      <c r="AQ510" s="432">
        <f t="shared" si="92"/>
        <v>17268.225000000002</v>
      </c>
      <c r="AR510" s="433">
        <f t="shared" si="92"/>
        <v>3229.16</v>
      </c>
      <c r="AS510" s="434">
        <f t="shared" si="92"/>
        <v>26799.190000000006</v>
      </c>
      <c r="AT510" s="432">
        <f t="shared" si="92"/>
        <v>13118.88</v>
      </c>
      <c r="AU510" s="433">
        <f t="shared" si="92"/>
        <v>33731.450000000004</v>
      </c>
      <c r="AV510" s="434">
        <f t="shared" si="92"/>
        <v>31852.75</v>
      </c>
      <c r="AW510" s="432">
        <f t="shared" si="92"/>
        <v>31422.993135649998</v>
      </c>
      <c r="AX510" s="433">
        <f t="shared" si="92"/>
        <v>4942.0089226</v>
      </c>
      <c r="AY510" s="434">
        <f t="shared" si="92"/>
        <v>46287.837237</v>
      </c>
      <c r="AZ510" s="432">
        <f t="shared" si="92"/>
        <v>99491.435213999997</v>
      </c>
      <c r="BA510" s="433">
        <f t="shared" si="92"/>
        <v>103080.202234</v>
      </c>
      <c r="BB510" s="434">
        <f t="shared" si="92"/>
        <v>174692.67655999999</v>
      </c>
      <c r="BC510" s="432">
        <f t="shared" si="92"/>
        <v>94519.906059999994</v>
      </c>
      <c r="BD510" s="433">
        <f t="shared" si="92"/>
        <v>84550.8</v>
      </c>
      <c r="BE510" s="434">
        <f t="shared" si="92"/>
        <v>119321.4344</v>
      </c>
      <c r="BF510" s="432">
        <f t="shared" si="92"/>
        <v>7572.6549999999997</v>
      </c>
      <c r="BG510" s="433">
        <f t="shared" si="92"/>
        <v>3779.11</v>
      </c>
      <c r="BH510" s="434">
        <f t="shared" si="92"/>
        <v>10190.910000000002</v>
      </c>
      <c r="BI510" s="432">
        <f t="shared" si="92"/>
        <v>25265.538</v>
      </c>
      <c r="BJ510" s="433">
        <f t="shared" si="92"/>
        <v>23895.530000000006</v>
      </c>
      <c r="BK510" s="435">
        <f t="shared" si="92"/>
        <v>38798.008000000002</v>
      </c>
      <c r="BL510" s="170"/>
      <c r="BM510" s="166"/>
      <c r="BN510" s="436">
        <f t="shared" si="84"/>
        <v>1396274.8120816499</v>
      </c>
      <c r="BO510" s="437">
        <f t="shared" si="85"/>
        <v>1354723.2281565999</v>
      </c>
      <c r="BP510" s="438">
        <f t="shared" si="86"/>
        <v>1822829.2569329997</v>
      </c>
    </row>
    <row r="511" spans="1:68" s="171" customFormat="1" ht="21" customHeight="1" outlineLevel="2" x14ac:dyDescent="0.25">
      <c r="A511" s="166"/>
      <c r="B511" s="166"/>
      <c r="C511" s="167" t="s">
        <v>83</v>
      </c>
      <c r="D511" s="167" t="s">
        <v>84</v>
      </c>
      <c r="E511" s="167" t="s">
        <v>73</v>
      </c>
      <c r="F511" s="167" t="s">
        <v>74</v>
      </c>
      <c r="G511" s="167" t="s">
        <v>189</v>
      </c>
      <c r="H511" s="167" t="s">
        <v>73</v>
      </c>
      <c r="I511" s="167" t="s">
        <v>73</v>
      </c>
      <c r="J511" s="166"/>
      <c r="K511" s="168" t="s">
        <v>73</v>
      </c>
      <c r="L511" s="167" t="s">
        <v>133</v>
      </c>
      <c r="M511" s="166" t="str">
        <f t="array" ref="M511">Y460</f>
        <v>1ВО::1.1</v>
      </c>
      <c r="N511" s="166"/>
      <c r="O511" s="166"/>
      <c r="P511" s="166"/>
      <c r="Q511" s="166"/>
      <c r="R511" s="166"/>
      <c r="S511" s="166"/>
      <c r="T511" s="166"/>
      <c r="U511" s="166"/>
      <c r="V511" s="166"/>
      <c r="W511" s="166"/>
      <c r="X511" s="166"/>
      <c r="Y511" s="166"/>
      <c r="Z511" s="166"/>
      <c r="AA511" s="166"/>
      <c r="AB511" s="429" t="str">
        <f>AB510&amp;".1"</f>
        <v>3.1.1</v>
      </c>
      <c r="AC511" s="440" t="s">
        <v>190</v>
      </c>
      <c r="AD511" s="431" t="s">
        <v>111</v>
      </c>
      <c r="AE511" s="432">
        <f t="shared" ref="AE511:BK511" si="93">AE512+AE641+AE595+AE604</f>
        <v>783963.34213800007</v>
      </c>
      <c r="AF511" s="433">
        <f t="shared" si="93"/>
        <v>738752.39699999988</v>
      </c>
      <c r="AG511" s="434">
        <f t="shared" si="93"/>
        <v>924950.35999999987</v>
      </c>
      <c r="AH511" s="432">
        <f t="shared" si="93"/>
        <v>12038.416573999997</v>
      </c>
      <c r="AI511" s="433">
        <f t="shared" si="93"/>
        <v>4188.18</v>
      </c>
      <c r="AJ511" s="434">
        <f t="shared" si="93"/>
        <v>14553.491236000002</v>
      </c>
      <c r="AK511" s="432">
        <f t="shared" si="93"/>
        <v>0</v>
      </c>
      <c r="AL511" s="433">
        <f t="shared" si="93"/>
        <v>0</v>
      </c>
      <c r="AM511" s="434">
        <f t="shared" si="93"/>
        <v>0</v>
      </c>
      <c r="AN511" s="432">
        <f t="shared" si="93"/>
        <v>16009.080000000002</v>
      </c>
      <c r="AO511" s="433">
        <f t="shared" si="93"/>
        <v>3423.18</v>
      </c>
      <c r="AP511" s="434">
        <f t="shared" si="93"/>
        <v>18734.289999999997</v>
      </c>
      <c r="AQ511" s="432">
        <f t="shared" si="93"/>
        <v>16615.764999999999</v>
      </c>
      <c r="AR511" s="433">
        <f t="shared" si="93"/>
        <v>3032.56</v>
      </c>
      <c r="AS511" s="434">
        <f t="shared" si="93"/>
        <v>25170.530000000002</v>
      </c>
      <c r="AT511" s="432">
        <f t="shared" si="93"/>
        <v>12737.89</v>
      </c>
      <c r="AU511" s="433">
        <f t="shared" si="93"/>
        <v>32840.19</v>
      </c>
      <c r="AV511" s="434">
        <f t="shared" si="93"/>
        <v>31336.32</v>
      </c>
      <c r="AW511" s="432">
        <f t="shared" si="93"/>
        <v>30999.839167999999</v>
      </c>
      <c r="AX511" s="433">
        <f t="shared" si="93"/>
        <v>4607.2289226000003</v>
      </c>
      <c r="AY511" s="434">
        <f t="shared" si="93"/>
        <v>45436.784037000005</v>
      </c>
      <c r="AZ511" s="432">
        <f t="shared" si="93"/>
        <v>76662.515213999999</v>
      </c>
      <c r="BA511" s="433">
        <f t="shared" si="93"/>
        <v>79563.646234</v>
      </c>
      <c r="BB511" s="434">
        <f t="shared" si="93"/>
        <v>109296.40655999999</v>
      </c>
      <c r="BC511" s="432">
        <f t="shared" si="93"/>
        <v>62241.646059999999</v>
      </c>
      <c r="BD511" s="433">
        <f t="shared" si="93"/>
        <v>48538.14</v>
      </c>
      <c r="BE511" s="434">
        <f t="shared" si="93"/>
        <v>78490.594400000002</v>
      </c>
      <c r="BF511" s="432">
        <f t="shared" si="93"/>
        <v>7475.5349999999999</v>
      </c>
      <c r="BG511" s="433">
        <f t="shared" si="93"/>
        <v>3779.11</v>
      </c>
      <c r="BH511" s="434">
        <f t="shared" si="93"/>
        <v>10060.580000000002</v>
      </c>
      <c r="BI511" s="432">
        <f t="shared" si="93"/>
        <v>16552.007999999998</v>
      </c>
      <c r="BJ511" s="433">
        <f t="shared" si="93"/>
        <v>16963.000000000004</v>
      </c>
      <c r="BK511" s="435">
        <f t="shared" si="93"/>
        <v>23953.387999999999</v>
      </c>
      <c r="BL511" s="170"/>
      <c r="BM511" s="166"/>
      <c r="BN511" s="436">
        <f t="shared" si="84"/>
        <v>1035296.0371540003</v>
      </c>
      <c r="BO511" s="437">
        <f t="shared" si="85"/>
        <v>935687.63215660001</v>
      </c>
      <c r="BP511" s="438">
        <f t="shared" si="86"/>
        <v>1281982.7442330001</v>
      </c>
    </row>
    <row r="512" spans="1:68" s="171" customFormat="1" ht="21" customHeight="1" outlineLevel="3" x14ac:dyDescent="0.25">
      <c r="A512" s="166"/>
      <c r="B512" s="166"/>
      <c r="C512" s="167" t="s">
        <v>83</v>
      </c>
      <c r="D512" s="167" t="s">
        <v>84</v>
      </c>
      <c r="E512" s="167" t="s">
        <v>73</v>
      </c>
      <c r="F512" s="167" t="s">
        <v>74</v>
      </c>
      <c r="G512" s="167" t="s">
        <v>191</v>
      </c>
      <c r="H512" s="167" t="s">
        <v>73</v>
      </c>
      <c r="I512" s="167" t="s">
        <v>73</v>
      </c>
      <c r="J512" s="166"/>
      <c r="K512" s="168" t="s">
        <v>73</v>
      </c>
      <c r="L512" s="167" t="s">
        <v>192</v>
      </c>
      <c r="M512" s="166" t="str">
        <f t="array" ref="M512">Y460</f>
        <v>1ВО::1.1</v>
      </c>
      <c r="N512" s="166"/>
      <c r="O512" s="166"/>
      <c r="P512" s="166"/>
      <c r="Q512" s="166"/>
      <c r="R512" s="166"/>
      <c r="S512" s="166"/>
      <c r="T512" s="166"/>
      <c r="U512" s="166"/>
      <c r="V512" s="166"/>
      <c r="W512" s="166"/>
      <c r="X512" s="166"/>
      <c r="Y512" s="166"/>
      <c r="Z512" s="166"/>
      <c r="AA512" s="166"/>
      <c r="AB512" s="429" t="str">
        <f>AB511&amp;".1"</f>
        <v>3.1.1.1</v>
      </c>
      <c r="AC512" s="441" t="s">
        <v>193</v>
      </c>
      <c r="AD512" s="431" t="s">
        <v>111</v>
      </c>
      <c r="AE512" s="432">
        <f t="shared" ref="AE512:BK512" si="94">AE513+AE517+AE518+AE524+AE525+AE533</f>
        <v>435524.31128000002</v>
      </c>
      <c r="AF512" s="433">
        <f t="shared" si="94"/>
        <v>463244.6</v>
      </c>
      <c r="AG512" s="434">
        <f t="shared" si="94"/>
        <v>585125.72</v>
      </c>
      <c r="AH512" s="432">
        <f t="shared" si="94"/>
        <v>11376.394639999999</v>
      </c>
      <c r="AI512" s="433">
        <f t="shared" si="94"/>
        <v>3192.7300000000005</v>
      </c>
      <c r="AJ512" s="434">
        <f t="shared" si="94"/>
        <v>13238.986700000001</v>
      </c>
      <c r="AK512" s="432">
        <f t="shared" si="94"/>
        <v>0</v>
      </c>
      <c r="AL512" s="433">
        <f t="shared" si="94"/>
        <v>0</v>
      </c>
      <c r="AM512" s="434">
        <f t="shared" si="94"/>
        <v>0</v>
      </c>
      <c r="AN512" s="432">
        <f t="shared" si="94"/>
        <v>5950.38</v>
      </c>
      <c r="AO512" s="433">
        <f t="shared" si="94"/>
        <v>1881.98</v>
      </c>
      <c r="AP512" s="434">
        <f t="shared" si="94"/>
        <v>8190.4599999999991</v>
      </c>
      <c r="AQ512" s="432">
        <f t="shared" si="94"/>
        <v>6718.7350000000006</v>
      </c>
      <c r="AR512" s="433">
        <f t="shared" si="94"/>
        <v>1517.68</v>
      </c>
      <c r="AS512" s="434">
        <f t="shared" si="94"/>
        <v>10392.440000000002</v>
      </c>
      <c r="AT512" s="432">
        <f t="shared" si="94"/>
        <v>5612.33</v>
      </c>
      <c r="AU512" s="433">
        <f t="shared" si="94"/>
        <v>5478.71</v>
      </c>
      <c r="AV512" s="434">
        <f t="shared" si="94"/>
        <v>10646.91</v>
      </c>
      <c r="AW512" s="432">
        <f t="shared" si="94"/>
        <v>15546.392759999999</v>
      </c>
      <c r="AX512" s="433">
        <f t="shared" si="94"/>
        <v>2918.2589226</v>
      </c>
      <c r="AY512" s="434">
        <f t="shared" si="94"/>
        <v>16851.256081</v>
      </c>
      <c r="AZ512" s="432">
        <f t="shared" si="94"/>
        <v>52623.043264</v>
      </c>
      <c r="BA512" s="433">
        <f t="shared" si="94"/>
        <v>30731.871739999999</v>
      </c>
      <c r="BB512" s="434">
        <f t="shared" si="94"/>
        <v>56424.502379999991</v>
      </c>
      <c r="BC512" s="432">
        <f t="shared" si="94"/>
        <v>45650.45</v>
      </c>
      <c r="BD512" s="433">
        <f t="shared" si="94"/>
        <v>32116.240000000005</v>
      </c>
      <c r="BE512" s="434">
        <f t="shared" si="94"/>
        <v>54257.37</v>
      </c>
      <c r="BF512" s="432">
        <f t="shared" si="94"/>
        <v>5224.6880000000001</v>
      </c>
      <c r="BG512" s="433">
        <f t="shared" si="94"/>
        <v>3291.34</v>
      </c>
      <c r="BH512" s="434">
        <f t="shared" si="94"/>
        <v>3819.0499999999997</v>
      </c>
      <c r="BI512" s="432">
        <f t="shared" si="94"/>
        <v>11483.74</v>
      </c>
      <c r="BJ512" s="433">
        <f t="shared" si="94"/>
        <v>14465.12</v>
      </c>
      <c r="BK512" s="435">
        <f t="shared" si="94"/>
        <v>18383.808000000001</v>
      </c>
      <c r="BL512" s="170"/>
      <c r="BM512" s="166"/>
      <c r="BN512" s="436">
        <f t="shared" si="84"/>
        <v>595710.46494400001</v>
      </c>
      <c r="BO512" s="437">
        <f t="shared" si="85"/>
        <v>558838.53066259995</v>
      </c>
      <c r="BP512" s="438">
        <f t="shared" si="86"/>
        <v>777330.50316099986</v>
      </c>
    </row>
    <row r="513" spans="1:68" ht="14.25" customHeight="1" outlineLevel="4" x14ac:dyDescent="0.25">
      <c r="C513" s="10" t="s">
        <v>83</v>
      </c>
      <c r="D513" s="10" t="s">
        <v>84</v>
      </c>
      <c r="E513" s="10" t="s">
        <v>73</v>
      </c>
      <c r="F513" s="10" t="s">
        <v>74</v>
      </c>
      <c r="G513" s="10" t="s">
        <v>194</v>
      </c>
      <c r="H513" s="10" t="s">
        <v>73</v>
      </c>
      <c r="I513" s="10" t="s">
        <v>73</v>
      </c>
      <c r="K513" s="12" t="s">
        <v>73</v>
      </c>
      <c r="L513" s="10" t="s">
        <v>192</v>
      </c>
      <c r="M513" s="5" t="str">
        <f t="array" ref="M513">Y460</f>
        <v>1ВО::1.1</v>
      </c>
      <c r="AB513" s="403" t="str">
        <f>AB512&amp;".1"</f>
        <v>3.1.1.1.1</v>
      </c>
      <c r="AC513" s="442" t="s">
        <v>195</v>
      </c>
      <c r="AD513" s="32" t="s">
        <v>111</v>
      </c>
      <c r="AE513" s="175">
        <f t="shared" ref="AE513:AJ513" si="95">AE514+AE515+AE516</f>
        <v>23370.521000000001</v>
      </c>
      <c r="AF513" s="73">
        <f t="shared" si="95"/>
        <v>5731.26</v>
      </c>
      <c r="AG513" s="443">
        <f t="shared" si="95"/>
        <v>25705.9</v>
      </c>
      <c r="AH513" s="175">
        <f t="shared" si="95"/>
        <v>449.99</v>
      </c>
      <c r="AI513" s="73">
        <f t="shared" si="95"/>
        <v>0</v>
      </c>
      <c r="AJ513" s="443">
        <f t="shared" si="95"/>
        <v>492.79</v>
      </c>
      <c r="AK513" s="72"/>
      <c r="AL513" s="73"/>
      <c r="AM513" s="138"/>
      <c r="AN513" s="175">
        <f t="shared" ref="AN513:BK513" si="96">AN514+AN515+AN516</f>
        <v>92.13</v>
      </c>
      <c r="AO513" s="73">
        <f t="shared" si="96"/>
        <v>112.55</v>
      </c>
      <c r="AP513" s="443">
        <f t="shared" si="96"/>
        <v>101.37</v>
      </c>
      <c r="AQ513" s="175">
        <f t="shared" si="96"/>
        <v>481.07500000000005</v>
      </c>
      <c r="AR513" s="73">
        <f t="shared" si="96"/>
        <v>230.73</v>
      </c>
      <c r="AS513" s="443">
        <f t="shared" si="96"/>
        <v>529.36</v>
      </c>
      <c r="AT513" s="175">
        <f t="shared" si="96"/>
        <v>315.40999999999997</v>
      </c>
      <c r="AU513" s="73">
        <f t="shared" si="96"/>
        <v>0</v>
      </c>
      <c r="AV513" s="443">
        <f t="shared" si="96"/>
        <v>347.07</v>
      </c>
      <c r="AW513" s="175">
        <f t="shared" si="96"/>
        <v>815.38400000000001</v>
      </c>
      <c r="AX513" s="73">
        <f t="shared" si="96"/>
        <v>0</v>
      </c>
      <c r="AY513" s="443">
        <f t="shared" si="96"/>
        <v>766.06299999999999</v>
      </c>
      <c r="AZ513" s="175">
        <f t="shared" si="96"/>
        <v>2668.19</v>
      </c>
      <c r="BA513" s="73">
        <f t="shared" si="96"/>
        <v>325.74</v>
      </c>
      <c r="BB513" s="443">
        <f t="shared" si="96"/>
        <v>2929.6060000000002</v>
      </c>
      <c r="BC513" s="175">
        <f t="shared" si="96"/>
        <v>1876.44</v>
      </c>
      <c r="BD513" s="73">
        <f t="shared" si="96"/>
        <v>3334.76</v>
      </c>
      <c r="BE513" s="443">
        <f t="shared" si="96"/>
        <v>5347.76</v>
      </c>
      <c r="BF513" s="175">
        <f t="shared" si="96"/>
        <v>327.98</v>
      </c>
      <c r="BG513" s="73">
        <f t="shared" si="96"/>
        <v>336.38</v>
      </c>
      <c r="BH513" s="443">
        <f t="shared" si="96"/>
        <v>234.01999999999998</v>
      </c>
      <c r="BI513" s="175">
        <f t="shared" si="96"/>
        <v>415.98500000000001</v>
      </c>
      <c r="BJ513" s="73">
        <f t="shared" si="96"/>
        <v>181.82</v>
      </c>
      <c r="BK513" s="176">
        <f t="shared" si="96"/>
        <v>578.95000000000005</v>
      </c>
      <c r="BN513" s="125">
        <f t="shared" si="84"/>
        <v>30813.105</v>
      </c>
      <c r="BO513" s="126">
        <f t="shared" si="85"/>
        <v>10253.24</v>
      </c>
      <c r="BP513" s="127">
        <f t="shared" si="86"/>
        <v>37032.888999999996</v>
      </c>
    </row>
    <row r="514" spans="1:68" ht="14.25" hidden="1" customHeight="1" outlineLevel="4" x14ac:dyDescent="0.25">
      <c r="C514" s="10" t="s">
        <v>83</v>
      </c>
      <c r="D514" s="10" t="s">
        <v>84</v>
      </c>
      <c r="E514" s="10" t="s">
        <v>73</v>
      </c>
      <c r="F514" s="10" t="s">
        <v>74</v>
      </c>
      <c r="G514" s="10" t="s">
        <v>196</v>
      </c>
      <c r="H514" s="10" t="s">
        <v>73</v>
      </c>
      <c r="I514" s="10" t="s">
        <v>73</v>
      </c>
      <c r="K514" s="12" t="s">
        <v>73</v>
      </c>
      <c r="L514" s="10" t="s">
        <v>192</v>
      </c>
      <c r="M514" s="5" t="str">
        <f t="array" ref="M514">Y460</f>
        <v>1ВО::1.1</v>
      </c>
      <c r="AB514" s="403" t="str">
        <f>AB513&amp;".1"</f>
        <v>3.1.1.1.1.1</v>
      </c>
      <c r="AC514" s="444" t="s">
        <v>196</v>
      </c>
      <c r="AD514" s="32" t="s">
        <v>111</v>
      </c>
      <c r="AE514" s="175"/>
      <c r="AF514" s="178"/>
      <c r="AG514" s="176"/>
      <c r="AH514" s="72"/>
      <c r="AI514" s="178"/>
      <c r="AJ514" s="74"/>
      <c r="AK514" s="72"/>
      <c r="AL514" s="178"/>
      <c r="AM514" s="138"/>
      <c r="AN514" s="72"/>
      <c r="AO514" s="178"/>
      <c r="AP514" s="138"/>
      <c r="AQ514" s="72"/>
      <c r="AR514" s="178"/>
      <c r="AS514" s="138"/>
      <c r="AT514" s="72"/>
      <c r="AU514" s="178"/>
      <c r="AV514" s="138"/>
      <c r="AW514" s="72"/>
      <c r="AX514" s="178"/>
      <c r="AY514" s="138"/>
      <c r="AZ514" s="72"/>
      <c r="BA514" s="178"/>
      <c r="BB514" s="138"/>
      <c r="BC514" s="72"/>
      <c r="BD514" s="178"/>
      <c r="BE514" s="138"/>
      <c r="BF514" s="72"/>
      <c r="BG514" s="178"/>
      <c r="BH514" s="138"/>
      <c r="BI514" s="72"/>
      <c r="BJ514" s="178"/>
      <c r="BK514" s="74"/>
      <c r="BN514" s="125">
        <f t="shared" si="84"/>
        <v>0</v>
      </c>
      <c r="BO514" s="126">
        <f t="shared" si="85"/>
        <v>0</v>
      </c>
      <c r="BP514" s="127">
        <f t="shared" si="86"/>
        <v>0</v>
      </c>
    </row>
    <row r="515" spans="1:68" ht="14.25" customHeight="1" outlineLevel="4" x14ac:dyDescent="0.25">
      <c r="C515" s="10" t="s">
        <v>83</v>
      </c>
      <c r="D515" s="10" t="s">
        <v>84</v>
      </c>
      <c r="E515" s="10" t="s">
        <v>73</v>
      </c>
      <c r="F515" s="10" t="s">
        <v>74</v>
      </c>
      <c r="G515" s="10" t="s">
        <v>197</v>
      </c>
      <c r="H515" s="10" t="s">
        <v>73</v>
      </c>
      <c r="I515" s="10" t="s">
        <v>73</v>
      </c>
      <c r="K515" s="12" t="s">
        <v>73</v>
      </c>
      <c r="L515" s="10" t="s">
        <v>192</v>
      </c>
      <c r="M515" s="5" t="str">
        <f t="array" ref="M515">Y460</f>
        <v>1ВО::1.1</v>
      </c>
      <c r="AB515" s="403" t="str">
        <f>AB513&amp;".2"</f>
        <v>3.1.1.1.1.2</v>
      </c>
      <c r="AC515" s="444" t="s">
        <v>197</v>
      </c>
      <c r="AD515" s="32" t="s">
        <v>111</v>
      </c>
      <c r="AE515" s="445">
        <v>12094.290999999999</v>
      </c>
      <c r="AF515" s="178">
        <f>5393.55-18.66</f>
        <v>5374.89</v>
      </c>
      <c r="AG515" s="446">
        <v>13298.43</v>
      </c>
      <c r="AH515" s="95">
        <v>9.99</v>
      </c>
      <c r="AI515" s="178"/>
      <c r="AJ515" s="96">
        <v>10.94</v>
      </c>
      <c r="AK515" s="95"/>
      <c r="AL515" s="178"/>
      <c r="AM515" s="181"/>
      <c r="AN515" s="95">
        <v>71.52</v>
      </c>
      <c r="AO515" s="178">
        <v>30.95</v>
      </c>
      <c r="AP515" s="181">
        <v>78.69</v>
      </c>
      <c r="AQ515" s="95">
        <v>309.12</v>
      </c>
      <c r="AR515" s="178">
        <v>78.09</v>
      </c>
      <c r="AS515" s="181">
        <v>340.17</v>
      </c>
      <c r="AT515" s="95">
        <v>302.27999999999997</v>
      </c>
      <c r="AU515" s="178"/>
      <c r="AV515" s="181">
        <v>332.62</v>
      </c>
      <c r="AW515" s="95">
        <v>578.26599999999996</v>
      </c>
      <c r="AX515" s="178"/>
      <c r="AY515" s="181">
        <v>636.30799999999999</v>
      </c>
      <c r="AZ515" s="95">
        <v>741.94</v>
      </c>
      <c r="BA515" s="178">
        <v>325.74</v>
      </c>
      <c r="BB515" s="181">
        <v>810.11900000000003</v>
      </c>
      <c r="BC515" s="95">
        <v>891.97</v>
      </c>
      <c r="BD515" s="178">
        <v>3334.76</v>
      </c>
      <c r="BE515" s="181">
        <v>3556.36</v>
      </c>
      <c r="BF515" s="185">
        <v>160.57</v>
      </c>
      <c r="BG515" s="183">
        <v>48.03</v>
      </c>
      <c r="BH515" s="184">
        <v>100.97499999999999</v>
      </c>
      <c r="BI515" s="185">
        <v>206.185</v>
      </c>
      <c r="BJ515" s="183">
        <v>90.4</v>
      </c>
      <c r="BK515" s="186">
        <v>348.1</v>
      </c>
      <c r="BN515" s="125">
        <f t="shared" si="84"/>
        <v>15366.132</v>
      </c>
      <c r="BO515" s="126">
        <f t="shared" si="85"/>
        <v>9282.86</v>
      </c>
      <c r="BP515" s="127">
        <f t="shared" si="86"/>
        <v>19512.712</v>
      </c>
    </row>
    <row r="516" spans="1:68" ht="14.25" customHeight="1" outlineLevel="4" x14ac:dyDescent="0.25">
      <c r="C516" s="10" t="s">
        <v>83</v>
      </c>
      <c r="D516" s="10" t="s">
        <v>84</v>
      </c>
      <c r="E516" s="10" t="s">
        <v>73</v>
      </c>
      <c r="F516" s="10" t="s">
        <v>74</v>
      </c>
      <c r="G516" s="10" t="s">
        <v>198</v>
      </c>
      <c r="H516" s="10" t="s">
        <v>73</v>
      </c>
      <c r="I516" s="10" t="s">
        <v>73</v>
      </c>
      <c r="K516" s="12" t="s">
        <v>73</v>
      </c>
      <c r="L516" s="10" t="s">
        <v>192</v>
      </c>
      <c r="M516" s="5" t="str">
        <f t="array" ref="M516">Y460</f>
        <v>1ВО::1.1</v>
      </c>
      <c r="AB516" s="403" t="str">
        <f>AB513&amp;".3"</f>
        <v>3.1.1.1.1.3</v>
      </c>
      <c r="AC516" s="444" t="s">
        <v>198</v>
      </c>
      <c r="AD516" s="32" t="s">
        <v>111</v>
      </c>
      <c r="AE516" s="445">
        <v>11276.23</v>
      </c>
      <c r="AF516" s="178">
        <v>356.37</v>
      </c>
      <c r="AG516" s="446">
        <v>12407.47</v>
      </c>
      <c r="AH516" s="95">
        <v>440</v>
      </c>
      <c r="AI516" s="178"/>
      <c r="AJ516" s="96">
        <v>481.85</v>
      </c>
      <c r="AK516" s="95"/>
      <c r="AL516" s="178"/>
      <c r="AM516" s="181"/>
      <c r="AN516" s="95">
        <v>20.61</v>
      </c>
      <c r="AO516" s="178">
        <v>81.599999999999994</v>
      </c>
      <c r="AP516" s="181">
        <v>22.68</v>
      </c>
      <c r="AQ516" s="95">
        <v>171.95500000000001</v>
      </c>
      <c r="AR516" s="178">
        <v>152.63999999999999</v>
      </c>
      <c r="AS516" s="181">
        <v>189.19</v>
      </c>
      <c r="AT516" s="95">
        <v>13.13</v>
      </c>
      <c r="AU516" s="178"/>
      <c r="AV516" s="181">
        <v>14.45</v>
      </c>
      <c r="AW516" s="95">
        <v>237.11799999999999</v>
      </c>
      <c r="AX516" s="178"/>
      <c r="AY516" s="181">
        <v>129.755</v>
      </c>
      <c r="AZ516" s="95">
        <v>1926.25</v>
      </c>
      <c r="BA516" s="178"/>
      <c r="BB516" s="181">
        <v>2119.4870000000001</v>
      </c>
      <c r="BC516" s="95">
        <v>984.47</v>
      </c>
      <c r="BD516" s="178"/>
      <c r="BE516" s="181">
        <f>1536.46+254.94</f>
        <v>1791.4</v>
      </c>
      <c r="BF516" s="185">
        <v>167.41</v>
      </c>
      <c r="BG516" s="183">
        <v>288.35000000000002</v>
      </c>
      <c r="BH516" s="184">
        <v>133.04499999999999</v>
      </c>
      <c r="BI516" s="185">
        <v>209.8</v>
      </c>
      <c r="BJ516" s="183">
        <v>91.42</v>
      </c>
      <c r="BK516" s="186">
        <v>230.85</v>
      </c>
      <c r="BN516" s="125">
        <f t="shared" si="84"/>
        <v>15446.972999999998</v>
      </c>
      <c r="BO516" s="126">
        <f t="shared" si="85"/>
        <v>970.38</v>
      </c>
      <c r="BP516" s="127">
        <f t="shared" si="86"/>
        <v>17520.177</v>
      </c>
    </row>
    <row r="517" spans="1:68" ht="30" customHeight="1" outlineLevel="4" x14ac:dyDescent="0.25">
      <c r="C517" s="10" t="s">
        <v>83</v>
      </c>
      <c r="D517" s="10" t="s">
        <v>84</v>
      </c>
      <c r="E517" s="10" t="s">
        <v>73</v>
      </c>
      <c r="F517" s="10" t="s">
        <v>74</v>
      </c>
      <c r="G517" s="10" t="s">
        <v>199</v>
      </c>
      <c r="H517" s="10" t="s">
        <v>73</v>
      </c>
      <c r="I517" s="10" t="s">
        <v>73</v>
      </c>
      <c r="K517" s="12" t="s">
        <v>73</v>
      </c>
      <c r="L517" s="10" t="s">
        <v>192</v>
      </c>
      <c r="M517" s="5" t="str">
        <f t="array" ref="M517">Y460</f>
        <v>1ВО::1.1</v>
      </c>
      <c r="AB517" s="403" t="str">
        <f>AB512&amp;".2"</f>
        <v>3.1.1.1.2</v>
      </c>
      <c r="AC517" s="442" t="s">
        <v>200</v>
      </c>
      <c r="AD517" s="32" t="s">
        <v>111</v>
      </c>
      <c r="AE517" s="95"/>
      <c r="AF517" s="178">
        <v>1027.3800000000001</v>
      </c>
      <c r="AG517" s="96">
        <v>1085.22</v>
      </c>
      <c r="AH517" s="95"/>
      <c r="AI517" s="178"/>
      <c r="AJ517" s="96"/>
      <c r="AK517" s="95"/>
      <c r="AL517" s="178"/>
      <c r="AM517" s="181"/>
      <c r="AN517" s="95"/>
      <c r="AO517" s="178">
        <v>54.14</v>
      </c>
      <c r="AP517" s="181"/>
      <c r="AQ517" s="95"/>
      <c r="AR517" s="178"/>
      <c r="AS517" s="181"/>
      <c r="AT517" s="95"/>
      <c r="AU517" s="178"/>
      <c r="AV517" s="181"/>
      <c r="AW517" s="95"/>
      <c r="AX517" s="178"/>
      <c r="AY517" s="181"/>
      <c r="AZ517" s="95"/>
      <c r="BA517" s="178"/>
      <c r="BB517" s="181"/>
      <c r="BC517" s="95"/>
      <c r="BD517" s="178"/>
      <c r="BE517" s="181"/>
      <c r="BF517" s="95"/>
      <c r="BG517" s="178"/>
      <c r="BH517" s="181"/>
      <c r="BI517" s="95"/>
      <c r="BJ517" s="178"/>
      <c r="BK517" s="96"/>
      <c r="BN517" s="125">
        <f t="shared" si="84"/>
        <v>0</v>
      </c>
      <c r="BO517" s="126">
        <f t="shared" si="85"/>
        <v>1081.5200000000002</v>
      </c>
      <c r="BP517" s="127">
        <f t="shared" si="86"/>
        <v>1085.22</v>
      </c>
    </row>
    <row r="518" spans="1:68" ht="36" customHeight="1" outlineLevel="4" x14ac:dyDescent="0.25">
      <c r="C518" s="10" t="s">
        <v>83</v>
      </c>
      <c r="D518" s="10" t="s">
        <v>84</v>
      </c>
      <c r="E518" s="10" t="s">
        <v>73</v>
      </c>
      <c r="F518" s="10" t="s">
        <v>74</v>
      </c>
      <c r="G518" s="10" t="s">
        <v>201</v>
      </c>
      <c r="H518" s="10" t="s">
        <v>202</v>
      </c>
      <c r="I518" s="10" t="s">
        <v>73</v>
      </c>
      <c r="K518" s="12" t="s">
        <v>73</v>
      </c>
      <c r="L518" s="10" t="s">
        <v>192</v>
      </c>
      <c r="M518" s="5" t="str">
        <f t="array" ref="M518">Y460</f>
        <v>1ВО::1.1</v>
      </c>
      <c r="AB518" s="403" t="str">
        <f>AB512&amp;".3"</f>
        <v>3.1.1.1.3</v>
      </c>
      <c r="AC518" s="442" t="s">
        <v>203</v>
      </c>
      <c r="AD518" s="32" t="s">
        <v>111</v>
      </c>
      <c r="AE518" s="72">
        <f t="shared" ref="AE518:AJ518" si="97">AE519+AE522</f>
        <v>324531.61828000005</v>
      </c>
      <c r="AF518" s="73">
        <f t="shared" si="97"/>
        <v>420816.72</v>
      </c>
      <c r="AG518" s="74">
        <f t="shared" si="97"/>
        <v>450934.6</v>
      </c>
      <c r="AH518" s="72">
        <f t="shared" si="97"/>
        <v>9180.8186399999995</v>
      </c>
      <c r="AI518" s="73">
        <f t="shared" si="97"/>
        <v>2774.7200000000003</v>
      </c>
      <c r="AJ518" s="74">
        <f t="shared" si="97"/>
        <v>9929.9634000000005</v>
      </c>
      <c r="AK518" s="72"/>
      <c r="AL518" s="73"/>
      <c r="AM518" s="138"/>
      <c r="AN518" s="72">
        <f t="shared" ref="AN518:BK518" si="98">AN519+AN522</f>
        <v>5221.8</v>
      </c>
      <c r="AO518" s="73">
        <f t="shared" si="98"/>
        <v>1715.29</v>
      </c>
      <c r="AP518" s="138">
        <f t="shared" si="98"/>
        <v>7278.95</v>
      </c>
      <c r="AQ518" s="72">
        <f t="shared" si="98"/>
        <v>5664.1900000000005</v>
      </c>
      <c r="AR518" s="73">
        <f t="shared" si="98"/>
        <v>1286.95</v>
      </c>
      <c r="AS518" s="138">
        <f t="shared" si="98"/>
        <v>8826.69</v>
      </c>
      <c r="AT518" s="72">
        <f t="shared" si="98"/>
        <v>4736.22</v>
      </c>
      <c r="AU518" s="73">
        <f t="shared" si="98"/>
        <v>5478.71</v>
      </c>
      <c r="AV518" s="138">
        <f t="shared" si="98"/>
        <v>9413.23</v>
      </c>
      <c r="AW518" s="72">
        <f t="shared" si="98"/>
        <v>10805.792759999998</v>
      </c>
      <c r="AX518" s="73">
        <f t="shared" si="98"/>
        <v>2918.2589226</v>
      </c>
      <c r="AY518" s="138">
        <f t="shared" si="98"/>
        <v>11598.171081</v>
      </c>
      <c r="AZ518" s="72">
        <f t="shared" si="98"/>
        <v>39742.029263999997</v>
      </c>
      <c r="BA518" s="73">
        <f t="shared" si="98"/>
        <v>27082.081739999998</v>
      </c>
      <c r="BB518" s="138">
        <f t="shared" si="98"/>
        <v>37814.233379999998</v>
      </c>
      <c r="BC518" s="72">
        <f t="shared" si="98"/>
        <v>30755.31</v>
      </c>
      <c r="BD518" s="73">
        <f t="shared" si="98"/>
        <v>28683.550000000003</v>
      </c>
      <c r="BE518" s="138">
        <f t="shared" si="98"/>
        <v>33840.68</v>
      </c>
      <c r="BF518" s="142">
        <f t="shared" si="98"/>
        <v>3687.63</v>
      </c>
      <c r="BG518" s="140">
        <f t="shared" si="98"/>
        <v>2872.84</v>
      </c>
      <c r="BH518" s="141">
        <f t="shared" si="98"/>
        <v>1649.33</v>
      </c>
      <c r="BI518" s="142">
        <f t="shared" si="98"/>
        <v>8728.15</v>
      </c>
      <c r="BJ518" s="140">
        <f t="shared" si="98"/>
        <v>11815.03</v>
      </c>
      <c r="BK518" s="143">
        <f t="shared" si="98"/>
        <v>13678.778</v>
      </c>
      <c r="BN518" s="125">
        <f t="shared" si="84"/>
        <v>443053.55894400005</v>
      </c>
      <c r="BO518" s="126">
        <f t="shared" si="85"/>
        <v>505444.1506626</v>
      </c>
      <c r="BP518" s="127">
        <f t="shared" si="86"/>
        <v>584964.62586100004</v>
      </c>
    </row>
    <row r="519" spans="1:68" ht="15" customHeight="1" outlineLevel="4" x14ac:dyDescent="0.25">
      <c r="C519" s="10" t="s">
        <v>83</v>
      </c>
      <c r="D519" s="10" t="s">
        <v>84</v>
      </c>
      <c r="E519" s="10" t="s">
        <v>73</v>
      </c>
      <c r="F519" s="10" t="s">
        <v>74</v>
      </c>
      <c r="G519" s="10" t="s">
        <v>204</v>
      </c>
      <c r="H519" s="10" t="s">
        <v>202</v>
      </c>
      <c r="I519" s="10" t="s">
        <v>73</v>
      </c>
      <c r="K519" s="12" t="s">
        <v>73</v>
      </c>
      <c r="L519" s="10" t="s">
        <v>192</v>
      </c>
      <c r="M519" s="5" t="str">
        <f t="array" ref="M519">Y460</f>
        <v>1ВО::1.1</v>
      </c>
      <c r="AB519" s="403" t="str">
        <f>AB518&amp;".1"</f>
        <v>3.1.1.1.3.1</v>
      </c>
      <c r="AC519" s="444" t="s">
        <v>205</v>
      </c>
      <c r="AD519" s="32" t="s">
        <v>111</v>
      </c>
      <c r="AE519" s="95">
        <f>252408.14-8207.56/2</f>
        <v>248304.36000000002</v>
      </c>
      <c r="AF519" s="178">
        <v>321975.74</v>
      </c>
      <c r="AG519" s="96">
        <v>346339.94</v>
      </c>
      <c r="AH519" s="95">
        <v>7051.32</v>
      </c>
      <c r="AI519" s="178">
        <v>2130.5700000000002</v>
      </c>
      <c r="AJ519" s="96">
        <v>7626.7</v>
      </c>
      <c r="AK519" s="95"/>
      <c r="AL519" s="178"/>
      <c r="AM519" s="181"/>
      <c r="AN519" s="95">
        <v>4010.6</v>
      </c>
      <c r="AO519" s="178">
        <v>1317.42</v>
      </c>
      <c r="AP519" s="181">
        <v>5590.59</v>
      </c>
      <c r="AQ519" s="95">
        <v>4350.38</v>
      </c>
      <c r="AR519" s="178">
        <v>988.44</v>
      </c>
      <c r="AS519" s="181">
        <v>6779.33</v>
      </c>
      <c r="AT519" s="95">
        <v>3637.65</v>
      </c>
      <c r="AU519" s="178">
        <v>4207.92</v>
      </c>
      <c r="AV519" s="181">
        <v>7229.82</v>
      </c>
      <c r="AW519" s="95">
        <v>8299.3799999999992</v>
      </c>
      <c r="AX519" s="178">
        <v>2241.3663000000001</v>
      </c>
      <c r="AY519" s="181">
        <v>8907.9655000000002</v>
      </c>
      <c r="AZ519" s="95">
        <v>30523.831999999999</v>
      </c>
      <c r="BA519" s="178">
        <v>20800.37</v>
      </c>
      <c r="BB519" s="181">
        <v>29043.19</v>
      </c>
      <c r="BC519" s="95">
        <v>23621.59</v>
      </c>
      <c r="BD519" s="178">
        <v>22030.38</v>
      </c>
      <c r="BE519" s="181">
        <v>25991.31</v>
      </c>
      <c r="BF519" s="185">
        <v>2832.28</v>
      </c>
      <c r="BG519" s="183">
        <v>2206.48</v>
      </c>
      <c r="BH519" s="184">
        <v>1266.77</v>
      </c>
      <c r="BI519" s="185">
        <v>6703.65</v>
      </c>
      <c r="BJ519" s="183">
        <v>9074.5300000000007</v>
      </c>
      <c r="BK519" s="186">
        <v>10505.974</v>
      </c>
      <c r="BN519" s="125">
        <f t="shared" si="84"/>
        <v>339335.04200000013</v>
      </c>
      <c r="BO519" s="126">
        <f t="shared" si="85"/>
        <v>386973.21629999997</v>
      </c>
      <c r="BP519" s="127">
        <f t="shared" si="86"/>
        <v>449281.58950000006</v>
      </c>
    </row>
    <row r="520" spans="1:68" s="115" customFormat="1" ht="21.75" customHeight="1" outlineLevel="4" x14ac:dyDescent="0.25">
      <c r="A520" s="100"/>
      <c r="B520" s="100"/>
      <c r="C520" s="99" t="s">
        <v>206</v>
      </c>
      <c r="D520" s="99" t="s">
        <v>207</v>
      </c>
      <c r="E520" s="99" t="s">
        <v>73</v>
      </c>
      <c r="F520" s="99" t="s">
        <v>74</v>
      </c>
      <c r="G520" s="99" t="s">
        <v>73</v>
      </c>
      <c r="H520" s="99" t="s">
        <v>202</v>
      </c>
      <c r="I520" s="99" t="s">
        <v>73</v>
      </c>
      <c r="J520" s="100"/>
      <c r="K520" s="102" t="s">
        <v>73</v>
      </c>
      <c r="L520" s="99" t="s">
        <v>192</v>
      </c>
      <c r="M520" s="100" t="str">
        <f t="array" ref="M520">Y460</f>
        <v>1ВО::1.1</v>
      </c>
      <c r="N520" s="100"/>
      <c r="O520" s="100"/>
      <c r="P520" s="100"/>
      <c r="Q520" s="100"/>
      <c r="R520" s="100"/>
      <c r="S520" s="100"/>
      <c r="T520" s="100"/>
      <c r="U520" s="100"/>
      <c r="V520" s="100"/>
      <c r="W520" s="100"/>
      <c r="X520" s="100"/>
      <c r="Y520" s="100"/>
      <c r="Z520" s="100"/>
      <c r="AA520" s="100"/>
      <c r="AB520" s="418" t="str">
        <f>AB519&amp;".1"</f>
        <v>3.1.1.1.3.1.1</v>
      </c>
      <c r="AC520" s="447" t="s">
        <v>208</v>
      </c>
      <c r="AD520" s="448" t="s">
        <v>209</v>
      </c>
      <c r="AE520" s="190">
        <f t="shared" ref="AE520:AJ520" si="99">(AE519/AE521)/12*1000</f>
        <v>41869.749089437479</v>
      </c>
      <c r="AF520" s="191">
        <f t="shared" si="99"/>
        <v>50332.617368249914</v>
      </c>
      <c r="AG520" s="192">
        <f t="shared" si="99"/>
        <v>53756.12156205377</v>
      </c>
      <c r="AH520" s="190">
        <f t="shared" si="99"/>
        <v>41034.217877094969</v>
      </c>
      <c r="AI520" s="191">
        <f t="shared" si="99"/>
        <v>18117.091836734693</v>
      </c>
      <c r="AJ520" s="192">
        <f t="shared" si="99"/>
        <v>44757.629107981222</v>
      </c>
      <c r="AK520" s="190"/>
      <c r="AL520" s="191"/>
      <c r="AM520" s="193"/>
      <c r="AN520" s="190">
        <f t="shared" ref="AN520:BK520" si="100">(AN519/AN521)/12*1000</f>
        <v>38504.224270353305</v>
      </c>
      <c r="AO520" s="191">
        <f t="shared" si="100"/>
        <v>27446.250000000004</v>
      </c>
      <c r="AP520" s="193">
        <f t="shared" si="100"/>
        <v>40162.284482758623</v>
      </c>
      <c r="AQ520" s="190">
        <f t="shared" si="100"/>
        <v>50281.784558483596</v>
      </c>
      <c r="AR520" s="191">
        <f t="shared" si="100"/>
        <v>32948</v>
      </c>
      <c r="AS520" s="193">
        <f t="shared" si="100"/>
        <v>45195.53333333334</v>
      </c>
      <c r="AT520" s="190">
        <f t="shared" si="100"/>
        <v>48814.412238325283</v>
      </c>
      <c r="AU520" s="191">
        <f t="shared" si="100"/>
        <v>42504.242424242424</v>
      </c>
      <c r="AV520" s="193">
        <f t="shared" si="100"/>
        <v>44961.567164179105</v>
      </c>
      <c r="AW520" s="190">
        <f t="shared" si="100"/>
        <v>51382.986627043087</v>
      </c>
      <c r="AX520" s="191">
        <f t="shared" si="100"/>
        <v>43948.358823529416</v>
      </c>
      <c r="AY520" s="193">
        <f t="shared" si="100"/>
        <v>44989.724747474756</v>
      </c>
      <c r="AZ520" s="190">
        <f t="shared" si="100"/>
        <v>53890.946327683618</v>
      </c>
      <c r="BA520" s="191">
        <f t="shared" si="100"/>
        <v>44297.576454553193</v>
      </c>
      <c r="BB520" s="193">
        <f t="shared" si="100"/>
        <v>55257.210806697112</v>
      </c>
      <c r="BC520" s="190">
        <f t="shared" si="100"/>
        <v>47720.383838383837</v>
      </c>
      <c r="BD520" s="191">
        <f t="shared" si="100"/>
        <v>45896.625</v>
      </c>
      <c r="BE520" s="193">
        <f t="shared" si="100"/>
        <v>54148.562500000007</v>
      </c>
      <c r="BF520" s="190">
        <f t="shared" si="100"/>
        <v>51309.420289855079</v>
      </c>
      <c r="BG520" s="191">
        <f t="shared" si="100"/>
        <v>36774.666666666672</v>
      </c>
      <c r="BH520" s="193">
        <f t="shared" si="100"/>
        <v>46917.407407407409</v>
      </c>
      <c r="BI520" s="190">
        <f t="shared" si="100"/>
        <v>45789.959016393448</v>
      </c>
      <c r="BJ520" s="191">
        <f t="shared" si="100"/>
        <v>36443.895582329322</v>
      </c>
      <c r="BK520" s="192">
        <f t="shared" si="100"/>
        <v>42192.666666666664</v>
      </c>
      <c r="BL520" s="111"/>
      <c r="BM520" s="100"/>
      <c r="BN520" s="112">
        <f>(BN519/BN521)/12*1000</f>
        <v>43549.381927011949</v>
      </c>
      <c r="BO520" s="113">
        <f>(BO519/BO521)/12*1000</f>
        <v>48364.880954166409</v>
      </c>
      <c r="BP520" s="114">
        <f>(BP519/BP521)/12*1000</f>
        <v>52591.842194596633</v>
      </c>
    </row>
    <row r="521" spans="1:68" s="115" customFormat="1" ht="18.75" customHeight="1" outlineLevel="4" x14ac:dyDescent="0.25">
      <c r="A521" s="100"/>
      <c r="B521" s="100"/>
      <c r="C521" s="99" t="s">
        <v>210</v>
      </c>
      <c r="D521" s="99" t="s">
        <v>211</v>
      </c>
      <c r="E521" s="99" t="s">
        <v>73</v>
      </c>
      <c r="F521" s="99" t="s">
        <v>74</v>
      </c>
      <c r="G521" s="99" t="s">
        <v>73</v>
      </c>
      <c r="H521" s="99" t="s">
        <v>202</v>
      </c>
      <c r="I521" s="99" t="s">
        <v>73</v>
      </c>
      <c r="J521" s="100"/>
      <c r="K521" s="102" t="s">
        <v>73</v>
      </c>
      <c r="L521" s="99" t="s">
        <v>192</v>
      </c>
      <c r="M521" s="100" t="str">
        <f t="array" ref="M521">Y460</f>
        <v>1ВО::1.1</v>
      </c>
      <c r="N521" s="100"/>
      <c r="O521" s="100"/>
      <c r="P521" s="100"/>
      <c r="Q521" s="100"/>
      <c r="R521" s="100"/>
      <c r="S521" s="100"/>
      <c r="T521" s="100"/>
      <c r="U521" s="100"/>
      <c r="V521" s="100"/>
      <c r="W521" s="100"/>
      <c r="X521" s="100"/>
      <c r="Y521" s="100"/>
      <c r="Z521" s="100"/>
      <c r="AA521" s="100"/>
      <c r="AB521" s="418" t="str">
        <f>AB519&amp;".2"</f>
        <v>3.1.1.1.3.1.2</v>
      </c>
      <c r="AC521" s="447" t="s">
        <v>212</v>
      </c>
      <c r="AD521" s="448" t="s">
        <v>213</v>
      </c>
      <c r="AE521" s="199">
        <v>494.2</v>
      </c>
      <c r="AF521" s="200">
        <v>533.08000000000004</v>
      </c>
      <c r="AG521" s="201">
        <v>536.9</v>
      </c>
      <c r="AH521" s="199">
        <v>14.32</v>
      </c>
      <c r="AI521" s="200">
        <v>9.8000000000000007</v>
      </c>
      <c r="AJ521" s="201">
        <v>14.2</v>
      </c>
      <c r="AK521" s="199"/>
      <c r="AL521" s="200"/>
      <c r="AM521" s="202"/>
      <c r="AN521" s="199">
        <v>8.68</v>
      </c>
      <c r="AO521" s="200">
        <v>4</v>
      </c>
      <c r="AP521" s="202">
        <v>11.6</v>
      </c>
      <c r="AQ521" s="199">
        <v>7.21</v>
      </c>
      <c r="AR521" s="200">
        <v>2.5</v>
      </c>
      <c r="AS521" s="202">
        <v>12.5</v>
      </c>
      <c r="AT521" s="199">
        <v>6.21</v>
      </c>
      <c r="AU521" s="200">
        <v>8.25</v>
      </c>
      <c r="AV521" s="202">
        <v>13.4</v>
      </c>
      <c r="AW521" s="199">
        <v>13.46</v>
      </c>
      <c r="AX521" s="200">
        <v>4.25</v>
      </c>
      <c r="AY521" s="202">
        <v>16.5</v>
      </c>
      <c r="AZ521" s="199">
        <v>47.2</v>
      </c>
      <c r="BA521" s="200">
        <v>39.130000000000003</v>
      </c>
      <c r="BB521" s="202">
        <v>43.8</v>
      </c>
      <c r="BC521" s="199">
        <v>41.25</v>
      </c>
      <c r="BD521" s="200">
        <v>40</v>
      </c>
      <c r="BE521" s="202">
        <v>40</v>
      </c>
      <c r="BF521" s="206">
        <v>4.5999999999999996</v>
      </c>
      <c r="BG521" s="204">
        <v>5</v>
      </c>
      <c r="BH521" s="205">
        <v>2.25</v>
      </c>
      <c r="BI521" s="206">
        <v>12.2</v>
      </c>
      <c r="BJ521" s="204">
        <v>20.75</v>
      </c>
      <c r="BK521" s="207">
        <v>20.75</v>
      </c>
      <c r="BL521" s="111"/>
      <c r="BM521" s="100"/>
      <c r="BN521" s="112">
        <f t="shared" ref="BN521:BP522" si="101">AE521+AH521+AK521+AN521+AQ521+AT521+AW521+AZ521+BC521+BF521+BI521</f>
        <v>649.33000000000015</v>
      </c>
      <c r="BO521" s="113">
        <f t="shared" si="101"/>
        <v>666.76</v>
      </c>
      <c r="BP521" s="114">
        <f t="shared" si="101"/>
        <v>711.9</v>
      </c>
    </row>
    <row r="522" spans="1:68" ht="30.75" customHeight="1" outlineLevel="4" x14ac:dyDescent="0.25">
      <c r="C522" s="10" t="s">
        <v>83</v>
      </c>
      <c r="D522" s="10" t="s">
        <v>84</v>
      </c>
      <c r="E522" s="10" t="s">
        <v>73</v>
      </c>
      <c r="F522" s="10" t="s">
        <v>74</v>
      </c>
      <c r="G522" s="10" t="s">
        <v>214</v>
      </c>
      <c r="H522" s="10" t="s">
        <v>202</v>
      </c>
      <c r="I522" s="10" t="s">
        <v>73</v>
      </c>
      <c r="K522" s="12" t="s">
        <v>73</v>
      </c>
      <c r="L522" s="10" t="s">
        <v>192</v>
      </c>
      <c r="M522" s="5" t="str">
        <f t="array" ref="M522">Y460</f>
        <v>1ВО::1.1</v>
      </c>
      <c r="AB522" s="403" t="str">
        <f>AB518&amp;".2"</f>
        <v>3.1.1.1.3.2</v>
      </c>
      <c r="AC522" s="444" t="s">
        <v>215</v>
      </c>
      <c r="AD522" s="32" t="s">
        <v>111</v>
      </c>
      <c r="AE522" s="95">
        <f>252408.14*0.302</f>
        <v>76227.258280000009</v>
      </c>
      <c r="AF522" s="178">
        <v>98840.98</v>
      </c>
      <c r="AG522" s="96">
        <v>104594.66</v>
      </c>
      <c r="AH522" s="95">
        <f>AH519*0.302</f>
        <v>2129.4986399999998</v>
      </c>
      <c r="AI522" s="178">
        <v>644.15</v>
      </c>
      <c r="AJ522" s="96">
        <f>AJ519*0.302</f>
        <v>2303.2633999999998</v>
      </c>
      <c r="AK522" s="95"/>
      <c r="AL522" s="178"/>
      <c r="AM522" s="181"/>
      <c r="AN522" s="95">
        <v>1211.2</v>
      </c>
      <c r="AO522" s="178">
        <v>397.87</v>
      </c>
      <c r="AP522" s="181">
        <v>1688.36</v>
      </c>
      <c r="AQ522" s="95">
        <v>1313.81</v>
      </c>
      <c r="AR522" s="178">
        <v>298.51</v>
      </c>
      <c r="AS522" s="181">
        <v>2047.36</v>
      </c>
      <c r="AT522" s="95">
        <v>1098.57</v>
      </c>
      <c r="AU522" s="178">
        <v>1270.79</v>
      </c>
      <c r="AV522" s="181">
        <v>2183.41</v>
      </c>
      <c r="AW522" s="95">
        <f t="shared" ref="AW522:BB522" si="102">AW519*30.2%</f>
        <v>2506.4127599999997</v>
      </c>
      <c r="AX522" s="178">
        <f t="shared" si="102"/>
        <v>676.89262259999998</v>
      </c>
      <c r="AY522" s="181">
        <f t="shared" si="102"/>
        <v>2690.2055810000002</v>
      </c>
      <c r="AZ522" s="95">
        <f t="shared" si="102"/>
        <v>9218.1972639999985</v>
      </c>
      <c r="BA522" s="178">
        <f t="shared" si="102"/>
        <v>6281.7117399999997</v>
      </c>
      <c r="BB522" s="181">
        <f t="shared" si="102"/>
        <v>8771.0433799999992</v>
      </c>
      <c r="BC522" s="95">
        <v>7133.72</v>
      </c>
      <c r="BD522" s="178">
        <v>6653.17</v>
      </c>
      <c r="BE522" s="181">
        <v>7849.37</v>
      </c>
      <c r="BF522" s="185">
        <v>855.35</v>
      </c>
      <c r="BG522" s="183">
        <v>666.36</v>
      </c>
      <c r="BH522" s="184">
        <v>382.56</v>
      </c>
      <c r="BI522" s="185">
        <v>2024.5</v>
      </c>
      <c r="BJ522" s="183">
        <v>2740.5</v>
      </c>
      <c r="BK522" s="186">
        <v>3172.8040000000001</v>
      </c>
      <c r="BN522" s="125">
        <f t="shared" si="101"/>
        <v>103718.51694400003</v>
      </c>
      <c r="BO522" s="126">
        <f t="shared" si="101"/>
        <v>118470.93436259998</v>
      </c>
      <c r="BP522" s="127">
        <f t="shared" si="101"/>
        <v>135683.03636100001</v>
      </c>
    </row>
    <row r="523" spans="1:68" ht="32.25" customHeight="1" outlineLevel="4" x14ac:dyDescent="0.25">
      <c r="C523" s="10" t="s">
        <v>216</v>
      </c>
      <c r="D523" s="10" t="s">
        <v>217</v>
      </c>
      <c r="E523" s="10" t="s">
        <v>73</v>
      </c>
      <c r="F523" s="10" t="s">
        <v>74</v>
      </c>
      <c r="G523" s="10" t="s">
        <v>73</v>
      </c>
      <c r="H523" s="10" t="s">
        <v>202</v>
      </c>
      <c r="I523" s="10" t="s">
        <v>73</v>
      </c>
      <c r="K523" s="12" t="s">
        <v>73</v>
      </c>
      <c r="L523" s="10" t="s">
        <v>192</v>
      </c>
      <c r="M523" s="5" t="str">
        <f t="array" ref="M523">Y460</f>
        <v>1ВО::1.1</v>
      </c>
      <c r="AB523" s="403" t="str">
        <f>AB522&amp;".1"</f>
        <v>3.1.1.1.3.2.1</v>
      </c>
      <c r="AC523" s="449" t="s">
        <v>218</v>
      </c>
      <c r="AD523" s="32" t="s">
        <v>119</v>
      </c>
      <c r="AE523" s="72">
        <v>30.2</v>
      </c>
      <c r="AF523" s="73">
        <v>30.2</v>
      </c>
      <c r="AG523" s="74">
        <v>30.2</v>
      </c>
      <c r="AH523" s="72">
        <f>AH522/AH519*100</f>
        <v>30.2</v>
      </c>
      <c r="AI523" s="73">
        <v>30.2</v>
      </c>
      <c r="AJ523" s="74">
        <f>AJ522/AJ519*100</f>
        <v>30.2</v>
      </c>
      <c r="AK523" s="72"/>
      <c r="AL523" s="73"/>
      <c r="AM523" s="138"/>
      <c r="AN523" s="72">
        <v>30.2</v>
      </c>
      <c r="AO523" s="73">
        <v>30.2</v>
      </c>
      <c r="AP523" s="138">
        <v>30.2</v>
      </c>
      <c r="AQ523" s="72">
        <v>30.2</v>
      </c>
      <c r="AR523" s="73">
        <v>30.2</v>
      </c>
      <c r="AS523" s="138">
        <v>30.2</v>
      </c>
      <c r="AT523" s="72">
        <v>30.2</v>
      </c>
      <c r="AU523" s="73">
        <v>30.2</v>
      </c>
      <c r="AV523" s="138">
        <v>30.2</v>
      </c>
      <c r="AW523" s="72">
        <v>30.2</v>
      </c>
      <c r="AX523" s="73">
        <v>30.2</v>
      </c>
      <c r="AY523" s="138">
        <v>30.2</v>
      </c>
      <c r="AZ523" s="72">
        <v>30.2</v>
      </c>
      <c r="BA523" s="73">
        <v>30.2</v>
      </c>
      <c r="BB523" s="138">
        <v>30.2</v>
      </c>
      <c r="BC523" s="72">
        <v>30.2</v>
      </c>
      <c r="BD523" s="73">
        <v>30.2</v>
      </c>
      <c r="BE523" s="138">
        <v>30.2</v>
      </c>
      <c r="BF523" s="142">
        <v>30.2</v>
      </c>
      <c r="BG523" s="140">
        <v>30.2</v>
      </c>
      <c r="BH523" s="141">
        <v>30.2</v>
      </c>
      <c r="BI523" s="142">
        <v>30.2</v>
      </c>
      <c r="BJ523" s="140">
        <v>30.2</v>
      </c>
      <c r="BK523" s="143">
        <v>30.2</v>
      </c>
      <c r="BN523" s="125">
        <v>30.2</v>
      </c>
      <c r="BO523" s="126">
        <v>30.2</v>
      </c>
      <c r="BP523" s="127">
        <v>30.2</v>
      </c>
    </row>
    <row r="524" spans="1:68" ht="16.5" customHeight="1" outlineLevel="4" x14ac:dyDescent="0.25">
      <c r="C524" s="10" t="s">
        <v>83</v>
      </c>
      <c r="D524" s="10" t="s">
        <v>84</v>
      </c>
      <c r="E524" s="10" t="s">
        <v>73</v>
      </c>
      <c r="F524" s="10" t="s">
        <v>74</v>
      </c>
      <c r="G524" s="10" t="s">
        <v>219</v>
      </c>
      <c r="H524" s="10" t="s">
        <v>73</v>
      </c>
      <c r="I524" s="10" t="s">
        <v>73</v>
      </c>
      <c r="K524" s="12" t="s">
        <v>73</v>
      </c>
      <c r="L524" s="10" t="s">
        <v>192</v>
      </c>
      <c r="M524" s="5" t="str">
        <f t="array" ref="M524">Y460</f>
        <v>1ВО::1.1</v>
      </c>
      <c r="AB524" s="403" t="str">
        <f>AB512&amp;".4"</f>
        <v>3.1.1.1.4</v>
      </c>
      <c r="AC524" s="442" t="s">
        <v>220</v>
      </c>
      <c r="AD524" s="32" t="s">
        <v>111</v>
      </c>
      <c r="AE524" s="95">
        <v>31365.502</v>
      </c>
      <c r="AF524" s="178"/>
      <c r="AG524" s="96">
        <v>57201.49</v>
      </c>
      <c r="AH524" s="95">
        <v>141.82599999999999</v>
      </c>
      <c r="AI524" s="178"/>
      <c r="AJ524" s="96">
        <v>153.4033</v>
      </c>
      <c r="AK524" s="95"/>
      <c r="AL524" s="178"/>
      <c r="AM524" s="181"/>
      <c r="AN524" s="95">
        <v>141.83000000000001</v>
      </c>
      <c r="AO524" s="178"/>
      <c r="AP524" s="181">
        <v>258.64999999999998</v>
      </c>
      <c r="AQ524" s="95">
        <v>152.74</v>
      </c>
      <c r="AR524" s="178"/>
      <c r="AS524" s="181">
        <v>278.54000000000002</v>
      </c>
      <c r="AT524" s="95">
        <v>152.74</v>
      </c>
      <c r="AU524" s="178"/>
      <c r="AV524" s="181">
        <v>278.54000000000002</v>
      </c>
      <c r="AW524" s="95">
        <v>120.01</v>
      </c>
      <c r="AX524" s="178"/>
      <c r="AY524" s="181">
        <v>218.86</v>
      </c>
      <c r="AZ524" s="95">
        <v>2214.6799999999998</v>
      </c>
      <c r="BA524" s="178"/>
      <c r="BB524" s="181">
        <v>4038.92</v>
      </c>
      <c r="BC524" s="95">
        <v>2072.85</v>
      </c>
      <c r="BD524" s="178"/>
      <c r="BE524" s="181">
        <v>2280.8000000000002</v>
      </c>
      <c r="BF524" s="450">
        <v>32.729999999999997</v>
      </c>
      <c r="BG524" s="49"/>
      <c r="BH524" s="451">
        <v>59.685000000000002</v>
      </c>
      <c r="BI524" s="450">
        <v>120.01</v>
      </c>
      <c r="BJ524" s="452">
        <v>134.01</v>
      </c>
      <c r="BK524" s="453">
        <v>218.86</v>
      </c>
      <c r="BN524" s="125">
        <f t="shared" ref="BN524:BN555" si="103">AE524+AH524+AK524+AN524+AQ524+AT524+AW524+AZ524+BC524+BF524+BI524</f>
        <v>36514.918000000005</v>
      </c>
      <c r="BO524" s="126">
        <f t="shared" ref="BO524:BO555" si="104">AF524+AI524+AL524+AO524+AR524+AU524+AX524+BA524+BD524+BG524+BJ524</f>
        <v>134.01</v>
      </c>
      <c r="BP524" s="127">
        <f t="shared" ref="BP524:BP555" si="105">AG524+AJ524+AM524+AP524+AS524+AV524+AY524+BB524+BE524+BH524+BK524</f>
        <v>64987.748299999999</v>
      </c>
    </row>
    <row r="525" spans="1:68" ht="18" hidden="1" customHeight="1" outlineLevel="4" x14ac:dyDescent="0.25">
      <c r="C525" s="10" t="s">
        <v>83</v>
      </c>
      <c r="D525" s="10" t="s">
        <v>84</v>
      </c>
      <c r="E525" s="10" t="s">
        <v>73</v>
      </c>
      <c r="F525" s="10" t="s">
        <v>74</v>
      </c>
      <c r="G525" s="10" t="s">
        <v>221</v>
      </c>
      <c r="H525" s="10" t="s">
        <v>73</v>
      </c>
      <c r="I525" s="10" t="s">
        <v>73</v>
      </c>
      <c r="K525" s="12" t="s">
        <v>73</v>
      </c>
      <c r="L525" s="10" t="s">
        <v>192</v>
      </c>
      <c r="M525" s="5" t="str">
        <f t="array" ref="M525">Y460</f>
        <v>1ВО::1.1</v>
      </c>
      <c r="AB525" s="403" t="str">
        <f>AB512&amp;".5"</f>
        <v>3.1.1.1.5</v>
      </c>
      <c r="AC525" s="442" t="s">
        <v>222</v>
      </c>
      <c r="AD525" s="32" t="s">
        <v>111</v>
      </c>
      <c r="AE525" s="72"/>
      <c r="AF525" s="178"/>
      <c r="AG525" s="96"/>
      <c r="AH525" s="72"/>
      <c r="AI525" s="178"/>
      <c r="AJ525" s="96"/>
      <c r="AK525" s="72"/>
      <c r="AL525" s="178"/>
      <c r="AM525" s="181"/>
      <c r="AN525" s="72"/>
      <c r="AO525" s="178"/>
      <c r="AP525" s="181"/>
      <c r="AQ525" s="72"/>
      <c r="AR525" s="178"/>
      <c r="AS525" s="181"/>
      <c r="AT525" s="72"/>
      <c r="AU525" s="178"/>
      <c r="AV525" s="181"/>
      <c r="AW525" s="72"/>
      <c r="AX525" s="178"/>
      <c r="AY525" s="181"/>
      <c r="AZ525" s="72"/>
      <c r="BA525" s="178"/>
      <c r="BB525" s="181"/>
      <c r="BC525" s="72"/>
      <c r="BD525" s="178"/>
      <c r="BE525" s="181"/>
      <c r="BF525" s="72"/>
      <c r="BG525" s="178"/>
      <c r="BH525" s="181"/>
      <c r="BI525" s="72"/>
      <c r="BJ525" s="178"/>
      <c r="BK525" s="96"/>
      <c r="BN525" s="125">
        <f t="shared" si="103"/>
        <v>0</v>
      </c>
      <c r="BO525" s="126">
        <f t="shared" si="104"/>
        <v>0</v>
      </c>
      <c r="BP525" s="127">
        <f t="shared" si="105"/>
        <v>0</v>
      </c>
    </row>
    <row r="526" spans="1:68" ht="24" hidden="1" customHeight="1" outlineLevel="4" x14ac:dyDescent="0.25">
      <c r="A526" s="5" t="b">
        <f>[5]ИТОГ!$AC$55="нет"</f>
        <v>1</v>
      </c>
      <c r="C526" s="10" t="s">
        <v>83</v>
      </c>
      <c r="D526" s="10" t="s">
        <v>84</v>
      </c>
      <c r="E526" s="10" t="s">
        <v>73</v>
      </c>
      <c r="F526" s="10" t="s">
        <v>74</v>
      </c>
      <c r="G526" s="10" t="s">
        <v>201</v>
      </c>
      <c r="H526" s="10" t="s">
        <v>223</v>
      </c>
      <c r="I526" s="10" t="s">
        <v>73</v>
      </c>
      <c r="K526" s="12" t="s">
        <v>73</v>
      </c>
      <c r="L526" s="10" t="s">
        <v>224</v>
      </c>
      <c r="M526" s="5" t="str">
        <f t="array" ref="M526">Y460</f>
        <v>1ВО::1.1</v>
      </c>
      <c r="AB526" s="403" t="str">
        <f>AB525&amp;".1"</f>
        <v>3.1.1.1.5.1</v>
      </c>
      <c r="AC526" s="444" t="s">
        <v>225</v>
      </c>
      <c r="AD526" s="32" t="s">
        <v>111</v>
      </c>
      <c r="AE526" s="72"/>
      <c r="AF526" s="73"/>
      <c r="AG526" s="74"/>
      <c r="AH526" s="72"/>
      <c r="AI526" s="73"/>
      <c r="AJ526" s="74"/>
      <c r="AK526" s="72"/>
      <c r="AL526" s="73"/>
      <c r="AM526" s="138"/>
      <c r="AN526" s="72"/>
      <c r="AO526" s="73"/>
      <c r="AP526" s="138"/>
      <c r="AQ526" s="72"/>
      <c r="AR526" s="73"/>
      <c r="AS526" s="138"/>
      <c r="AT526" s="72"/>
      <c r="AU526" s="73"/>
      <c r="AV526" s="138"/>
      <c r="AW526" s="72"/>
      <c r="AX526" s="73"/>
      <c r="AY526" s="138"/>
      <c r="AZ526" s="72"/>
      <c r="BA526" s="73"/>
      <c r="BB526" s="138"/>
      <c r="BC526" s="72"/>
      <c r="BD526" s="73"/>
      <c r="BE526" s="138"/>
      <c r="BF526" s="72"/>
      <c r="BG526" s="73"/>
      <c r="BH526" s="138"/>
      <c r="BI526" s="72"/>
      <c r="BJ526" s="73"/>
      <c r="BK526" s="74"/>
      <c r="BN526" s="125">
        <f t="shared" si="103"/>
        <v>0</v>
      </c>
      <c r="BO526" s="126">
        <f t="shared" si="104"/>
        <v>0</v>
      </c>
      <c r="BP526" s="127">
        <f t="shared" si="105"/>
        <v>0</v>
      </c>
    </row>
    <row r="527" spans="1:68" ht="14.25" hidden="1" customHeight="1" outlineLevel="4" x14ac:dyDescent="0.25">
      <c r="A527" s="5" t="b">
        <f t="array" ref="A527">A526</f>
        <v>1</v>
      </c>
      <c r="C527" s="10" t="s">
        <v>83</v>
      </c>
      <c r="D527" s="10" t="s">
        <v>84</v>
      </c>
      <c r="E527" s="10" t="s">
        <v>73</v>
      </c>
      <c r="F527" s="10" t="s">
        <v>74</v>
      </c>
      <c r="G527" s="10" t="s">
        <v>204</v>
      </c>
      <c r="H527" s="10" t="s">
        <v>223</v>
      </c>
      <c r="I527" s="10" t="s">
        <v>73</v>
      </c>
      <c r="K527" s="12" t="s">
        <v>73</v>
      </c>
      <c r="L527" s="10" t="s">
        <v>224</v>
      </c>
      <c r="M527" s="5" t="str">
        <f t="array" ref="M527">Y460</f>
        <v>1ВО::1.1</v>
      </c>
      <c r="AB527" s="403" t="str">
        <f>AB526&amp;".1"</f>
        <v>3.1.1.1.5.1.1</v>
      </c>
      <c r="AC527" s="454" t="s">
        <v>226</v>
      </c>
      <c r="AD527" s="32" t="s">
        <v>111</v>
      </c>
      <c r="AE527" s="72"/>
      <c r="AF527" s="178"/>
      <c r="AG527" s="96"/>
      <c r="AH527" s="72"/>
      <c r="AI527" s="178"/>
      <c r="AJ527" s="96"/>
      <c r="AK527" s="72"/>
      <c r="AL527" s="178"/>
      <c r="AM527" s="181"/>
      <c r="AN527" s="72"/>
      <c r="AO527" s="178"/>
      <c r="AP527" s="181"/>
      <c r="AQ527" s="72"/>
      <c r="AR527" s="178"/>
      <c r="AS527" s="181"/>
      <c r="AT527" s="72"/>
      <c r="AU527" s="178"/>
      <c r="AV527" s="181"/>
      <c r="AW527" s="72"/>
      <c r="AX527" s="178"/>
      <c r="AY527" s="181"/>
      <c r="AZ527" s="72"/>
      <c r="BA527" s="178"/>
      <c r="BB527" s="181"/>
      <c r="BC527" s="72"/>
      <c r="BD527" s="178"/>
      <c r="BE527" s="181"/>
      <c r="BF527" s="72"/>
      <c r="BG527" s="178"/>
      <c r="BH527" s="181"/>
      <c r="BI527" s="72"/>
      <c r="BJ527" s="178"/>
      <c r="BK527" s="96"/>
      <c r="BN527" s="125">
        <f t="shared" si="103"/>
        <v>0</v>
      </c>
      <c r="BO527" s="126">
        <f t="shared" si="104"/>
        <v>0</v>
      </c>
      <c r="BP527" s="127">
        <f t="shared" si="105"/>
        <v>0</v>
      </c>
    </row>
    <row r="528" spans="1:68" ht="14.25" hidden="1" customHeight="1" outlineLevel="4" x14ac:dyDescent="0.25">
      <c r="A528" s="5" t="b">
        <f t="array" ref="A528">A527</f>
        <v>1</v>
      </c>
      <c r="C528" s="10" t="s">
        <v>206</v>
      </c>
      <c r="D528" s="10" t="s">
        <v>207</v>
      </c>
      <c r="E528" s="10" t="s">
        <v>73</v>
      </c>
      <c r="F528" s="10" t="s">
        <v>74</v>
      </c>
      <c r="G528" s="10" t="s">
        <v>73</v>
      </c>
      <c r="H528" s="10" t="s">
        <v>223</v>
      </c>
      <c r="I528" s="10" t="s">
        <v>73</v>
      </c>
      <c r="K528" s="12" t="s">
        <v>73</v>
      </c>
      <c r="L528" s="10" t="s">
        <v>224</v>
      </c>
      <c r="M528" s="5" t="str">
        <f t="array" ref="M528">Y460</f>
        <v>1ВО::1.1</v>
      </c>
      <c r="AB528" s="403" t="str">
        <f>AB527&amp;".1"</f>
        <v>3.1.1.1.5.1.1.1</v>
      </c>
      <c r="AC528" s="449" t="s">
        <v>208</v>
      </c>
      <c r="AD528" s="32" t="s">
        <v>209</v>
      </c>
      <c r="AE528" s="72"/>
      <c r="AF528" s="73"/>
      <c r="AG528" s="74"/>
      <c r="AH528" s="72"/>
      <c r="AI528" s="73"/>
      <c r="AJ528" s="74"/>
      <c r="AK528" s="72"/>
      <c r="AL528" s="73"/>
      <c r="AM528" s="138"/>
      <c r="AN528" s="72"/>
      <c r="AO528" s="73"/>
      <c r="AP528" s="138"/>
      <c r="AQ528" s="72"/>
      <c r="AR528" s="73"/>
      <c r="AS528" s="138"/>
      <c r="AT528" s="72"/>
      <c r="AU528" s="73"/>
      <c r="AV528" s="138"/>
      <c r="AW528" s="72"/>
      <c r="AX528" s="73"/>
      <c r="AY528" s="138"/>
      <c r="AZ528" s="72"/>
      <c r="BA528" s="73"/>
      <c r="BB528" s="138"/>
      <c r="BC528" s="72"/>
      <c r="BD528" s="73"/>
      <c r="BE528" s="138"/>
      <c r="BF528" s="72"/>
      <c r="BG528" s="73"/>
      <c r="BH528" s="138"/>
      <c r="BI528" s="72"/>
      <c r="BJ528" s="73"/>
      <c r="BK528" s="74"/>
      <c r="BN528" s="125">
        <f t="shared" si="103"/>
        <v>0</v>
      </c>
      <c r="BO528" s="126">
        <f t="shared" si="104"/>
        <v>0</v>
      </c>
      <c r="BP528" s="127">
        <f t="shared" si="105"/>
        <v>0</v>
      </c>
    </row>
    <row r="529" spans="1:68" ht="14.25" hidden="1" customHeight="1" outlineLevel="4" x14ac:dyDescent="0.25">
      <c r="A529" s="5" t="b">
        <f t="array" ref="A529">A528</f>
        <v>1</v>
      </c>
      <c r="C529" s="10" t="s">
        <v>210</v>
      </c>
      <c r="D529" s="10" t="s">
        <v>211</v>
      </c>
      <c r="E529" s="10" t="s">
        <v>73</v>
      </c>
      <c r="F529" s="10" t="s">
        <v>74</v>
      </c>
      <c r="G529" s="10" t="s">
        <v>73</v>
      </c>
      <c r="H529" s="10" t="s">
        <v>223</v>
      </c>
      <c r="I529" s="10" t="s">
        <v>73</v>
      </c>
      <c r="K529" s="12" t="s">
        <v>73</v>
      </c>
      <c r="L529" s="10" t="s">
        <v>224</v>
      </c>
      <c r="M529" s="5" t="str">
        <f t="array" ref="M529">Y460</f>
        <v>1ВО::1.1</v>
      </c>
      <c r="AB529" s="403" t="str">
        <f>AB527&amp;".2"</f>
        <v>3.1.1.1.5.1.1.2</v>
      </c>
      <c r="AC529" s="449" t="s">
        <v>212</v>
      </c>
      <c r="AD529" s="32" t="s">
        <v>213</v>
      </c>
      <c r="AE529" s="72"/>
      <c r="AF529" s="178"/>
      <c r="AG529" s="96"/>
      <c r="AH529" s="72"/>
      <c r="AI529" s="178"/>
      <c r="AJ529" s="96"/>
      <c r="AK529" s="72"/>
      <c r="AL529" s="178"/>
      <c r="AM529" s="181"/>
      <c r="AN529" s="72"/>
      <c r="AO529" s="178"/>
      <c r="AP529" s="181"/>
      <c r="AQ529" s="72"/>
      <c r="AR529" s="178"/>
      <c r="AS529" s="181"/>
      <c r="AT529" s="72"/>
      <c r="AU529" s="178"/>
      <c r="AV529" s="181"/>
      <c r="AW529" s="72"/>
      <c r="AX529" s="178"/>
      <c r="AY529" s="181"/>
      <c r="AZ529" s="72"/>
      <c r="BA529" s="178"/>
      <c r="BB529" s="181"/>
      <c r="BC529" s="72"/>
      <c r="BD529" s="178"/>
      <c r="BE529" s="181"/>
      <c r="BF529" s="72"/>
      <c r="BG529" s="178"/>
      <c r="BH529" s="181"/>
      <c r="BI529" s="72"/>
      <c r="BJ529" s="178"/>
      <c r="BK529" s="96"/>
      <c r="BN529" s="125">
        <f t="shared" si="103"/>
        <v>0</v>
      </c>
      <c r="BO529" s="126">
        <f t="shared" si="104"/>
        <v>0</v>
      </c>
      <c r="BP529" s="127">
        <f t="shared" si="105"/>
        <v>0</v>
      </c>
    </row>
    <row r="530" spans="1:68" ht="14.25" hidden="1" customHeight="1" outlineLevel="4" x14ac:dyDescent="0.25">
      <c r="A530" s="5" t="b">
        <f t="array" ref="A530">A529</f>
        <v>1</v>
      </c>
      <c r="C530" s="10" t="s">
        <v>83</v>
      </c>
      <c r="D530" s="10" t="s">
        <v>84</v>
      </c>
      <c r="E530" s="10" t="s">
        <v>73</v>
      </c>
      <c r="F530" s="10" t="s">
        <v>74</v>
      </c>
      <c r="G530" s="10" t="s">
        <v>214</v>
      </c>
      <c r="H530" s="10" t="s">
        <v>223</v>
      </c>
      <c r="I530" s="10" t="s">
        <v>73</v>
      </c>
      <c r="K530" s="12" t="s">
        <v>73</v>
      </c>
      <c r="L530" s="10" t="s">
        <v>224</v>
      </c>
      <c r="M530" s="5" t="str">
        <f t="array" ref="M530">Y460</f>
        <v>1ВО::1.1</v>
      </c>
      <c r="AB530" s="403" t="str">
        <f>AB526&amp;".2"</f>
        <v>3.1.1.1.5.1.2</v>
      </c>
      <c r="AC530" s="454" t="s">
        <v>227</v>
      </c>
      <c r="AD530" s="32" t="s">
        <v>111</v>
      </c>
      <c r="AE530" s="72"/>
      <c r="AF530" s="178"/>
      <c r="AG530" s="96"/>
      <c r="AH530" s="72"/>
      <c r="AI530" s="178"/>
      <c r="AJ530" s="96"/>
      <c r="AK530" s="72"/>
      <c r="AL530" s="178"/>
      <c r="AM530" s="181"/>
      <c r="AN530" s="72"/>
      <c r="AO530" s="178"/>
      <c r="AP530" s="181"/>
      <c r="AQ530" s="72"/>
      <c r="AR530" s="178"/>
      <c r="AS530" s="181"/>
      <c r="AT530" s="72"/>
      <c r="AU530" s="178"/>
      <c r="AV530" s="181"/>
      <c r="AW530" s="72"/>
      <c r="AX530" s="178"/>
      <c r="AY530" s="181"/>
      <c r="AZ530" s="72"/>
      <c r="BA530" s="178"/>
      <c r="BB530" s="181"/>
      <c r="BC530" s="72"/>
      <c r="BD530" s="178"/>
      <c r="BE530" s="181"/>
      <c r="BF530" s="72"/>
      <c r="BG530" s="178"/>
      <c r="BH530" s="181"/>
      <c r="BI530" s="72"/>
      <c r="BJ530" s="178"/>
      <c r="BK530" s="96"/>
      <c r="BN530" s="125">
        <f t="shared" si="103"/>
        <v>0</v>
      </c>
      <c r="BO530" s="126">
        <f t="shared" si="104"/>
        <v>0</v>
      </c>
      <c r="BP530" s="127">
        <f t="shared" si="105"/>
        <v>0</v>
      </c>
    </row>
    <row r="531" spans="1:68" ht="14.25" hidden="1" customHeight="1" outlineLevel="4" x14ac:dyDescent="0.25">
      <c r="A531" s="5" t="b">
        <f t="array" ref="A531">A530</f>
        <v>1</v>
      </c>
      <c r="C531" s="10" t="s">
        <v>216</v>
      </c>
      <c r="D531" s="10" t="s">
        <v>217</v>
      </c>
      <c r="E531" s="10" t="s">
        <v>73</v>
      </c>
      <c r="F531" s="10" t="s">
        <v>74</v>
      </c>
      <c r="G531" s="10" t="s">
        <v>73</v>
      </c>
      <c r="H531" s="10" t="s">
        <v>223</v>
      </c>
      <c r="I531" s="10" t="s">
        <v>73</v>
      </c>
      <c r="K531" s="12" t="s">
        <v>73</v>
      </c>
      <c r="L531" s="10" t="s">
        <v>224</v>
      </c>
      <c r="M531" s="5" t="str">
        <f t="array" ref="M531">Y460</f>
        <v>1ВО::1.1</v>
      </c>
      <c r="AB531" s="403" t="str">
        <f>AB530&amp;".1"</f>
        <v>3.1.1.1.5.1.2.1</v>
      </c>
      <c r="AC531" s="449" t="s">
        <v>218</v>
      </c>
      <c r="AD531" s="32" t="s">
        <v>119</v>
      </c>
      <c r="AE531" s="72"/>
      <c r="AF531" s="73"/>
      <c r="AG531" s="74"/>
      <c r="AH531" s="72"/>
      <c r="AI531" s="73"/>
      <c r="AJ531" s="74"/>
      <c r="AK531" s="72"/>
      <c r="AL531" s="73"/>
      <c r="AM531" s="138"/>
      <c r="AN531" s="72"/>
      <c r="AO531" s="73"/>
      <c r="AP531" s="138"/>
      <c r="AQ531" s="72"/>
      <c r="AR531" s="73"/>
      <c r="AS531" s="138"/>
      <c r="AT531" s="72"/>
      <c r="AU531" s="73"/>
      <c r="AV531" s="138"/>
      <c r="AW531" s="72"/>
      <c r="AX531" s="73"/>
      <c r="AY531" s="138"/>
      <c r="AZ531" s="72"/>
      <c r="BA531" s="73"/>
      <c r="BB531" s="138"/>
      <c r="BC531" s="72"/>
      <c r="BD531" s="73"/>
      <c r="BE531" s="138"/>
      <c r="BF531" s="72"/>
      <c r="BG531" s="73"/>
      <c r="BH531" s="138"/>
      <c r="BI531" s="72"/>
      <c r="BJ531" s="73"/>
      <c r="BK531" s="74"/>
      <c r="BN531" s="125">
        <f t="shared" si="103"/>
        <v>0</v>
      </c>
      <c r="BO531" s="126">
        <f t="shared" si="104"/>
        <v>0</v>
      </c>
      <c r="BP531" s="127">
        <f t="shared" si="105"/>
        <v>0</v>
      </c>
    </row>
    <row r="532" spans="1:68" ht="14.25" hidden="1" customHeight="1" outlineLevel="4" x14ac:dyDescent="0.25">
      <c r="A532" s="5" t="b">
        <f t="array" ref="A532">A531</f>
        <v>1</v>
      </c>
      <c r="C532" s="79" t="s">
        <v>83</v>
      </c>
      <c r="D532" s="79" t="s">
        <v>84</v>
      </c>
      <c r="E532" s="79" t="s">
        <v>73</v>
      </c>
      <c r="F532" s="10" t="s">
        <v>74</v>
      </c>
      <c r="G532" s="79" t="s">
        <v>228</v>
      </c>
      <c r="H532" s="79" t="s">
        <v>73</v>
      </c>
      <c r="I532" s="79" t="s">
        <v>73</v>
      </c>
      <c r="J532" s="79"/>
      <c r="K532" s="213" t="s">
        <v>73</v>
      </c>
      <c r="L532" s="79" t="s">
        <v>192</v>
      </c>
      <c r="M532" s="5" t="str">
        <f t="array" ref="M532">Y460</f>
        <v>1ВО::1.1</v>
      </c>
      <c r="AB532" s="403" t="str">
        <f>AB525&amp;".2"</f>
        <v>3.1.1.1.5.2</v>
      </c>
      <c r="AC532" s="444" t="s">
        <v>229</v>
      </c>
      <c r="AD532" s="32" t="s">
        <v>111</v>
      </c>
      <c r="AE532" s="72"/>
      <c r="AF532" s="73"/>
      <c r="AG532" s="74"/>
      <c r="AH532" s="72"/>
      <c r="AI532" s="73"/>
      <c r="AJ532" s="74"/>
      <c r="AK532" s="72"/>
      <c r="AL532" s="73"/>
      <c r="AM532" s="138"/>
      <c r="AN532" s="72"/>
      <c r="AO532" s="73"/>
      <c r="AP532" s="138"/>
      <c r="AQ532" s="72"/>
      <c r="AR532" s="73"/>
      <c r="AS532" s="138"/>
      <c r="AT532" s="72"/>
      <c r="AU532" s="73"/>
      <c r="AV532" s="138"/>
      <c r="AW532" s="72"/>
      <c r="AX532" s="73"/>
      <c r="AY532" s="138"/>
      <c r="AZ532" s="72"/>
      <c r="BA532" s="73"/>
      <c r="BB532" s="138"/>
      <c r="BC532" s="72"/>
      <c r="BD532" s="73"/>
      <c r="BE532" s="138"/>
      <c r="BF532" s="72"/>
      <c r="BG532" s="73"/>
      <c r="BH532" s="138"/>
      <c r="BI532" s="72"/>
      <c r="BJ532" s="73"/>
      <c r="BK532" s="74"/>
      <c r="BN532" s="125">
        <f t="shared" si="103"/>
        <v>0</v>
      </c>
      <c r="BO532" s="126">
        <f t="shared" si="104"/>
        <v>0</v>
      </c>
      <c r="BP532" s="127">
        <f t="shared" si="105"/>
        <v>0</v>
      </c>
    </row>
    <row r="533" spans="1:68" ht="14.25" customHeight="1" outlineLevel="4" x14ac:dyDescent="0.25">
      <c r="C533" s="10" t="s">
        <v>83</v>
      </c>
      <c r="D533" s="10" t="s">
        <v>84</v>
      </c>
      <c r="E533" s="10" t="s">
        <v>73</v>
      </c>
      <c r="F533" s="10" t="s">
        <v>74</v>
      </c>
      <c r="G533" s="10" t="s">
        <v>230</v>
      </c>
      <c r="H533" s="10" t="s">
        <v>73</v>
      </c>
      <c r="I533" s="10" t="s">
        <v>73</v>
      </c>
      <c r="K533" s="12" t="s">
        <v>73</v>
      </c>
      <c r="L533" s="10" t="s">
        <v>192</v>
      </c>
      <c r="M533" s="5" t="str">
        <f t="array" ref="M533">Y460</f>
        <v>1ВО::1.1</v>
      </c>
      <c r="AB533" s="403" t="str">
        <f>AB512&amp;".6"</f>
        <v>3.1.1.1.6</v>
      </c>
      <c r="AC533" s="442" t="s">
        <v>231</v>
      </c>
      <c r="AD533" s="32" t="s">
        <v>111</v>
      </c>
      <c r="AE533" s="175">
        <f t="shared" ref="AE533:BK533" si="106">AE534+AE535+AE536+AE537+AE538+AE539+AE563+AE540</f>
        <v>56256.67</v>
      </c>
      <c r="AF533" s="73">
        <f t="shared" si="106"/>
        <v>35669.24</v>
      </c>
      <c r="AG533" s="443">
        <f t="shared" si="106"/>
        <v>50198.510000000009</v>
      </c>
      <c r="AH533" s="175">
        <f t="shared" si="106"/>
        <v>1603.7599999999998</v>
      </c>
      <c r="AI533" s="73">
        <f t="shared" si="106"/>
        <v>418.01</v>
      </c>
      <c r="AJ533" s="443">
        <f t="shared" si="106"/>
        <v>2662.8299999999995</v>
      </c>
      <c r="AK533" s="175">
        <f t="shared" si="106"/>
        <v>0</v>
      </c>
      <c r="AL533" s="73">
        <f t="shared" si="106"/>
        <v>0</v>
      </c>
      <c r="AM533" s="443">
        <f t="shared" si="106"/>
        <v>0</v>
      </c>
      <c r="AN533" s="175">
        <f t="shared" si="106"/>
        <v>494.62</v>
      </c>
      <c r="AO533" s="73">
        <f t="shared" si="106"/>
        <v>0</v>
      </c>
      <c r="AP533" s="443">
        <f t="shared" si="106"/>
        <v>551.49000000000012</v>
      </c>
      <c r="AQ533" s="175">
        <f t="shared" si="106"/>
        <v>420.73</v>
      </c>
      <c r="AR533" s="73">
        <f t="shared" si="106"/>
        <v>0</v>
      </c>
      <c r="AS533" s="443">
        <f t="shared" si="106"/>
        <v>757.85</v>
      </c>
      <c r="AT533" s="175">
        <f t="shared" si="106"/>
        <v>407.96</v>
      </c>
      <c r="AU533" s="73">
        <f t="shared" si="106"/>
        <v>0</v>
      </c>
      <c r="AV533" s="443">
        <f t="shared" si="106"/>
        <v>608.07000000000005</v>
      </c>
      <c r="AW533" s="175">
        <f t="shared" si="106"/>
        <v>3805.2060000000001</v>
      </c>
      <c r="AX533" s="73">
        <f t="shared" si="106"/>
        <v>0</v>
      </c>
      <c r="AY533" s="443">
        <f t="shared" si="106"/>
        <v>4268.1619999999994</v>
      </c>
      <c r="AZ533" s="175">
        <f t="shared" si="106"/>
        <v>7998.1440000000002</v>
      </c>
      <c r="BA533" s="73">
        <f t="shared" si="106"/>
        <v>3324.05</v>
      </c>
      <c r="BB533" s="443">
        <f t="shared" si="106"/>
        <v>11641.742999999999</v>
      </c>
      <c r="BC533" s="175">
        <f t="shared" si="106"/>
        <v>10945.85</v>
      </c>
      <c r="BD533" s="73">
        <f t="shared" si="106"/>
        <v>97.93</v>
      </c>
      <c r="BE533" s="443">
        <f t="shared" si="106"/>
        <v>12788.129999999997</v>
      </c>
      <c r="BF533" s="175">
        <f t="shared" si="106"/>
        <v>1176.3479999999997</v>
      </c>
      <c r="BG533" s="73">
        <f t="shared" si="106"/>
        <v>82.12</v>
      </c>
      <c r="BH533" s="443">
        <f t="shared" si="106"/>
        <v>1876.0149999999999</v>
      </c>
      <c r="BI533" s="175">
        <f t="shared" si="106"/>
        <v>2219.5949999999998</v>
      </c>
      <c r="BJ533" s="73">
        <f t="shared" si="106"/>
        <v>2334.2600000000002</v>
      </c>
      <c r="BK533" s="176">
        <f t="shared" si="106"/>
        <v>3907.22</v>
      </c>
      <c r="BN533" s="125">
        <f t="shared" si="103"/>
        <v>85328.883000000002</v>
      </c>
      <c r="BO533" s="126">
        <f t="shared" si="104"/>
        <v>41925.610000000008</v>
      </c>
      <c r="BP533" s="127">
        <f t="shared" si="105"/>
        <v>89260.02</v>
      </c>
    </row>
    <row r="534" spans="1:68" ht="18" hidden="1" customHeight="1" outlineLevel="4" x14ac:dyDescent="0.25">
      <c r="C534" s="10" t="s">
        <v>83</v>
      </c>
      <c r="D534" s="10" t="s">
        <v>84</v>
      </c>
      <c r="E534" s="10" t="s">
        <v>73</v>
      </c>
      <c r="F534" s="10" t="s">
        <v>74</v>
      </c>
      <c r="G534" s="10" t="s">
        <v>232</v>
      </c>
      <c r="H534" s="10" t="s">
        <v>73</v>
      </c>
      <c r="I534" s="10" t="s">
        <v>73</v>
      </c>
      <c r="K534" s="12" t="s">
        <v>73</v>
      </c>
      <c r="L534" s="10" t="s">
        <v>192</v>
      </c>
      <c r="M534" s="5" t="str">
        <f t="array" ref="M534">Y460</f>
        <v>1ВО::1.1</v>
      </c>
      <c r="AB534" s="403" t="str">
        <f>AB533&amp;".1"</f>
        <v>3.1.1.1.6.1</v>
      </c>
      <c r="AC534" s="444" t="s">
        <v>233</v>
      </c>
      <c r="AD534" s="32" t="s">
        <v>111</v>
      </c>
      <c r="AE534" s="95"/>
      <c r="AF534" s="178"/>
      <c r="AG534" s="96"/>
      <c r="AH534" s="95"/>
      <c r="AI534" s="178"/>
      <c r="AJ534" s="96"/>
      <c r="AK534" s="95"/>
      <c r="AL534" s="178"/>
      <c r="AM534" s="181"/>
      <c r="AN534" s="95"/>
      <c r="AO534" s="178"/>
      <c r="AP534" s="181"/>
      <c r="AQ534" s="95"/>
      <c r="AR534" s="178"/>
      <c r="AS534" s="181"/>
      <c r="AT534" s="95"/>
      <c r="AU534" s="178"/>
      <c r="AV534" s="181"/>
      <c r="AW534" s="95"/>
      <c r="AX534" s="178"/>
      <c r="AY534" s="181"/>
      <c r="AZ534" s="95"/>
      <c r="BA534" s="178"/>
      <c r="BB534" s="181"/>
      <c r="BC534" s="95"/>
      <c r="BD534" s="178"/>
      <c r="BE534" s="181"/>
      <c r="BF534" s="95"/>
      <c r="BG534" s="178"/>
      <c r="BH534" s="181"/>
      <c r="BI534" s="95"/>
      <c r="BJ534" s="178"/>
      <c r="BK534" s="96"/>
      <c r="BN534" s="125">
        <f t="shared" si="103"/>
        <v>0</v>
      </c>
      <c r="BO534" s="126">
        <f t="shared" si="104"/>
        <v>0</v>
      </c>
      <c r="BP534" s="127">
        <f t="shared" si="105"/>
        <v>0</v>
      </c>
    </row>
    <row r="535" spans="1:68" ht="36" hidden="1" customHeight="1" outlineLevel="4" x14ac:dyDescent="0.25">
      <c r="C535" s="10" t="s">
        <v>83</v>
      </c>
      <c r="D535" s="10" t="s">
        <v>84</v>
      </c>
      <c r="E535" s="10" t="s">
        <v>73</v>
      </c>
      <c r="F535" s="10" t="s">
        <v>74</v>
      </c>
      <c r="G535" s="10" t="s">
        <v>234</v>
      </c>
      <c r="H535" s="10" t="s">
        <v>73</v>
      </c>
      <c r="I535" s="10" t="s">
        <v>73</v>
      </c>
      <c r="K535" s="12" t="s">
        <v>73</v>
      </c>
      <c r="L535" s="10" t="s">
        <v>192</v>
      </c>
      <c r="M535" s="5" t="str">
        <f t="array" ref="M535">Y460</f>
        <v>1ВО::1.1</v>
      </c>
      <c r="AB535" s="403" t="str">
        <f>AB533&amp;".2"</f>
        <v>3.1.1.1.6.2</v>
      </c>
      <c r="AC535" s="444" t="s">
        <v>235</v>
      </c>
      <c r="AD535" s="32" t="s">
        <v>111</v>
      </c>
      <c r="AE535" s="95"/>
      <c r="AF535" s="178"/>
      <c r="AG535" s="96"/>
      <c r="AH535" s="95"/>
      <c r="AI535" s="178"/>
      <c r="AJ535" s="96"/>
      <c r="AK535" s="95"/>
      <c r="AL535" s="178"/>
      <c r="AM535" s="181"/>
      <c r="AN535" s="95"/>
      <c r="AO535" s="178"/>
      <c r="AP535" s="181"/>
      <c r="AQ535" s="95"/>
      <c r="AR535" s="178"/>
      <c r="AS535" s="181"/>
      <c r="AT535" s="95"/>
      <c r="AU535" s="178"/>
      <c r="AV535" s="181"/>
      <c r="AW535" s="95"/>
      <c r="AX535" s="178"/>
      <c r="AY535" s="181"/>
      <c r="AZ535" s="95"/>
      <c r="BA535" s="178"/>
      <c r="BB535" s="181"/>
      <c r="BC535" s="95"/>
      <c r="BD535" s="178"/>
      <c r="BE535" s="181"/>
      <c r="BF535" s="95"/>
      <c r="BG535" s="178"/>
      <c r="BH535" s="181"/>
      <c r="BI535" s="95"/>
      <c r="BJ535" s="178"/>
      <c r="BK535" s="96"/>
      <c r="BN535" s="125">
        <f t="shared" si="103"/>
        <v>0</v>
      </c>
      <c r="BO535" s="126">
        <f t="shared" si="104"/>
        <v>0</v>
      </c>
      <c r="BP535" s="127">
        <f t="shared" si="105"/>
        <v>0</v>
      </c>
    </row>
    <row r="536" spans="1:68" ht="35.25" hidden="1" customHeight="1" outlineLevel="4" x14ac:dyDescent="0.25">
      <c r="C536" s="10" t="s">
        <v>83</v>
      </c>
      <c r="D536" s="10" t="s">
        <v>84</v>
      </c>
      <c r="E536" s="10" t="s">
        <v>73</v>
      </c>
      <c r="F536" s="10" t="s">
        <v>74</v>
      </c>
      <c r="G536" s="10" t="s">
        <v>236</v>
      </c>
      <c r="H536" s="10" t="s">
        <v>73</v>
      </c>
      <c r="I536" s="10" t="s">
        <v>73</v>
      </c>
      <c r="K536" s="12" t="s">
        <v>73</v>
      </c>
      <c r="L536" s="10" t="s">
        <v>192</v>
      </c>
      <c r="M536" s="5" t="str">
        <f t="array" ref="M536">Y460</f>
        <v>1ВО::1.1</v>
      </c>
      <c r="AB536" s="403" t="str">
        <f>AB533&amp;".3"</f>
        <v>3.1.1.1.6.3</v>
      </c>
      <c r="AC536" s="444" t="s">
        <v>237</v>
      </c>
      <c r="AD536" s="32" t="s">
        <v>111</v>
      </c>
      <c r="AE536" s="95"/>
      <c r="AF536" s="178"/>
      <c r="AG536" s="96"/>
      <c r="AH536" s="95"/>
      <c r="AI536" s="178"/>
      <c r="AJ536" s="96"/>
      <c r="AK536" s="95"/>
      <c r="AL536" s="178"/>
      <c r="AM536" s="181"/>
      <c r="AN536" s="95"/>
      <c r="AO536" s="178"/>
      <c r="AP536" s="181"/>
      <c r="AQ536" s="95"/>
      <c r="AR536" s="178"/>
      <c r="AS536" s="181"/>
      <c r="AT536" s="95"/>
      <c r="AU536" s="178"/>
      <c r="AV536" s="181"/>
      <c r="AW536" s="95"/>
      <c r="AX536" s="178"/>
      <c r="AY536" s="181"/>
      <c r="AZ536" s="95"/>
      <c r="BA536" s="178"/>
      <c r="BB536" s="181"/>
      <c r="BC536" s="95"/>
      <c r="BD536" s="178"/>
      <c r="BE536" s="181"/>
      <c r="BF536" s="185"/>
      <c r="BG536" s="183"/>
      <c r="BH536" s="184"/>
      <c r="BI536" s="185"/>
      <c r="BJ536" s="183"/>
      <c r="BK536" s="186"/>
      <c r="BN536" s="125">
        <f t="shared" si="103"/>
        <v>0</v>
      </c>
      <c r="BO536" s="126">
        <f t="shared" si="104"/>
        <v>0</v>
      </c>
      <c r="BP536" s="127">
        <f t="shared" si="105"/>
        <v>0</v>
      </c>
    </row>
    <row r="537" spans="1:68" ht="35.25" hidden="1" customHeight="1" outlineLevel="4" x14ac:dyDescent="0.25">
      <c r="C537" s="10" t="s">
        <v>83</v>
      </c>
      <c r="D537" s="10" t="s">
        <v>84</v>
      </c>
      <c r="E537" s="10" t="s">
        <v>73</v>
      </c>
      <c r="F537" s="10" t="s">
        <v>74</v>
      </c>
      <c r="G537" s="10" t="s">
        <v>238</v>
      </c>
      <c r="H537" s="10" t="s">
        <v>73</v>
      </c>
      <c r="I537" s="10" t="s">
        <v>73</v>
      </c>
      <c r="K537" s="12" t="s">
        <v>73</v>
      </c>
      <c r="L537" s="10" t="s">
        <v>192</v>
      </c>
      <c r="M537" s="5" t="str">
        <f t="array" ref="M537">Y460</f>
        <v>1ВО::1.1</v>
      </c>
      <c r="AB537" s="403" t="str">
        <f>AB533&amp;".4"</f>
        <v>3.1.1.1.6.4</v>
      </c>
      <c r="AC537" s="444" t="s">
        <v>239</v>
      </c>
      <c r="AD537" s="32" t="s">
        <v>111</v>
      </c>
      <c r="AE537" s="95"/>
      <c r="AF537" s="178"/>
      <c r="AG537" s="96"/>
      <c r="AH537" s="95"/>
      <c r="AI537" s="178"/>
      <c r="AJ537" s="96"/>
      <c r="AK537" s="95"/>
      <c r="AL537" s="178"/>
      <c r="AM537" s="181"/>
      <c r="AN537" s="95"/>
      <c r="AO537" s="178"/>
      <c r="AP537" s="181"/>
      <c r="AQ537" s="95"/>
      <c r="AR537" s="178"/>
      <c r="AS537" s="181"/>
      <c r="AT537" s="95"/>
      <c r="AU537" s="178"/>
      <c r="AV537" s="181"/>
      <c r="AW537" s="95"/>
      <c r="AX537" s="178"/>
      <c r="AY537" s="181"/>
      <c r="AZ537" s="95"/>
      <c r="BA537" s="178"/>
      <c r="BB537" s="181"/>
      <c r="BC537" s="95"/>
      <c r="BD537" s="178"/>
      <c r="BE537" s="181"/>
      <c r="BF537" s="185"/>
      <c r="BG537" s="183"/>
      <c r="BH537" s="184"/>
      <c r="BI537" s="185"/>
      <c r="BJ537" s="183"/>
      <c r="BK537" s="186"/>
      <c r="BN537" s="125">
        <f t="shared" si="103"/>
        <v>0</v>
      </c>
      <c r="BO537" s="126">
        <f t="shared" si="104"/>
        <v>0</v>
      </c>
      <c r="BP537" s="127">
        <f t="shared" si="105"/>
        <v>0</v>
      </c>
    </row>
    <row r="538" spans="1:68" s="211" customFormat="1" ht="85.5" customHeight="1" outlineLevel="4" x14ac:dyDescent="0.25">
      <c r="A538" s="6"/>
      <c r="B538" s="6"/>
      <c r="C538" s="116" t="s">
        <v>83</v>
      </c>
      <c r="D538" s="116" t="s">
        <v>84</v>
      </c>
      <c r="E538" s="116" t="s">
        <v>73</v>
      </c>
      <c r="F538" s="116" t="s">
        <v>74</v>
      </c>
      <c r="G538" s="116" t="s">
        <v>240</v>
      </c>
      <c r="H538" s="116" t="s">
        <v>73</v>
      </c>
      <c r="I538" s="116" t="s">
        <v>73</v>
      </c>
      <c r="J538" s="6"/>
      <c r="K538" s="209" t="s">
        <v>73</v>
      </c>
      <c r="L538" s="116" t="s">
        <v>192</v>
      </c>
      <c r="M538" s="6" t="str">
        <f t="array" ref="M538">Y460</f>
        <v>1ВО::1.1</v>
      </c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403" t="str">
        <f>AB533&amp;".5"</f>
        <v>3.1.1.1.6.5</v>
      </c>
      <c r="AC538" s="444" t="s">
        <v>241</v>
      </c>
      <c r="AD538" s="32" t="s">
        <v>111</v>
      </c>
      <c r="AE538" s="95">
        <v>995.18</v>
      </c>
      <c r="AF538" s="178">
        <v>1556.59</v>
      </c>
      <c r="AG538" s="96">
        <v>1095.02</v>
      </c>
      <c r="AH538" s="95"/>
      <c r="AI538" s="178"/>
      <c r="AJ538" s="96"/>
      <c r="AK538" s="95"/>
      <c r="AL538" s="178"/>
      <c r="AM538" s="181"/>
      <c r="AN538" s="95"/>
      <c r="AO538" s="178"/>
      <c r="AP538" s="181">
        <v>19.72</v>
      </c>
      <c r="AQ538" s="95"/>
      <c r="AR538" s="178"/>
      <c r="AS538" s="181"/>
      <c r="AT538" s="95"/>
      <c r="AU538" s="178"/>
      <c r="AV538" s="181"/>
      <c r="AW538" s="95"/>
      <c r="AX538" s="178"/>
      <c r="AY538" s="181"/>
      <c r="AZ538" s="95">
        <v>46.71</v>
      </c>
      <c r="BA538" s="178"/>
      <c r="BB538" s="181">
        <v>51.39</v>
      </c>
      <c r="BC538" s="95">
        <v>115.92</v>
      </c>
      <c r="BD538" s="178">
        <v>44.3</v>
      </c>
      <c r="BE538" s="181">
        <v>127.55</v>
      </c>
      <c r="BF538" s="185"/>
      <c r="BG538" s="183"/>
      <c r="BH538" s="184"/>
      <c r="BI538" s="185">
        <v>124.625</v>
      </c>
      <c r="BJ538" s="183"/>
      <c r="BK538" s="186">
        <v>137.13999999999999</v>
      </c>
      <c r="BL538" s="6"/>
      <c r="BM538" s="6"/>
      <c r="BN538" s="125">
        <f t="shared" si="103"/>
        <v>1282.4349999999999</v>
      </c>
      <c r="BO538" s="126">
        <f t="shared" si="104"/>
        <v>1600.8899999999999</v>
      </c>
      <c r="BP538" s="127">
        <f t="shared" si="105"/>
        <v>1430.8200000000002</v>
      </c>
    </row>
    <row r="539" spans="1:68" ht="15" hidden="1" customHeight="1" outlineLevel="4" x14ac:dyDescent="0.25">
      <c r="C539" s="10" t="s">
        <v>83</v>
      </c>
      <c r="D539" s="10" t="s">
        <v>84</v>
      </c>
      <c r="E539" s="10" t="s">
        <v>73</v>
      </c>
      <c r="F539" s="10" t="s">
        <v>74</v>
      </c>
      <c r="G539" s="10" t="s">
        <v>242</v>
      </c>
      <c r="H539" s="10" t="s">
        <v>73</v>
      </c>
      <c r="I539" s="10" t="s">
        <v>73</v>
      </c>
      <c r="K539" s="12" t="s">
        <v>73</v>
      </c>
      <c r="L539" s="10" t="s">
        <v>192</v>
      </c>
      <c r="M539" s="5" t="str">
        <f t="array" ref="M539">Y460</f>
        <v>1ВО::1.1</v>
      </c>
      <c r="AB539" s="403" t="str">
        <f>AB533&amp;".6"</f>
        <v>3.1.1.1.6.6</v>
      </c>
      <c r="AC539" s="444" t="s">
        <v>243</v>
      </c>
      <c r="AD539" s="32" t="s">
        <v>111</v>
      </c>
      <c r="AE539" s="95"/>
      <c r="AF539" s="178"/>
      <c r="AG539" s="96"/>
      <c r="AH539" s="95"/>
      <c r="AI539" s="178"/>
      <c r="AJ539" s="96"/>
      <c r="AK539" s="95"/>
      <c r="AL539" s="178"/>
      <c r="AM539" s="181"/>
      <c r="AN539" s="95"/>
      <c r="AO539" s="178"/>
      <c r="AP539" s="181"/>
      <c r="AQ539" s="95"/>
      <c r="AR539" s="178"/>
      <c r="AS539" s="181"/>
      <c r="AT539" s="95"/>
      <c r="AU539" s="178"/>
      <c r="AV539" s="181"/>
      <c r="AW539" s="95"/>
      <c r="AX539" s="178"/>
      <c r="AY539" s="181"/>
      <c r="AZ539" s="95"/>
      <c r="BA539" s="178"/>
      <c r="BB539" s="181"/>
      <c r="BC539" s="95"/>
      <c r="BD539" s="178"/>
      <c r="BE539" s="181"/>
      <c r="BF539" s="95"/>
      <c r="BG539" s="178"/>
      <c r="BH539" s="181"/>
      <c r="BI539" s="95"/>
      <c r="BJ539" s="178"/>
      <c r="BK539" s="96"/>
      <c r="BN539" s="125">
        <f t="shared" si="103"/>
        <v>0</v>
      </c>
      <c r="BO539" s="126">
        <f t="shared" si="104"/>
        <v>0</v>
      </c>
      <c r="BP539" s="127">
        <f t="shared" si="105"/>
        <v>0</v>
      </c>
    </row>
    <row r="540" spans="1:68" s="455" customFormat="1" ht="16.5" customHeight="1" outlineLevel="4" x14ac:dyDescent="0.25">
      <c r="A540" s="6"/>
      <c r="B540" s="6"/>
      <c r="C540" s="116" t="s">
        <v>83</v>
      </c>
      <c r="D540" s="116" t="s">
        <v>84</v>
      </c>
      <c r="E540" s="116" t="s">
        <v>73</v>
      </c>
      <c r="F540" s="116" t="s">
        <v>74</v>
      </c>
      <c r="G540" s="116" t="s">
        <v>244</v>
      </c>
      <c r="H540" s="116" t="s">
        <v>73</v>
      </c>
      <c r="I540" s="116" t="s">
        <v>73</v>
      </c>
      <c r="J540" s="6"/>
      <c r="K540" s="209" t="s">
        <v>73</v>
      </c>
      <c r="L540" s="116" t="s">
        <v>192</v>
      </c>
      <c r="M540" s="6" t="str">
        <f t="array" ref="M540">Y460</f>
        <v>1ВО::1.1</v>
      </c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403" t="str">
        <f>AB533&amp;".7"</f>
        <v>3.1.1.1.6.7</v>
      </c>
      <c r="AC540" s="444" t="s">
        <v>245</v>
      </c>
      <c r="AD540" s="32" t="s">
        <v>111</v>
      </c>
      <c r="AE540" s="72">
        <f t="shared" ref="AE540:BK540" si="107">SUM(AE541:AE562)</f>
        <v>20156.28</v>
      </c>
      <c r="AF540" s="178">
        <f t="shared" si="107"/>
        <v>9588.7699999999986</v>
      </c>
      <c r="AG540" s="96">
        <f t="shared" si="107"/>
        <v>23198.970000000005</v>
      </c>
      <c r="AH540" s="72">
        <f t="shared" si="107"/>
        <v>0</v>
      </c>
      <c r="AI540" s="178">
        <f t="shared" si="107"/>
        <v>0</v>
      </c>
      <c r="AJ540" s="96">
        <f t="shared" si="107"/>
        <v>0</v>
      </c>
      <c r="AK540" s="72">
        <f t="shared" si="107"/>
        <v>0</v>
      </c>
      <c r="AL540" s="178">
        <f t="shared" si="107"/>
        <v>0</v>
      </c>
      <c r="AM540" s="96">
        <f t="shared" si="107"/>
        <v>0</v>
      </c>
      <c r="AN540" s="72">
        <f t="shared" si="107"/>
        <v>0</v>
      </c>
      <c r="AO540" s="178">
        <f t="shared" si="107"/>
        <v>0</v>
      </c>
      <c r="AP540" s="96">
        <f t="shared" si="107"/>
        <v>0</v>
      </c>
      <c r="AQ540" s="72">
        <f t="shared" si="107"/>
        <v>0</v>
      </c>
      <c r="AR540" s="178">
        <f t="shared" si="107"/>
        <v>0</v>
      </c>
      <c r="AS540" s="96">
        <f t="shared" si="107"/>
        <v>0</v>
      </c>
      <c r="AT540" s="72">
        <f t="shared" si="107"/>
        <v>0</v>
      </c>
      <c r="AU540" s="178">
        <f t="shared" si="107"/>
        <v>0</v>
      </c>
      <c r="AV540" s="96">
        <f t="shared" si="107"/>
        <v>0</v>
      </c>
      <c r="AW540" s="72">
        <f t="shared" si="107"/>
        <v>0</v>
      </c>
      <c r="AX540" s="178">
        <f t="shared" si="107"/>
        <v>0</v>
      </c>
      <c r="AY540" s="96">
        <f t="shared" si="107"/>
        <v>0</v>
      </c>
      <c r="AZ540" s="72">
        <f t="shared" si="107"/>
        <v>0</v>
      </c>
      <c r="BA540" s="178">
        <f t="shared" si="107"/>
        <v>2398.59</v>
      </c>
      <c r="BB540" s="96">
        <f t="shared" si="107"/>
        <v>0</v>
      </c>
      <c r="BC540" s="72">
        <f t="shared" si="107"/>
        <v>0</v>
      </c>
      <c r="BD540" s="178">
        <f t="shared" si="107"/>
        <v>0</v>
      </c>
      <c r="BE540" s="96">
        <f t="shared" si="107"/>
        <v>0</v>
      </c>
      <c r="BF540" s="72">
        <f t="shared" si="107"/>
        <v>0</v>
      </c>
      <c r="BG540" s="178">
        <f t="shared" si="107"/>
        <v>0</v>
      </c>
      <c r="BH540" s="96">
        <f t="shared" si="107"/>
        <v>0</v>
      </c>
      <c r="BI540" s="72">
        <f t="shared" si="107"/>
        <v>0</v>
      </c>
      <c r="BJ540" s="178">
        <f t="shared" si="107"/>
        <v>0</v>
      </c>
      <c r="BK540" s="96">
        <f t="shared" si="107"/>
        <v>0</v>
      </c>
      <c r="BL540" s="6"/>
      <c r="BM540" s="6"/>
      <c r="BN540" s="125">
        <f t="shared" si="103"/>
        <v>20156.28</v>
      </c>
      <c r="BO540" s="126">
        <f t="shared" si="104"/>
        <v>11987.359999999999</v>
      </c>
      <c r="BP540" s="127">
        <f t="shared" si="105"/>
        <v>23198.970000000005</v>
      </c>
    </row>
    <row r="541" spans="1:68" s="230" customFormat="1" ht="17.25" customHeight="1" outlineLevel="5" x14ac:dyDescent="0.25">
      <c r="A541" s="215"/>
      <c r="B541" s="215"/>
      <c r="C541" s="216"/>
      <c r="D541" s="216"/>
      <c r="E541" s="216"/>
      <c r="F541" s="216"/>
      <c r="G541" s="216"/>
      <c r="H541" s="216"/>
      <c r="I541" s="216"/>
      <c r="J541" s="215"/>
      <c r="K541" s="217"/>
      <c r="L541" s="216"/>
      <c r="M541" s="215"/>
      <c r="N541" s="215"/>
      <c r="O541" s="215"/>
      <c r="P541" s="215"/>
      <c r="Q541" s="215"/>
      <c r="R541" s="215"/>
      <c r="S541" s="215"/>
      <c r="T541" s="215"/>
      <c r="U541" s="215"/>
      <c r="V541" s="215"/>
      <c r="W541" s="215"/>
      <c r="X541" s="215"/>
      <c r="Y541" s="215"/>
      <c r="Z541" s="215"/>
      <c r="AA541" s="215"/>
      <c r="AB541" s="456"/>
      <c r="AC541" s="219" t="s">
        <v>593</v>
      </c>
      <c r="AD541" s="457" t="s">
        <v>111</v>
      </c>
      <c r="AE541" s="224">
        <v>36.619999999999997</v>
      </c>
      <c r="AF541" s="458">
        <v>38</v>
      </c>
      <c r="AG541" s="226">
        <v>40.29</v>
      </c>
      <c r="AH541" s="224"/>
      <c r="AI541" s="458"/>
      <c r="AJ541" s="226"/>
      <c r="AK541" s="224"/>
      <c r="AL541" s="458"/>
      <c r="AM541" s="227"/>
      <c r="AN541" s="224"/>
      <c r="AO541" s="458"/>
      <c r="AP541" s="227"/>
      <c r="AQ541" s="224"/>
      <c r="AR541" s="458"/>
      <c r="AS541" s="227"/>
      <c r="AT541" s="224"/>
      <c r="AU541" s="458"/>
      <c r="AV541" s="227"/>
      <c r="AW541" s="224"/>
      <c r="AX541" s="458"/>
      <c r="AY541" s="227"/>
      <c r="AZ541" s="224"/>
      <c r="BA541" s="458"/>
      <c r="BB541" s="227"/>
      <c r="BC541" s="224"/>
      <c r="BD541" s="458"/>
      <c r="BE541" s="227"/>
      <c r="BF541" s="224"/>
      <c r="BG541" s="458"/>
      <c r="BH541" s="227"/>
      <c r="BI541" s="224"/>
      <c r="BJ541" s="458"/>
      <c r="BK541" s="226"/>
      <c r="BL541" s="229"/>
      <c r="BM541" s="215"/>
      <c r="BN541" s="125">
        <f t="shared" si="103"/>
        <v>36.619999999999997</v>
      </c>
      <c r="BO541" s="126">
        <f t="shared" si="104"/>
        <v>38</v>
      </c>
      <c r="BP541" s="127">
        <f t="shared" si="105"/>
        <v>40.29</v>
      </c>
    </row>
    <row r="542" spans="1:68" s="230" customFormat="1" ht="17.25" customHeight="1" outlineLevel="5" x14ac:dyDescent="0.25">
      <c r="A542" s="215"/>
      <c r="B542" s="215"/>
      <c r="C542" s="216"/>
      <c r="D542" s="216"/>
      <c r="E542" s="216"/>
      <c r="F542" s="216"/>
      <c r="G542" s="216"/>
      <c r="H542" s="216"/>
      <c r="I542" s="216"/>
      <c r="J542" s="215"/>
      <c r="K542" s="217"/>
      <c r="L542" s="216"/>
      <c r="M542" s="215"/>
      <c r="N542" s="215"/>
      <c r="O542" s="215"/>
      <c r="P542" s="215"/>
      <c r="Q542" s="215"/>
      <c r="R542" s="215"/>
      <c r="S542" s="215"/>
      <c r="T542" s="215"/>
      <c r="U542" s="215"/>
      <c r="V542" s="215"/>
      <c r="W542" s="215"/>
      <c r="X542" s="215"/>
      <c r="Y542" s="215"/>
      <c r="Z542" s="215"/>
      <c r="AA542" s="215"/>
      <c r="AB542" s="456"/>
      <c r="AC542" s="219" t="s">
        <v>277</v>
      </c>
      <c r="AD542" s="457" t="s">
        <v>111</v>
      </c>
      <c r="AE542" s="224">
        <v>302.8</v>
      </c>
      <c r="AF542" s="458">
        <v>303</v>
      </c>
      <c r="AG542" s="226">
        <v>814.15</v>
      </c>
      <c r="AH542" s="224"/>
      <c r="AI542" s="458"/>
      <c r="AJ542" s="226"/>
      <c r="AK542" s="224"/>
      <c r="AL542" s="458"/>
      <c r="AM542" s="227"/>
      <c r="AN542" s="224"/>
      <c r="AO542" s="458"/>
      <c r="AP542" s="227"/>
      <c r="AQ542" s="224"/>
      <c r="AR542" s="458"/>
      <c r="AS542" s="227"/>
      <c r="AT542" s="224"/>
      <c r="AU542" s="458"/>
      <c r="AV542" s="227"/>
      <c r="AW542" s="224"/>
      <c r="AX542" s="458"/>
      <c r="AY542" s="227"/>
      <c r="AZ542" s="224"/>
      <c r="BA542" s="458"/>
      <c r="BB542" s="227"/>
      <c r="BC542" s="224"/>
      <c r="BD542" s="458"/>
      <c r="BE542" s="227"/>
      <c r="BF542" s="224"/>
      <c r="BG542" s="458"/>
      <c r="BH542" s="227"/>
      <c r="BI542" s="224"/>
      <c r="BJ542" s="458"/>
      <c r="BK542" s="226"/>
      <c r="BL542" s="229"/>
      <c r="BM542" s="215"/>
      <c r="BN542" s="125">
        <f t="shared" si="103"/>
        <v>302.8</v>
      </c>
      <c r="BO542" s="126">
        <f t="shared" si="104"/>
        <v>303</v>
      </c>
      <c r="BP542" s="127">
        <f t="shared" si="105"/>
        <v>814.15</v>
      </c>
    </row>
    <row r="543" spans="1:68" s="230" customFormat="1" ht="17.25" customHeight="1" outlineLevel="5" x14ac:dyDescent="0.25">
      <c r="A543" s="215"/>
      <c r="B543" s="215"/>
      <c r="C543" s="216"/>
      <c r="D543" s="216"/>
      <c r="E543" s="216"/>
      <c r="F543" s="216"/>
      <c r="G543" s="216"/>
      <c r="H543" s="216"/>
      <c r="I543" s="216"/>
      <c r="J543" s="215"/>
      <c r="K543" s="217"/>
      <c r="L543" s="216"/>
      <c r="M543" s="215"/>
      <c r="N543" s="215"/>
      <c r="O543" s="215"/>
      <c r="P543" s="215"/>
      <c r="Q543" s="215"/>
      <c r="R543" s="215"/>
      <c r="S543" s="215"/>
      <c r="T543" s="215"/>
      <c r="U543" s="215"/>
      <c r="V543" s="215"/>
      <c r="W543" s="215"/>
      <c r="X543" s="215"/>
      <c r="Y543" s="215"/>
      <c r="Z543" s="215"/>
      <c r="AA543" s="215"/>
      <c r="AB543" s="456"/>
      <c r="AC543" s="219" t="s">
        <v>273</v>
      </c>
      <c r="AD543" s="457" t="s">
        <v>111</v>
      </c>
      <c r="AE543" s="224">
        <v>66.010000000000005</v>
      </c>
      <c r="AF543" s="458">
        <v>68</v>
      </c>
      <c r="AG543" s="226">
        <v>72.63</v>
      </c>
      <c r="AH543" s="224"/>
      <c r="AI543" s="458"/>
      <c r="AJ543" s="226"/>
      <c r="AK543" s="224"/>
      <c r="AL543" s="458"/>
      <c r="AM543" s="227"/>
      <c r="AN543" s="224"/>
      <c r="AO543" s="458"/>
      <c r="AP543" s="227"/>
      <c r="AQ543" s="224"/>
      <c r="AR543" s="458"/>
      <c r="AS543" s="227"/>
      <c r="AT543" s="224"/>
      <c r="AU543" s="458"/>
      <c r="AV543" s="227"/>
      <c r="AW543" s="224"/>
      <c r="AX543" s="458"/>
      <c r="AY543" s="227"/>
      <c r="AZ543" s="224"/>
      <c r="BA543" s="458"/>
      <c r="BB543" s="227"/>
      <c r="BC543" s="224"/>
      <c r="BD543" s="458"/>
      <c r="BE543" s="227"/>
      <c r="BF543" s="224"/>
      <c r="BG543" s="458"/>
      <c r="BH543" s="227"/>
      <c r="BI543" s="224"/>
      <c r="BJ543" s="458"/>
      <c r="BK543" s="226"/>
      <c r="BL543" s="229"/>
      <c r="BM543" s="215"/>
      <c r="BN543" s="125">
        <f t="shared" si="103"/>
        <v>66.010000000000005</v>
      </c>
      <c r="BO543" s="126">
        <f t="shared" si="104"/>
        <v>68</v>
      </c>
      <c r="BP543" s="127">
        <f t="shared" si="105"/>
        <v>72.63</v>
      </c>
    </row>
    <row r="544" spans="1:68" s="230" customFormat="1" ht="17.25" customHeight="1" outlineLevel="5" x14ac:dyDescent="0.25">
      <c r="A544" s="215"/>
      <c r="B544" s="215"/>
      <c r="C544" s="216"/>
      <c r="D544" s="216"/>
      <c r="E544" s="216"/>
      <c r="F544" s="216"/>
      <c r="G544" s="216"/>
      <c r="H544" s="216"/>
      <c r="I544" s="216"/>
      <c r="J544" s="215"/>
      <c r="K544" s="217"/>
      <c r="L544" s="216"/>
      <c r="M544" s="215"/>
      <c r="N544" s="215"/>
      <c r="O544" s="215"/>
      <c r="P544" s="215"/>
      <c r="Q544" s="215"/>
      <c r="R544" s="215"/>
      <c r="S544" s="215"/>
      <c r="T544" s="215"/>
      <c r="U544" s="215"/>
      <c r="V544" s="215"/>
      <c r="W544" s="215"/>
      <c r="X544" s="215"/>
      <c r="Y544" s="215"/>
      <c r="Z544" s="215"/>
      <c r="AA544" s="215"/>
      <c r="AB544" s="456"/>
      <c r="AC544" s="219" t="s">
        <v>594</v>
      </c>
      <c r="AD544" s="457" t="s">
        <v>111</v>
      </c>
      <c r="AE544" s="224">
        <v>2732.04</v>
      </c>
      <c r="AF544" s="458">
        <v>1200</v>
      </c>
      <c r="AG544" s="226">
        <v>3006.07</v>
      </c>
      <c r="AH544" s="224"/>
      <c r="AI544" s="458"/>
      <c r="AJ544" s="226"/>
      <c r="AK544" s="224"/>
      <c r="AL544" s="458"/>
      <c r="AM544" s="227"/>
      <c r="AN544" s="224"/>
      <c r="AO544" s="458"/>
      <c r="AP544" s="227"/>
      <c r="AQ544" s="224"/>
      <c r="AR544" s="458"/>
      <c r="AS544" s="227"/>
      <c r="AT544" s="224"/>
      <c r="AU544" s="458"/>
      <c r="AV544" s="227"/>
      <c r="AW544" s="224"/>
      <c r="AX544" s="458"/>
      <c r="AY544" s="227"/>
      <c r="AZ544" s="224"/>
      <c r="BA544" s="458"/>
      <c r="BB544" s="227"/>
      <c r="BC544" s="224"/>
      <c r="BD544" s="458"/>
      <c r="BE544" s="227"/>
      <c r="BF544" s="224"/>
      <c r="BG544" s="458"/>
      <c r="BH544" s="227"/>
      <c r="BI544" s="224"/>
      <c r="BJ544" s="458"/>
      <c r="BK544" s="226"/>
      <c r="BL544" s="229"/>
      <c r="BM544" s="215"/>
      <c r="BN544" s="125">
        <f t="shared" si="103"/>
        <v>2732.04</v>
      </c>
      <c r="BO544" s="126">
        <f t="shared" si="104"/>
        <v>1200</v>
      </c>
      <c r="BP544" s="127">
        <f t="shared" si="105"/>
        <v>3006.07</v>
      </c>
    </row>
    <row r="545" spans="1:68" s="230" customFormat="1" ht="17.25" customHeight="1" outlineLevel="5" x14ac:dyDescent="0.25">
      <c r="A545" s="215"/>
      <c r="B545" s="215"/>
      <c r="C545" s="216"/>
      <c r="D545" s="216"/>
      <c r="E545" s="216"/>
      <c r="F545" s="216"/>
      <c r="G545" s="216"/>
      <c r="H545" s="216"/>
      <c r="I545" s="216"/>
      <c r="J545" s="215"/>
      <c r="K545" s="217"/>
      <c r="L545" s="216"/>
      <c r="M545" s="215"/>
      <c r="N545" s="215"/>
      <c r="O545" s="215"/>
      <c r="P545" s="215"/>
      <c r="Q545" s="215"/>
      <c r="R545" s="215"/>
      <c r="S545" s="215"/>
      <c r="T545" s="215"/>
      <c r="U545" s="215"/>
      <c r="V545" s="215"/>
      <c r="W545" s="215"/>
      <c r="X545" s="215"/>
      <c r="Y545" s="215"/>
      <c r="Z545" s="215"/>
      <c r="AA545" s="215"/>
      <c r="AB545" s="456"/>
      <c r="AC545" s="219" t="s">
        <v>595</v>
      </c>
      <c r="AD545" s="457" t="s">
        <v>111</v>
      </c>
      <c r="AE545" s="224">
        <v>1795.34</v>
      </c>
      <c r="AF545" s="458">
        <v>1205</v>
      </c>
      <c r="AG545" s="226">
        <v>1975.45</v>
      </c>
      <c r="AH545" s="224"/>
      <c r="AI545" s="458"/>
      <c r="AJ545" s="226"/>
      <c r="AK545" s="224"/>
      <c r="AL545" s="458"/>
      <c r="AM545" s="227"/>
      <c r="AN545" s="224"/>
      <c r="AO545" s="458"/>
      <c r="AP545" s="227"/>
      <c r="AQ545" s="224"/>
      <c r="AR545" s="458"/>
      <c r="AS545" s="227"/>
      <c r="AT545" s="224"/>
      <c r="AU545" s="458"/>
      <c r="AV545" s="227"/>
      <c r="AW545" s="224"/>
      <c r="AX545" s="458"/>
      <c r="AY545" s="227"/>
      <c r="AZ545" s="224"/>
      <c r="BA545" s="458"/>
      <c r="BB545" s="227"/>
      <c r="BC545" s="224"/>
      <c r="BD545" s="458"/>
      <c r="BE545" s="227"/>
      <c r="BF545" s="224"/>
      <c r="BG545" s="458"/>
      <c r="BH545" s="227"/>
      <c r="BI545" s="224"/>
      <c r="BJ545" s="458"/>
      <c r="BK545" s="226"/>
      <c r="BL545" s="229"/>
      <c r="BM545" s="215"/>
      <c r="BN545" s="125">
        <f t="shared" si="103"/>
        <v>1795.34</v>
      </c>
      <c r="BO545" s="126">
        <f t="shared" si="104"/>
        <v>1205</v>
      </c>
      <c r="BP545" s="127">
        <f t="shared" si="105"/>
        <v>1975.45</v>
      </c>
    </row>
    <row r="546" spans="1:68" s="230" customFormat="1" ht="17.25" customHeight="1" outlineLevel="5" x14ac:dyDescent="0.25">
      <c r="A546" s="215"/>
      <c r="B546" s="215"/>
      <c r="C546" s="216"/>
      <c r="D546" s="216"/>
      <c r="E546" s="216"/>
      <c r="F546" s="216"/>
      <c r="G546" s="216"/>
      <c r="H546" s="216"/>
      <c r="I546" s="216"/>
      <c r="J546" s="215"/>
      <c r="K546" s="217"/>
      <c r="L546" s="216"/>
      <c r="M546" s="215"/>
      <c r="N546" s="215"/>
      <c r="O546" s="215"/>
      <c r="P546" s="215"/>
      <c r="Q546" s="215"/>
      <c r="R546" s="215"/>
      <c r="S546" s="215"/>
      <c r="T546" s="215"/>
      <c r="U546" s="215"/>
      <c r="V546" s="215"/>
      <c r="W546" s="215"/>
      <c r="X546" s="215"/>
      <c r="Y546" s="215"/>
      <c r="Z546" s="215"/>
      <c r="AA546" s="215"/>
      <c r="AB546" s="456"/>
      <c r="AC546" s="219" t="s">
        <v>596</v>
      </c>
      <c r="AD546" s="457" t="s">
        <v>111</v>
      </c>
      <c r="AE546" s="224">
        <v>716.76</v>
      </c>
      <c r="AF546" s="458">
        <v>720</v>
      </c>
      <c r="AG546" s="226">
        <v>888.28</v>
      </c>
      <c r="AH546" s="224"/>
      <c r="AI546" s="458"/>
      <c r="AJ546" s="226"/>
      <c r="AK546" s="224"/>
      <c r="AL546" s="458"/>
      <c r="AM546" s="227"/>
      <c r="AN546" s="224"/>
      <c r="AO546" s="458"/>
      <c r="AP546" s="227"/>
      <c r="AQ546" s="224"/>
      <c r="AR546" s="458"/>
      <c r="AS546" s="227"/>
      <c r="AT546" s="224"/>
      <c r="AU546" s="458"/>
      <c r="AV546" s="227"/>
      <c r="AW546" s="224"/>
      <c r="AX546" s="458"/>
      <c r="AY546" s="227"/>
      <c r="AZ546" s="224"/>
      <c r="BA546" s="458"/>
      <c r="BB546" s="227"/>
      <c r="BC546" s="224"/>
      <c r="BD546" s="458"/>
      <c r="BE546" s="227"/>
      <c r="BF546" s="224"/>
      <c r="BG546" s="458"/>
      <c r="BH546" s="227"/>
      <c r="BI546" s="224"/>
      <c r="BJ546" s="458"/>
      <c r="BK546" s="226"/>
      <c r="BL546" s="229"/>
      <c r="BM546" s="215"/>
      <c r="BN546" s="125">
        <f t="shared" si="103"/>
        <v>716.76</v>
      </c>
      <c r="BO546" s="126">
        <f t="shared" si="104"/>
        <v>720</v>
      </c>
      <c r="BP546" s="127">
        <f t="shared" si="105"/>
        <v>888.28</v>
      </c>
    </row>
    <row r="547" spans="1:68" s="230" customFormat="1" ht="17.25" customHeight="1" outlineLevel="5" x14ac:dyDescent="0.25">
      <c r="A547" s="215"/>
      <c r="B547" s="215"/>
      <c r="C547" s="216"/>
      <c r="D547" s="216"/>
      <c r="E547" s="216"/>
      <c r="F547" s="216"/>
      <c r="G547" s="216"/>
      <c r="H547" s="216"/>
      <c r="I547" s="216"/>
      <c r="J547" s="215"/>
      <c r="K547" s="217"/>
      <c r="L547" s="216"/>
      <c r="M547" s="215"/>
      <c r="N547" s="215"/>
      <c r="O547" s="215"/>
      <c r="P547" s="215"/>
      <c r="Q547" s="215"/>
      <c r="R547" s="215"/>
      <c r="S547" s="215"/>
      <c r="T547" s="215"/>
      <c r="U547" s="215"/>
      <c r="V547" s="215"/>
      <c r="W547" s="215"/>
      <c r="X547" s="215"/>
      <c r="Y547" s="215"/>
      <c r="Z547" s="215"/>
      <c r="AA547" s="215"/>
      <c r="AB547" s="456"/>
      <c r="AC547" s="219" t="s">
        <v>255</v>
      </c>
      <c r="AD547" s="457" t="s">
        <v>111</v>
      </c>
      <c r="AE547" s="224">
        <v>2898.82</v>
      </c>
      <c r="AF547" s="458">
        <v>1350</v>
      </c>
      <c r="AG547" s="226">
        <v>4035.81</v>
      </c>
      <c r="AH547" s="224"/>
      <c r="AI547" s="458"/>
      <c r="AJ547" s="226"/>
      <c r="AK547" s="224"/>
      <c r="AL547" s="458"/>
      <c r="AM547" s="227"/>
      <c r="AN547" s="224"/>
      <c r="AO547" s="458"/>
      <c r="AP547" s="227"/>
      <c r="AQ547" s="224"/>
      <c r="AR547" s="458"/>
      <c r="AS547" s="227"/>
      <c r="AT547" s="224"/>
      <c r="AU547" s="458"/>
      <c r="AV547" s="227"/>
      <c r="AW547" s="224"/>
      <c r="AX547" s="458"/>
      <c r="AY547" s="227"/>
      <c r="AZ547" s="224"/>
      <c r="BA547" s="458"/>
      <c r="BB547" s="227"/>
      <c r="BC547" s="224"/>
      <c r="BD547" s="458"/>
      <c r="BE547" s="227"/>
      <c r="BF547" s="224"/>
      <c r="BG547" s="458"/>
      <c r="BH547" s="227"/>
      <c r="BI547" s="224"/>
      <c r="BJ547" s="458"/>
      <c r="BK547" s="226"/>
      <c r="BL547" s="229"/>
      <c r="BM547" s="215"/>
      <c r="BN547" s="125">
        <f t="shared" si="103"/>
        <v>2898.82</v>
      </c>
      <c r="BO547" s="126">
        <f t="shared" si="104"/>
        <v>1350</v>
      </c>
      <c r="BP547" s="127">
        <f t="shared" si="105"/>
        <v>4035.81</v>
      </c>
    </row>
    <row r="548" spans="1:68" s="230" customFormat="1" ht="17.25" customHeight="1" outlineLevel="5" x14ac:dyDescent="0.25">
      <c r="A548" s="215"/>
      <c r="B548" s="215"/>
      <c r="C548" s="216"/>
      <c r="D548" s="216"/>
      <c r="E548" s="216"/>
      <c r="F548" s="216"/>
      <c r="G548" s="216"/>
      <c r="H548" s="216"/>
      <c r="I548" s="216"/>
      <c r="J548" s="215"/>
      <c r="K548" s="217"/>
      <c r="L548" s="216"/>
      <c r="M548" s="215"/>
      <c r="N548" s="215"/>
      <c r="O548" s="215"/>
      <c r="P548" s="215"/>
      <c r="Q548" s="215"/>
      <c r="R548" s="215"/>
      <c r="S548" s="215"/>
      <c r="T548" s="215"/>
      <c r="U548" s="215"/>
      <c r="V548" s="215"/>
      <c r="W548" s="215"/>
      <c r="X548" s="215"/>
      <c r="Y548" s="215"/>
      <c r="Z548" s="215"/>
      <c r="AA548" s="215"/>
      <c r="AB548" s="456"/>
      <c r="AC548" s="219" t="s">
        <v>597</v>
      </c>
      <c r="AD548" s="457" t="s">
        <v>111</v>
      </c>
      <c r="AE548" s="224">
        <v>539.27</v>
      </c>
      <c r="AF548" s="458">
        <v>100</v>
      </c>
      <c r="AG548" s="226">
        <v>293.37</v>
      </c>
      <c r="AH548" s="224"/>
      <c r="AI548" s="458"/>
      <c r="AJ548" s="226"/>
      <c r="AK548" s="224"/>
      <c r="AL548" s="458"/>
      <c r="AM548" s="227"/>
      <c r="AN548" s="224"/>
      <c r="AO548" s="458"/>
      <c r="AP548" s="227"/>
      <c r="AQ548" s="224"/>
      <c r="AR548" s="458"/>
      <c r="AS548" s="227"/>
      <c r="AT548" s="224"/>
      <c r="AU548" s="458"/>
      <c r="AV548" s="227"/>
      <c r="AW548" s="224"/>
      <c r="AX548" s="458"/>
      <c r="AY548" s="227"/>
      <c r="AZ548" s="224"/>
      <c r="BA548" s="458"/>
      <c r="BB548" s="227"/>
      <c r="BC548" s="224"/>
      <c r="BD548" s="458"/>
      <c r="BE548" s="227"/>
      <c r="BF548" s="224"/>
      <c r="BG548" s="458"/>
      <c r="BH548" s="227"/>
      <c r="BI548" s="224"/>
      <c r="BJ548" s="458"/>
      <c r="BK548" s="226"/>
      <c r="BL548" s="229"/>
      <c r="BM548" s="215"/>
      <c r="BN548" s="125">
        <f t="shared" si="103"/>
        <v>539.27</v>
      </c>
      <c r="BO548" s="126">
        <f t="shared" si="104"/>
        <v>100</v>
      </c>
      <c r="BP548" s="127">
        <f t="shared" si="105"/>
        <v>293.37</v>
      </c>
    </row>
    <row r="549" spans="1:68" s="230" customFormat="1" ht="17.25" customHeight="1" outlineLevel="5" x14ac:dyDescent="0.25">
      <c r="A549" s="215"/>
      <c r="B549" s="215"/>
      <c r="C549" s="216"/>
      <c r="D549" s="216"/>
      <c r="E549" s="216"/>
      <c r="F549" s="216"/>
      <c r="G549" s="216"/>
      <c r="H549" s="216"/>
      <c r="I549" s="216"/>
      <c r="J549" s="215"/>
      <c r="K549" s="217"/>
      <c r="L549" s="216"/>
      <c r="M549" s="215"/>
      <c r="N549" s="215"/>
      <c r="O549" s="215"/>
      <c r="P549" s="215"/>
      <c r="Q549" s="215"/>
      <c r="R549" s="215"/>
      <c r="S549" s="215"/>
      <c r="T549" s="215"/>
      <c r="U549" s="215"/>
      <c r="V549" s="215"/>
      <c r="W549" s="215"/>
      <c r="X549" s="215"/>
      <c r="Y549" s="215"/>
      <c r="Z549" s="215"/>
      <c r="AA549" s="215"/>
      <c r="AB549" s="456"/>
      <c r="AC549" s="219" t="s">
        <v>598</v>
      </c>
      <c r="AD549" s="457" t="s">
        <v>111</v>
      </c>
      <c r="AE549" s="224">
        <v>145.03</v>
      </c>
      <c r="AF549" s="458">
        <v>145.03</v>
      </c>
      <c r="AG549" s="226">
        <v>159.58000000000001</v>
      </c>
      <c r="AH549" s="224"/>
      <c r="AI549" s="458"/>
      <c r="AJ549" s="226"/>
      <c r="AK549" s="224"/>
      <c r="AL549" s="458"/>
      <c r="AM549" s="227"/>
      <c r="AN549" s="224"/>
      <c r="AO549" s="458"/>
      <c r="AP549" s="227"/>
      <c r="AQ549" s="224"/>
      <c r="AR549" s="458"/>
      <c r="AS549" s="227"/>
      <c r="AT549" s="224"/>
      <c r="AU549" s="458"/>
      <c r="AV549" s="227"/>
      <c r="AW549" s="224"/>
      <c r="AX549" s="458"/>
      <c r="AY549" s="227"/>
      <c r="AZ549" s="224"/>
      <c r="BA549" s="458"/>
      <c r="BB549" s="227"/>
      <c r="BC549" s="224"/>
      <c r="BD549" s="458"/>
      <c r="BE549" s="227"/>
      <c r="BF549" s="224"/>
      <c r="BG549" s="458"/>
      <c r="BH549" s="227"/>
      <c r="BI549" s="224"/>
      <c r="BJ549" s="458"/>
      <c r="BK549" s="226"/>
      <c r="BL549" s="229"/>
      <c r="BM549" s="215"/>
      <c r="BN549" s="125">
        <f t="shared" si="103"/>
        <v>145.03</v>
      </c>
      <c r="BO549" s="126">
        <f t="shared" si="104"/>
        <v>145.03</v>
      </c>
      <c r="BP549" s="127">
        <f t="shared" si="105"/>
        <v>159.58000000000001</v>
      </c>
    </row>
    <row r="550" spans="1:68" s="230" customFormat="1" ht="17.25" customHeight="1" outlineLevel="5" x14ac:dyDescent="0.25">
      <c r="A550" s="215"/>
      <c r="B550" s="215"/>
      <c r="C550" s="216"/>
      <c r="D550" s="216"/>
      <c r="E550" s="216"/>
      <c r="F550" s="216"/>
      <c r="G550" s="216"/>
      <c r="H550" s="216"/>
      <c r="I550" s="216"/>
      <c r="J550" s="215"/>
      <c r="K550" s="217"/>
      <c r="L550" s="216"/>
      <c r="M550" s="215"/>
      <c r="N550" s="215"/>
      <c r="O550" s="215"/>
      <c r="P550" s="215"/>
      <c r="Q550" s="215"/>
      <c r="R550" s="215"/>
      <c r="S550" s="215"/>
      <c r="T550" s="215"/>
      <c r="U550" s="215"/>
      <c r="V550" s="215"/>
      <c r="W550" s="215"/>
      <c r="X550" s="215"/>
      <c r="Y550" s="215"/>
      <c r="Z550" s="215"/>
      <c r="AA550" s="215"/>
      <c r="AB550" s="456"/>
      <c r="AC550" s="219" t="s">
        <v>599</v>
      </c>
      <c r="AD550" s="457" t="s">
        <v>111</v>
      </c>
      <c r="AE550" s="224">
        <v>7715.85</v>
      </c>
      <c r="AF550" s="458">
        <v>1475.32</v>
      </c>
      <c r="AG550" s="226">
        <v>8412.56</v>
      </c>
      <c r="AH550" s="224"/>
      <c r="AI550" s="458"/>
      <c r="AJ550" s="226"/>
      <c r="AK550" s="224"/>
      <c r="AL550" s="458"/>
      <c r="AM550" s="227"/>
      <c r="AN550" s="224"/>
      <c r="AO550" s="458"/>
      <c r="AP550" s="227"/>
      <c r="AQ550" s="224"/>
      <c r="AR550" s="458"/>
      <c r="AS550" s="227"/>
      <c r="AT550" s="224"/>
      <c r="AU550" s="458"/>
      <c r="AV550" s="227"/>
      <c r="AW550" s="224"/>
      <c r="AX550" s="458"/>
      <c r="AY550" s="227"/>
      <c r="AZ550" s="224"/>
      <c r="BA550" s="458"/>
      <c r="BB550" s="227"/>
      <c r="BC550" s="224"/>
      <c r="BD550" s="458"/>
      <c r="BE550" s="227"/>
      <c r="BF550" s="224"/>
      <c r="BG550" s="458"/>
      <c r="BH550" s="227"/>
      <c r="BI550" s="224"/>
      <c r="BJ550" s="458"/>
      <c r="BK550" s="226"/>
      <c r="BL550" s="229"/>
      <c r="BM550" s="215"/>
      <c r="BN550" s="125">
        <f t="shared" si="103"/>
        <v>7715.85</v>
      </c>
      <c r="BO550" s="126">
        <f t="shared" si="104"/>
        <v>1475.32</v>
      </c>
      <c r="BP550" s="127">
        <f t="shared" si="105"/>
        <v>8412.56</v>
      </c>
    </row>
    <row r="551" spans="1:68" s="230" customFormat="1" ht="17.25" customHeight="1" outlineLevel="5" x14ac:dyDescent="0.25">
      <c r="A551" s="215"/>
      <c r="B551" s="215"/>
      <c r="C551" s="216"/>
      <c r="D551" s="216"/>
      <c r="E551" s="216"/>
      <c r="F551" s="216"/>
      <c r="G551" s="216"/>
      <c r="H551" s="216"/>
      <c r="I551" s="216"/>
      <c r="J551" s="215"/>
      <c r="K551" s="217"/>
      <c r="L551" s="216"/>
      <c r="M551" s="215"/>
      <c r="N551" s="215"/>
      <c r="O551" s="215"/>
      <c r="P551" s="215"/>
      <c r="Q551" s="215"/>
      <c r="R551" s="215"/>
      <c r="S551" s="215"/>
      <c r="T551" s="215"/>
      <c r="U551" s="215"/>
      <c r="V551" s="215"/>
      <c r="W551" s="215"/>
      <c r="X551" s="215"/>
      <c r="Y551" s="215"/>
      <c r="Z551" s="215"/>
      <c r="AA551" s="215"/>
      <c r="AB551" s="456"/>
      <c r="AC551" s="219" t="s">
        <v>600</v>
      </c>
      <c r="AD551" s="457" t="s">
        <v>111</v>
      </c>
      <c r="AE551" s="224">
        <v>723.32</v>
      </c>
      <c r="AF551" s="458">
        <v>500</v>
      </c>
      <c r="AG551" s="226">
        <v>795.88</v>
      </c>
      <c r="AH551" s="224"/>
      <c r="AI551" s="458"/>
      <c r="AJ551" s="226"/>
      <c r="AK551" s="224"/>
      <c r="AL551" s="458"/>
      <c r="AM551" s="227"/>
      <c r="AN551" s="224"/>
      <c r="AO551" s="458"/>
      <c r="AP551" s="227"/>
      <c r="AQ551" s="224"/>
      <c r="AR551" s="458"/>
      <c r="AS551" s="227"/>
      <c r="AT551" s="224"/>
      <c r="AU551" s="458"/>
      <c r="AV551" s="227"/>
      <c r="AW551" s="224"/>
      <c r="AX551" s="458"/>
      <c r="AY551" s="227"/>
      <c r="AZ551" s="224"/>
      <c r="BA551" s="458">
        <v>2398.59</v>
      </c>
      <c r="BB551" s="227"/>
      <c r="BC551" s="224"/>
      <c r="BD551" s="458"/>
      <c r="BE551" s="227"/>
      <c r="BF551" s="224"/>
      <c r="BG551" s="458"/>
      <c r="BH551" s="227"/>
      <c r="BI551" s="224"/>
      <c r="BJ551" s="458"/>
      <c r="BK551" s="226"/>
      <c r="BL551" s="229"/>
      <c r="BM551" s="215"/>
      <c r="BN551" s="125">
        <f t="shared" si="103"/>
        <v>723.32</v>
      </c>
      <c r="BO551" s="126">
        <f t="shared" si="104"/>
        <v>2898.59</v>
      </c>
      <c r="BP551" s="127">
        <f t="shared" si="105"/>
        <v>795.88</v>
      </c>
    </row>
    <row r="552" spans="1:68" s="230" customFormat="1" ht="17.25" customHeight="1" outlineLevel="5" x14ac:dyDescent="0.25">
      <c r="A552" s="215"/>
      <c r="B552" s="215"/>
      <c r="C552" s="216"/>
      <c r="D552" s="216"/>
      <c r="E552" s="216"/>
      <c r="F552" s="216"/>
      <c r="G552" s="216"/>
      <c r="H552" s="216"/>
      <c r="I552" s="216"/>
      <c r="J552" s="215"/>
      <c r="K552" s="217"/>
      <c r="L552" s="216"/>
      <c r="M552" s="215"/>
      <c r="N552" s="215"/>
      <c r="O552" s="215"/>
      <c r="P552" s="215"/>
      <c r="Q552" s="215"/>
      <c r="R552" s="215"/>
      <c r="S552" s="215"/>
      <c r="T552" s="215"/>
      <c r="U552" s="215"/>
      <c r="V552" s="215"/>
      <c r="W552" s="215"/>
      <c r="X552" s="215"/>
      <c r="Y552" s="215"/>
      <c r="Z552" s="215"/>
      <c r="AA552" s="215"/>
      <c r="AB552" s="456"/>
      <c r="AC552" s="219" t="s">
        <v>601</v>
      </c>
      <c r="AD552" s="457" t="s">
        <v>111</v>
      </c>
      <c r="AE552" s="224">
        <v>19.2</v>
      </c>
      <c r="AF552" s="458">
        <v>19.2</v>
      </c>
      <c r="AG552" s="226">
        <v>19.97</v>
      </c>
      <c r="AH552" s="224"/>
      <c r="AI552" s="458"/>
      <c r="AJ552" s="226"/>
      <c r="AK552" s="224"/>
      <c r="AL552" s="458"/>
      <c r="AM552" s="227"/>
      <c r="AN552" s="224"/>
      <c r="AO552" s="458"/>
      <c r="AP552" s="227"/>
      <c r="AQ552" s="224"/>
      <c r="AR552" s="458"/>
      <c r="AS552" s="227"/>
      <c r="AT552" s="224"/>
      <c r="AU552" s="458"/>
      <c r="AV552" s="227"/>
      <c r="AW552" s="224"/>
      <c r="AX552" s="458"/>
      <c r="AY552" s="227"/>
      <c r="AZ552" s="224"/>
      <c r="BA552" s="458"/>
      <c r="BB552" s="227"/>
      <c r="BC552" s="224"/>
      <c r="BD552" s="458"/>
      <c r="BE552" s="227"/>
      <c r="BF552" s="224"/>
      <c r="BG552" s="458"/>
      <c r="BH552" s="227"/>
      <c r="BI552" s="224"/>
      <c r="BJ552" s="458"/>
      <c r="BK552" s="226"/>
      <c r="BL552" s="229"/>
      <c r="BM552" s="215"/>
      <c r="BN552" s="125">
        <f t="shared" si="103"/>
        <v>19.2</v>
      </c>
      <c r="BO552" s="126">
        <f t="shared" si="104"/>
        <v>19.2</v>
      </c>
      <c r="BP552" s="127">
        <f t="shared" si="105"/>
        <v>19.97</v>
      </c>
    </row>
    <row r="553" spans="1:68" s="230" customFormat="1" ht="17.25" customHeight="1" outlineLevel="5" x14ac:dyDescent="0.25">
      <c r="A553" s="215"/>
      <c r="B553" s="215"/>
      <c r="C553" s="216"/>
      <c r="D553" s="216"/>
      <c r="E553" s="216"/>
      <c r="F553" s="216"/>
      <c r="G553" s="216"/>
      <c r="H553" s="216"/>
      <c r="I553" s="216"/>
      <c r="J553" s="215"/>
      <c r="K553" s="217"/>
      <c r="L553" s="216"/>
      <c r="M553" s="215"/>
      <c r="N553" s="215"/>
      <c r="O553" s="215"/>
      <c r="P553" s="215"/>
      <c r="Q553" s="215"/>
      <c r="R553" s="215"/>
      <c r="S553" s="215"/>
      <c r="T553" s="215"/>
      <c r="U553" s="215"/>
      <c r="V553" s="215"/>
      <c r="W553" s="215"/>
      <c r="X553" s="215"/>
      <c r="Y553" s="215"/>
      <c r="Z553" s="215"/>
      <c r="AA553" s="215"/>
      <c r="AB553" s="456"/>
      <c r="AC553" s="219" t="s">
        <v>602</v>
      </c>
      <c r="AD553" s="457" t="s">
        <v>111</v>
      </c>
      <c r="AE553" s="224">
        <v>244.58</v>
      </c>
      <c r="AF553" s="458">
        <v>244.58</v>
      </c>
      <c r="AG553" s="226">
        <v>264.08999999999997</v>
      </c>
      <c r="AH553" s="224"/>
      <c r="AI553" s="458"/>
      <c r="AJ553" s="226"/>
      <c r="AK553" s="224"/>
      <c r="AL553" s="458"/>
      <c r="AM553" s="227"/>
      <c r="AN553" s="224"/>
      <c r="AO553" s="458"/>
      <c r="AP553" s="227"/>
      <c r="AQ553" s="224"/>
      <c r="AR553" s="458"/>
      <c r="AS553" s="227"/>
      <c r="AT553" s="224"/>
      <c r="AU553" s="458"/>
      <c r="AV553" s="227"/>
      <c r="AW553" s="224"/>
      <c r="AX553" s="458"/>
      <c r="AY553" s="227"/>
      <c r="AZ553" s="224"/>
      <c r="BA553" s="458"/>
      <c r="BB553" s="227"/>
      <c r="BC553" s="224"/>
      <c r="BD553" s="458"/>
      <c r="BE553" s="227"/>
      <c r="BF553" s="224"/>
      <c r="BG553" s="458"/>
      <c r="BH553" s="227"/>
      <c r="BI553" s="224"/>
      <c r="BJ553" s="458"/>
      <c r="BK553" s="226"/>
      <c r="BL553" s="229"/>
      <c r="BM553" s="215"/>
      <c r="BN553" s="125">
        <f t="shared" si="103"/>
        <v>244.58</v>
      </c>
      <c r="BO553" s="126">
        <f t="shared" si="104"/>
        <v>244.58</v>
      </c>
      <c r="BP553" s="127">
        <f t="shared" si="105"/>
        <v>264.08999999999997</v>
      </c>
    </row>
    <row r="554" spans="1:68" s="230" customFormat="1" ht="17.25" customHeight="1" outlineLevel="5" x14ac:dyDescent="0.25">
      <c r="A554" s="215"/>
      <c r="B554" s="215"/>
      <c r="C554" s="216"/>
      <c r="D554" s="216"/>
      <c r="E554" s="216"/>
      <c r="F554" s="216"/>
      <c r="G554" s="216"/>
      <c r="H554" s="216"/>
      <c r="I554" s="216"/>
      <c r="J554" s="215"/>
      <c r="K554" s="217"/>
      <c r="L554" s="216"/>
      <c r="M554" s="215"/>
      <c r="N554" s="215"/>
      <c r="O554" s="215"/>
      <c r="P554" s="215"/>
      <c r="Q554" s="215"/>
      <c r="R554" s="215"/>
      <c r="S554" s="215"/>
      <c r="T554" s="215"/>
      <c r="U554" s="215"/>
      <c r="V554" s="215"/>
      <c r="W554" s="215"/>
      <c r="X554" s="215"/>
      <c r="Y554" s="215"/>
      <c r="Z554" s="215"/>
      <c r="AA554" s="215"/>
      <c r="AB554" s="456"/>
      <c r="AC554" s="219" t="s">
        <v>372</v>
      </c>
      <c r="AD554" s="457" t="s">
        <v>111</v>
      </c>
      <c r="AE554" s="224">
        <v>80.37</v>
      </c>
      <c r="AF554" s="458">
        <v>80.37</v>
      </c>
      <c r="AG554" s="226">
        <v>88.44</v>
      </c>
      <c r="AH554" s="224"/>
      <c r="AI554" s="458"/>
      <c r="AJ554" s="226"/>
      <c r="AK554" s="224"/>
      <c r="AL554" s="458"/>
      <c r="AM554" s="227"/>
      <c r="AN554" s="224"/>
      <c r="AO554" s="458"/>
      <c r="AP554" s="227"/>
      <c r="AQ554" s="224"/>
      <c r="AR554" s="458"/>
      <c r="AS554" s="227"/>
      <c r="AT554" s="224"/>
      <c r="AU554" s="458"/>
      <c r="AV554" s="227"/>
      <c r="AW554" s="224"/>
      <c r="AX554" s="458"/>
      <c r="AY554" s="227"/>
      <c r="AZ554" s="224"/>
      <c r="BA554" s="458"/>
      <c r="BB554" s="227"/>
      <c r="BC554" s="224"/>
      <c r="BD554" s="458"/>
      <c r="BE554" s="227"/>
      <c r="BF554" s="224"/>
      <c r="BG554" s="458"/>
      <c r="BH554" s="227"/>
      <c r="BI554" s="224"/>
      <c r="BJ554" s="458"/>
      <c r="BK554" s="226"/>
      <c r="BL554" s="229"/>
      <c r="BM554" s="215"/>
      <c r="BN554" s="125">
        <f t="shared" si="103"/>
        <v>80.37</v>
      </c>
      <c r="BO554" s="126">
        <f t="shared" si="104"/>
        <v>80.37</v>
      </c>
      <c r="BP554" s="127">
        <f t="shared" si="105"/>
        <v>88.44</v>
      </c>
    </row>
    <row r="555" spans="1:68" s="230" customFormat="1" ht="17.25" customHeight="1" outlineLevel="5" x14ac:dyDescent="0.25">
      <c r="A555" s="215"/>
      <c r="B555" s="215"/>
      <c r="C555" s="216"/>
      <c r="D555" s="216"/>
      <c r="E555" s="216"/>
      <c r="F555" s="216"/>
      <c r="G555" s="216"/>
      <c r="H555" s="216"/>
      <c r="I555" s="216"/>
      <c r="J555" s="215"/>
      <c r="K555" s="217"/>
      <c r="L555" s="216"/>
      <c r="M555" s="215"/>
      <c r="N555" s="215"/>
      <c r="O555" s="215"/>
      <c r="P555" s="215"/>
      <c r="Q555" s="215"/>
      <c r="R555" s="215"/>
      <c r="S555" s="215"/>
      <c r="T555" s="215"/>
      <c r="U555" s="215"/>
      <c r="V555" s="215"/>
      <c r="W555" s="215"/>
      <c r="X555" s="215"/>
      <c r="Y555" s="215"/>
      <c r="Z555" s="215"/>
      <c r="AA555" s="215"/>
      <c r="AB555" s="456"/>
      <c r="AC555" s="219" t="s">
        <v>603</v>
      </c>
      <c r="AD555" s="457" t="s">
        <v>111</v>
      </c>
      <c r="AE555" s="224">
        <v>103.85</v>
      </c>
      <c r="AF555" s="458">
        <v>103.85</v>
      </c>
      <c r="AG555" s="226">
        <v>114.27</v>
      </c>
      <c r="AH555" s="224"/>
      <c r="AI555" s="458"/>
      <c r="AJ555" s="226"/>
      <c r="AK555" s="224"/>
      <c r="AL555" s="458"/>
      <c r="AM555" s="227"/>
      <c r="AN555" s="224"/>
      <c r="AO555" s="458"/>
      <c r="AP555" s="227"/>
      <c r="AQ555" s="224"/>
      <c r="AR555" s="458"/>
      <c r="AS555" s="227"/>
      <c r="AT555" s="224"/>
      <c r="AU555" s="458"/>
      <c r="AV555" s="227"/>
      <c r="AW555" s="224"/>
      <c r="AX555" s="458"/>
      <c r="AY555" s="227"/>
      <c r="AZ555" s="224"/>
      <c r="BA555" s="458"/>
      <c r="BB555" s="227"/>
      <c r="BC555" s="224"/>
      <c r="BD555" s="458"/>
      <c r="BE555" s="227"/>
      <c r="BF555" s="224"/>
      <c r="BG555" s="458"/>
      <c r="BH555" s="227"/>
      <c r="BI555" s="224"/>
      <c r="BJ555" s="458"/>
      <c r="BK555" s="226"/>
      <c r="BL555" s="229"/>
      <c r="BM555" s="215"/>
      <c r="BN555" s="125">
        <f t="shared" si="103"/>
        <v>103.85</v>
      </c>
      <c r="BO555" s="126">
        <f t="shared" si="104"/>
        <v>103.85</v>
      </c>
      <c r="BP555" s="127">
        <f t="shared" si="105"/>
        <v>114.27</v>
      </c>
    </row>
    <row r="556" spans="1:68" s="230" customFormat="1" ht="17.25" customHeight="1" outlineLevel="5" x14ac:dyDescent="0.25">
      <c r="A556" s="215"/>
      <c r="B556" s="215"/>
      <c r="C556" s="216"/>
      <c r="D556" s="216"/>
      <c r="E556" s="216"/>
      <c r="F556" s="216"/>
      <c r="G556" s="216"/>
      <c r="H556" s="216"/>
      <c r="I556" s="216"/>
      <c r="J556" s="215"/>
      <c r="K556" s="217"/>
      <c r="L556" s="216"/>
      <c r="M556" s="215"/>
      <c r="N556" s="215"/>
      <c r="O556" s="215"/>
      <c r="P556" s="215"/>
      <c r="Q556" s="215"/>
      <c r="R556" s="215"/>
      <c r="S556" s="215"/>
      <c r="T556" s="215"/>
      <c r="U556" s="215"/>
      <c r="V556" s="215"/>
      <c r="W556" s="215"/>
      <c r="X556" s="215"/>
      <c r="Y556" s="215"/>
      <c r="Z556" s="215"/>
      <c r="AA556" s="215"/>
      <c r="AB556" s="456"/>
      <c r="AC556" s="219" t="s">
        <v>303</v>
      </c>
      <c r="AD556" s="457" t="s">
        <v>111</v>
      </c>
      <c r="AE556" s="224">
        <v>90.49</v>
      </c>
      <c r="AF556" s="458">
        <v>90.49</v>
      </c>
      <c r="AG556" s="226">
        <v>99.56</v>
      </c>
      <c r="AH556" s="224"/>
      <c r="AI556" s="458"/>
      <c r="AJ556" s="226"/>
      <c r="AK556" s="224"/>
      <c r="AL556" s="458"/>
      <c r="AM556" s="227"/>
      <c r="AN556" s="224"/>
      <c r="AO556" s="458"/>
      <c r="AP556" s="227"/>
      <c r="AQ556" s="224"/>
      <c r="AR556" s="458"/>
      <c r="AS556" s="227"/>
      <c r="AT556" s="224"/>
      <c r="AU556" s="458"/>
      <c r="AV556" s="227"/>
      <c r="AW556" s="224"/>
      <c r="AX556" s="458"/>
      <c r="AY556" s="227"/>
      <c r="AZ556" s="224"/>
      <c r="BA556" s="458"/>
      <c r="BB556" s="227"/>
      <c r="BC556" s="224"/>
      <c r="BD556" s="458"/>
      <c r="BE556" s="227"/>
      <c r="BF556" s="224"/>
      <c r="BG556" s="458"/>
      <c r="BH556" s="227"/>
      <c r="BI556" s="224"/>
      <c r="BJ556" s="458"/>
      <c r="BK556" s="226"/>
      <c r="BL556" s="229"/>
      <c r="BM556" s="215"/>
      <c r="BN556" s="125">
        <f t="shared" ref="BN556:BN587" si="108">AE556+AH556+AK556+AN556+AQ556+AT556+AW556+AZ556+BC556+BF556+BI556</f>
        <v>90.49</v>
      </c>
      <c r="BO556" s="126">
        <f t="shared" ref="BO556:BO587" si="109">AF556+AI556+AL556+AO556+AR556+AU556+AX556+BA556+BD556+BG556+BJ556</f>
        <v>90.49</v>
      </c>
      <c r="BP556" s="127">
        <f t="shared" ref="BP556:BP587" si="110">AG556+AJ556+AM556+AP556+AS556+AV556+AY556+BB556+BE556+BH556+BK556</f>
        <v>99.56</v>
      </c>
    </row>
    <row r="557" spans="1:68" s="230" customFormat="1" ht="17.25" customHeight="1" outlineLevel="5" x14ac:dyDescent="0.25">
      <c r="A557" s="215"/>
      <c r="B557" s="215"/>
      <c r="C557" s="216"/>
      <c r="D557" s="216"/>
      <c r="E557" s="216"/>
      <c r="F557" s="216"/>
      <c r="G557" s="216"/>
      <c r="H557" s="216"/>
      <c r="I557" s="216"/>
      <c r="J557" s="215"/>
      <c r="K557" s="217"/>
      <c r="L557" s="216"/>
      <c r="M557" s="215"/>
      <c r="N557" s="215"/>
      <c r="O557" s="215"/>
      <c r="P557" s="215"/>
      <c r="Q557" s="215"/>
      <c r="R557" s="215"/>
      <c r="S557" s="215"/>
      <c r="T557" s="215"/>
      <c r="U557" s="215"/>
      <c r="V557" s="215"/>
      <c r="W557" s="215"/>
      <c r="X557" s="215"/>
      <c r="Y557" s="215"/>
      <c r="Z557" s="215"/>
      <c r="AA557" s="215"/>
      <c r="AB557" s="456"/>
      <c r="AC557" s="219" t="s">
        <v>604</v>
      </c>
      <c r="AD557" s="457" t="s">
        <v>111</v>
      </c>
      <c r="AE557" s="224">
        <v>48.11</v>
      </c>
      <c r="AF557" s="458">
        <v>48.11</v>
      </c>
      <c r="AG557" s="226">
        <v>30.36</v>
      </c>
      <c r="AH557" s="224"/>
      <c r="AI557" s="458"/>
      <c r="AJ557" s="226"/>
      <c r="AK557" s="224"/>
      <c r="AL557" s="458"/>
      <c r="AM557" s="227"/>
      <c r="AN557" s="224"/>
      <c r="AO557" s="458"/>
      <c r="AP557" s="227"/>
      <c r="AQ557" s="224"/>
      <c r="AR557" s="458"/>
      <c r="AS557" s="227"/>
      <c r="AT557" s="224"/>
      <c r="AU557" s="458"/>
      <c r="AV557" s="227"/>
      <c r="AW557" s="224"/>
      <c r="AX557" s="458"/>
      <c r="AY557" s="227"/>
      <c r="AZ557" s="224"/>
      <c r="BA557" s="458"/>
      <c r="BB557" s="227"/>
      <c r="BC557" s="224"/>
      <c r="BD557" s="458"/>
      <c r="BE557" s="227"/>
      <c r="BF557" s="224"/>
      <c r="BG557" s="458"/>
      <c r="BH557" s="227"/>
      <c r="BI557" s="224"/>
      <c r="BJ557" s="458"/>
      <c r="BK557" s="226"/>
      <c r="BL557" s="229"/>
      <c r="BM557" s="215"/>
      <c r="BN557" s="125">
        <f t="shared" si="108"/>
        <v>48.11</v>
      </c>
      <c r="BO557" s="126">
        <f t="shared" si="109"/>
        <v>48.11</v>
      </c>
      <c r="BP557" s="127">
        <f t="shared" si="110"/>
        <v>30.36</v>
      </c>
    </row>
    <row r="558" spans="1:68" s="230" customFormat="1" ht="17.25" customHeight="1" outlineLevel="5" x14ac:dyDescent="0.25">
      <c r="A558" s="215"/>
      <c r="B558" s="215"/>
      <c r="C558" s="216"/>
      <c r="D558" s="216"/>
      <c r="E558" s="216"/>
      <c r="F558" s="216"/>
      <c r="G558" s="216"/>
      <c r="H558" s="216"/>
      <c r="I558" s="216"/>
      <c r="J558" s="215"/>
      <c r="K558" s="217"/>
      <c r="L558" s="216"/>
      <c r="M558" s="215"/>
      <c r="N558" s="215"/>
      <c r="O558" s="215"/>
      <c r="P558" s="215"/>
      <c r="Q558" s="215"/>
      <c r="R558" s="215"/>
      <c r="S558" s="215"/>
      <c r="T558" s="215"/>
      <c r="U558" s="215"/>
      <c r="V558" s="215"/>
      <c r="W558" s="215"/>
      <c r="X558" s="215"/>
      <c r="Y558" s="215"/>
      <c r="Z558" s="215"/>
      <c r="AA558" s="215"/>
      <c r="AB558" s="456"/>
      <c r="AC558" s="219" t="s">
        <v>605</v>
      </c>
      <c r="AD558" s="457" t="s">
        <v>111</v>
      </c>
      <c r="AE558" s="224">
        <v>9.67</v>
      </c>
      <c r="AF558" s="458">
        <v>9.67</v>
      </c>
      <c r="AG558" s="226">
        <v>10.64</v>
      </c>
      <c r="AH558" s="224"/>
      <c r="AI558" s="458"/>
      <c r="AJ558" s="226"/>
      <c r="AK558" s="224"/>
      <c r="AL558" s="458"/>
      <c r="AM558" s="227"/>
      <c r="AN558" s="224"/>
      <c r="AO558" s="458"/>
      <c r="AP558" s="227"/>
      <c r="AQ558" s="224"/>
      <c r="AR558" s="458"/>
      <c r="AS558" s="227"/>
      <c r="AT558" s="224"/>
      <c r="AU558" s="458"/>
      <c r="AV558" s="227"/>
      <c r="AW558" s="224"/>
      <c r="AX558" s="458"/>
      <c r="AY558" s="227"/>
      <c r="AZ558" s="224"/>
      <c r="BA558" s="458"/>
      <c r="BB558" s="227"/>
      <c r="BC558" s="224"/>
      <c r="BD558" s="458"/>
      <c r="BE558" s="227"/>
      <c r="BF558" s="224"/>
      <c r="BG558" s="458"/>
      <c r="BH558" s="227"/>
      <c r="BI558" s="224"/>
      <c r="BJ558" s="458"/>
      <c r="BK558" s="226"/>
      <c r="BL558" s="229"/>
      <c r="BM558" s="215"/>
      <c r="BN558" s="125">
        <f t="shared" si="108"/>
        <v>9.67</v>
      </c>
      <c r="BO558" s="126">
        <f t="shared" si="109"/>
        <v>9.67</v>
      </c>
      <c r="BP558" s="127">
        <f t="shared" si="110"/>
        <v>10.64</v>
      </c>
    </row>
    <row r="559" spans="1:68" s="230" customFormat="1" ht="17.25" customHeight="1" outlineLevel="5" x14ac:dyDescent="0.25">
      <c r="A559" s="215"/>
      <c r="B559" s="215"/>
      <c r="C559" s="216"/>
      <c r="D559" s="216"/>
      <c r="E559" s="216"/>
      <c r="F559" s="216"/>
      <c r="G559" s="216"/>
      <c r="H559" s="216"/>
      <c r="I559" s="216"/>
      <c r="J559" s="215"/>
      <c r="K559" s="217"/>
      <c r="L559" s="216"/>
      <c r="M559" s="215"/>
      <c r="N559" s="215"/>
      <c r="O559" s="215"/>
      <c r="P559" s="215"/>
      <c r="Q559" s="215"/>
      <c r="R559" s="215"/>
      <c r="S559" s="215"/>
      <c r="T559" s="215"/>
      <c r="U559" s="215"/>
      <c r="V559" s="215"/>
      <c r="W559" s="215"/>
      <c r="X559" s="215"/>
      <c r="Y559" s="215"/>
      <c r="Z559" s="215"/>
      <c r="AA559" s="215"/>
      <c r="AB559" s="456"/>
      <c r="AC559" s="219" t="s">
        <v>606</v>
      </c>
      <c r="AD559" s="457" t="s">
        <v>111</v>
      </c>
      <c r="AE559" s="224">
        <v>18.940000000000001</v>
      </c>
      <c r="AF559" s="458">
        <v>18.940000000000001</v>
      </c>
      <c r="AG559" s="226">
        <v>20.84</v>
      </c>
      <c r="AH559" s="224"/>
      <c r="AI559" s="458"/>
      <c r="AJ559" s="226"/>
      <c r="AK559" s="224"/>
      <c r="AL559" s="458"/>
      <c r="AM559" s="227"/>
      <c r="AN559" s="224"/>
      <c r="AO559" s="458"/>
      <c r="AP559" s="227"/>
      <c r="AQ559" s="224"/>
      <c r="AR559" s="458"/>
      <c r="AS559" s="227"/>
      <c r="AT559" s="224"/>
      <c r="AU559" s="458"/>
      <c r="AV559" s="227"/>
      <c r="AW559" s="224"/>
      <c r="AX559" s="458"/>
      <c r="AY559" s="227"/>
      <c r="AZ559" s="224"/>
      <c r="BA559" s="458"/>
      <c r="BB559" s="227"/>
      <c r="BC559" s="224"/>
      <c r="BD559" s="458"/>
      <c r="BE559" s="227"/>
      <c r="BF559" s="224"/>
      <c r="BG559" s="458"/>
      <c r="BH559" s="227"/>
      <c r="BI559" s="224"/>
      <c r="BJ559" s="458"/>
      <c r="BK559" s="226"/>
      <c r="BL559" s="229"/>
      <c r="BM559" s="215"/>
      <c r="BN559" s="125">
        <f t="shared" si="108"/>
        <v>18.940000000000001</v>
      </c>
      <c r="BO559" s="126">
        <f t="shared" si="109"/>
        <v>18.940000000000001</v>
      </c>
      <c r="BP559" s="127">
        <f t="shared" si="110"/>
        <v>20.84</v>
      </c>
    </row>
    <row r="560" spans="1:68" s="230" customFormat="1" ht="17.25" customHeight="1" outlineLevel="5" x14ac:dyDescent="0.25">
      <c r="A560" s="215"/>
      <c r="B560" s="215"/>
      <c r="C560" s="216"/>
      <c r="D560" s="216"/>
      <c r="E560" s="216"/>
      <c r="F560" s="216"/>
      <c r="G560" s="216"/>
      <c r="H560" s="216"/>
      <c r="I560" s="216"/>
      <c r="J560" s="215"/>
      <c r="K560" s="217"/>
      <c r="L560" s="216"/>
      <c r="M560" s="215"/>
      <c r="N560" s="215"/>
      <c r="O560" s="215"/>
      <c r="P560" s="215"/>
      <c r="Q560" s="215"/>
      <c r="R560" s="215"/>
      <c r="S560" s="215"/>
      <c r="T560" s="215"/>
      <c r="U560" s="215"/>
      <c r="V560" s="215"/>
      <c r="W560" s="215"/>
      <c r="X560" s="215"/>
      <c r="Y560" s="215"/>
      <c r="Z560" s="215"/>
      <c r="AA560" s="215"/>
      <c r="AB560" s="456"/>
      <c r="AC560" s="219" t="s">
        <v>607</v>
      </c>
      <c r="AD560" s="457" t="s">
        <v>111</v>
      </c>
      <c r="AE560" s="224">
        <v>131.88999999999999</v>
      </c>
      <c r="AF560" s="458">
        <v>131.88999999999999</v>
      </c>
      <c r="AG560" s="226">
        <v>145.12</v>
      </c>
      <c r="AH560" s="224"/>
      <c r="AI560" s="458"/>
      <c r="AJ560" s="226"/>
      <c r="AK560" s="224"/>
      <c r="AL560" s="458"/>
      <c r="AM560" s="227"/>
      <c r="AN560" s="224"/>
      <c r="AO560" s="458"/>
      <c r="AP560" s="227"/>
      <c r="AQ560" s="224"/>
      <c r="AR560" s="458"/>
      <c r="AS560" s="227"/>
      <c r="AT560" s="224"/>
      <c r="AU560" s="458"/>
      <c r="AV560" s="227"/>
      <c r="AW560" s="224"/>
      <c r="AX560" s="458"/>
      <c r="AY560" s="227"/>
      <c r="AZ560" s="224"/>
      <c r="BA560" s="458"/>
      <c r="BB560" s="227"/>
      <c r="BC560" s="224"/>
      <c r="BD560" s="458"/>
      <c r="BE560" s="227"/>
      <c r="BF560" s="224"/>
      <c r="BG560" s="458"/>
      <c r="BH560" s="227"/>
      <c r="BI560" s="224"/>
      <c r="BJ560" s="458"/>
      <c r="BK560" s="226"/>
      <c r="BL560" s="229"/>
      <c r="BM560" s="215"/>
      <c r="BN560" s="125">
        <f t="shared" si="108"/>
        <v>131.88999999999999</v>
      </c>
      <c r="BO560" s="126">
        <f t="shared" si="109"/>
        <v>131.88999999999999</v>
      </c>
      <c r="BP560" s="127">
        <f t="shared" si="110"/>
        <v>145.12</v>
      </c>
    </row>
    <row r="561" spans="1:68" s="230" customFormat="1" ht="17.25" customHeight="1" outlineLevel="5" x14ac:dyDescent="0.25">
      <c r="A561" s="215"/>
      <c r="B561" s="215"/>
      <c r="C561" s="216"/>
      <c r="D561" s="216"/>
      <c r="E561" s="216"/>
      <c r="F561" s="216"/>
      <c r="G561" s="216"/>
      <c r="H561" s="216"/>
      <c r="I561" s="216"/>
      <c r="J561" s="215"/>
      <c r="K561" s="217"/>
      <c r="L561" s="216"/>
      <c r="M561" s="215"/>
      <c r="N561" s="215"/>
      <c r="O561" s="215"/>
      <c r="P561" s="215"/>
      <c r="Q561" s="215"/>
      <c r="R561" s="215"/>
      <c r="S561" s="215"/>
      <c r="T561" s="215"/>
      <c r="U561" s="215"/>
      <c r="V561" s="215"/>
      <c r="W561" s="215"/>
      <c r="X561" s="215"/>
      <c r="Y561" s="215"/>
      <c r="Z561" s="215"/>
      <c r="AA561" s="215"/>
      <c r="AB561" s="456"/>
      <c r="AC561" s="219" t="s">
        <v>608</v>
      </c>
      <c r="AD561" s="457" t="s">
        <v>111</v>
      </c>
      <c r="AE561" s="224">
        <v>539.54999999999995</v>
      </c>
      <c r="AF561" s="458">
        <v>539.54999999999995</v>
      </c>
      <c r="AG561" s="226">
        <v>593.67999999999995</v>
      </c>
      <c r="AH561" s="224"/>
      <c r="AI561" s="458"/>
      <c r="AJ561" s="226"/>
      <c r="AK561" s="224"/>
      <c r="AL561" s="458"/>
      <c r="AM561" s="227"/>
      <c r="AN561" s="224"/>
      <c r="AO561" s="458"/>
      <c r="AP561" s="227"/>
      <c r="AQ561" s="224"/>
      <c r="AR561" s="458"/>
      <c r="AS561" s="227"/>
      <c r="AT561" s="224"/>
      <c r="AU561" s="458"/>
      <c r="AV561" s="227"/>
      <c r="AW561" s="224"/>
      <c r="AX561" s="458"/>
      <c r="AY561" s="227"/>
      <c r="AZ561" s="224"/>
      <c r="BA561" s="458"/>
      <c r="BB561" s="227"/>
      <c r="BC561" s="235"/>
      <c r="BD561" s="225"/>
      <c r="BE561" s="227"/>
      <c r="BF561" s="245"/>
      <c r="BG561" s="238"/>
      <c r="BH561" s="239"/>
      <c r="BI561" s="245"/>
      <c r="BJ561" s="238"/>
      <c r="BK561" s="241"/>
      <c r="BL561" s="229"/>
      <c r="BM561" s="215"/>
      <c r="BN561" s="125">
        <f t="shared" si="108"/>
        <v>539.54999999999995</v>
      </c>
      <c r="BO561" s="126">
        <f t="shared" si="109"/>
        <v>539.54999999999995</v>
      </c>
      <c r="BP561" s="127">
        <f t="shared" si="110"/>
        <v>593.67999999999995</v>
      </c>
    </row>
    <row r="562" spans="1:68" s="230" customFormat="1" ht="17.25" customHeight="1" outlineLevel="5" x14ac:dyDescent="0.25">
      <c r="A562" s="215"/>
      <c r="B562" s="215"/>
      <c r="C562" s="216"/>
      <c r="D562" s="216"/>
      <c r="E562" s="216"/>
      <c r="F562" s="216"/>
      <c r="G562" s="216"/>
      <c r="H562" s="216"/>
      <c r="I562" s="216"/>
      <c r="J562" s="215"/>
      <c r="K562" s="217"/>
      <c r="L562" s="216"/>
      <c r="M562" s="215"/>
      <c r="N562" s="215"/>
      <c r="O562" s="215"/>
      <c r="P562" s="215"/>
      <c r="Q562" s="215"/>
      <c r="R562" s="215"/>
      <c r="S562" s="215"/>
      <c r="T562" s="215"/>
      <c r="U562" s="215"/>
      <c r="V562" s="215"/>
      <c r="W562" s="215"/>
      <c r="X562" s="215"/>
      <c r="Y562" s="215"/>
      <c r="Z562" s="215"/>
      <c r="AA562" s="215"/>
      <c r="AB562" s="456"/>
      <c r="AC562" s="219" t="s">
        <v>609</v>
      </c>
      <c r="AD562" s="457" t="s">
        <v>111</v>
      </c>
      <c r="AE562" s="224">
        <v>1197.77</v>
      </c>
      <c r="AF562" s="458">
        <v>1197.77</v>
      </c>
      <c r="AG562" s="226">
        <v>1317.93</v>
      </c>
      <c r="AH562" s="224"/>
      <c r="AI562" s="458"/>
      <c r="AJ562" s="226"/>
      <c r="AK562" s="224"/>
      <c r="AL562" s="458"/>
      <c r="AM562" s="227"/>
      <c r="AN562" s="224"/>
      <c r="AO562" s="458"/>
      <c r="AP562" s="227"/>
      <c r="AQ562" s="224"/>
      <c r="AR562" s="458"/>
      <c r="AS562" s="227"/>
      <c r="AT562" s="224"/>
      <c r="AU562" s="458"/>
      <c r="AV562" s="227"/>
      <c r="AW562" s="224"/>
      <c r="AX562" s="458"/>
      <c r="AY562" s="227"/>
      <c r="AZ562" s="224"/>
      <c r="BA562" s="458"/>
      <c r="BB562" s="227"/>
      <c r="BC562" s="224"/>
      <c r="BD562" s="458"/>
      <c r="BE562" s="227"/>
      <c r="BF562" s="224"/>
      <c r="BG562" s="458"/>
      <c r="BH562" s="227"/>
      <c r="BI562" s="224"/>
      <c r="BJ562" s="458"/>
      <c r="BK562" s="226"/>
      <c r="BL562" s="229"/>
      <c r="BM562" s="215"/>
      <c r="BN562" s="125">
        <f t="shared" si="108"/>
        <v>1197.77</v>
      </c>
      <c r="BO562" s="126">
        <f t="shared" si="109"/>
        <v>1197.77</v>
      </c>
      <c r="BP562" s="127">
        <f t="shared" si="110"/>
        <v>1317.93</v>
      </c>
    </row>
    <row r="563" spans="1:68" s="455" customFormat="1" ht="19.5" customHeight="1" outlineLevel="4" x14ac:dyDescent="0.25">
      <c r="A563" s="116" t="b">
        <f>SETTING_OTHER_STRAIGHT="да"</f>
        <v>1</v>
      </c>
      <c r="B563" s="6"/>
      <c r="C563" s="116" t="s">
        <v>83</v>
      </c>
      <c r="D563" s="116" t="s">
        <v>84</v>
      </c>
      <c r="E563" s="116" t="s">
        <v>73</v>
      </c>
      <c r="F563" s="116" t="s">
        <v>74</v>
      </c>
      <c r="G563" s="116" t="str">
        <f>IF('[4]Общие настройки'!$M$13="Oracle","Прочие прямые расходы","Другие производственные расходы")</f>
        <v>Другие производственные расходы</v>
      </c>
      <c r="H563" s="116" t="s">
        <v>73</v>
      </c>
      <c r="I563" s="116" t="s">
        <v>73</v>
      </c>
      <c r="J563" s="6"/>
      <c r="K563" s="209" t="s">
        <v>73</v>
      </c>
      <c r="L563" s="116" t="s">
        <v>192</v>
      </c>
      <c r="M563" s="6" t="str">
        <f t="array" ref="M563">Y460</f>
        <v>1ВО::1.1</v>
      </c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403" t="str">
        <f>AB533&amp;".8"</f>
        <v>3.1.1.1.6.8</v>
      </c>
      <c r="AC563" s="459" t="s">
        <v>266</v>
      </c>
      <c r="AD563" s="32" t="s">
        <v>111</v>
      </c>
      <c r="AE563" s="72">
        <f t="shared" ref="AE563:BK563" si="111">SUM(AE564:AE594)</f>
        <v>35105.21</v>
      </c>
      <c r="AF563" s="178">
        <f t="shared" si="111"/>
        <v>24523.879999999997</v>
      </c>
      <c r="AG563" s="96">
        <f t="shared" si="111"/>
        <v>25904.520000000004</v>
      </c>
      <c r="AH563" s="72">
        <f t="shared" si="111"/>
        <v>1603.7599999999998</v>
      </c>
      <c r="AI563" s="178">
        <f t="shared" si="111"/>
        <v>418.01</v>
      </c>
      <c r="AJ563" s="96">
        <f t="shared" si="111"/>
        <v>2662.8299999999995</v>
      </c>
      <c r="AK563" s="72">
        <f t="shared" si="111"/>
        <v>0</v>
      </c>
      <c r="AL563" s="178">
        <f t="shared" si="111"/>
        <v>0</v>
      </c>
      <c r="AM563" s="96">
        <f t="shared" si="111"/>
        <v>0</v>
      </c>
      <c r="AN563" s="72">
        <f t="shared" si="111"/>
        <v>494.62</v>
      </c>
      <c r="AO563" s="178">
        <f t="shared" si="111"/>
        <v>0</v>
      </c>
      <c r="AP563" s="96">
        <f t="shared" si="111"/>
        <v>531.7700000000001</v>
      </c>
      <c r="AQ563" s="72">
        <f t="shared" si="111"/>
        <v>420.73</v>
      </c>
      <c r="AR563" s="178">
        <f t="shared" si="111"/>
        <v>0</v>
      </c>
      <c r="AS563" s="96">
        <f t="shared" si="111"/>
        <v>757.85</v>
      </c>
      <c r="AT563" s="72">
        <f t="shared" si="111"/>
        <v>407.96</v>
      </c>
      <c r="AU563" s="178">
        <f t="shared" si="111"/>
        <v>0</v>
      </c>
      <c r="AV563" s="96">
        <f t="shared" si="111"/>
        <v>608.07000000000005</v>
      </c>
      <c r="AW563" s="72">
        <f t="shared" si="111"/>
        <v>3805.2060000000001</v>
      </c>
      <c r="AX563" s="178">
        <f t="shared" si="111"/>
        <v>0</v>
      </c>
      <c r="AY563" s="96">
        <f t="shared" si="111"/>
        <v>4268.1619999999994</v>
      </c>
      <c r="AZ563" s="72">
        <f t="shared" si="111"/>
        <v>7951.4340000000002</v>
      </c>
      <c r="BA563" s="178">
        <f t="shared" si="111"/>
        <v>925.46</v>
      </c>
      <c r="BB563" s="96">
        <f t="shared" si="111"/>
        <v>11590.352999999999</v>
      </c>
      <c r="BC563" s="72">
        <f t="shared" si="111"/>
        <v>10829.93</v>
      </c>
      <c r="BD563" s="178">
        <f t="shared" si="111"/>
        <v>53.63</v>
      </c>
      <c r="BE563" s="96">
        <f t="shared" si="111"/>
        <v>12660.579999999998</v>
      </c>
      <c r="BF563" s="72">
        <f t="shared" si="111"/>
        <v>1176.3479999999997</v>
      </c>
      <c r="BG563" s="178">
        <f t="shared" si="111"/>
        <v>82.12</v>
      </c>
      <c r="BH563" s="96">
        <f t="shared" si="111"/>
        <v>1876.0149999999999</v>
      </c>
      <c r="BI563" s="72">
        <f t="shared" si="111"/>
        <v>2094.9699999999998</v>
      </c>
      <c r="BJ563" s="178">
        <f t="shared" si="111"/>
        <v>2334.2600000000002</v>
      </c>
      <c r="BK563" s="96">
        <f t="shared" si="111"/>
        <v>3770.08</v>
      </c>
      <c r="BL563" s="6"/>
      <c r="BM563" s="6"/>
      <c r="BN563" s="125">
        <f t="shared" si="108"/>
        <v>63890.168000000005</v>
      </c>
      <c r="BO563" s="126">
        <f t="shared" si="109"/>
        <v>28337.359999999993</v>
      </c>
      <c r="BP563" s="127">
        <f t="shared" si="110"/>
        <v>64630.229999999996</v>
      </c>
    </row>
    <row r="564" spans="1:68" s="230" customFormat="1" ht="16.5" customHeight="1" outlineLevel="5" x14ac:dyDescent="0.25">
      <c r="A564" s="216"/>
      <c r="B564" s="215"/>
      <c r="C564" s="216"/>
      <c r="D564" s="216"/>
      <c r="E564" s="216"/>
      <c r="F564" s="216"/>
      <c r="G564" s="216"/>
      <c r="H564" s="216"/>
      <c r="I564" s="216"/>
      <c r="J564" s="215"/>
      <c r="K564" s="217"/>
      <c r="L564" s="216"/>
      <c r="M564" s="215"/>
      <c r="N564" s="215"/>
      <c r="O564" s="215"/>
      <c r="P564" s="215"/>
      <c r="Q564" s="215"/>
      <c r="R564" s="215"/>
      <c r="S564" s="215"/>
      <c r="T564" s="215"/>
      <c r="U564" s="215"/>
      <c r="V564" s="215"/>
      <c r="W564" s="215"/>
      <c r="X564" s="215"/>
      <c r="Y564" s="215"/>
      <c r="Z564" s="215"/>
      <c r="AA564" s="215"/>
      <c r="AB564" s="456"/>
      <c r="AC564" s="219" t="s">
        <v>268</v>
      </c>
      <c r="AD564" s="457" t="s">
        <v>111</v>
      </c>
      <c r="AE564" s="460">
        <v>4104.9399999999996</v>
      </c>
      <c r="AF564" s="292">
        <v>10404.469999999999</v>
      </c>
      <c r="AG564" s="461">
        <v>4516.75</v>
      </c>
      <c r="AH564" s="460">
        <v>41.19</v>
      </c>
      <c r="AI564" s="292"/>
      <c r="AJ564" s="461">
        <v>42.84</v>
      </c>
      <c r="AK564" s="460"/>
      <c r="AL564" s="292"/>
      <c r="AM564" s="462"/>
      <c r="AN564" s="460">
        <v>30.76</v>
      </c>
      <c r="AO564" s="292"/>
      <c r="AP564" s="462">
        <v>127.88</v>
      </c>
      <c r="AQ564" s="460">
        <v>11.15</v>
      </c>
      <c r="AR564" s="292"/>
      <c r="AS564" s="462">
        <v>12.27</v>
      </c>
      <c r="AT564" s="460">
        <v>57.17</v>
      </c>
      <c r="AU564" s="292"/>
      <c r="AV564" s="462">
        <v>62.9</v>
      </c>
      <c r="AW564" s="463">
        <v>4.4640000000000004</v>
      </c>
      <c r="AX564" s="292"/>
      <c r="AY564" s="464">
        <v>150.30099999999999</v>
      </c>
      <c r="AZ564" s="460">
        <v>588.08000000000004</v>
      </c>
      <c r="BA564" s="292">
        <v>825.78</v>
      </c>
      <c r="BB564" s="464">
        <v>825.77800000000002</v>
      </c>
      <c r="BC564" s="460">
        <v>11.95</v>
      </c>
      <c r="BD564" s="292"/>
      <c r="BE564" s="462">
        <v>117.22</v>
      </c>
      <c r="BF564" s="465">
        <v>79.39</v>
      </c>
      <c r="BG564" s="292"/>
      <c r="BH564" s="462">
        <v>120.7</v>
      </c>
      <c r="BI564" s="465">
        <v>207.2</v>
      </c>
      <c r="BJ564" s="466">
        <v>187.54</v>
      </c>
      <c r="BK564" s="467">
        <v>500.52</v>
      </c>
      <c r="BL564" s="229"/>
      <c r="BM564" s="215"/>
      <c r="BN564" s="125">
        <f t="shared" si="108"/>
        <v>5136.293999999999</v>
      </c>
      <c r="BO564" s="126">
        <f t="shared" si="109"/>
        <v>11417.79</v>
      </c>
      <c r="BP564" s="127">
        <f t="shared" si="110"/>
        <v>6477.1590000000015</v>
      </c>
    </row>
    <row r="565" spans="1:68" s="230" customFormat="1" ht="16.5" customHeight="1" outlineLevel="5" x14ac:dyDescent="0.25">
      <c r="A565" s="216"/>
      <c r="B565" s="215"/>
      <c r="C565" s="216"/>
      <c r="D565" s="216"/>
      <c r="E565" s="216"/>
      <c r="F565" s="216"/>
      <c r="G565" s="216"/>
      <c r="H565" s="216"/>
      <c r="I565" s="216"/>
      <c r="J565" s="215"/>
      <c r="K565" s="217"/>
      <c r="L565" s="216"/>
      <c r="M565" s="215"/>
      <c r="N565" s="215"/>
      <c r="O565" s="215"/>
      <c r="P565" s="215"/>
      <c r="Q565" s="215"/>
      <c r="R565" s="215"/>
      <c r="S565" s="215"/>
      <c r="T565" s="215"/>
      <c r="U565" s="215"/>
      <c r="V565" s="215"/>
      <c r="W565" s="215"/>
      <c r="X565" s="215"/>
      <c r="Y565" s="215"/>
      <c r="Z565" s="215"/>
      <c r="AA565" s="215"/>
      <c r="AB565" s="456"/>
      <c r="AC565" s="219" t="s">
        <v>610</v>
      </c>
      <c r="AD565" s="457" t="s">
        <v>111</v>
      </c>
      <c r="AE565" s="460">
        <v>4866.04</v>
      </c>
      <c r="AF565" s="292">
        <v>4484.1899999999996</v>
      </c>
      <c r="AG565" s="461">
        <v>5687.97</v>
      </c>
      <c r="AH565" s="460"/>
      <c r="AI565" s="292"/>
      <c r="AJ565" s="461"/>
      <c r="AK565" s="460"/>
      <c r="AL565" s="292"/>
      <c r="AM565" s="462"/>
      <c r="AN565" s="460">
        <v>70.56</v>
      </c>
      <c r="AO565" s="292"/>
      <c r="AP565" s="462">
        <v>78.81</v>
      </c>
      <c r="AQ565" s="460">
        <v>93.63</v>
      </c>
      <c r="AR565" s="292"/>
      <c r="AS565" s="462">
        <f>114.12+269.5</f>
        <v>383.62</v>
      </c>
      <c r="AT565" s="460">
        <v>136.34</v>
      </c>
      <c r="AU565" s="292"/>
      <c r="AV565" s="462">
        <v>206.6</v>
      </c>
      <c r="AW565" s="468">
        <f>69.292+315.13</f>
        <v>384.42200000000003</v>
      </c>
      <c r="AX565" s="469"/>
      <c r="AY565" s="470">
        <f>108.12+563.5</f>
        <v>671.62</v>
      </c>
      <c r="AZ565" s="468">
        <v>157.685</v>
      </c>
      <c r="BA565" s="469"/>
      <c r="BB565" s="470">
        <v>324.28899999999999</v>
      </c>
      <c r="BC565" s="460">
        <v>271.25</v>
      </c>
      <c r="BD565" s="292"/>
      <c r="BE565" s="462">
        <v>426.46</v>
      </c>
      <c r="BF565" s="465">
        <v>2.73</v>
      </c>
      <c r="BG565" s="292"/>
      <c r="BH565" s="462">
        <v>41.25</v>
      </c>
      <c r="BI565" s="465">
        <v>6.59</v>
      </c>
      <c r="BJ565" s="466"/>
      <c r="BK565" s="467">
        <v>133.69999999999999</v>
      </c>
      <c r="BL565" s="229"/>
      <c r="BM565" s="215"/>
      <c r="BN565" s="125">
        <f t="shared" si="108"/>
        <v>5989.2470000000003</v>
      </c>
      <c r="BO565" s="126">
        <f t="shared" si="109"/>
        <v>4484.1899999999996</v>
      </c>
      <c r="BP565" s="127">
        <f t="shared" si="110"/>
        <v>7954.3190000000004</v>
      </c>
    </row>
    <row r="566" spans="1:68" s="230" customFormat="1" ht="16.5" customHeight="1" outlineLevel="5" x14ac:dyDescent="0.25">
      <c r="A566" s="216"/>
      <c r="B566" s="215"/>
      <c r="C566" s="216"/>
      <c r="D566" s="216"/>
      <c r="E566" s="216"/>
      <c r="F566" s="216"/>
      <c r="G566" s="216"/>
      <c r="H566" s="216"/>
      <c r="I566" s="216"/>
      <c r="J566" s="215"/>
      <c r="K566" s="217"/>
      <c r="L566" s="216"/>
      <c r="M566" s="215"/>
      <c r="N566" s="215"/>
      <c r="O566" s="215"/>
      <c r="P566" s="215"/>
      <c r="Q566" s="215"/>
      <c r="R566" s="215"/>
      <c r="S566" s="215"/>
      <c r="T566" s="215"/>
      <c r="U566" s="215"/>
      <c r="V566" s="215"/>
      <c r="W566" s="215"/>
      <c r="X566" s="215"/>
      <c r="Y566" s="215"/>
      <c r="Z566" s="215"/>
      <c r="AA566" s="215"/>
      <c r="AB566" s="456"/>
      <c r="AC566" s="219" t="s">
        <v>611</v>
      </c>
      <c r="AD566" s="457" t="s">
        <v>111</v>
      </c>
      <c r="AE566" s="460">
        <v>9936.92</v>
      </c>
      <c r="AF566" s="292">
        <v>8619.9</v>
      </c>
      <c r="AG566" s="461">
        <v>10933</v>
      </c>
      <c r="AH566" s="460"/>
      <c r="AI566" s="292"/>
      <c r="AJ566" s="461"/>
      <c r="AK566" s="460"/>
      <c r="AL566" s="292"/>
      <c r="AM566" s="462"/>
      <c r="AN566" s="460"/>
      <c r="AO566" s="292"/>
      <c r="AP566" s="462"/>
      <c r="AQ566" s="460"/>
      <c r="AR566" s="292"/>
      <c r="AS566" s="462"/>
      <c r="AT566" s="460"/>
      <c r="AU566" s="292"/>
      <c r="AV566" s="462"/>
      <c r="AW566" s="468"/>
      <c r="AX566" s="469"/>
      <c r="AY566" s="470"/>
      <c r="AZ566" s="468"/>
      <c r="BA566" s="469"/>
      <c r="BB566" s="470"/>
      <c r="BC566" s="460">
        <v>23.42</v>
      </c>
      <c r="BD566" s="292"/>
      <c r="BE566" s="462"/>
      <c r="BF566" s="460"/>
      <c r="BG566" s="292"/>
      <c r="BH566" s="462"/>
      <c r="BI566" s="460"/>
      <c r="BJ566" s="292"/>
      <c r="BK566" s="461"/>
      <c r="BL566" s="229"/>
      <c r="BM566" s="215"/>
      <c r="BN566" s="125">
        <f t="shared" si="108"/>
        <v>9960.34</v>
      </c>
      <c r="BO566" s="126">
        <f t="shared" si="109"/>
        <v>8619.9</v>
      </c>
      <c r="BP566" s="127">
        <f t="shared" si="110"/>
        <v>10933</v>
      </c>
    </row>
    <row r="567" spans="1:68" s="230" customFormat="1" ht="16.5" customHeight="1" outlineLevel="5" x14ac:dyDescent="0.25">
      <c r="A567" s="216"/>
      <c r="B567" s="215"/>
      <c r="C567" s="216"/>
      <c r="D567" s="216"/>
      <c r="E567" s="216"/>
      <c r="F567" s="216"/>
      <c r="G567" s="216"/>
      <c r="H567" s="216"/>
      <c r="I567" s="216"/>
      <c r="J567" s="215"/>
      <c r="K567" s="217"/>
      <c r="L567" s="216"/>
      <c r="M567" s="215"/>
      <c r="N567" s="215"/>
      <c r="O567" s="215"/>
      <c r="P567" s="215"/>
      <c r="Q567" s="215"/>
      <c r="R567" s="215"/>
      <c r="S567" s="215"/>
      <c r="T567" s="215"/>
      <c r="U567" s="215"/>
      <c r="V567" s="215"/>
      <c r="W567" s="215"/>
      <c r="X567" s="215"/>
      <c r="Y567" s="215"/>
      <c r="Z567" s="215"/>
      <c r="AA567" s="215"/>
      <c r="AB567" s="456"/>
      <c r="AC567" s="219" t="s">
        <v>612</v>
      </c>
      <c r="AD567" s="457" t="s">
        <v>111</v>
      </c>
      <c r="AE567" s="460">
        <v>481.21</v>
      </c>
      <c r="AF567" s="292">
        <v>924</v>
      </c>
      <c r="AG567" s="461">
        <v>703.38</v>
      </c>
      <c r="AH567" s="460">
        <v>13.81</v>
      </c>
      <c r="AI567" s="292"/>
      <c r="AJ567" s="461">
        <v>14.37</v>
      </c>
      <c r="AK567" s="460"/>
      <c r="AL567" s="292"/>
      <c r="AM567" s="462"/>
      <c r="AN567" s="460"/>
      <c r="AO567" s="292"/>
      <c r="AP567" s="462"/>
      <c r="AQ567" s="460"/>
      <c r="AR567" s="292"/>
      <c r="AS567" s="462"/>
      <c r="AT567" s="460"/>
      <c r="AU567" s="292"/>
      <c r="AV567" s="462"/>
      <c r="AW567" s="468"/>
      <c r="AX567" s="469"/>
      <c r="AY567" s="470"/>
      <c r="AZ567" s="468"/>
      <c r="BA567" s="469"/>
      <c r="BB567" s="470"/>
      <c r="BC567" s="460"/>
      <c r="BD567" s="292"/>
      <c r="BE567" s="462"/>
      <c r="BF567" s="460"/>
      <c r="BG567" s="292"/>
      <c r="BH567" s="462"/>
      <c r="BI567" s="460"/>
      <c r="BJ567" s="292"/>
      <c r="BK567" s="461"/>
      <c r="BL567" s="229"/>
      <c r="BM567" s="215"/>
      <c r="BN567" s="125">
        <f t="shared" si="108"/>
        <v>495.02</v>
      </c>
      <c r="BO567" s="126">
        <f t="shared" si="109"/>
        <v>924</v>
      </c>
      <c r="BP567" s="127">
        <f t="shared" si="110"/>
        <v>717.75</v>
      </c>
    </row>
    <row r="568" spans="1:68" s="230" customFormat="1" ht="16.5" customHeight="1" outlineLevel="5" x14ac:dyDescent="0.25">
      <c r="A568" s="216"/>
      <c r="B568" s="215"/>
      <c r="C568" s="216"/>
      <c r="D568" s="216"/>
      <c r="E568" s="216"/>
      <c r="F568" s="216"/>
      <c r="G568" s="216"/>
      <c r="H568" s="216"/>
      <c r="I568" s="216"/>
      <c r="J568" s="215"/>
      <c r="K568" s="217"/>
      <c r="L568" s="216"/>
      <c r="M568" s="215"/>
      <c r="N568" s="215"/>
      <c r="O568" s="215"/>
      <c r="P568" s="215"/>
      <c r="Q568" s="215"/>
      <c r="R568" s="215"/>
      <c r="S568" s="215"/>
      <c r="T568" s="215"/>
      <c r="U568" s="215"/>
      <c r="V568" s="215"/>
      <c r="W568" s="215"/>
      <c r="X568" s="215"/>
      <c r="Y568" s="215"/>
      <c r="Z568" s="215"/>
      <c r="AA568" s="215"/>
      <c r="AB568" s="456"/>
      <c r="AC568" s="219" t="s">
        <v>613</v>
      </c>
      <c r="AD568" s="457" t="s">
        <v>111</v>
      </c>
      <c r="AE568" s="224"/>
      <c r="AF568" s="292">
        <v>91.32</v>
      </c>
      <c r="AG568" s="461">
        <v>4063.42</v>
      </c>
      <c r="AH568" s="224">
        <v>11.7</v>
      </c>
      <c r="AI568" s="292"/>
      <c r="AJ568" s="461">
        <v>12.17</v>
      </c>
      <c r="AK568" s="224"/>
      <c r="AL568" s="292"/>
      <c r="AM568" s="462"/>
      <c r="AN568" s="224"/>
      <c r="AO568" s="292"/>
      <c r="AP568" s="462"/>
      <c r="AQ568" s="224">
        <f>22.46+6.33</f>
        <v>28.79</v>
      </c>
      <c r="AR568" s="292"/>
      <c r="AS568" s="462">
        <f>24.71+6.96</f>
        <v>31.67</v>
      </c>
      <c r="AT568" s="224"/>
      <c r="AU568" s="292"/>
      <c r="AV568" s="462"/>
      <c r="AW568" s="468"/>
      <c r="AX568" s="469"/>
      <c r="AY568" s="470"/>
      <c r="AZ568" s="468"/>
      <c r="BA568" s="469"/>
      <c r="BB568" s="470"/>
      <c r="BC568" s="224">
        <v>81.02</v>
      </c>
      <c r="BD568" s="225"/>
      <c r="BE568" s="464">
        <v>89.15</v>
      </c>
      <c r="BF568" s="224"/>
      <c r="BG568" s="292"/>
      <c r="BH568" s="462"/>
      <c r="BI568" s="224"/>
      <c r="BJ568" s="292"/>
      <c r="BK568" s="461"/>
      <c r="BL568" s="229"/>
      <c r="BM568" s="215"/>
      <c r="BN568" s="125">
        <f t="shared" si="108"/>
        <v>121.50999999999999</v>
      </c>
      <c r="BO568" s="126">
        <f t="shared" si="109"/>
        <v>91.32</v>
      </c>
      <c r="BP568" s="127">
        <f t="shared" si="110"/>
        <v>4196.41</v>
      </c>
    </row>
    <row r="569" spans="1:68" s="230" customFormat="1" ht="16.5" customHeight="1" outlineLevel="5" x14ac:dyDescent="0.25">
      <c r="A569" s="216"/>
      <c r="B569" s="215"/>
      <c r="C569" s="216"/>
      <c r="D569" s="216"/>
      <c r="E569" s="216"/>
      <c r="F569" s="216"/>
      <c r="G569" s="216"/>
      <c r="H569" s="216"/>
      <c r="I569" s="216"/>
      <c r="J569" s="215"/>
      <c r="K569" s="217"/>
      <c r="L569" s="216"/>
      <c r="M569" s="215"/>
      <c r="N569" s="215"/>
      <c r="O569" s="215"/>
      <c r="P569" s="215"/>
      <c r="Q569" s="215"/>
      <c r="R569" s="215"/>
      <c r="S569" s="215"/>
      <c r="T569" s="215"/>
      <c r="U569" s="215"/>
      <c r="V569" s="215"/>
      <c r="W569" s="215"/>
      <c r="X569" s="215"/>
      <c r="Y569" s="215"/>
      <c r="Z569" s="215"/>
      <c r="AA569" s="215"/>
      <c r="AB569" s="456"/>
      <c r="AC569" s="219" t="s">
        <v>599</v>
      </c>
      <c r="AD569" s="457" t="s">
        <v>111</v>
      </c>
      <c r="AE569" s="224"/>
      <c r="AF569" s="292"/>
      <c r="AG569" s="461"/>
      <c r="AH569" s="224">
        <v>11.8</v>
      </c>
      <c r="AI569" s="292"/>
      <c r="AJ569" s="461">
        <v>12.27</v>
      </c>
      <c r="AK569" s="224"/>
      <c r="AL569" s="292"/>
      <c r="AM569" s="462"/>
      <c r="AN569" s="224">
        <v>0.9</v>
      </c>
      <c r="AO569" s="292"/>
      <c r="AP569" s="462">
        <f>49.28+1.14</f>
        <v>50.42</v>
      </c>
      <c r="AQ569" s="224"/>
      <c r="AR569" s="292"/>
      <c r="AS569" s="462"/>
      <c r="AT569" s="224">
        <f>7.23</f>
        <v>7.23</v>
      </c>
      <c r="AU569" s="292"/>
      <c r="AV569" s="462">
        <v>7.96</v>
      </c>
      <c r="AW569" s="224">
        <v>22.908000000000001</v>
      </c>
      <c r="AX569" s="292"/>
      <c r="AY569" s="464">
        <v>28.837</v>
      </c>
      <c r="AZ569" s="224">
        <f>2.987+217.84+19.913</f>
        <v>240.74</v>
      </c>
      <c r="BA569" s="292"/>
      <c r="BB569" s="464">
        <f>21.7+71.941+289.871</f>
        <v>383.512</v>
      </c>
      <c r="BC569" s="224">
        <f>21.7+21.7</f>
        <v>43.4</v>
      </c>
      <c r="BD569" s="292"/>
      <c r="BE569" s="462">
        <f>89.78+89.78</f>
        <v>179.56</v>
      </c>
      <c r="BF569" s="465"/>
      <c r="BG569" s="292"/>
      <c r="BH569" s="462"/>
      <c r="BI569" s="465">
        <f>17.39+53.19</f>
        <v>70.58</v>
      </c>
      <c r="BJ569" s="466">
        <v>68.569999999999993</v>
      </c>
      <c r="BK569" s="467">
        <v>91.42</v>
      </c>
      <c r="BL569" s="229"/>
      <c r="BM569" s="215"/>
      <c r="BN569" s="125">
        <f t="shared" si="108"/>
        <v>397.55799999999999</v>
      </c>
      <c r="BO569" s="126">
        <f t="shared" si="109"/>
        <v>68.569999999999993</v>
      </c>
      <c r="BP569" s="127">
        <f t="shared" si="110"/>
        <v>753.97899999999993</v>
      </c>
    </row>
    <row r="570" spans="1:68" s="230" customFormat="1" ht="16.5" customHeight="1" outlineLevel="5" x14ac:dyDescent="0.25">
      <c r="A570" s="216"/>
      <c r="B570" s="215"/>
      <c r="C570" s="216"/>
      <c r="D570" s="216"/>
      <c r="E570" s="216"/>
      <c r="F570" s="216"/>
      <c r="G570" s="216"/>
      <c r="H570" s="216"/>
      <c r="I570" s="216"/>
      <c r="J570" s="215"/>
      <c r="K570" s="217"/>
      <c r="L570" s="216"/>
      <c r="M570" s="215"/>
      <c r="N570" s="215"/>
      <c r="O570" s="215"/>
      <c r="P570" s="215"/>
      <c r="Q570" s="215"/>
      <c r="R570" s="215"/>
      <c r="S570" s="215"/>
      <c r="T570" s="215"/>
      <c r="U570" s="215"/>
      <c r="V570" s="215"/>
      <c r="W570" s="215"/>
      <c r="X570" s="215"/>
      <c r="Y570" s="215"/>
      <c r="Z570" s="215"/>
      <c r="AA570" s="215"/>
      <c r="AB570" s="456"/>
      <c r="AC570" s="219" t="s">
        <v>277</v>
      </c>
      <c r="AD570" s="457" t="s">
        <v>111</v>
      </c>
      <c r="AE570" s="224"/>
      <c r="AF570" s="292"/>
      <c r="AG570" s="461"/>
      <c r="AH570" s="224">
        <v>9.34</v>
      </c>
      <c r="AI570" s="292"/>
      <c r="AJ570" s="461">
        <v>9.7100000000000009</v>
      </c>
      <c r="AK570" s="224"/>
      <c r="AL570" s="292"/>
      <c r="AM570" s="462"/>
      <c r="AN570" s="224">
        <v>5.07</v>
      </c>
      <c r="AO570" s="292"/>
      <c r="AP570" s="462">
        <v>42.22</v>
      </c>
      <c r="AQ570" s="224">
        <v>1.1000000000000001</v>
      </c>
      <c r="AR570" s="292"/>
      <c r="AS570" s="462">
        <v>1.21</v>
      </c>
      <c r="AT570" s="224"/>
      <c r="AU570" s="292"/>
      <c r="AV570" s="462"/>
      <c r="AW570" s="224">
        <v>2.7839999999999998</v>
      </c>
      <c r="AX570" s="292"/>
      <c r="AY570" s="464">
        <v>2.839</v>
      </c>
      <c r="AZ570" s="224">
        <v>10.691000000000001</v>
      </c>
      <c r="BA570" s="292"/>
      <c r="BB570" s="464">
        <v>14.010999999999999</v>
      </c>
      <c r="BC570" s="224">
        <v>35.57</v>
      </c>
      <c r="BD570" s="292"/>
      <c r="BE570" s="462">
        <v>34.57</v>
      </c>
      <c r="BF570" s="465"/>
      <c r="BG570" s="292"/>
      <c r="BH570" s="462"/>
      <c r="BI570" s="465">
        <v>30.14</v>
      </c>
      <c r="BJ570" s="466">
        <v>29.21</v>
      </c>
      <c r="BK570" s="467">
        <v>34.270000000000003</v>
      </c>
      <c r="BL570" s="229"/>
      <c r="BM570" s="215"/>
      <c r="BN570" s="125">
        <f t="shared" si="108"/>
        <v>94.695000000000007</v>
      </c>
      <c r="BO570" s="126">
        <f t="shared" si="109"/>
        <v>29.21</v>
      </c>
      <c r="BP570" s="127">
        <f t="shared" si="110"/>
        <v>138.83000000000001</v>
      </c>
    </row>
    <row r="571" spans="1:68" s="230" customFormat="1" ht="16.5" customHeight="1" outlineLevel="5" x14ac:dyDescent="0.25">
      <c r="A571" s="216"/>
      <c r="B571" s="215"/>
      <c r="C571" s="216"/>
      <c r="D571" s="216"/>
      <c r="E571" s="216"/>
      <c r="F571" s="216"/>
      <c r="G571" s="216"/>
      <c r="H571" s="216"/>
      <c r="I571" s="216"/>
      <c r="J571" s="215"/>
      <c r="K571" s="217"/>
      <c r="L571" s="216"/>
      <c r="M571" s="215"/>
      <c r="N571" s="215"/>
      <c r="O571" s="215"/>
      <c r="P571" s="215"/>
      <c r="Q571" s="215"/>
      <c r="R571" s="215"/>
      <c r="S571" s="215"/>
      <c r="T571" s="215"/>
      <c r="U571" s="215"/>
      <c r="V571" s="215"/>
      <c r="W571" s="215"/>
      <c r="X571" s="215"/>
      <c r="Y571" s="215"/>
      <c r="Z571" s="215"/>
      <c r="AA571" s="215"/>
      <c r="AB571" s="456"/>
      <c r="AC571" s="471" t="s">
        <v>614</v>
      </c>
      <c r="AD571" s="457" t="s">
        <v>111</v>
      </c>
      <c r="AE571" s="224"/>
      <c r="AF571" s="292"/>
      <c r="AG571" s="461"/>
      <c r="AH571" s="224"/>
      <c r="AI571" s="292"/>
      <c r="AJ571" s="461"/>
      <c r="AK571" s="224"/>
      <c r="AL571" s="292"/>
      <c r="AM571" s="462"/>
      <c r="AN571" s="224">
        <v>19.260000000000002</v>
      </c>
      <c r="AO571" s="292"/>
      <c r="AP571" s="462">
        <v>21.19</v>
      </c>
      <c r="AQ571" s="224"/>
      <c r="AR571" s="292"/>
      <c r="AS571" s="462"/>
      <c r="AT571" s="224">
        <v>15.46</v>
      </c>
      <c r="AU571" s="292"/>
      <c r="AV571" s="462"/>
      <c r="AW571" s="224">
        <v>9.6300000000000008</v>
      </c>
      <c r="AX571" s="292"/>
      <c r="AY571" s="464">
        <v>10.596</v>
      </c>
      <c r="AZ571" s="224">
        <v>19.260000000000002</v>
      </c>
      <c r="BA571" s="292"/>
      <c r="BB571" s="464">
        <v>21.192</v>
      </c>
      <c r="BC571" s="224"/>
      <c r="BD571" s="292"/>
      <c r="BE571" s="462"/>
      <c r="BF571" s="224"/>
      <c r="BG571" s="292"/>
      <c r="BH571" s="462"/>
      <c r="BI571" s="224"/>
      <c r="BJ571" s="292"/>
      <c r="BK571" s="461"/>
      <c r="BL571" s="229"/>
      <c r="BM571" s="215"/>
      <c r="BN571" s="125">
        <f t="shared" si="108"/>
        <v>63.61</v>
      </c>
      <c r="BO571" s="126">
        <f t="shared" si="109"/>
        <v>0</v>
      </c>
      <c r="BP571" s="127">
        <f t="shared" si="110"/>
        <v>52.978000000000002</v>
      </c>
    </row>
    <row r="572" spans="1:68" s="230" customFormat="1" ht="16.5" customHeight="1" outlineLevel="5" x14ac:dyDescent="0.25">
      <c r="A572" s="216"/>
      <c r="B572" s="215"/>
      <c r="C572" s="216"/>
      <c r="D572" s="216"/>
      <c r="E572" s="216"/>
      <c r="F572" s="216"/>
      <c r="G572" s="216"/>
      <c r="H572" s="216"/>
      <c r="I572" s="216"/>
      <c r="J572" s="215"/>
      <c r="K572" s="217"/>
      <c r="L572" s="216"/>
      <c r="M572" s="215"/>
      <c r="N572" s="215"/>
      <c r="O572" s="215"/>
      <c r="P572" s="215"/>
      <c r="Q572" s="215"/>
      <c r="R572" s="215"/>
      <c r="S572" s="215"/>
      <c r="T572" s="215"/>
      <c r="U572" s="215"/>
      <c r="V572" s="215"/>
      <c r="W572" s="215"/>
      <c r="X572" s="215"/>
      <c r="Y572" s="215"/>
      <c r="Z572" s="215"/>
      <c r="AA572" s="215"/>
      <c r="AB572" s="456"/>
      <c r="AC572" s="471" t="s">
        <v>615</v>
      </c>
      <c r="AD572" s="457" t="s">
        <v>111</v>
      </c>
      <c r="AE572" s="224"/>
      <c r="AF572" s="292"/>
      <c r="AG572" s="461"/>
      <c r="AH572" s="224"/>
      <c r="AI572" s="292"/>
      <c r="AJ572" s="461"/>
      <c r="AK572" s="224"/>
      <c r="AL572" s="292"/>
      <c r="AM572" s="462"/>
      <c r="AN572" s="224">
        <v>15.15</v>
      </c>
      <c r="AO572" s="292"/>
      <c r="AP572" s="462">
        <v>32.35</v>
      </c>
      <c r="AQ572" s="224">
        <v>25.09</v>
      </c>
      <c r="AR572" s="292"/>
      <c r="AS572" s="462">
        <v>42.16</v>
      </c>
      <c r="AT572" s="224">
        <v>28.99</v>
      </c>
      <c r="AU572" s="292"/>
      <c r="AV572" s="462">
        <v>92.75</v>
      </c>
      <c r="AW572" s="224">
        <v>192.523</v>
      </c>
      <c r="AX572" s="292"/>
      <c r="AY572" s="464">
        <v>281.85899999999998</v>
      </c>
      <c r="AZ572" s="224"/>
      <c r="BA572" s="292"/>
      <c r="BB572" s="464"/>
      <c r="BC572" s="224">
        <f>3.4+60.2</f>
        <v>63.6</v>
      </c>
      <c r="BD572" s="292"/>
      <c r="BE572" s="462">
        <v>104.53</v>
      </c>
      <c r="BF572" s="465">
        <v>14.35</v>
      </c>
      <c r="BG572" s="292"/>
      <c r="BH572" s="462">
        <v>67.180000000000007</v>
      </c>
      <c r="BI572" s="465">
        <v>15.35</v>
      </c>
      <c r="BJ572" s="466">
        <v>78.16</v>
      </c>
      <c r="BK572" s="467">
        <v>87.58</v>
      </c>
      <c r="BL572" s="229"/>
      <c r="BM572" s="215"/>
      <c r="BN572" s="125">
        <f t="shared" si="108"/>
        <v>355.05300000000005</v>
      </c>
      <c r="BO572" s="126">
        <f t="shared" si="109"/>
        <v>78.16</v>
      </c>
      <c r="BP572" s="127">
        <f t="shared" si="110"/>
        <v>708.40899999999999</v>
      </c>
    </row>
    <row r="573" spans="1:68" s="230" customFormat="1" ht="12" customHeight="1" outlineLevel="5" x14ac:dyDescent="0.25">
      <c r="A573" s="216"/>
      <c r="B573" s="215"/>
      <c r="C573" s="216"/>
      <c r="D573" s="216"/>
      <c r="E573" s="216"/>
      <c r="F573" s="216"/>
      <c r="G573" s="216"/>
      <c r="H573" s="216"/>
      <c r="I573" s="216"/>
      <c r="J573" s="215"/>
      <c r="K573" s="217"/>
      <c r="L573" s="216"/>
      <c r="M573" s="215"/>
      <c r="N573" s="215"/>
      <c r="O573" s="215"/>
      <c r="P573" s="215"/>
      <c r="Q573" s="215"/>
      <c r="R573" s="215"/>
      <c r="S573" s="215"/>
      <c r="T573" s="215"/>
      <c r="U573" s="215"/>
      <c r="V573" s="215"/>
      <c r="W573" s="215"/>
      <c r="X573" s="215"/>
      <c r="Y573" s="215"/>
      <c r="Z573" s="215"/>
      <c r="AA573" s="215"/>
      <c r="AB573" s="456"/>
      <c r="AC573" s="471" t="s">
        <v>298</v>
      </c>
      <c r="AD573" s="457" t="s">
        <v>111</v>
      </c>
      <c r="AE573" s="224"/>
      <c r="AF573" s="292"/>
      <c r="AG573" s="461"/>
      <c r="AH573" s="224">
        <f>58.49</f>
        <v>58.49</v>
      </c>
      <c r="AI573" s="292"/>
      <c r="AJ573" s="461">
        <v>60.83</v>
      </c>
      <c r="AK573" s="224"/>
      <c r="AL573" s="292"/>
      <c r="AM573" s="462"/>
      <c r="AN573" s="224"/>
      <c r="AO573" s="292"/>
      <c r="AP573" s="462"/>
      <c r="AQ573" s="224"/>
      <c r="AR573" s="292"/>
      <c r="AS573" s="462"/>
      <c r="AT573" s="224"/>
      <c r="AU573" s="292"/>
      <c r="AV573" s="462"/>
      <c r="AW573" s="468"/>
      <c r="AX573" s="469"/>
      <c r="AY573" s="470"/>
      <c r="AZ573" s="468"/>
      <c r="BA573" s="469"/>
      <c r="BB573" s="470"/>
      <c r="BC573" s="224"/>
      <c r="BD573" s="292"/>
      <c r="BE573" s="462"/>
      <c r="BF573" s="224"/>
      <c r="BG573" s="292"/>
      <c r="BH573" s="462"/>
      <c r="BI573" s="224"/>
      <c r="BJ573" s="292"/>
      <c r="BK573" s="461"/>
      <c r="BL573" s="229"/>
      <c r="BM573" s="215"/>
      <c r="BN573" s="125">
        <f t="shared" si="108"/>
        <v>58.49</v>
      </c>
      <c r="BO573" s="126">
        <f t="shared" si="109"/>
        <v>0</v>
      </c>
      <c r="BP573" s="127">
        <f t="shared" si="110"/>
        <v>60.83</v>
      </c>
    </row>
    <row r="574" spans="1:68" s="230" customFormat="1" ht="16.5" customHeight="1" outlineLevel="5" x14ac:dyDescent="0.25">
      <c r="A574" s="216"/>
      <c r="B574" s="215"/>
      <c r="C574" s="216"/>
      <c r="D574" s="216"/>
      <c r="E574" s="216"/>
      <c r="F574" s="216"/>
      <c r="G574" s="216"/>
      <c r="H574" s="216"/>
      <c r="I574" s="216"/>
      <c r="J574" s="215"/>
      <c r="K574" s="217"/>
      <c r="L574" s="216"/>
      <c r="M574" s="215"/>
      <c r="N574" s="215"/>
      <c r="O574" s="215"/>
      <c r="P574" s="215"/>
      <c r="Q574" s="215"/>
      <c r="R574" s="215"/>
      <c r="S574" s="215"/>
      <c r="T574" s="215"/>
      <c r="U574" s="215"/>
      <c r="V574" s="215"/>
      <c r="W574" s="215"/>
      <c r="X574" s="215"/>
      <c r="Y574" s="215"/>
      <c r="Z574" s="215"/>
      <c r="AA574" s="215"/>
      <c r="AB574" s="456"/>
      <c r="AC574" s="472" t="s">
        <v>616</v>
      </c>
      <c r="AD574" s="457" t="s">
        <v>111</v>
      </c>
      <c r="AE574" s="224"/>
      <c r="AF574" s="292"/>
      <c r="AG574" s="461"/>
      <c r="AH574" s="224">
        <v>3.08</v>
      </c>
      <c r="AI574" s="292"/>
      <c r="AJ574" s="461">
        <v>3.2</v>
      </c>
      <c r="AK574" s="224"/>
      <c r="AL574" s="292"/>
      <c r="AM574" s="462"/>
      <c r="AN574" s="224"/>
      <c r="AO574" s="292"/>
      <c r="AP574" s="462">
        <v>0.79</v>
      </c>
      <c r="AQ574" s="224"/>
      <c r="AR574" s="292"/>
      <c r="AS574" s="462">
        <v>0.52</v>
      </c>
      <c r="AT574" s="224"/>
      <c r="AU574" s="292"/>
      <c r="AV574" s="462">
        <v>1.34</v>
      </c>
      <c r="AW574" s="224">
        <v>1.49</v>
      </c>
      <c r="AX574" s="292"/>
      <c r="AY574" s="464">
        <v>1.639</v>
      </c>
      <c r="AZ574" s="224">
        <v>19.5</v>
      </c>
      <c r="BA574" s="292"/>
      <c r="BB574" s="464"/>
      <c r="BC574" s="224">
        <v>10.199999999999999</v>
      </c>
      <c r="BD574" s="292"/>
      <c r="BE574" s="462">
        <v>48.28</v>
      </c>
      <c r="BF574" s="224"/>
      <c r="BG574" s="292"/>
      <c r="BH574" s="462">
        <v>1.44</v>
      </c>
      <c r="BI574" s="465">
        <v>6.15</v>
      </c>
      <c r="BJ574" s="466"/>
      <c r="BK574" s="467">
        <v>14.77</v>
      </c>
      <c r="BL574" s="229"/>
      <c r="BM574" s="215"/>
      <c r="BN574" s="125">
        <f t="shared" si="108"/>
        <v>40.419999999999995</v>
      </c>
      <c r="BO574" s="126">
        <f t="shared" si="109"/>
        <v>0</v>
      </c>
      <c r="BP574" s="127">
        <f t="shared" si="110"/>
        <v>71.978999999999999</v>
      </c>
    </row>
    <row r="575" spans="1:68" s="230" customFormat="1" ht="16.5" customHeight="1" outlineLevel="5" x14ac:dyDescent="0.25">
      <c r="A575" s="216"/>
      <c r="B575" s="215"/>
      <c r="C575" s="216"/>
      <c r="D575" s="216"/>
      <c r="E575" s="216"/>
      <c r="F575" s="216"/>
      <c r="G575" s="216"/>
      <c r="H575" s="216"/>
      <c r="I575" s="216"/>
      <c r="J575" s="215"/>
      <c r="K575" s="217"/>
      <c r="L575" s="216"/>
      <c r="M575" s="215"/>
      <c r="N575" s="215"/>
      <c r="O575" s="215"/>
      <c r="P575" s="215"/>
      <c r="Q575" s="215"/>
      <c r="R575" s="215"/>
      <c r="S575" s="215"/>
      <c r="T575" s="215"/>
      <c r="U575" s="215"/>
      <c r="V575" s="215"/>
      <c r="W575" s="215"/>
      <c r="X575" s="215"/>
      <c r="Y575" s="215"/>
      <c r="Z575" s="215"/>
      <c r="AA575" s="215"/>
      <c r="AB575" s="456"/>
      <c r="AC575" s="472" t="s">
        <v>617</v>
      </c>
      <c r="AD575" s="457" t="s">
        <v>111</v>
      </c>
      <c r="AE575" s="224"/>
      <c r="AF575" s="292"/>
      <c r="AG575" s="461"/>
      <c r="AH575" s="224"/>
      <c r="AI575" s="292"/>
      <c r="AJ575" s="461"/>
      <c r="AK575" s="224"/>
      <c r="AL575" s="292"/>
      <c r="AM575" s="462"/>
      <c r="AN575" s="224"/>
      <c r="AO575" s="292"/>
      <c r="AP575" s="462"/>
      <c r="AQ575" s="224"/>
      <c r="AR575" s="292"/>
      <c r="AS575" s="462"/>
      <c r="AT575" s="224"/>
      <c r="AU575" s="292"/>
      <c r="AV575" s="462"/>
      <c r="AW575" s="468"/>
      <c r="AX575" s="469"/>
      <c r="AY575" s="470"/>
      <c r="AZ575" s="468"/>
      <c r="BA575" s="469"/>
      <c r="BB575" s="470"/>
      <c r="BC575" s="224"/>
      <c r="BD575" s="292"/>
      <c r="BE575" s="462"/>
      <c r="BF575" s="224"/>
      <c r="BG575" s="292"/>
      <c r="BH575" s="462"/>
      <c r="BI575" s="224"/>
      <c r="BJ575" s="292"/>
      <c r="BK575" s="461"/>
      <c r="BL575" s="229"/>
      <c r="BM575" s="215"/>
      <c r="BN575" s="125">
        <f t="shared" si="108"/>
        <v>0</v>
      </c>
      <c r="BO575" s="126">
        <f t="shared" si="109"/>
        <v>0</v>
      </c>
      <c r="BP575" s="127">
        <f t="shared" si="110"/>
        <v>0</v>
      </c>
    </row>
    <row r="576" spans="1:68" s="230" customFormat="1" ht="16.5" customHeight="1" outlineLevel="5" x14ac:dyDescent="0.25">
      <c r="A576" s="216"/>
      <c r="B576" s="215"/>
      <c r="C576" s="216"/>
      <c r="D576" s="216"/>
      <c r="E576" s="216"/>
      <c r="F576" s="216"/>
      <c r="G576" s="216"/>
      <c r="H576" s="216"/>
      <c r="I576" s="216"/>
      <c r="J576" s="215"/>
      <c r="K576" s="217"/>
      <c r="L576" s="216"/>
      <c r="M576" s="215"/>
      <c r="N576" s="215"/>
      <c r="O576" s="215"/>
      <c r="P576" s="215"/>
      <c r="Q576" s="215"/>
      <c r="R576" s="215"/>
      <c r="S576" s="215"/>
      <c r="T576" s="215"/>
      <c r="U576" s="215"/>
      <c r="V576" s="215"/>
      <c r="W576" s="215"/>
      <c r="X576" s="215"/>
      <c r="Y576" s="215"/>
      <c r="Z576" s="215"/>
      <c r="AA576" s="215"/>
      <c r="AB576" s="456"/>
      <c r="AC576" s="472" t="s">
        <v>618</v>
      </c>
      <c r="AD576" s="457" t="s">
        <v>111</v>
      </c>
      <c r="AE576" s="224"/>
      <c r="AF576" s="292"/>
      <c r="AG576" s="461"/>
      <c r="AH576" s="224"/>
      <c r="AI576" s="292"/>
      <c r="AJ576" s="461"/>
      <c r="AK576" s="224"/>
      <c r="AL576" s="292"/>
      <c r="AM576" s="462"/>
      <c r="AN576" s="224">
        <v>119.96</v>
      </c>
      <c r="AO576" s="292"/>
      <c r="AP576" s="462">
        <v>131.99</v>
      </c>
      <c r="AQ576" s="224">
        <v>18.39</v>
      </c>
      <c r="AR576" s="292"/>
      <c r="AS576" s="462">
        <v>20.23</v>
      </c>
      <c r="AT576" s="224">
        <v>11.6</v>
      </c>
      <c r="AU576" s="292"/>
      <c r="AV576" s="462">
        <v>12.76</v>
      </c>
      <c r="AW576" s="224">
        <v>18.387</v>
      </c>
      <c r="AX576" s="292"/>
      <c r="AY576" s="464">
        <v>20.231999999999999</v>
      </c>
      <c r="AZ576" s="224">
        <v>373.50700000000001</v>
      </c>
      <c r="BA576" s="292"/>
      <c r="BB576" s="464">
        <v>410.98099999999999</v>
      </c>
      <c r="BC576" s="224">
        <f>7.21+173.98</f>
        <v>181.19</v>
      </c>
      <c r="BD576" s="292"/>
      <c r="BE576" s="462">
        <v>194.34</v>
      </c>
      <c r="BF576" s="224"/>
      <c r="BG576" s="292"/>
      <c r="BH576" s="462"/>
      <c r="BI576" s="224"/>
      <c r="BJ576" s="292"/>
      <c r="BK576" s="461"/>
      <c r="BL576" s="229"/>
      <c r="BM576" s="215"/>
      <c r="BN576" s="125">
        <f t="shared" si="108"/>
        <v>723.03400000000011</v>
      </c>
      <c r="BO576" s="126">
        <f t="shared" si="109"/>
        <v>0</v>
      </c>
      <c r="BP576" s="127">
        <f t="shared" si="110"/>
        <v>790.53300000000002</v>
      </c>
    </row>
    <row r="577" spans="1:68" s="246" customFormat="1" ht="16.5" customHeight="1" outlineLevel="5" x14ac:dyDescent="0.25">
      <c r="A577" s="242"/>
      <c r="B577" s="229"/>
      <c r="C577" s="242"/>
      <c r="D577" s="242"/>
      <c r="E577" s="242"/>
      <c r="F577" s="242"/>
      <c r="G577" s="242"/>
      <c r="H577" s="242"/>
      <c r="I577" s="242"/>
      <c r="J577" s="229"/>
      <c r="K577" s="243"/>
      <c r="L577" s="242"/>
      <c r="M577" s="229"/>
      <c r="N577" s="229"/>
      <c r="O577" s="229"/>
      <c r="P577" s="229"/>
      <c r="Q577" s="229"/>
      <c r="R577" s="229"/>
      <c r="S577" s="229"/>
      <c r="T577" s="229"/>
      <c r="U577" s="229"/>
      <c r="V577" s="229"/>
      <c r="W577" s="229"/>
      <c r="X577" s="229"/>
      <c r="Y577" s="229"/>
      <c r="Z577" s="229"/>
      <c r="AA577" s="229"/>
      <c r="AB577" s="456"/>
      <c r="AC577" s="472" t="s">
        <v>619</v>
      </c>
      <c r="AD577" s="457" t="s">
        <v>111</v>
      </c>
      <c r="AE577" s="235">
        <v>15716.1</v>
      </c>
      <c r="AF577" s="292"/>
      <c r="AG577" s="461"/>
      <c r="AH577" s="224">
        <v>59.16</v>
      </c>
      <c r="AI577" s="292"/>
      <c r="AJ577" s="461">
        <v>61.53</v>
      </c>
      <c r="AK577" s="224"/>
      <c r="AL577" s="292"/>
      <c r="AM577" s="462"/>
      <c r="AN577" s="224">
        <v>4.13</v>
      </c>
      <c r="AO577" s="292"/>
      <c r="AP577" s="462">
        <v>4.55</v>
      </c>
      <c r="AQ577" s="224">
        <v>157.55000000000001</v>
      </c>
      <c r="AR577" s="292"/>
      <c r="AS577" s="462">
        <v>173.36</v>
      </c>
      <c r="AT577" s="224">
        <v>2.08</v>
      </c>
      <c r="AU577" s="292"/>
      <c r="AV577" s="462">
        <f>2.29+17.01+11.5</f>
        <v>30.8</v>
      </c>
      <c r="AW577" s="224">
        <f>25.925+209.928</f>
        <v>235.85300000000001</v>
      </c>
      <c r="AX577" s="292"/>
      <c r="AY577" s="464">
        <f>28.525+230.988</f>
        <v>259.51299999999998</v>
      </c>
      <c r="AZ577" s="224">
        <f>38.55+194.309</f>
        <v>232.85899999999998</v>
      </c>
      <c r="BA577" s="292"/>
      <c r="BB577" s="464">
        <f>42.417+213.803</f>
        <v>256.22000000000003</v>
      </c>
      <c r="BC577" s="224">
        <f>196.97+38.56</f>
        <v>235.53</v>
      </c>
      <c r="BD577" s="292"/>
      <c r="BE577" s="462">
        <f>688.19+42.43</f>
        <v>730.62</v>
      </c>
      <c r="BF577" s="245">
        <v>408.27</v>
      </c>
      <c r="BG577" s="238">
        <v>82.12</v>
      </c>
      <c r="BH577" s="239">
        <v>449.23</v>
      </c>
      <c r="BI577" s="245">
        <v>197.48</v>
      </c>
      <c r="BJ577" s="238">
        <v>107.57</v>
      </c>
      <c r="BK577" s="241">
        <v>217.28</v>
      </c>
      <c r="BL577" s="229"/>
      <c r="BM577" s="229"/>
      <c r="BN577" s="125">
        <f t="shared" si="108"/>
        <v>17249.011999999995</v>
      </c>
      <c r="BO577" s="126">
        <f t="shared" si="109"/>
        <v>189.69</v>
      </c>
      <c r="BP577" s="127">
        <f t="shared" si="110"/>
        <v>2183.1030000000001</v>
      </c>
    </row>
    <row r="578" spans="1:68" s="230" customFormat="1" ht="16.5" customHeight="1" outlineLevel="5" x14ac:dyDescent="0.25">
      <c r="A578" s="216"/>
      <c r="B578" s="215"/>
      <c r="C578" s="216"/>
      <c r="D578" s="216"/>
      <c r="E578" s="216"/>
      <c r="F578" s="216"/>
      <c r="G578" s="216"/>
      <c r="H578" s="216"/>
      <c r="I578" s="216"/>
      <c r="J578" s="215"/>
      <c r="K578" s="217"/>
      <c r="L578" s="216"/>
      <c r="M578" s="215"/>
      <c r="N578" s="215"/>
      <c r="O578" s="215"/>
      <c r="P578" s="215"/>
      <c r="Q578" s="215"/>
      <c r="R578" s="215"/>
      <c r="S578" s="215"/>
      <c r="T578" s="215"/>
      <c r="U578" s="215"/>
      <c r="V578" s="215"/>
      <c r="W578" s="215"/>
      <c r="X578" s="215"/>
      <c r="Y578" s="215"/>
      <c r="Z578" s="215"/>
      <c r="AA578" s="215"/>
      <c r="AB578" s="456"/>
      <c r="AC578" s="472" t="s">
        <v>620</v>
      </c>
      <c r="AD578" s="457" t="s">
        <v>111</v>
      </c>
      <c r="AE578" s="224"/>
      <c r="AF578" s="292"/>
      <c r="AG578" s="461"/>
      <c r="AH578" s="224"/>
      <c r="AI578" s="292"/>
      <c r="AJ578" s="461"/>
      <c r="AK578" s="224"/>
      <c r="AL578" s="292"/>
      <c r="AM578" s="462"/>
      <c r="AN578" s="224">
        <v>1.02</v>
      </c>
      <c r="AO578" s="292"/>
      <c r="AP578" s="462">
        <v>1.1200000000000001</v>
      </c>
      <c r="AQ578" s="224">
        <v>39.6</v>
      </c>
      <c r="AR578" s="292"/>
      <c r="AS578" s="462">
        <v>43.57</v>
      </c>
      <c r="AT578" s="224"/>
      <c r="AU578" s="292"/>
      <c r="AV578" s="462"/>
      <c r="AW578" s="224">
        <v>2.0379999999999998</v>
      </c>
      <c r="AX578" s="292"/>
      <c r="AY578" s="464">
        <v>2.242</v>
      </c>
      <c r="AZ578" s="224">
        <v>32.917000000000002</v>
      </c>
      <c r="BA578" s="292"/>
      <c r="BB578" s="464">
        <v>36.219000000000001</v>
      </c>
      <c r="BC578" s="224">
        <f>9.25+1.03</f>
        <v>10.28</v>
      </c>
      <c r="BD578" s="292"/>
      <c r="BE578" s="462"/>
      <c r="BF578" s="224"/>
      <c r="BG578" s="292"/>
      <c r="BH578" s="462"/>
      <c r="BI578" s="224"/>
      <c r="BJ578" s="292"/>
      <c r="BK578" s="461"/>
      <c r="BL578" s="229"/>
      <c r="BM578" s="215"/>
      <c r="BN578" s="125">
        <f t="shared" si="108"/>
        <v>85.855000000000004</v>
      </c>
      <c r="BO578" s="126">
        <f t="shared" si="109"/>
        <v>0</v>
      </c>
      <c r="BP578" s="127">
        <f t="shared" si="110"/>
        <v>83.150999999999996</v>
      </c>
    </row>
    <row r="579" spans="1:68" s="230" customFormat="1" ht="16.5" customHeight="1" outlineLevel="5" x14ac:dyDescent="0.25">
      <c r="A579" s="216"/>
      <c r="B579" s="215"/>
      <c r="C579" s="216"/>
      <c r="D579" s="216"/>
      <c r="E579" s="216"/>
      <c r="F579" s="216"/>
      <c r="G579" s="216"/>
      <c r="H579" s="216"/>
      <c r="I579" s="216"/>
      <c r="J579" s="215"/>
      <c r="K579" s="217"/>
      <c r="L579" s="216"/>
      <c r="M579" s="215"/>
      <c r="N579" s="215"/>
      <c r="O579" s="215"/>
      <c r="P579" s="215"/>
      <c r="Q579" s="215"/>
      <c r="R579" s="215"/>
      <c r="S579" s="215"/>
      <c r="T579" s="215"/>
      <c r="U579" s="215"/>
      <c r="V579" s="215"/>
      <c r="W579" s="215"/>
      <c r="X579" s="215"/>
      <c r="Y579" s="215"/>
      <c r="Z579" s="215"/>
      <c r="AA579" s="215"/>
      <c r="AB579" s="456"/>
      <c r="AC579" s="472" t="s">
        <v>621</v>
      </c>
      <c r="AD579" s="457" t="s">
        <v>111</v>
      </c>
      <c r="AE579" s="224"/>
      <c r="AF579" s="292"/>
      <c r="AG579" s="461"/>
      <c r="AH579" s="224">
        <v>5.23</v>
      </c>
      <c r="AI579" s="292"/>
      <c r="AJ579" s="461">
        <v>5.46</v>
      </c>
      <c r="AK579" s="224"/>
      <c r="AL579" s="292"/>
      <c r="AM579" s="462"/>
      <c r="AN579" s="224">
        <v>4.0599999999999996</v>
      </c>
      <c r="AO579" s="292"/>
      <c r="AP579" s="462">
        <v>4.47</v>
      </c>
      <c r="AQ579" s="224"/>
      <c r="AR579" s="292"/>
      <c r="AS579" s="462"/>
      <c r="AT579" s="224">
        <v>77.5</v>
      </c>
      <c r="AU579" s="292"/>
      <c r="AV579" s="462">
        <v>85.27</v>
      </c>
      <c r="AW579" s="224">
        <v>337.78699999999998</v>
      </c>
      <c r="AX579" s="292"/>
      <c r="AY579" s="464">
        <v>371.673</v>
      </c>
      <c r="AZ579" s="224">
        <v>505.91399999999999</v>
      </c>
      <c r="BA579" s="292"/>
      <c r="BB579" s="464">
        <v>556.66800000000001</v>
      </c>
      <c r="BC579" s="224">
        <f>4.23+7239.85</f>
        <v>7244.08</v>
      </c>
      <c r="BD579" s="292"/>
      <c r="BE579" s="462">
        <v>8560.7800000000007</v>
      </c>
      <c r="BF579" s="224"/>
      <c r="BG579" s="292"/>
      <c r="BH579" s="462"/>
      <c r="BI579" s="465">
        <v>16.2</v>
      </c>
      <c r="BJ579" s="466">
        <v>48.63</v>
      </c>
      <c r="BK579" s="467">
        <v>64.8</v>
      </c>
      <c r="BL579" s="229"/>
      <c r="BM579" s="215"/>
      <c r="BN579" s="125">
        <f t="shared" si="108"/>
        <v>8190.7709999999997</v>
      </c>
      <c r="BO579" s="126">
        <f t="shared" si="109"/>
        <v>48.63</v>
      </c>
      <c r="BP579" s="127">
        <f t="shared" si="110"/>
        <v>9649.1209999999992</v>
      </c>
    </row>
    <row r="580" spans="1:68" s="230" customFormat="1" ht="16.5" customHeight="1" outlineLevel="5" x14ac:dyDescent="0.25">
      <c r="A580" s="216"/>
      <c r="B580" s="215"/>
      <c r="C580" s="216"/>
      <c r="D580" s="216"/>
      <c r="E580" s="216"/>
      <c r="F580" s="216"/>
      <c r="G580" s="216"/>
      <c r="H580" s="216"/>
      <c r="I580" s="216"/>
      <c r="J580" s="215"/>
      <c r="K580" s="217"/>
      <c r="L580" s="216"/>
      <c r="M580" s="215"/>
      <c r="N580" s="215"/>
      <c r="O580" s="215"/>
      <c r="P580" s="215"/>
      <c r="Q580" s="215"/>
      <c r="R580" s="215"/>
      <c r="S580" s="215"/>
      <c r="T580" s="215"/>
      <c r="U580" s="215"/>
      <c r="V580" s="215"/>
      <c r="W580" s="215"/>
      <c r="X580" s="215"/>
      <c r="Y580" s="215"/>
      <c r="Z580" s="215"/>
      <c r="AA580" s="215"/>
      <c r="AB580" s="456"/>
      <c r="AC580" s="472" t="s">
        <v>622</v>
      </c>
      <c r="AD580" s="457" t="s">
        <v>111</v>
      </c>
      <c r="AE580" s="224"/>
      <c r="AF580" s="292"/>
      <c r="AG580" s="461"/>
      <c r="AH580" s="224">
        <v>1317.6</v>
      </c>
      <c r="AI580" s="225">
        <v>418.01</v>
      </c>
      <c r="AJ580" s="226">
        <v>2365.1999999999998</v>
      </c>
      <c r="AK580" s="224"/>
      <c r="AL580" s="292"/>
      <c r="AM580" s="462"/>
      <c r="AN580" s="224">
        <v>216</v>
      </c>
      <c r="AO580" s="292"/>
      <c r="AP580" s="462">
        <v>27.46</v>
      </c>
      <c r="AQ580" s="224">
        <v>27.5</v>
      </c>
      <c r="AR580" s="292"/>
      <c r="AS580" s="462">
        <v>30.26</v>
      </c>
      <c r="AT580" s="224"/>
      <c r="AU580" s="292"/>
      <c r="AV580" s="462">
        <v>32.4</v>
      </c>
      <c r="AW580" s="224">
        <v>684</v>
      </c>
      <c r="AX580" s="292"/>
      <c r="AY580" s="464">
        <v>26.207999999999998</v>
      </c>
      <c r="AZ580" s="224"/>
      <c r="BA580" s="292"/>
      <c r="BB580" s="464"/>
      <c r="BC580" s="224">
        <f>169.32+2027.56</f>
        <v>2196.88</v>
      </c>
      <c r="BD580" s="292">
        <v>53.63</v>
      </c>
      <c r="BE580" s="462">
        <v>2095.4499999999998</v>
      </c>
      <c r="BF580" s="465">
        <v>658.8</v>
      </c>
      <c r="BG580" s="292"/>
      <c r="BH580" s="462">
        <v>1182.5999999999999</v>
      </c>
      <c r="BI580" s="465">
        <v>1360.1</v>
      </c>
      <c r="BJ580" s="466">
        <v>1573.36</v>
      </c>
      <c r="BK580" s="467">
        <v>2412</v>
      </c>
      <c r="BL580" s="229"/>
      <c r="BM580" s="215"/>
      <c r="BN580" s="125">
        <f t="shared" si="108"/>
        <v>6460.8799999999992</v>
      </c>
      <c r="BO580" s="126">
        <f t="shared" si="109"/>
        <v>2045</v>
      </c>
      <c r="BP580" s="127">
        <f t="shared" si="110"/>
        <v>8171.5779999999995</v>
      </c>
    </row>
    <row r="581" spans="1:68" s="230" customFormat="1" ht="16.5" customHeight="1" outlineLevel="5" x14ac:dyDescent="0.25">
      <c r="A581" s="216"/>
      <c r="B581" s="215"/>
      <c r="C581" s="216"/>
      <c r="D581" s="216"/>
      <c r="E581" s="216"/>
      <c r="F581" s="216"/>
      <c r="G581" s="216"/>
      <c r="H581" s="216"/>
      <c r="I581" s="216"/>
      <c r="J581" s="215"/>
      <c r="K581" s="217"/>
      <c r="L581" s="216"/>
      <c r="M581" s="215"/>
      <c r="N581" s="215"/>
      <c r="O581" s="215"/>
      <c r="P581" s="215"/>
      <c r="Q581" s="215"/>
      <c r="R581" s="215"/>
      <c r="S581" s="215"/>
      <c r="T581" s="215"/>
      <c r="U581" s="215"/>
      <c r="V581" s="215"/>
      <c r="W581" s="215"/>
      <c r="X581" s="215"/>
      <c r="Y581" s="215"/>
      <c r="Z581" s="215"/>
      <c r="AA581" s="215"/>
      <c r="AB581" s="456"/>
      <c r="AC581" s="472" t="s">
        <v>623</v>
      </c>
      <c r="AD581" s="457" t="s">
        <v>111</v>
      </c>
      <c r="AE581" s="224"/>
      <c r="AF581" s="292"/>
      <c r="AG581" s="461"/>
      <c r="AH581" s="224"/>
      <c r="AI581" s="292"/>
      <c r="AJ581" s="461"/>
      <c r="AK581" s="224"/>
      <c r="AL581" s="292"/>
      <c r="AM581" s="462"/>
      <c r="AN581" s="224">
        <v>7.75</v>
      </c>
      <c r="AO581" s="292"/>
      <c r="AP581" s="462">
        <v>8.52</v>
      </c>
      <c r="AQ581" s="224">
        <v>3.61</v>
      </c>
      <c r="AR581" s="292"/>
      <c r="AS581" s="462">
        <v>3.97</v>
      </c>
      <c r="AT581" s="224"/>
      <c r="AU581" s="292"/>
      <c r="AV581" s="462"/>
      <c r="AW581" s="468"/>
      <c r="AX581" s="469"/>
      <c r="AY581" s="470"/>
      <c r="AZ581" s="468"/>
      <c r="BA581" s="469"/>
      <c r="BB581" s="470"/>
      <c r="BC581" s="224">
        <v>18.75</v>
      </c>
      <c r="BD581" s="292"/>
      <c r="BE581" s="462"/>
      <c r="BF581" s="224"/>
      <c r="BG581" s="292"/>
      <c r="BH581" s="462"/>
      <c r="BI581" s="224"/>
      <c r="BJ581" s="292"/>
      <c r="BK581" s="461"/>
      <c r="BL581" s="229"/>
      <c r="BM581" s="215"/>
      <c r="BN581" s="125">
        <f t="shared" si="108"/>
        <v>30.11</v>
      </c>
      <c r="BO581" s="126">
        <f t="shared" si="109"/>
        <v>0</v>
      </c>
      <c r="BP581" s="127">
        <f t="shared" si="110"/>
        <v>12.49</v>
      </c>
    </row>
    <row r="582" spans="1:68" s="230" customFormat="1" ht="16.5" customHeight="1" outlineLevel="5" x14ac:dyDescent="0.25">
      <c r="A582" s="216"/>
      <c r="B582" s="215"/>
      <c r="C582" s="216"/>
      <c r="D582" s="216"/>
      <c r="E582" s="216"/>
      <c r="F582" s="216"/>
      <c r="G582" s="216"/>
      <c r="H582" s="216"/>
      <c r="I582" s="216"/>
      <c r="J582" s="215"/>
      <c r="K582" s="217"/>
      <c r="L582" s="216"/>
      <c r="M582" s="215"/>
      <c r="N582" s="215"/>
      <c r="O582" s="215"/>
      <c r="P582" s="215"/>
      <c r="Q582" s="215"/>
      <c r="R582" s="215"/>
      <c r="S582" s="215"/>
      <c r="T582" s="215"/>
      <c r="U582" s="215"/>
      <c r="V582" s="215"/>
      <c r="W582" s="215"/>
      <c r="X582" s="215"/>
      <c r="Y582" s="215"/>
      <c r="Z582" s="215"/>
      <c r="AA582" s="215"/>
      <c r="AB582" s="456"/>
      <c r="AC582" s="472" t="s">
        <v>624</v>
      </c>
      <c r="AD582" s="457" t="s">
        <v>111</v>
      </c>
      <c r="AE582" s="224"/>
      <c r="AF582" s="292"/>
      <c r="AG582" s="461"/>
      <c r="AH582" s="224"/>
      <c r="AI582" s="292"/>
      <c r="AJ582" s="461"/>
      <c r="AK582" s="224"/>
      <c r="AL582" s="292"/>
      <c r="AM582" s="462"/>
      <c r="AN582" s="224"/>
      <c r="AO582" s="292"/>
      <c r="AP582" s="462"/>
      <c r="AQ582" s="224">
        <v>12.32</v>
      </c>
      <c r="AR582" s="292"/>
      <c r="AS582" s="462">
        <v>13.55</v>
      </c>
      <c r="AT582" s="224"/>
      <c r="AU582" s="292"/>
      <c r="AV582" s="462"/>
      <c r="AW582" s="468"/>
      <c r="AX582" s="469"/>
      <c r="AY582" s="470"/>
      <c r="AZ582" s="224">
        <v>5.8330000000000002</v>
      </c>
      <c r="BA582" s="292"/>
      <c r="BB582" s="464">
        <v>5.83</v>
      </c>
      <c r="BC582" s="224">
        <v>0.83</v>
      </c>
      <c r="BD582" s="292"/>
      <c r="BE582" s="462">
        <v>5.05</v>
      </c>
      <c r="BF582" s="224"/>
      <c r="BG582" s="292"/>
      <c r="BH582" s="462"/>
      <c r="BI582" s="224"/>
      <c r="BJ582" s="292"/>
      <c r="BK582" s="461"/>
      <c r="BL582" s="229"/>
      <c r="BM582" s="215"/>
      <c r="BN582" s="125">
        <f t="shared" si="108"/>
        <v>18.982999999999997</v>
      </c>
      <c r="BO582" s="126">
        <f t="shared" si="109"/>
        <v>0</v>
      </c>
      <c r="BP582" s="127">
        <f t="shared" si="110"/>
        <v>24.430000000000003</v>
      </c>
    </row>
    <row r="583" spans="1:68" s="230" customFormat="1" ht="16.5" customHeight="1" outlineLevel="5" x14ac:dyDescent="0.25">
      <c r="A583" s="216"/>
      <c r="B583" s="215"/>
      <c r="C583" s="216"/>
      <c r="D583" s="216"/>
      <c r="E583" s="216"/>
      <c r="F583" s="216"/>
      <c r="G583" s="216"/>
      <c r="H583" s="216"/>
      <c r="I583" s="216"/>
      <c r="J583" s="215"/>
      <c r="K583" s="217"/>
      <c r="L583" s="216"/>
      <c r="M583" s="215"/>
      <c r="N583" s="215"/>
      <c r="O583" s="215"/>
      <c r="P583" s="215"/>
      <c r="Q583" s="215"/>
      <c r="R583" s="215"/>
      <c r="S583" s="215"/>
      <c r="T583" s="215"/>
      <c r="U583" s="215"/>
      <c r="V583" s="215"/>
      <c r="W583" s="215"/>
      <c r="X583" s="215"/>
      <c r="Y583" s="215"/>
      <c r="Z583" s="215"/>
      <c r="AA583" s="215"/>
      <c r="AB583" s="456"/>
      <c r="AC583" s="472" t="s">
        <v>625</v>
      </c>
      <c r="AD583" s="457" t="s">
        <v>111</v>
      </c>
      <c r="AE583" s="224"/>
      <c r="AF583" s="292"/>
      <c r="AG583" s="461"/>
      <c r="AH583" s="224"/>
      <c r="AI583" s="292"/>
      <c r="AJ583" s="461"/>
      <c r="AK583" s="224"/>
      <c r="AL583" s="292"/>
      <c r="AM583" s="462"/>
      <c r="AN583" s="224"/>
      <c r="AO583" s="292"/>
      <c r="AP583" s="462"/>
      <c r="AQ583" s="224">
        <v>2</v>
      </c>
      <c r="AR583" s="292"/>
      <c r="AS583" s="462">
        <v>1.46</v>
      </c>
      <c r="AT583" s="224">
        <f>7.07+57.6</f>
        <v>64.67</v>
      </c>
      <c r="AU583" s="292"/>
      <c r="AV583" s="462">
        <f>1.72+63.38</f>
        <v>65.100000000000009</v>
      </c>
      <c r="AW583" s="224">
        <v>3.2</v>
      </c>
      <c r="AX583" s="292"/>
      <c r="AY583" s="464">
        <v>3.6680000000000001</v>
      </c>
      <c r="AZ583" s="224">
        <v>23.332999999999998</v>
      </c>
      <c r="BA583" s="292"/>
      <c r="BB583" s="464">
        <v>8.8019999999999996</v>
      </c>
      <c r="BC583" s="224">
        <f>314.94+3.98</f>
        <v>318.92</v>
      </c>
      <c r="BD583" s="292"/>
      <c r="BE583" s="470">
        <f>7+4.11</f>
        <v>11.11</v>
      </c>
      <c r="BF583" s="465">
        <v>0.8</v>
      </c>
      <c r="BG583" s="292"/>
      <c r="BH583" s="462">
        <v>0.88</v>
      </c>
      <c r="BI583" s="465">
        <v>4.4000000000000004</v>
      </c>
      <c r="BJ583" s="466">
        <v>1.66</v>
      </c>
      <c r="BK583" s="467">
        <v>2.64</v>
      </c>
      <c r="BL583" s="229"/>
      <c r="BM583" s="215"/>
      <c r="BN583" s="125">
        <f t="shared" si="108"/>
        <v>417.32300000000004</v>
      </c>
      <c r="BO583" s="126">
        <f t="shared" si="109"/>
        <v>1.66</v>
      </c>
      <c r="BP583" s="127">
        <f t="shared" si="110"/>
        <v>93.66</v>
      </c>
    </row>
    <row r="584" spans="1:68" s="230" customFormat="1" ht="16.5" customHeight="1" outlineLevel="5" x14ac:dyDescent="0.25">
      <c r="A584" s="216"/>
      <c r="B584" s="215"/>
      <c r="C584" s="216"/>
      <c r="D584" s="216"/>
      <c r="E584" s="216"/>
      <c r="F584" s="216"/>
      <c r="G584" s="216"/>
      <c r="H584" s="216"/>
      <c r="I584" s="216"/>
      <c r="J584" s="215"/>
      <c r="K584" s="217"/>
      <c r="L584" s="216"/>
      <c r="M584" s="215"/>
      <c r="N584" s="215"/>
      <c r="O584" s="215"/>
      <c r="P584" s="215"/>
      <c r="Q584" s="215"/>
      <c r="R584" s="215"/>
      <c r="S584" s="215"/>
      <c r="T584" s="215"/>
      <c r="U584" s="215"/>
      <c r="V584" s="215"/>
      <c r="W584" s="215"/>
      <c r="X584" s="215"/>
      <c r="Y584" s="215"/>
      <c r="Z584" s="215"/>
      <c r="AA584" s="215"/>
      <c r="AB584" s="456"/>
      <c r="AC584" s="472" t="s">
        <v>286</v>
      </c>
      <c r="AD584" s="457" t="s">
        <v>111</v>
      </c>
      <c r="AE584" s="224"/>
      <c r="AF584" s="292"/>
      <c r="AG584" s="461"/>
      <c r="AH584" s="224"/>
      <c r="AI584" s="292"/>
      <c r="AJ584" s="461"/>
      <c r="AK584" s="224"/>
      <c r="AL584" s="292"/>
      <c r="AM584" s="462"/>
      <c r="AN584" s="224"/>
      <c r="AO584" s="292"/>
      <c r="AP584" s="462"/>
      <c r="AQ584" s="224"/>
      <c r="AR584" s="292"/>
      <c r="AS584" s="462"/>
      <c r="AT584" s="224">
        <v>5.83</v>
      </c>
      <c r="AU584" s="292"/>
      <c r="AV584" s="462">
        <v>6.41</v>
      </c>
      <c r="AW584" s="224">
        <f>45.39+87.6</f>
        <v>132.99</v>
      </c>
      <c r="AX584" s="292"/>
      <c r="AY584" s="464">
        <f>49.944+96.388</f>
        <v>146.33199999999999</v>
      </c>
      <c r="AZ584" s="468"/>
      <c r="BA584" s="469"/>
      <c r="BB584" s="470"/>
      <c r="BC584" s="224"/>
      <c r="BD584" s="292"/>
      <c r="BE584" s="462"/>
      <c r="BF584" s="224"/>
      <c r="BG584" s="292"/>
      <c r="BH584" s="462"/>
      <c r="BI584" s="224"/>
      <c r="BJ584" s="292"/>
      <c r="BK584" s="461"/>
      <c r="BL584" s="229"/>
      <c r="BM584" s="215"/>
      <c r="BN584" s="125">
        <f t="shared" si="108"/>
        <v>138.82000000000002</v>
      </c>
      <c r="BO584" s="126">
        <f t="shared" si="109"/>
        <v>0</v>
      </c>
      <c r="BP584" s="127">
        <f t="shared" si="110"/>
        <v>152.74199999999999</v>
      </c>
    </row>
    <row r="585" spans="1:68" s="230" customFormat="1" ht="16.5" customHeight="1" outlineLevel="5" x14ac:dyDescent="0.25">
      <c r="A585" s="216"/>
      <c r="B585" s="215"/>
      <c r="C585" s="216"/>
      <c r="D585" s="216"/>
      <c r="E585" s="216"/>
      <c r="F585" s="216"/>
      <c r="G585" s="216"/>
      <c r="H585" s="216"/>
      <c r="I585" s="216"/>
      <c r="J585" s="215"/>
      <c r="K585" s="217"/>
      <c r="L585" s="216"/>
      <c r="M585" s="215"/>
      <c r="N585" s="215"/>
      <c r="O585" s="215"/>
      <c r="P585" s="215"/>
      <c r="Q585" s="215"/>
      <c r="R585" s="215"/>
      <c r="S585" s="215"/>
      <c r="T585" s="215"/>
      <c r="U585" s="215"/>
      <c r="V585" s="215"/>
      <c r="W585" s="215"/>
      <c r="X585" s="215"/>
      <c r="Y585" s="215"/>
      <c r="Z585" s="215"/>
      <c r="AA585" s="215"/>
      <c r="AB585" s="456"/>
      <c r="AC585" s="472" t="s">
        <v>626</v>
      </c>
      <c r="AD585" s="457" t="s">
        <v>111</v>
      </c>
      <c r="AE585" s="224"/>
      <c r="AF585" s="292"/>
      <c r="AG585" s="461"/>
      <c r="AH585" s="224"/>
      <c r="AI585" s="292"/>
      <c r="AJ585" s="461"/>
      <c r="AK585" s="224"/>
      <c r="AL585" s="292"/>
      <c r="AM585" s="462"/>
      <c r="AN585" s="224"/>
      <c r="AO585" s="292"/>
      <c r="AP585" s="462"/>
      <c r="AQ585" s="224"/>
      <c r="AR585" s="292"/>
      <c r="AS585" s="462"/>
      <c r="AT585" s="224"/>
      <c r="AU585" s="292"/>
      <c r="AV585" s="462">
        <v>2.58</v>
      </c>
      <c r="AW585" s="224">
        <v>6.0540000000000003</v>
      </c>
      <c r="AX585" s="292"/>
      <c r="AY585" s="464">
        <v>1.2290000000000001</v>
      </c>
      <c r="AZ585" s="224">
        <f>2.437</f>
        <v>2.4369999999999998</v>
      </c>
      <c r="BA585" s="292">
        <v>2.85</v>
      </c>
      <c r="BB585" s="464">
        <f>10.457</f>
        <v>10.457000000000001</v>
      </c>
      <c r="BC585" s="224">
        <f>4.91+54.21</f>
        <v>59.120000000000005</v>
      </c>
      <c r="BD585" s="292"/>
      <c r="BE585" s="462">
        <v>34.86</v>
      </c>
      <c r="BF585" s="465">
        <v>3.2440000000000002</v>
      </c>
      <c r="BG585" s="292"/>
      <c r="BH585" s="462">
        <v>3.1</v>
      </c>
      <c r="BI585" s="224"/>
      <c r="BJ585" s="292"/>
      <c r="BK585" s="461">
        <v>6.33</v>
      </c>
      <c r="BL585" s="229"/>
      <c r="BM585" s="215"/>
      <c r="BN585" s="125">
        <f t="shared" si="108"/>
        <v>70.855000000000004</v>
      </c>
      <c r="BO585" s="126">
        <f t="shared" si="109"/>
        <v>2.85</v>
      </c>
      <c r="BP585" s="127">
        <f t="shared" si="110"/>
        <v>58.556000000000004</v>
      </c>
    </row>
    <row r="586" spans="1:68" s="230" customFormat="1" ht="16.5" customHeight="1" outlineLevel="5" x14ac:dyDescent="0.25">
      <c r="A586" s="216"/>
      <c r="B586" s="215"/>
      <c r="C586" s="216"/>
      <c r="D586" s="216"/>
      <c r="E586" s="216"/>
      <c r="F586" s="216"/>
      <c r="G586" s="216"/>
      <c r="H586" s="216"/>
      <c r="I586" s="216"/>
      <c r="J586" s="215"/>
      <c r="K586" s="217"/>
      <c r="L586" s="216"/>
      <c r="M586" s="215"/>
      <c r="N586" s="215"/>
      <c r="O586" s="215"/>
      <c r="P586" s="215"/>
      <c r="Q586" s="215"/>
      <c r="R586" s="215"/>
      <c r="S586" s="215"/>
      <c r="T586" s="215"/>
      <c r="U586" s="215"/>
      <c r="V586" s="215"/>
      <c r="W586" s="215"/>
      <c r="X586" s="215"/>
      <c r="Y586" s="215"/>
      <c r="Z586" s="215"/>
      <c r="AA586" s="215"/>
      <c r="AB586" s="456"/>
      <c r="AC586" s="472" t="s">
        <v>627</v>
      </c>
      <c r="AD586" s="457" t="s">
        <v>111</v>
      </c>
      <c r="AE586" s="224"/>
      <c r="AF586" s="292"/>
      <c r="AG586" s="461"/>
      <c r="AH586" s="224">
        <v>6.33</v>
      </c>
      <c r="AI586" s="292"/>
      <c r="AJ586" s="461">
        <v>6.58</v>
      </c>
      <c r="AK586" s="224"/>
      <c r="AL586" s="292"/>
      <c r="AM586" s="462"/>
      <c r="AN586" s="224"/>
      <c r="AO586" s="292"/>
      <c r="AP586" s="462"/>
      <c r="AQ586" s="224"/>
      <c r="AR586" s="292"/>
      <c r="AS586" s="462"/>
      <c r="AT586" s="224">
        <v>1.0900000000000001</v>
      </c>
      <c r="AU586" s="292"/>
      <c r="AV586" s="462">
        <v>1.2</v>
      </c>
      <c r="AW586" s="224">
        <v>23.405999999999999</v>
      </c>
      <c r="AX586" s="292"/>
      <c r="AY586" s="464">
        <v>25.754000000000001</v>
      </c>
      <c r="AZ586" s="224">
        <v>59.468000000000004</v>
      </c>
      <c r="BA586" s="292"/>
      <c r="BB586" s="464">
        <f>65.434</f>
        <v>65.433999999999997</v>
      </c>
      <c r="BC586" s="224"/>
      <c r="BD586" s="292"/>
      <c r="BE586" s="462"/>
      <c r="BF586" s="224"/>
      <c r="BG586" s="292"/>
      <c r="BH586" s="462"/>
      <c r="BI586" s="465">
        <v>2</v>
      </c>
      <c r="BJ586" s="466">
        <v>2.1549999999999998</v>
      </c>
      <c r="BK586" s="467">
        <v>2.2000000000000002</v>
      </c>
      <c r="BL586" s="229"/>
      <c r="BM586" s="215"/>
      <c r="BN586" s="125">
        <f t="shared" si="108"/>
        <v>92.294000000000011</v>
      </c>
      <c r="BO586" s="126">
        <f t="shared" si="109"/>
        <v>2.1549999999999998</v>
      </c>
      <c r="BP586" s="127">
        <f t="shared" si="110"/>
        <v>101.16799999999999</v>
      </c>
    </row>
    <row r="587" spans="1:68" s="230" customFormat="1" ht="16.5" customHeight="1" outlineLevel="5" x14ac:dyDescent="0.25">
      <c r="A587" s="216"/>
      <c r="B587" s="215"/>
      <c r="C587" s="216"/>
      <c r="D587" s="216"/>
      <c r="E587" s="216"/>
      <c r="F587" s="216"/>
      <c r="G587" s="216"/>
      <c r="H587" s="216"/>
      <c r="I587" s="216"/>
      <c r="J587" s="215"/>
      <c r="K587" s="217"/>
      <c r="L587" s="216"/>
      <c r="M587" s="215"/>
      <c r="N587" s="215"/>
      <c r="O587" s="215"/>
      <c r="P587" s="215"/>
      <c r="Q587" s="215"/>
      <c r="R587" s="215"/>
      <c r="S587" s="215"/>
      <c r="T587" s="215"/>
      <c r="U587" s="215"/>
      <c r="V587" s="215"/>
      <c r="W587" s="215"/>
      <c r="X587" s="215"/>
      <c r="Y587" s="215"/>
      <c r="Z587" s="215"/>
      <c r="AA587" s="215"/>
      <c r="AB587" s="456"/>
      <c r="AC587" s="472" t="s">
        <v>308</v>
      </c>
      <c r="AD587" s="457" t="s">
        <v>111</v>
      </c>
      <c r="AE587" s="224"/>
      <c r="AF587" s="292"/>
      <c r="AG587" s="461"/>
      <c r="AH587" s="224"/>
      <c r="AI587" s="292"/>
      <c r="AJ587" s="461"/>
      <c r="AK587" s="224"/>
      <c r="AL587" s="292"/>
      <c r="AM587" s="462"/>
      <c r="AN587" s="224"/>
      <c r="AO587" s="292"/>
      <c r="AP587" s="462"/>
      <c r="AQ587" s="224"/>
      <c r="AR587" s="292"/>
      <c r="AS587" s="462"/>
      <c r="AT587" s="224"/>
      <c r="AU587" s="292"/>
      <c r="AV587" s="462"/>
      <c r="AW587" s="224">
        <v>1743.27</v>
      </c>
      <c r="AX587" s="292"/>
      <c r="AY587" s="464">
        <v>2263.62</v>
      </c>
      <c r="AZ587" s="224">
        <v>5679.21</v>
      </c>
      <c r="BA587" s="292"/>
      <c r="BB587" s="464">
        <v>8484.2199999999993</v>
      </c>
      <c r="BC587" s="224"/>
      <c r="BD587" s="292"/>
      <c r="BE587" s="462"/>
      <c r="BF587" s="224"/>
      <c r="BG587" s="292"/>
      <c r="BH587" s="462"/>
      <c r="BI587" s="465"/>
      <c r="BJ587" s="466"/>
      <c r="BK587" s="467"/>
      <c r="BL587" s="229"/>
      <c r="BM587" s="215"/>
      <c r="BN587" s="125">
        <f t="shared" si="108"/>
        <v>7422.48</v>
      </c>
      <c r="BO587" s="126">
        <f t="shared" si="109"/>
        <v>0</v>
      </c>
      <c r="BP587" s="127">
        <f t="shared" si="110"/>
        <v>10747.84</v>
      </c>
    </row>
    <row r="588" spans="1:68" s="230" customFormat="1" ht="16.5" customHeight="1" outlineLevel="5" x14ac:dyDescent="0.25">
      <c r="A588" s="216"/>
      <c r="B588" s="215"/>
      <c r="C588" s="216"/>
      <c r="D588" s="216"/>
      <c r="E588" s="216"/>
      <c r="F588" s="216"/>
      <c r="G588" s="216"/>
      <c r="H588" s="216"/>
      <c r="I588" s="216"/>
      <c r="J588" s="215"/>
      <c r="K588" s="217"/>
      <c r="L588" s="216"/>
      <c r="M588" s="215"/>
      <c r="N588" s="215"/>
      <c r="O588" s="215"/>
      <c r="P588" s="215"/>
      <c r="Q588" s="215"/>
      <c r="R588" s="215"/>
      <c r="S588" s="215"/>
      <c r="T588" s="215"/>
      <c r="U588" s="215"/>
      <c r="V588" s="215"/>
      <c r="W588" s="215"/>
      <c r="X588" s="215"/>
      <c r="Y588" s="215"/>
      <c r="Z588" s="215"/>
      <c r="AA588" s="215"/>
      <c r="AB588" s="456"/>
      <c r="AC588" s="472" t="s">
        <v>309</v>
      </c>
      <c r="AD588" s="457" t="s">
        <v>111</v>
      </c>
      <c r="AE588" s="224"/>
      <c r="AF588" s="292"/>
      <c r="AG588" s="461"/>
      <c r="AH588" s="224"/>
      <c r="AI588" s="292"/>
      <c r="AJ588" s="461"/>
      <c r="AK588" s="224"/>
      <c r="AL588" s="292"/>
      <c r="AM588" s="462"/>
      <c r="AN588" s="224"/>
      <c r="AO588" s="292"/>
      <c r="AP588" s="462"/>
      <c r="AQ588" s="224"/>
      <c r="AR588" s="292"/>
      <c r="AS588" s="462"/>
      <c r="AT588" s="224"/>
      <c r="AU588" s="292"/>
      <c r="AV588" s="462"/>
      <c r="AW588" s="468"/>
      <c r="AX588" s="469"/>
      <c r="AY588" s="470"/>
      <c r="AZ588" s="468"/>
      <c r="BA588" s="469"/>
      <c r="BB588" s="470"/>
      <c r="BC588" s="224"/>
      <c r="BD588" s="292"/>
      <c r="BE588" s="462"/>
      <c r="BF588" s="224"/>
      <c r="BG588" s="292"/>
      <c r="BH588" s="462"/>
      <c r="BI588" s="465">
        <v>147.63999999999999</v>
      </c>
      <c r="BJ588" s="466">
        <v>176</v>
      </c>
      <c r="BK588" s="467">
        <v>168.3</v>
      </c>
      <c r="BL588" s="229"/>
      <c r="BM588" s="215"/>
      <c r="BN588" s="125">
        <f t="shared" ref="BN588:BN599" si="112">AE588+AH588+AK588+AN588+AQ588+AT588+AW588+AZ588+BC588+BF588+BI588</f>
        <v>147.63999999999999</v>
      </c>
      <c r="BO588" s="126">
        <f t="shared" ref="BO588:BO599" si="113">AF588+AI588+AL588+AO588+AR588+AU588+AX588+BA588+BD588+BG588+BJ588</f>
        <v>176</v>
      </c>
      <c r="BP588" s="127">
        <f t="shared" ref="BP588:BP599" si="114">AG588+AJ588+AM588+AP588+AS588+AV588+AY588+BB588+BE588+BH588+BK588</f>
        <v>168.3</v>
      </c>
    </row>
    <row r="589" spans="1:68" s="230" customFormat="1" ht="16.5" customHeight="1" outlineLevel="5" x14ac:dyDescent="0.25">
      <c r="A589" s="216"/>
      <c r="B589" s="215"/>
      <c r="C589" s="216"/>
      <c r="D589" s="216"/>
      <c r="E589" s="216"/>
      <c r="F589" s="216"/>
      <c r="G589" s="216"/>
      <c r="H589" s="216"/>
      <c r="I589" s="216"/>
      <c r="J589" s="215"/>
      <c r="K589" s="217"/>
      <c r="L589" s="216"/>
      <c r="M589" s="215"/>
      <c r="N589" s="215"/>
      <c r="O589" s="215"/>
      <c r="P589" s="215"/>
      <c r="Q589" s="215"/>
      <c r="R589" s="215"/>
      <c r="S589" s="215"/>
      <c r="T589" s="215"/>
      <c r="U589" s="215"/>
      <c r="V589" s="215"/>
      <c r="W589" s="215"/>
      <c r="X589" s="215"/>
      <c r="Y589" s="215"/>
      <c r="Z589" s="215"/>
      <c r="AA589" s="215"/>
      <c r="AB589" s="456"/>
      <c r="AC589" s="472" t="s">
        <v>310</v>
      </c>
      <c r="AD589" s="457" t="s">
        <v>111</v>
      </c>
      <c r="AE589" s="224"/>
      <c r="AF589" s="292"/>
      <c r="AG589" s="461"/>
      <c r="AH589" s="224"/>
      <c r="AI589" s="292"/>
      <c r="AJ589" s="461"/>
      <c r="AK589" s="224"/>
      <c r="AL589" s="292"/>
      <c r="AM589" s="462"/>
      <c r="AN589" s="224"/>
      <c r="AO589" s="292"/>
      <c r="AP589" s="462"/>
      <c r="AQ589" s="224"/>
      <c r="AR589" s="292"/>
      <c r="AS589" s="462"/>
      <c r="AT589" s="224"/>
      <c r="AU589" s="292"/>
      <c r="AV589" s="462"/>
      <c r="AW589" s="468"/>
      <c r="AX589" s="469"/>
      <c r="AY589" s="470"/>
      <c r="AZ589" s="468"/>
      <c r="BA589" s="469"/>
      <c r="BB589" s="470"/>
      <c r="BC589" s="224"/>
      <c r="BD589" s="292"/>
      <c r="BE589" s="462"/>
      <c r="BF589" s="224"/>
      <c r="BG589" s="292"/>
      <c r="BH589" s="462"/>
      <c r="BI589" s="465">
        <v>1.68</v>
      </c>
      <c r="BJ589" s="466">
        <v>5.5</v>
      </c>
      <c r="BK589" s="467">
        <v>1.85</v>
      </c>
      <c r="BL589" s="229"/>
      <c r="BM589" s="215"/>
      <c r="BN589" s="125">
        <f t="shared" si="112"/>
        <v>1.68</v>
      </c>
      <c r="BO589" s="126">
        <f t="shared" si="113"/>
        <v>5.5</v>
      </c>
      <c r="BP589" s="127">
        <f t="shared" si="114"/>
        <v>1.85</v>
      </c>
    </row>
    <row r="590" spans="1:68" s="230" customFormat="1" ht="16.5" customHeight="1" outlineLevel="5" x14ac:dyDescent="0.25">
      <c r="A590" s="216"/>
      <c r="B590" s="215"/>
      <c r="C590" s="216"/>
      <c r="D590" s="216"/>
      <c r="E590" s="216"/>
      <c r="F590" s="216"/>
      <c r="G590" s="216"/>
      <c r="H590" s="216"/>
      <c r="I590" s="216"/>
      <c r="J590" s="215"/>
      <c r="K590" s="217"/>
      <c r="L590" s="216"/>
      <c r="M590" s="215"/>
      <c r="N590" s="215"/>
      <c r="O590" s="215"/>
      <c r="P590" s="215"/>
      <c r="Q590" s="215"/>
      <c r="R590" s="215"/>
      <c r="S590" s="215"/>
      <c r="T590" s="215"/>
      <c r="U590" s="215"/>
      <c r="V590" s="215"/>
      <c r="W590" s="215"/>
      <c r="X590" s="215"/>
      <c r="Y590" s="215"/>
      <c r="Z590" s="215"/>
      <c r="AA590" s="215"/>
      <c r="AB590" s="456"/>
      <c r="AC590" s="472" t="s">
        <v>311</v>
      </c>
      <c r="AD590" s="457" t="s">
        <v>111</v>
      </c>
      <c r="AE590" s="224"/>
      <c r="AF590" s="292"/>
      <c r="AG590" s="461"/>
      <c r="AH590" s="224"/>
      <c r="AI590" s="292"/>
      <c r="AJ590" s="461"/>
      <c r="AK590" s="224"/>
      <c r="AL590" s="292"/>
      <c r="AM590" s="462"/>
      <c r="AN590" s="224"/>
      <c r="AO590" s="292"/>
      <c r="AP590" s="462"/>
      <c r="AQ590" s="224"/>
      <c r="AR590" s="292"/>
      <c r="AS590" s="462"/>
      <c r="AT590" s="224"/>
      <c r="AU590" s="292"/>
      <c r="AV590" s="462"/>
      <c r="AW590" s="468"/>
      <c r="AX590" s="469"/>
      <c r="AY590" s="470"/>
      <c r="AZ590" s="468"/>
      <c r="BA590" s="469"/>
      <c r="BB590" s="470"/>
      <c r="BC590" s="224"/>
      <c r="BD590" s="292"/>
      <c r="BE590" s="462"/>
      <c r="BF590" s="224"/>
      <c r="BG590" s="292"/>
      <c r="BH590" s="462"/>
      <c r="BI590" s="465">
        <v>26.11</v>
      </c>
      <c r="BJ590" s="466">
        <v>55.905000000000001</v>
      </c>
      <c r="BK590" s="467">
        <v>28.73</v>
      </c>
      <c r="BL590" s="229"/>
      <c r="BM590" s="215"/>
      <c r="BN590" s="125">
        <f t="shared" si="112"/>
        <v>26.11</v>
      </c>
      <c r="BO590" s="126">
        <f t="shared" si="113"/>
        <v>55.905000000000001</v>
      </c>
      <c r="BP590" s="127">
        <f t="shared" si="114"/>
        <v>28.73</v>
      </c>
    </row>
    <row r="591" spans="1:68" s="230" customFormat="1" ht="16.5" customHeight="1" outlineLevel="5" x14ac:dyDescent="0.25">
      <c r="A591" s="216"/>
      <c r="B591" s="215"/>
      <c r="C591" s="216"/>
      <c r="D591" s="216"/>
      <c r="E591" s="216"/>
      <c r="F591" s="216"/>
      <c r="G591" s="216"/>
      <c r="H591" s="216"/>
      <c r="I591" s="216"/>
      <c r="J591" s="215"/>
      <c r="K591" s="217"/>
      <c r="L591" s="216"/>
      <c r="M591" s="215"/>
      <c r="N591" s="215"/>
      <c r="O591" s="215"/>
      <c r="P591" s="215"/>
      <c r="Q591" s="215"/>
      <c r="R591" s="215"/>
      <c r="S591" s="215"/>
      <c r="T591" s="215"/>
      <c r="U591" s="215"/>
      <c r="V591" s="215"/>
      <c r="W591" s="215"/>
      <c r="X591" s="215"/>
      <c r="Y591" s="215"/>
      <c r="Z591" s="215"/>
      <c r="AA591" s="215"/>
      <c r="AB591" s="456"/>
      <c r="AC591" s="472" t="s">
        <v>628</v>
      </c>
      <c r="AD591" s="457" t="s">
        <v>111</v>
      </c>
      <c r="AE591" s="224"/>
      <c r="AF591" s="292"/>
      <c r="AG591" s="461"/>
      <c r="AH591" s="224">
        <v>16.52</v>
      </c>
      <c r="AI591" s="292"/>
      <c r="AJ591" s="461">
        <v>17.18</v>
      </c>
      <c r="AK591" s="224"/>
      <c r="AL591" s="292"/>
      <c r="AM591" s="462"/>
      <c r="AN591" s="224"/>
      <c r="AO591" s="292"/>
      <c r="AP591" s="462"/>
      <c r="AQ591" s="224"/>
      <c r="AR591" s="292"/>
      <c r="AS591" s="462"/>
      <c r="AT591" s="224"/>
      <c r="AU591" s="292"/>
      <c r="AV591" s="462"/>
      <c r="AW591" s="468"/>
      <c r="AX591" s="469"/>
      <c r="AY591" s="470"/>
      <c r="AZ591" s="468"/>
      <c r="BA591" s="469"/>
      <c r="BB591" s="470"/>
      <c r="BC591" s="224">
        <v>20.59</v>
      </c>
      <c r="BD591" s="292"/>
      <c r="BE591" s="462">
        <v>21.46</v>
      </c>
      <c r="BF591" s="465">
        <v>8.7639999999999993</v>
      </c>
      <c r="BG591" s="292"/>
      <c r="BH591" s="473">
        <v>9.6349999999999998</v>
      </c>
      <c r="BI591" s="224"/>
      <c r="BJ591" s="292"/>
      <c r="BK591" s="461"/>
      <c r="BL591" s="229"/>
      <c r="BM591" s="215"/>
      <c r="BN591" s="125">
        <f t="shared" si="112"/>
        <v>45.873999999999995</v>
      </c>
      <c r="BO591" s="126">
        <f t="shared" si="113"/>
        <v>0</v>
      </c>
      <c r="BP591" s="127">
        <f t="shared" si="114"/>
        <v>48.274999999999999</v>
      </c>
    </row>
    <row r="592" spans="1:68" s="230" customFormat="1" ht="16.5" customHeight="1" outlineLevel="5" x14ac:dyDescent="0.25">
      <c r="A592" s="216"/>
      <c r="B592" s="215"/>
      <c r="C592" s="216"/>
      <c r="D592" s="216"/>
      <c r="E592" s="216"/>
      <c r="F592" s="216"/>
      <c r="G592" s="216"/>
      <c r="H592" s="216"/>
      <c r="I592" s="216"/>
      <c r="J592" s="215"/>
      <c r="K592" s="217"/>
      <c r="L592" s="216"/>
      <c r="M592" s="215"/>
      <c r="N592" s="215"/>
      <c r="O592" s="215"/>
      <c r="P592" s="215"/>
      <c r="Q592" s="215"/>
      <c r="R592" s="215"/>
      <c r="S592" s="215"/>
      <c r="T592" s="215"/>
      <c r="U592" s="215"/>
      <c r="V592" s="215"/>
      <c r="W592" s="215"/>
      <c r="X592" s="215"/>
      <c r="Y592" s="215"/>
      <c r="Z592" s="215"/>
      <c r="AA592" s="215"/>
      <c r="AB592" s="456"/>
      <c r="AC592" s="219" t="s">
        <v>380</v>
      </c>
      <c r="AD592" s="457" t="s">
        <v>111</v>
      </c>
      <c r="AE592" s="240"/>
      <c r="AF592" s="292"/>
      <c r="AG592" s="461"/>
      <c r="AH592" s="224">
        <f>42.11+7.4</f>
        <v>49.51</v>
      </c>
      <c r="AI592" s="292"/>
      <c r="AJ592" s="461">
        <f>43.79+7.7</f>
        <v>51.49</v>
      </c>
      <c r="AK592" s="240"/>
      <c r="AL592" s="292"/>
      <c r="AM592" s="462"/>
      <c r="AN592" s="240"/>
      <c r="AO592" s="292"/>
      <c r="AP592" s="462"/>
      <c r="AQ592" s="240"/>
      <c r="AR592" s="292"/>
      <c r="AS592" s="462"/>
      <c r="AT592" s="240"/>
      <c r="AU592" s="292"/>
      <c r="AV592" s="462"/>
      <c r="AW592" s="468"/>
      <c r="AX592" s="469"/>
      <c r="AY592" s="470"/>
      <c r="AZ592" s="468"/>
      <c r="BA592" s="469">
        <v>96.83</v>
      </c>
      <c r="BB592" s="464">
        <v>100.9</v>
      </c>
      <c r="BC592" s="240"/>
      <c r="BD592" s="292"/>
      <c r="BE592" s="462"/>
      <c r="BF592" s="465"/>
      <c r="BG592" s="292"/>
      <c r="BH592" s="462"/>
      <c r="BI592" s="465"/>
      <c r="BJ592" s="466"/>
      <c r="BK592" s="467"/>
      <c r="BL592" s="229"/>
      <c r="BM592" s="215"/>
      <c r="BN592" s="125">
        <f t="shared" si="112"/>
        <v>49.51</v>
      </c>
      <c r="BO592" s="126">
        <f t="shared" si="113"/>
        <v>96.83</v>
      </c>
      <c r="BP592" s="127">
        <f t="shared" si="114"/>
        <v>152.39000000000001</v>
      </c>
    </row>
    <row r="593" spans="1:68" s="230" customFormat="1" ht="16.5" customHeight="1" outlineLevel="5" x14ac:dyDescent="0.25">
      <c r="A593" s="216"/>
      <c r="B593" s="215"/>
      <c r="C593" s="216"/>
      <c r="D593" s="216"/>
      <c r="E593" s="216"/>
      <c r="F593" s="216"/>
      <c r="G593" s="216"/>
      <c r="H593" s="216"/>
      <c r="I593" s="216"/>
      <c r="J593" s="215"/>
      <c r="K593" s="217"/>
      <c r="L593" s="216"/>
      <c r="M593" s="215"/>
      <c r="N593" s="215"/>
      <c r="O593" s="215"/>
      <c r="P593" s="215"/>
      <c r="Q593" s="215"/>
      <c r="R593" s="215"/>
      <c r="S593" s="215"/>
      <c r="T593" s="215"/>
      <c r="U593" s="215"/>
      <c r="V593" s="215"/>
      <c r="W593" s="215"/>
      <c r="X593" s="215"/>
      <c r="Y593" s="215"/>
      <c r="Z593" s="215"/>
      <c r="AA593" s="215"/>
      <c r="AB593" s="456"/>
      <c r="AC593" s="472" t="s">
        <v>629</v>
      </c>
      <c r="AD593" s="457" t="s">
        <v>111</v>
      </c>
      <c r="AE593" s="224"/>
      <c r="AF593" s="292"/>
      <c r="AG593" s="461"/>
      <c r="AH593" s="224"/>
      <c r="AI593" s="292"/>
      <c r="AJ593" s="461"/>
      <c r="AK593" s="224"/>
      <c r="AL593" s="292"/>
      <c r="AM593" s="462"/>
      <c r="AN593" s="224"/>
      <c r="AO593" s="292"/>
      <c r="AP593" s="462"/>
      <c r="AQ593" s="224"/>
      <c r="AR593" s="292"/>
      <c r="AS593" s="462"/>
      <c r="AT593" s="224"/>
      <c r="AU593" s="292"/>
      <c r="AV593" s="462"/>
      <c r="AW593" s="468"/>
      <c r="AX593" s="469"/>
      <c r="AY593" s="470"/>
      <c r="AZ593" s="468"/>
      <c r="BA593" s="469"/>
      <c r="BB593" s="464">
        <v>85.84</v>
      </c>
      <c r="BC593" s="224"/>
      <c r="BD593" s="292"/>
      <c r="BE593" s="462"/>
      <c r="BF593" s="465"/>
      <c r="BG593" s="292"/>
      <c r="BH593" s="473"/>
      <c r="BI593" s="224"/>
      <c r="BJ593" s="292"/>
      <c r="BK593" s="461"/>
      <c r="BL593" s="229"/>
      <c r="BM593" s="215"/>
      <c r="BN593" s="125">
        <f t="shared" si="112"/>
        <v>0</v>
      </c>
      <c r="BO593" s="126">
        <f t="shared" si="113"/>
        <v>0</v>
      </c>
      <c r="BP593" s="127">
        <f t="shared" si="114"/>
        <v>85.84</v>
      </c>
    </row>
    <row r="594" spans="1:68" s="246" customFormat="1" ht="16.5" customHeight="1" outlineLevel="5" x14ac:dyDescent="0.25">
      <c r="A594" s="242"/>
      <c r="B594" s="229"/>
      <c r="C594" s="242"/>
      <c r="D594" s="242"/>
      <c r="E594" s="242"/>
      <c r="F594" s="242"/>
      <c r="G594" s="242"/>
      <c r="H594" s="242"/>
      <c r="I594" s="242"/>
      <c r="J594" s="229"/>
      <c r="K594" s="243"/>
      <c r="L594" s="242"/>
      <c r="M594" s="229"/>
      <c r="N594" s="229"/>
      <c r="O594" s="229"/>
      <c r="P594" s="229"/>
      <c r="Q594" s="229"/>
      <c r="R594" s="229"/>
      <c r="S594" s="229"/>
      <c r="T594" s="229"/>
      <c r="U594" s="229"/>
      <c r="V594" s="229"/>
      <c r="W594" s="229"/>
      <c r="X594" s="229"/>
      <c r="Y594" s="229"/>
      <c r="Z594" s="229"/>
      <c r="AA594" s="229"/>
      <c r="AB594" s="456"/>
      <c r="AC594" s="472" t="s">
        <v>630</v>
      </c>
      <c r="AD594" s="457" t="s">
        <v>111</v>
      </c>
      <c r="AE594" s="224"/>
      <c r="AF594" s="292"/>
      <c r="AG594" s="461"/>
      <c r="AH594" s="224"/>
      <c r="AI594" s="292"/>
      <c r="AJ594" s="461"/>
      <c r="AK594" s="224"/>
      <c r="AL594" s="292"/>
      <c r="AM594" s="462"/>
      <c r="AN594" s="224"/>
      <c r="AO594" s="292"/>
      <c r="AP594" s="462"/>
      <c r="AQ594" s="224"/>
      <c r="AR594" s="292"/>
      <c r="AS594" s="462"/>
      <c r="AT594" s="224"/>
      <c r="AU594" s="292"/>
      <c r="AV594" s="462"/>
      <c r="AW594" s="468"/>
      <c r="AX594" s="469"/>
      <c r="AY594" s="470"/>
      <c r="AZ594" s="468"/>
      <c r="BA594" s="469"/>
      <c r="BB594" s="470"/>
      <c r="BC594" s="224">
        <v>3.35</v>
      </c>
      <c r="BD594" s="292"/>
      <c r="BE594" s="462">
        <v>7.14</v>
      </c>
      <c r="BF594" s="465"/>
      <c r="BG594" s="292"/>
      <c r="BH594" s="473"/>
      <c r="BI594" s="224">
        <v>3.35</v>
      </c>
      <c r="BJ594" s="292"/>
      <c r="BK594" s="461">
        <v>3.69</v>
      </c>
      <c r="BL594" s="229"/>
      <c r="BM594" s="229"/>
      <c r="BN594" s="125">
        <f t="shared" si="112"/>
        <v>6.7</v>
      </c>
      <c r="BO594" s="126">
        <f t="shared" si="113"/>
        <v>0</v>
      </c>
      <c r="BP594" s="127">
        <f t="shared" si="114"/>
        <v>10.83</v>
      </c>
    </row>
    <row r="595" spans="1:68" s="171" customFormat="1" ht="18" customHeight="1" outlineLevel="3" x14ac:dyDescent="0.25">
      <c r="A595" s="166"/>
      <c r="B595" s="166"/>
      <c r="C595" s="167" t="s">
        <v>83</v>
      </c>
      <c r="D595" s="167" t="s">
        <v>84</v>
      </c>
      <c r="E595" s="167" t="s">
        <v>73</v>
      </c>
      <c r="F595" s="167" t="s">
        <v>74</v>
      </c>
      <c r="G595" s="167" t="s">
        <v>313</v>
      </c>
      <c r="H595" s="167" t="s">
        <v>73</v>
      </c>
      <c r="I595" s="167" t="s">
        <v>73</v>
      </c>
      <c r="J595" s="166"/>
      <c r="K595" s="168" t="s">
        <v>73</v>
      </c>
      <c r="L595" s="167" t="s">
        <v>192</v>
      </c>
      <c r="M595" s="166" t="str">
        <f t="array" ref="M595">Y460</f>
        <v>1ВО::1.1</v>
      </c>
      <c r="N595" s="166"/>
      <c r="O595" s="166"/>
      <c r="P595" s="166"/>
      <c r="Q595" s="166"/>
      <c r="R595" s="166"/>
      <c r="S595" s="166"/>
      <c r="T595" s="166"/>
      <c r="U595" s="166"/>
      <c r="V595" s="166"/>
      <c r="W595" s="166"/>
      <c r="X595" s="166"/>
      <c r="Y595" s="166"/>
      <c r="Z595" s="166"/>
      <c r="AA595" s="166"/>
      <c r="AB595" s="429" t="str">
        <f>AB511&amp;".2"</f>
        <v>3.1.1.2</v>
      </c>
      <c r="AC595" s="474" t="s">
        <v>314</v>
      </c>
      <c r="AD595" s="431" t="s">
        <v>111</v>
      </c>
      <c r="AE595" s="432">
        <f t="shared" ref="AE595:BK595" si="115">AE596+AE597+AE598</f>
        <v>182329.68010000003</v>
      </c>
      <c r="AF595" s="433">
        <f t="shared" si="115"/>
        <v>153968.587</v>
      </c>
      <c r="AG595" s="434">
        <f t="shared" si="115"/>
        <v>162636.70000000001</v>
      </c>
      <c r="AH595" s="432">
        <f t="shared" si="115"/>
        <v>587.30193399999996</v>
      </c>
      <c r="AI595" s="433">
        <f t="shared" si="115"/>
        <v>995.45</v>
      </c>
      <c r="AJ595" s="434">
        <f t="shared" si="115"/>
        <v>1236.664536</v>
      </c>
      <c r="AK595" s="432">
        <f t="shared" si="115"/>
        <v>0</v>
      </c>
      <c r="AL595" s="433">
        <f t="shared" si="115"/>
        <v>0</v>
      </c>
      <c r="AM595" s="434">
        <f t="shared" si="115"/>
        <v>0</v>
      </c>
      <c r="AN595" s="432">
        <f t="shared" si="115"/>
        <v>4296.26</v>
      </c>
      <c r="AO595" s="433">
        <f t="shared" si="115"/>
        <v>953.42</v>
      </c>
      <c r="AP595" s="434">
        <f t="shared" si="115"/>
        <v>5081.2</v>
      </c>
      <c r="AQ595" s="432">
        <f t="shared" si="115"/>
        <v>3387.58</v>
      </c>
      <c r="AR595" s="433">
        <f t="shared" si="115"/>
        <v>1210.68</v>
      </c>
      <c r="AS595" s="434">
        <f t="shared" si="115"/>
        <v>7638.34</v>
      </c>
      <c r="AT595" s="432">
        <f t="shared" si="115"/>
        <v>2532.38</v>
      </c>
      <c r="AU595" s="433">
        <f t="shared" si="115"/>
        <v>16272.050000000001</v>
      </c>
      <c r="AV595" s="434">
        <f t="shared" si="115"/>
        <v>10675.490000000002</v>
      </c>
      <c r="AW595" s="432">
        <f t="shared" si="115"/>
        <v>12921.671431999999</v>
      </c>
      <c r="AX595" s="433">
        <f t="shared" si="115"/>
        <v>1139.6600000000001</v>
      </c>
      <c r="AY595" s="434">
        <f t="shared" si="115"/>
        <v>24380.107942000002</v>
      </c>
      <c r="AZ595" s="432">
        <f t="shared" si="115"/>
        <v>12111.121102000001</v>
      </c>
      <c r="BA595" s="433">
        <f t="shared" si="115"/>
        <v>33082.292893999998</v>
      </c>
      <c r="BB595" s="434">
        <f t="shared" si="115"/>
        <v>37767.4251</v>
      </c>
      <c r="BC595" s="432">
        <f t="shared" si="115"/>
        <v>10610.68</v>
      </c>
      <c r="BD595" s="433">
        <f t="shared" si="115"/>
        <v>15641.53</v>
      </c>
      <c r="BE595" s="434">
        <f t="shared" si="115"/>
        <v>17302.41</v>
      </c>
      <c r="BF595" s="432">
        <f t="shared" si="115"/>
        <v>1919.2929999999999</v>
      </c>
      <c r="BG595" s="433">
        <f t="shared" si="115"/>
        <v>431.97999999999996</v>
      </c>
      <c r="BH595" s="434">
        <f t="shared" si="115"/>
        <v>5168.7000000000007</v>
      </c>
      <c r="BI595" s="432">
        <f t="shared" si="115"/>
        <v>2943.0479999999998</v>
      </c>
      <c r="BJ595" s="433">
        <f t="shared" si="115"/>
        <v>2250.3100000000004</v>
      </c>
      <c r="BK595" s="435">
        <f t="shared" si="115"/>
        <v>2848.68</v>
      </c>
      <c r="BL595" s="170"/>
      <c r="BM595" s="166"/>
      <c r="BN595" s="436">
        <f t="shared" si="112"/>
        <v>233639.01556800003</v>
      </c>
      <c r="BO595" s="437">
        <f t="shared" si="113"/>
        <v>225945.95989400003</v>
      </c>
      <c r="BP595" s="438">
        <f t="shared" si="114"/>
        <v>274735.71757799998</v>
      </c>
    </row>
    <row r="596" spans="1:68" ht="16.5" customHeight="1" outlineLevel="4" x14ac:dyDescent="0.25">
      <c r="C596" s="10" t="s">
        <v>83</v>
      </c>
      <c r="D596" s="10" t="s">
        <v>84</v>
      </c>
      <c r="E596" s="10" t="s">
        <v>73</v>
      </c>
      <c r="F596" s="10" t="s">
        <v>74</v>
      </c>
      <c r="G596" s="10" t="s">
        <v>315</v>
      </c>
      <c r="H596" s="10" t="s">
        <v>73</v>
      </c>
      <c r="I596" s="10" t="s">
        <v>73</v>
      </c>
      <c r="K596" s="12" t="s">
        <v>73</v>
      </c>
      <c r="L596" s="10" t="s">
        <v>192</v>
      </c>
      <c r="M596" s="5" t="str">
        <f t="array" ref="M596">Y460</f>
        <v>1ВО::1.1</v>
      </c>
      <c r="AB596" s="403" t="str">
        <f>AB595&amp;".1"</f>
        <v>3.1.1.2.1</v>
      </c>
      <c r="AC596" s="442" t="s">
        <v>316</v>
      </c>
      <c r="AD596" s="32" t="s">
        <v>111</v>
      </c>
      <c r="AE596" s="72">
        <v>13082.68</v>
      </c>
      <c r="AF596" s="178">
        <v>19908.419999999998</v>
      </c>
      <c r="AG596" s="96">
        <v>21029.22</v>
      </c>
      <c r="AH596" s="72">
        <v>109.92</v>
      </c>
      <c r="AI596" s="178">
        <v>80.739999999999995</v>
      </c>
      <c r="AJ596" s="96">
        <v>213.47</v>
      </c>
      <c r="AK596" s="72"/>
      <c r="AL596" s="178"/>
      <c r="AM596" s="181"/>
      <c r="AN596" s="72">
        <v>126.47</v>
      </c>
      <c r="AO596" s="178"/>
      <c r="AP596" s="181">
        <v>34.61</v>
      </c>
      <c r="AQ596" s="72">
        <v>63.38</v>
      </c>
      <c r="AR596" s="178">
        <v>131.41</v>
      </c>
      <c r="AS596" s="181">
        <v>119.36</v>
      </c>
      <c r="AT596" s="72">
        <v>0.66</v>
      </c>
      <c r="AU596" s="178">
        <v>352.57</v>
      </c>
      <c r="AV596" s="181">
        <v>366.73</v>
      </c>
      <c r="AW596" s="72">
        <v>13.59</v>
      </c>
      <c r="AX596" s="178"/>
      <c r="AY596" s="181">
        <v>76.16</v>
      </c>
      <c r="AZ596" s="72">
        <v>117.675</v>
      </c>
      <c r="BA596" s="178">
        <v>711.36</v>
      </c>
      <c r="BB596" s="181">
        <v>134.1</v>
      </c>
      <c r="BC596" s="72">
        <v>338.97</v>
      </c>
      <c r="BD596" s="178">
        <v>1025.82</v>
      </c>
      <c r="BE596" s="181">
        <v>1372.85</v>
      </c>
      <c r="BF596" s="142">
        <v>0.63500000000000001</v>
      </c>
      <c r="BG596" s="183">
        <v>34.39</v>
      </c>
      <c r="BH596" s="184">
        <v>65.7</v>
      </c>
      <c r="BI596" s="142">
        <v>47.164000000000001</v>
      </c>
      <c r="BJ596" s="183">
        <v>212.11</v>
      </c>
      <c r="BK596" s="186">
        <v>104.11</v>
      </c>
      <c r="BN596" s="125">
        <f t="shared" si="112"/>
        <v>13901.143999999998</v>
      </c>
      <c r="BO596" s="126">
        <f t="shared" si="113"/>
        <v>22456.82</v>
      </c>
      <c r="BP596" s="127">
        <f t="shared" si="114"/>
        <v>23516.31</v>
      </c>
    </row>
    <row r="597" spans="1:68" ht="16.5" customHeight="1" outlineLevel="4" x14ac:dyDescent="0.25">
      <c r="C597" s="10" t="s">
        <v>83</v>
      </c>
      <c r="D597" s="10" t="s">
        <v>84</v>
      </c>
      <c r="E597" s="10" t="s">
        <v>73</v>
      </c>
      <c r="F597" s="10" t="s">
        <v>74</v>
      </c>
      <c r="G597" s="10" t="s">
        <v>317</v>
      </c>
      <c r="H597" s="10" t="s">
        <v>73</v>
      </c>
      <c r="I597" s="10" t="s">
        <v>73</v>
      </c>
      <c r="K597" s="12" t="s">
        <v>73</v>
      </c>
      <c r="L597" s="10" t="s">
        <v>192</v>
      </c>
      <c r="M597" s="5" t="str">
        <f t="array" ref="M597">Y460</f>
        <v>1ВО::1.1</v>
      </c>
      <c r="AB597" s="403" t="str">
        <f>AB595&amp;".2"</f>
        <v>3.1.1.2.2</v>
      </c>
      <c r="AC597" s="442" t="s">
        <v>318</v>
      </c>
      <c r="AD597" s="32" t="s">
        <v>111</v>
      </c>
      <c r="AE597" s="72">
        <v>119477.21</v>
      </c>
      <c r="AF597" s="178">
        <v>72962.67</v>
      </c>
      <c r="AG597" s="96">
        <v>77070.320000000007</v>
      </c>
      <c r="AH597" s="72">
        <v>28.3</v>
      </c>
      <c r="AI597" s="178">
        <v>278.44</v>
      </c>
      <c r="AJ597" s="96">
        <v>537.46</v>
      </c>
      <c r="AK597" s="72"/>
      <c r="AL597" s="178"/>
      <c r="AM597" s="181"/>
      <c r="AN597" s="72">
        <v>1868.8</v>
      </c>
      <c r="AO597" s="178"/>
      <c r="AP597" s="181">
        <v>2631.56</v>
      </c>
      <c r="AQ597" s="72">
        <v>526.91999999999996</v>
      </c>
      <c r="AR597" s="178"/>
      <c r="AS597" s="181">
        <v>2696.57</v>
      </c>
      <c r="AT597" s="72">
        <v>540.71</v>
      </c>
      <c r="AU597" s="178">
        <v>3425.38</v>
      </c>
      <c r="AV597" s="181">
        <v>3959.53</v>
      </c>
      <c r="AW597" s="72">
        <v>7862.42</v>
      </c>
      <c r="AX597" s="178">
        <v>1139.6600000000001</v>
      </c>
      <c r="AY597" s="181">
        <v>20182.7</v>
      </c>
      <c r="AZ597" s="72">
        <v>1522.24</v>
      </c>
      <c r="BA597" s="178">
        <v>4855.25</v>
      </c>
      <c r="BB597" s="181">
        <v>5059.1729999999998</v>
      </c>
      <c r="BC597" s="72">
        <v>1092.26</v>
      </c>
      <c r="BD597" s="178">
        <v>1145.82</v>
      </c>
      <c r="BE597" s="181">
        <v>1564.56</v>
      </c>
      <c r="BF597" s="142">
        <v>244.33</v>
      </c>
      <c r="BG597" s="183">
        <v>397.59</v>
      </c>
      <c r="BH597" s="184">
        <v>1744.7</v>
      </c>
      <c r="BI597" s="142">
        <v>1034.154</v>
      </c>
      <c r="BJ597" s="183">
        <v>964.56</v>
      </c>
      <c r="BK597" s="186">
        <v>879.35</v>
      </c>
      <c r="BN597" s="125">
        <f t="shared" si="112"/>
        <v>134197.34400000001</v>
      </c>
      <c r="BO597" s="126">
        <f t="shared" si="113"/>
        <v>85169.37000000001</v>
      </c>
      <c r="BP597" s="127">
        <f t="shared" si="114"/>
        <v>116325.92300000001</v>
      </c>
    </row>
    <row r="598" spans="1:68" ht="16.5" customHeight="1" outlineLevel="4" x14ac:dyDescent="0.25">
      <c r="C598" s="10" t="s">
        <v>83</v>
      </c>
      <c r="D598" s="10" t="s">
        <v>84</v>
      </c>
      <c r="E598" s="10" t="s">
        <v>73</v>
      </c>
      <c r="F598" s="10" t="s">
        <v>74</v>
      </c>
      <c r="G598" s="10" t="s">
        <v>201</v>
      </c>
      <c r="H598" s="10" t="s">
        <v>319</v>
      </c>
      <c r="I598" s="10" t="s">
        <v>73</v>
      </c>
      <c r="K598" s="12" t="s">
        <v>73</v>
      </c>
      <c r="L598" s="10" t="s">
        <v>192</v>
      </c>
      <c r="M598" s="5" t="str">
        <f t="array" ref="M598">Y460</f>
        <v>1ВО::1.1</v>
      </c>
      <c r="AB598" s="403" t="str">
        <f>AB595&amp;".3"</f>
        <v>3.1.1.2.3</v>
      </c>
      <c r="AC598" s="442" t="s">
        <v>320</v>
      </c>
      <c r="AD598" s="32" t="s">
        <v>111</v>
      </c>
      <c r="AE598" s="72">
        <f t="shared" ref="AE598:AJ598" si="116">AE599+AE602</f>
        <v>49769.790100000006</v>
      </c>
      <c r="AF598" s="73">
        <f t="shared" si="116"/>
        <v>61097.497000000003</v>
      </c>
      <c r="AG598" s="74">
        <f t="shared" si="116"/>
        <v>64537.159999999996</v>
      </c>
      <c r="AH598" s="72">
        <f t="shared" si="116"/>
        <v>449.08193399999993</v>
      </c>
      <c r="AI598" s="73">
        <f t="shared" si="116"/>
        <v>636.27</v>
      </c>
      <c r="AJ598" s="74">
        <f t="shared" si="116"/>
        <v>485.73453599999999</v>
      </c>
      <c r="AK598" s="72"/>
      <c r="AL598" s="73"/>
      <c r="AM598" s="138"/>
      <c r="AN598" s="72">
        <f t="shared" ref="AN598:BK598" si="117">AN599+AN602</f>
        <v>2300.9899999999998</v>
      </c>
      <c r="AO598" s="73">
        <f t="shared" si="117"/>
        <v>953.42</v>
      </c>
      <c r="AP598" s="138">
        <f t="shared" si="117"/>
        <v>2415.0299999999997</v>
      </c>
      <c r="AQ598" s="72">
        <f t="shared" si="117"/>
        <v>2797.2799999999997</v>
      </c>
      <c r="AR598" s="73">
        <f t="shared" si="117"/>
        <v>1079.27</v>
      </c>
      <c r="AS598" s="138">
        <f t="shared" si="117"/>
        <v>4822.41</v>
      </c>
      <c r="AT598" s="72">
        <f t="shared" si="117"/>
        <v>1991.01</v>
      </c>
      <c r="AU598" s="73">
        <f t="shared" si="117"/>
        <v>12494.1</v>
      </c>
      <c r="AV598" s="138">
        <f t="shared" si="117"/>
        <v>6349.2300000000005</v>
      </c>
      <c r="AW598" s="72">
        <f t="shared" si="117"/>
        <v>5045.6614319999999</v>
      </c>
      <c r="AX598" s="73">
        <f t="shared" si="117"/>
        <v>0</v>
      </c>
      <c r="AY598" s="138">
        <f t="shared" si="117"/>
        <v>4121.247942</v>
      </c>
      <c r="AZ598" s="72">
        <f t="shared" si="117"/>
        <v>10471.206102</v>
      </c>
      <c r="BA598" s="73">
        <f t="shared" si="117"/>
        <v>27515.682894000001</v>
      </c>
      <c r="BB598" s="138">
        <f t="shared" si="117"/>
        <v>32574.152099999999</v>
      </c>
      <c r="BC598" s="72">
        <f t="shared" si="117"/>
        <v>9179.4500000000007</v>
      </c>
      <c r="BD598" s="73">
        <f t="shared" si="117"/>
        <v>13469.890000000001</v>
      </c>
      <c r="BE598" s="138">
        <f t="shared" si="117"/>
        <v>14365</v>
      </c>
      <c r="BF598" s="142">
        <f t="shared" si="117"/>
        <v>1674.328</v>
      </c>
      <c r="BG598" s="140">
        <f t="shared" si="117"/>
        <v>0</v>
      </c>
      <c r="BH598" s="141">
        <f t="shared" si="117"/>
        <v>3358.3</v>
      </c>
      <c r="BI598" s="142">
        <f t="shared" si="117"/>
        <v>1861.73</v>
      </c>
      <c r="BJ598" s="140">
        <f t="shared" si="117"/>
        <v>1073.6400000000001</v>
      </c>
      <c r="BK598" s="143">
        <f t="shared" si="117"/>
        <v>1865.2199999999998</v>
      </c>
      <c r="BN598" s="125">
        <f t="shared" si="112"/>
        <v>85540.52756799999</v>
      </c>
      <c r="BO598" s="126">
        <f t="shared" si="113"/>
        <v>118319.769894</v>
      </c>
      <c r="BP598" s="127">
        <f t="shared" si="114"/>
        <v>134893.484578</v>
      </c>
    </row>
    <row r="599" spans="1:68" ht="16.5" customHeight="1" outlineLevel="4" x14ac:dyDescent="0.25">
      <c r="C599" s="10" t="s">
        <v>83</v>
      </c>
      <c r="D599" s="10" t="s">
        <v>84</v>
      </c>
      <c r="E599" s="10" t="s">
        <v>73</v>
      </c>
      <c r="F599" s="10" t="s">
        <v>74</v>
      </c>
      <c r="G599" s="10" t="s">
        <v>204</v>
      </c>
      <c r="H599" s="10" t="s">
        <v>319</v>
      </c>
      <c r="I599" s="10" t="s">
        <v>73</v>
      </c>
      <c r="K599" s="12" t="s">
        <v>73</v>
      </c>
      <c r="L599" s="10" t="s">
        <v>192</v>
      </c>
      <c r="M599" s="5" t="str">
        <f t="array" ref="M599">Y460</f>
        <v>1ВО::1.1</v>
      </c>
      <c r="AB599" s="403" t="str">
        <f>AB598&amp;".1"</f>
        <v>3.1.1.2.3.1</v>
      </c>
      <c r="AC599" s="444" t="s">
        <v>321</v>
      </c>
      <c r="AD599" s="32" t="s">
        <v>111</v>
      </c>
      <c r="AE599" s="95">
        <f>41377.55-8207.56/2</f>
        <v>37273.770000000004</v>
      </c>
      <c r="AF599" s="178">
        <v>47166.607000000004</v>
      </c>
      <c r="AG599" s="96">
        <v>49821.99</v>
      </c>
      <c r="AH599" s="95">
        <v>344.91699999999997</v>
      </c>
      <c r="AI599" s="178">
        <v>488.69</v>
      </c>
      <c r="AJ599" s="96">
        <v>373.06799999999998</v>
      </c>
      <c r="AK599" s="95"/>
      <c r="AL599" s="178"/>
      <c r="AM599" s="181"/>
      <c r="AN599" s="95">
        <v>1767.27</v>
      </c>
      <c r="AO599" s="178">
        <v>732.27</v>
      </c>
      <c r="AP599" s="181">
        <v>1854.86</v>
      </c>
      <c r="AQ599" s="95">
        <v>2148.4499999999998</v>
      </c>
      <c r="AR599" s="178">
        <v>828.93</v>
      </c>
      <c r="AS599" s="181">
        <v>3703.85</v>
      </c>
      <c r="AT599" s="95">
        <v>1529.19</v>
      </c>
      <c r="AU599" s="178">
        <v>9596.08</v>
      </c>
      <c r="AV599" s="181">
        <v>4876.5200000000004</v>
      </c>
      <c r="AW599" s="95">
        <v>3875.3159999999998</v>
      </c>
      <c r="AX599" s="178"/>
      <c r="AY599" s="181">
        <v>3165.3209999999999</v>
      </c>
      <c r="AZ599" s="95">
        <v>8042.4009999999998</v>
      </c>
      <c r="BA599" s="178">
        <v>21133.397000000001</v>
      </c>
      <c r="BB599" s="181">
        <v>25018.55</v>
      </c>
      <c r="BC599" s="95">
        <v>7050.27</v>
      </c>
      <c r="BD599" s="178">
        <v>10345.540000000001</v>
      </c>
      <c r="BE599" s="181">
        <v>11033.03</v>
      </c>
      <c r="BF599" s="185">
        <v>1285.9639999999999</v>
      </c>
      <c r="BG599" s="183"/>
      <c r="BH599" s="184">
        <v>2579.34</v>
      </c>
      <c r="BI599" s="185">
        <v>1429.9</v>
      </c>
      <c r="BJ599" s="183">
        <v>824.61</v>
      </c>
      <c r="BK599" s="186">
        <v>1432.58</v>
      </c>
      <c r="BN599" s="125">
        <f t="shared" si="112"/>
        <v>64747.448000000004</v>
      </c>
      <c r="BO599" s="126">
        <f t="shared" si="113"/>
        <v>91116.123999999996</v>
      </c>
      <c r="BP599" s="127">
        <f t="shared" si="114"/>
        <v>103859.109</v>
      </c>
    </row>
    <row r="600" spans="1:68" s="115" customFormat="1" ht="14.25" customHeight="1" outlineLevel="4" x14ac:dyDescent="0.25">
      <c r="A600" s="100"/>
      <c r="B600" s="100"/>
      <c r="C600" s="99" t="s">
        <v>206</v>
      </c>
      <c r="D600" s="99" t="s">
        <v>207</v>
      </c>
      <c r="E600" s="99" t="s">
        <v>73</v>
      </c>
      <c r="F600" s="99" t="s">
        <v>74</v>
      </c>
      <c r="G600" s="99" t="s">
        <v>73</v>
      </c>
      <c r="H600" s="99" t="s">
        <v>319</v>
      </c>
      <c r="I600" s="99" t="s">
        <v>73</v>
      </c>
      <c r="J600" s="100"/>
      <c r="K600" s="102" t="s">
        <v>73</v>
      </c>
      <c r="L600" s="99" t="s">
        <v>192</v>
      </c>
      <c r="M600" s="100" t="str">
        <f t="array" ref="M600">Y460</f>
        <v>1ВО::1.1</v>
      </c>
      <c r="N600" s="100"/>
      <c r="O600" s="100"/>
      <c r="P600" s="100"/>
      <c r="Q600" s="100"/>
      <c r="R600" s="100"/>
      <c r="S600" s="100"/>
      <c r="T600" s="100"/>
      <c r="U600" s="100"/>
      <c r="V600" s="100"/>
      <c r="W600" s="100"/>
      <c r="X600" s="100"/>
      <c r="Y600" s="100"/>
      <c r="Z600" s="100"/>
      <c r="AA600" s="100"/>
      <c r="AB600" s="418" t="str">
        <f>AB599&amp;".1"</f>
        <v>3.1.1.2.3.1.1</v>
      </c>
      <c r="AC600" s="447" t="s">
        <v>208</v>
      </c>
      <c r="AD600" s="448" t="s">
        <v>209</v>
      </c>
      <c r="AE600" s="190">
        <f t="shared" ref="AE600:AJ600" si="118">(AE599/AE601)/12*1000</f>
        <v>61024.508840864451</v>
      </c>
      <c r="AF600" s="191">
        <f t="shared" si="118"/>
        <v>71192.729276097321</v>
      </c>
      <c r="AG600" s="192">
        <f t="shared" si="118"/>
        <v>75200.733562760361</v>
      </c>
      <c r="AH600" s="190">
        <f t="shared" si="118"/>
        <v>46359.811827956983</v>
      </c>
      <c r="AI600" s="191">
        <f t="shared" si="118"/>
        <v>40724.166666666672</v>
      </c>
      <c r="AJ600" s="192">
        <f t="shared" si="118"/>
        <v>50143.54838709678</v>
      </c>
      <c r="AK600" s="190"/>
      <c r="AL600" s="191"/>
      <c r="AM600" s="193"/>
      <c r="AN600" s="190">
        <f t="shared" ref="AN600:BK600" si="119">(AN599/AN601)/12*1000</f>
        <v>73636.25</v>
      </c>
      <c r="AO600" s="191">
        <f t="shared" si="119"/>
        <v>11094.999999999998</v>
      </c>
      <c r="AP600" s="193">
        <f t="shared" si="119"/>
        <v>46839.898989898989</v>
      </c>
      <c r="AQ600" s="190">
        <f t="shared" si="119"/>
        <v>51153.57142857142</v>
      </c>
      <c r="AR600" s="191">
        <f t="shared" si="119"/>
        <v>34538.75</v>
      </c>
      <c r="AS600" s="193">
        <f t="shared" si="119"/>
        <v>48992.724867724864</v>
      </c>
      <c r="AT600" s="190">
        <f t="shared" si="119"/>
        <v>36409.285714285717</v>
      </c>
      <c r="AU600" s="191">
        <f t="shared" si="119"/>
        <v>45800.305460099276</v>
      </c>
      <c r="AV600" s="193">
        <f t="shared" si="119"/>
        <v>48378.174603174608</v>
      </c>
      <c r="AW600" s="190">
        <f t="shared" si="119"/>
        <v>63822.727272727272</v>
      </c>
      <c r="AX600" s="191" t="e">
        <f t="shared" si="119"/>
        <v>#DIV/0!</v>
      </c>
      <c r="AY600" s="193">
        <f t="shared" si="119"/>
        <v>47959.409090909081</v>
      </c>
      <c r="AZ600" s="190">
        <f t="shared" si="119"/>
        <v>42961.543803418805</v>
      </c>
      <c r="BA600" s="191">
        <f t="shared" si="119"/>
        <v>47304.211963297654</v>
      </c>
      <c r="BB600" s="193">
        <f t="shared" si="119"/>
        <v>53733.999140893473</v>
      </c>
      <c r="BC600" s="190">
        <f t="shared" si="119"/>
        <v>49705.795262267347</v>
      </c>
      <c r="BD600" s="191">
        <f t="shared" si="119"/>
        <v>50713.431372549021</v>
      </c>
      <c r="BE600" s="193">
        <f t="shared" si="119"/>
        <v>54083.480392156867</v>
      </c>
      <c r="BF600" s="190">
        <f t="shared" si="119"/>
        <v>48490.346907993968</v>
      </c>
      <c r="BG600" s="191" t="e">
        <f t="shared" si="119"/>
        <v>#DIV/0!</v>
      </c>
      <c r="BH600" s="193">
        <f t="shared" si="119"/>
        <v>45251.57894736842</v>
      </c>
      <c r="BI600" s="190">
        <f t="shared" si="119"/>
        <v>41957.159624413151</v>
      </c>
      <c r="BJ600" s="191">
        <f t="shared" si="119"/>
        <v>45811.666666666664</v>
      </c>
      <c r="BK600" s="192">
        <f t="shared" si="119"/>
        <v>47752.666666666664</v>
      </c>
      <c r="BL600" s="111"/>
      <c r="BM600" s="100"/>
      <c r="BN600" s="112">
        <f>(BN599/BN601)/12*1000</f>
        <v>55029.277579466259</v>
      </c>
      <c r="BO600" s="113">
        <f>(BO599/BO601)/12*1000</f>
        <v>55464.083810136566</v>
      </c>
      <c r="BP600" s="114">
        <f>(BP599/BP601)/12*1000</f>
        <v>60787.510535187525</v>
      </c>
    </row>
    <row r="601" spans="1:68" s="115" customFormat="1" ht="14.25" customHeight="1" outlineLevel="4" x14ac:dyDescent="0.25">
      <c r="A601" s="100"/>
      <c r="B601" s="100"/>
      <c r="C601" s="99" t="s">
        <v>210</v>
      </c>
      <c r="D601" s="99" t="s">
        <v>211</v>
      </c>
      <c r="E601" s="99" t="s">
        <v>73</v>
      </c>
      <c r="F601" s="99" t="s">
        <v>74</v>
      </c>
      <c r="G601" s="99" t="s">
        <v>73</v>
      </c>
      <c r="H601" s="99" t="s">
        <v>319</v>
      </c>
      <c r="I601" s="99" t="s">
        <v>73</v>
      </c>
      <c r="J601" s="100"/>
      <c r="K601" s="102" t="s">
        <v>73</v>
      </c>
      <c r="L601" s="99" t="s">
        <v>192</v>
      </c>
      <c r="M601" s="100" t="str">
        <f t="array" ref="M601">Y460</f>
        <v>1ВО::1.1</v>
      </c>
      <c r="N601" s="100"/>
      <c r="O601" s="100"/>
      <c r="P601" s="100"/>
      <c r="Q601" s="100"/>
      <c r="R601" s="100"/>
      <c r="S601" s="100"/>
      <c r="T601" s="100"/>
      <c r="U601" s="100"/>
      <c r="V601" s="100"/>
      <c r="W601" s="100"/>
      <c r="X601" s="100"/>
      <c r="Y601" s="100"/>
      <c r="Z601" s="100"/>
      <c r="AA601" s="100"/>
      <c r="AB601" s="418" t="str">
        <f>AB599&amp;".2"</f>
        <v>3.1.1.2.3.1.2</v>
      </c>
      <c r="AC601" s="447" t="s">
        <v>212</v>
      </c>
      <c r="AD601" s="448" t="s">
        <v>213</v>
      </c>
      <c r="AE601" s="199">
        <v>50.9</v>
      </c>
      <c r="AF601" s="200">
        <v>55.21</v>
      </c>
      <c r="AG601" s="201">
        <v>55.21</v>
      </c>
      <c r="AH601" s="199">
        <v>0.62</v>
      </c>
      <c r="AI601" s="200">
        <v>1</v>
      </c>
      <c r="AJ601" s="201">
        <v>0.62</v>
      </c>
      <c r="AK601" s="199"/>
      <c r="AL601" s="200"/>
      <c r="AM601" s="202"/>
      <c r="AN601" s="199">
        <v>2</v>
      </c>
      <c r="AO601" s="200">
        <v>5.5</v>
      </c>
      <c r="AP601" s="202">
        <v>3.3</v>
      </c>
      <c r="AQ601" s="199">
        <v>3.5</v>
      </c>
      <c r="AR601" s="200">
        <v>2</v>
      </c>
      <c r="AS601" s="202">
        <v>6.3</v>
      </c>
      <c r="AT601" s="199">
        <v>3.5</v>
      </c>
      <c r="AU601" s="200">
        <v>17.46</v>
      </c>
      <c r="AV601" s="202">
        <v>8.4</v>
      </c>
      <c r="AW601" s="199">
        <v>5.0599999999999996</v>
      </c>
      <c r="AX601" s="200"/>
      <c r="AY601" s="202">
        <v>5.5</v>
      </c>
      <c r="AZ601" s="199">
        <v>15.6</v>
      </c>
      <c r="BA601" s="200">
        <v>37.229590000000002</v>
      </c>
      <c r="BB601" s="202">
        <v>38.799999999999997</v>
      </c>
      <c r="BC601" s="199">
        <v>11.82</v>
      </c>
      <c r="BD601" s="200">
        <v>17</v>
      </c>
      <c r="BE601" s="202">
        <v>17</v>
      </c>
      <c r="BF601" s="206">
        <v>2.21</v>
      </c>
      <c r="BG601" s="204"/>
      <c r="BH601" s="205">
        <v>4.75</v>
      </c>
      <c r="BI601" s="206">
        <v>2.84</v>
      </c>
      <c r="BJ601" s="204">
        <v>1.5</v>
      </c>
      <c r="BK601" s="207">
        <v>2.5</v>
      </c>
      <c r="BL601" s="111"/>
      <c r="BM601" s="100"/>
      <c r="BN601" s="112">
        <f t="shared" ref="BN601:BP602" si="120">AE601+AH601+AK601+AN601+AQ601+AT601+AW601+AZ601+BC601+BF601+BI601</f>
        <v>98.05</v>
      </c>
      <c r="BO601" s="113">
        <f t="shared" si="120"/>
        <v>136.89958999999999</v>
      </c>
      <c r="BP601" s="114">
        <f t="shared" si="120"/>
        <v>142.38</v>
      </c>
    </row>
    <row r="602" spans="1:68" ht="14.25" customHeight="1" outlineLevel="4" x14ac:dyDescent="0.25">
      <c r="C602" s="10" t="s">
        <v>83</v>
      </c>
      <c r="D602" s="10" t="s">
        <v>84</v>
      </c>
      <c r="E602" s="10" t="s">
        <v>73</v>
      </c>
      <c r="F602" s="10" t="s">
        <v>74</v>
      </c>
      <c r="G602" s="10" t="s">
        <v>214</v>
      </c>
      <c r="H602" s="10" t="s">
        <v>319</v>
      </c>
      <c r="I602" s="10" t="s">
        <v>73</v>
      </c>
      <c r="K602" s="12" t="s">
        <v>73</v>
      </c>
      <c r="L602" s="10" t="s">
        <v>192</v>
      </c>
      <c r="M602" s="5" t="str">
        <f t="array" ref="M602">Y460</f>
        <v>1ВО::1.1</v>
      </c>
      <c r="AB602" s="403" t="str">
        <f>AB598&amp;".2"</f>
        <v>3.1.1.2.3.2</v>
      </c>
      <c r="AC602" s="444" t="s">
        <v>322</v>
      </c>
      <c r="AD602" s="32" t="s">
        <v>111</v>
      </c>
      <c r="AE602" s="95">
        <f>41377.55*30.2/100</f>
        <v>12496.0201</v>
      </c>
      <c r="AF602" s="178">
        <v>13930.89</v>
      </c>
      <c r="AG602" s="96">
        <v>14715.17</v>
      </c>
      <c r="AH602" s="95">
        <f>AH599*0.302</f>
        <v>104.16493399999999</v>
      </c>
      <c r="AI602" s="178">
        <v>147.58000000000001</v>
      </c>
      <c r="AJ602" s="96">
        <f>AJ599*0.302</f>
        <v>112.66653599999999</v>
      </c>
      <c r="AK602" s="95"/>
      <c r="AL602" s="178"/>
      <c r="AM602" s="181"/>
      <c r="AN602" s="95">
        <v>533.72</v>
      </c>
      <c r="AO602" s="178">
        <v>221.15</v>
      </c>
      <c r="AP602" s="181">
        <v>560.16999999999996</v>
      </c>
      <c r="AQ602" s="95">
        <v>648.83000000000004</v>
      </c>
      <c r="AR602" s="178">
        <v>250.34</v>
      </c>
      <c r="AS602" s="181">
        <v>1118.56</v>
      </c>
      <c r="AT602" s="95">
        <v>461.82</v>
      </c>
      <c r="AU602" s="178">
        <v>2898.02</v>
      </c>
      <c r="AV602" s="181">
        <v>1472.71</v>
      </c>
      <c r="AW602" s="95">
        <f>AW599*30.2%</f>
        <v>1170.3454319999998</v>
      </c>
      <c r="AX602" s="178"/>
      <c r="AY602" s="181">
        <f>AY599*30.2%</f>
        <v>955.92694199999994</v>
      </c>
      <c r="AZ602" s="95">
        <f>AZ599*30.2%</f>
        <v>2428.8051019999998</v>
      </c>
      <c r="BA602" s="178">
        <f>BA599*30.2%</f>
        <v>6382.2858939999996</v>
      </c>
      <c r="BB602" s="181">
        <f>BB599*30.2%</f>
        <v>7555.6020999999992</v>
      </c>
      <c r="BC602" s="95">
        <v>2129.1799999999998</v>
      </c>
      <c r="BD602" s="178">
        <v>3124.35</v>
      </c>
      <c r="BE602" s="181">
        <v>3331.97</v>
      </c>
      <c r="BF602" s="185">
        <v>388.36399999999998</v>
      </c>
      <c r="BG602" s="183"/>
      <c r="BH602" s="184">
        <v>778.96</v>
      </c>
      <c r="BI602" s="185">
        <v>431.83</v>
      </c>
      <c r="BJ602" s="183">
        <v>249.03</v>
      </c>
      <c r="BK602" s="186">
        <v>432.64</v>
      </c>
      <c r="BN602" s="125">
        <f t="shared" si="120"/>
        <v>20793.079568000001</v>
      </c>
      <c r="BO602" s="126">
        <f t="shared" si="120"/>
        <v>27203.645893999997</v>
      </c>
      <c r="BP602" s="127">
        <f t="shared" si="120"/>
        <v>31034.375577999999</v>
      </c>
    </row>
    <row r="603" spans="1:68" ht="14.25" customHeight="1" outlineLevel="4" x14ac:dyDescent="0.25">
      <c r="C603" s="10" t="s">
        <v>216</v>
      </c>
      <c r="D603" s="10" t="s">
        <v>217</v>
      </c>
      <c r="E603" s="10" t="s">
        <v>73</v>
      </c>
      <c r="F603" s="10" t="s">
        <v>74</v>
      </c>
      <c r="G603" s="10" t="s">
        <v>73</v>
      </c>
      <c r="H603" s="10" t="s">
        <v>319</v>
      </c>
      <c r="I603" s="10" t="s">
        <v>73</v>
      </c>
      <c r="K603" s="12" t="s">
        <v>73</v>
      </c>
      <c r="L603" s="10" t="s">
        <v>192</v>
      </c>
      <c r="M603" s="5" t="str">
        <f t="array" ref="M603">Y460</f>
        <v>1ВО::1.1</v>
      </c>
      <c r="AB603" s="403" t="str">
        <f>AB602&amp;".1"</f>
        <v>3.1.1.2.3.2.1</v>
      </c>
      <c r="AC603" s="449" t="s">
        <v>218</v>
      </c>
      <c r="AD603" s="32" t="s">
        <v>119</v>
      </c>
      <c r="AE603" s="72">
        <v>30.2</v>
      </c>
      <c r="AF603" s="73">
        <v>30.2</v>
      </c>
      <c r="AG603" s="74">
        <v>30.2</v>
      </c>
      <c r="AH603" s="72">
        <f>AH602/AH599*100</f>
        <v>30.2</v>
      </c>
      <c r="AI603" s="73">
        <f>AI602/AI599*100</f>
        <v>30.199103726288651</v>
      </c>
      <c r="AJ603" s="74">
        <f>AJ602/AJ599*100</f>
        <v>30.2</v>
      </c>
      <c r="AK603" s="72"/>
      <c r="AL603" s="73"/>
      <c r="AM603" s="138"/>
      <c r="AN603" s="72">
        <v>30.2</v>
      </c>
      <c r="AO603" s="73">
        <v>30.2</v>
      </c>
      <c r="AP603" s="138">
        <v>30.2</v>
      </c>
      <c r="AQ603" s="72">
        <v>30.2</v>
      </c>
      <c r="AR603" s="73">
        <v>30.2</v>
      </c>
      <c r="AS603" s="138">
        <v>30.2</v>
      </c>
      <c r="AT603" s="72">
        <v>30.2</v>
      </c>
      <c r="AU603" s="73">
        <v>30.2</v>
      </c>
      <c r="AV603" s="138">
        <v>30.2</v>
      </c>
      <c r="AW603" s="72">
        <v>30.2</v>
      </c>
      <c r="AX603" s="73"/>
      <c r="AY603" s="138">
        <v>30.2</v>
      </c>
      <c r="AZ603" s="72">
        <v>30.2</v>
      </c>
      <c r="BA603" s="73">
        <v>30.2</v>
      </c>
      <c r="BB603" s="138">
        <v>30.2</v>
      </c>
      <c r="BC603" s="95">
        <v>30.2</v>
      </c>
      <c r="BD603" s="178">
        <v>30.2</v>
      </c>
      <c r="BE603" s="181">
        <v>30.2</v>
      </c>
      <c r="BF603" s="142">
        <v>30.2</v>
      </c>
      <c r="BG603" s="140">
        <v>30.2</v>
      </c>
      <c r="BH603" s="141">
        <v>30.2</v>
      </c>
      <c r="BI603" s="142">
        <v>30.2</v>
      </c>
      <c r="BJ603" s="140">
        <v>30.2</v>
      </c>
      <c r="BK603" s="143">
        <v>30.2</v>
      </c>
      <c r="BN603" s="125">
        <v>30.2</v>
      </c>
      <c r="BO603" s="126">
        <v>30.2</v>
      </c>
      <c r="BP603" s="127">
        <v>30.2</v>
      </c>
    </row>
    <row r="604" spans="1:68" s="171" customFormat="1" ht="21" customHeight="1" outlineLevel="3" x14ac:dyDescent="0.25">
      <c r="A604" s="166"/>
      <c r="B604" s="166"/>
      <c r="C604" s="167" t="s">
        <v>83</v>
      </c>
      <c r="D604" s="167" t="s">
        <v>84</v>
      </c>
      <c r="E604" s="167" t="s">
        <v>73</v>
      </c>
      <c r="F604" s="167" t="s">
        <v>74</v>
      </c>
      <c r="G604" s="167" t="s">
        <v>323</v>
      </c>
      <c r="H604" s="167" t="s">
        <v>73</v>
      </c>
      <c r="I604" s="167" t="s">
        <v>73</v>
      </c>
      <c r="J604" s="166"/>
      <c r="K604" s="168" t="s">
        <v>73</v>
      </c>
      <c r="L604" s="167" t="s">
        <v>192</v>
      </c>
      <c r="M604" s="166" t="str">
        <f t="array" ref="M604">Y460</f>
        <v>1ВО::1.1</v>
      </c>
      <c r="N604" s="166"/>
      <c r="O604" s="166"/>
      <c r="P604" s="166"/>
      <c r="Q604" s="166"/>
      <c r="R604" s="166"/>
      <c r="S604" s="166"/>
      <c r="T604" s="166"/>
      <c r="U604" s="166"/>
      <c r="V604" s="166"/>
      <c r="W604" s="166"/>
      <c r="X604" s="166"/>
      <c r="Y604" s="166"/>
      <c r="Z604" s="166"/>
      <c r="AA604" s="166"/>
      <c r="AB604" s="429" t="str">
        <f>AB511&amp;".3"</f>
        <v>3.1.1.3</v>
      </c>
      <c r="AC604" s="474" t="s">
        <v>323</v>
      </c>
      <c r="AD604" s="431" t="s">
        <v>111</v>
      </c>
      <c r="AE604" s="432">
        <f t="shared" ref="AE604:AJ604" si="121">AE605+AE613+AE619+AE620+AE621+AE622+AE623</f>
        <v>102087.13</v>
      </c>
      <c r="AF604" s="433">
        <f t="shared" si="121"/>
        <v>59776.5</v>
      </c>
      <c r="AG604" s="475">
        <f t="shared" si="121"/>
        <v>103004.67599999999</v>
      </c>
      <c r="AH604" s="432">
        <f t="shared" si="121"/>
        <v>74.72</v>
      </c>
      <c r="AI604" s="433">
        <f t="shared" si="121"/>
        <v>0</v>
      </c>
      <c r="AJ604" s="475">
        <f t="shared" si="121"/>
        <v>77.84</v>
      </c>
      <c r="AK604" s="476"/>
      <c r="AL604" s="433"/>
      <c r="AM604" s="477"/>
      <c r="AN604" s="432">
        <f t="shared" ref="AN604:BK604" si="122">AN605+AN613+AN619+AN620+AN621+AN622+AN623</f>
        <v>3722.55</v>
      </c>
      <c r="AO604" s="433">
        <f t="shared" si="122"/>
        <v>545.9799999999999</v>
      </c>
      <c r="AP604" s="475">
        <f t="shared" si="122"/>
        <v>3183.23</v>
      </c>
      <c r="AQ604" s="432">
        <f t="shared" si="122"/>
        <v>4233.4400000000005</v>
      </c>
      <c r="AR604" s="433">
        <f t="shared" si="122"/>
        <v>304.2</v>
      </c>
      <c r="AS604" s="475">
        <f t="shared" si="122"/>
        <v>4154.41</v>
      </c>
      <c r="AT604" s="432">
        <f t="shared" si="122"/>
        <v>2781.14</v>
      </c>
      <c r="AU604" s="433">
        <f t="shared" si="122"/>
        <v>5921.59</v>
      </c>
      <c r="AV604" s="475">
        <f t="shared" si="122"/>
        <v>4629.0300000000007</v>
      </c>
      <c r="AW604" s="432">
        <f t="shared" si="122"/>
        <v>162.17699999999996</v>
      </c>
      <c r="AX604" s="433">
        <f t="shared" si="122"/>
        <v>549.31000000000006</v>
      </c>
      <c r="AY604" s="475">
        <f t="shared" si="122"/>
        <v>1695.8600460000002</v>
      </c>
      <c r="AZ604" s="432">
        <f t="shared" si="122"/>
        <v>8037.2496419999998</v>
      </c>
      <c r="BA604" s="433">
        <f t="shared" si="122"/>
        <v>11013.738660000001</v>
      </c>
      <c r="BB604" s="475">
        <f t="shared" si="122"/>
        <v>10172.795764</v>
      </c>
      <c r="BC604" s="432">
        <f t="shared" si="122"/>
        <v>270.14000000000004</v>
      </c>
      <c r="BD604" s="433">
        <f t="shared" si="122"/>
        <v>178.77</v>
      </c>
      <c r="BE604" s="475">
        <f t="shared" si="122"/>
        <v>646.88</v>
      </c>
      <c r="BF604" s="432">
        <f t="shared" si="122"/>
        <v>17.760000000000002</v>
      </c>
      <c r="BG604" s="433">
        <f t="shared" si="122"/>
        <v>11.43</v>
      </c>
      <c r="BH604" s="475">
        <f t="shared" si="122"/>
        <v>700.37000000000012</v>
      </c>
      <c r="BI604" s="432">
        <f t="shared" si="122"/>
        <v>243.94000000000003</v>
      </c>
      <c r="BJ604" s="433">
        <f t="shared" si="122"/>
        <v>113.38</v>
      </c>
      <c r="BK604" s="435">
        <f t="shared" si="122"/>
        <v>1062.07</v>
      </c>
      <c r="BL604" s="170"/>
      <c r="BM604" s="166"/>
      <c r="BN604" s="436">
        <f t="shared" ref="BN604:BN614" si="123">AE604+AH604+AK604+AN604+AQ604+AT604+AW604+AZ604+BC604+BF604+BI604</f>
        <v>121630.246642</v>
      </c>
      <c r="BO604" s="437">
        <f t="shared" ref="BO604:BO614" si="124">AF604+AI604+AL604+AO604+AR604+AU604+AX604+BA604+BD604+BG604+BJ604</f>
        <v>78414.898660000006</v>
      </c>
      <c r="BP604" s="438">
        <f t="shared" ref="BP604:BP614" si="125">AG604+AJ604+AM604+AP604+AS604+AV604+AY604+BB604+BE604+BH604+BK604</f>
        <v>129327.16180999999</v>
      </c>
    </row>
    <row r="605" spans="1:68" ht="33" customHeight="1" outlineLevel="4" x14ac:dyDescent="0.25">
      <c r="C605" s="10" t="s">
        <v>83</v>
      </c>
      <c r="D605" s="10" t="s">
        <v>84</v>
      </c>
      <c r="E605" s="10" t="s">
        <v>73</v>
      </c>
      <c r="F605" s="10" t="s">
        <v>74</v>
      </c>
      <c r="G605" s="10" t="s">
        <v>324</v>
      </c>
      <c r="H605" s="10" t="s">
        <v>73</v>
      </c>
      <c r="I605" s="10" t="s">
        <v>73</v>
      </c>
      <c r="K605" s="12" t="s">
        <v>73</v>
      </c>
      <c r="L605" s="10" t="s">
        <v>192</v>
      </c>
      <c r="M605" s="5" t="str">
        <f t="array" ref="M605">Y460</f>
        <v>1ВО::1.1</v>
      </c>
      <c r="AB605" s="403" t="str">
        <f>AB604&amp;".1"</f>
        <v>3.1.1.3.1</v>
      </c>
      <c r="AC605" s="442" t="s">
        <v>325</v>
      </c>
      <c r="AD605" s="32" t="s">
        <v>111</v>
      </c>
      <c r="AE605" s="72">
        <f t="shared" ref="AE605:AJ605" si="126">AE606+AE607+AE608+AE609+AE610+AE611+AE612</f>
        <v>0</v>
      </c>
      <c r="AF605" s="73">
        <f t="shared" si="126"/>
        <v>4854.57</v>
      </c>
      <c r="AG605" s="74">
        <f t="shared" si="126"/>
        <v>5127.87</v>
      </c>
      <c r="AH605" s="72">
        <f t="shared" si="126"/>
        <v>0</v>
      </c>
      <c r="AI605" s="73">
        <f t="shared" si="126"/>
        <v>0</v>
      </c>
      <c r="AJ605" s="74">
        <f t="shared" si="126"/>
        <v>0</v>
      </c>
      <c r="AK605" s="72"/>
      <c r="AL605" s="73"/>
      <c r="AM605" s="138"/>
      <c r="AN605" s="72">
        <f t="shared" ref="AN605:BK605" si="127">AN606+AN607+AN608+AN609+AN610+AN611+AN612</f>
        <v>0</v>
      </c>
      <c r="AO605" s="73">
        <f t="shared" si="127"/>
        <v>0</v>
      </c>
      <c r="AP605" s="74">
        <f t="shared" si="127"/>
        <v>0</v>
      </c>
      <c r="AQ605" s="72">
        <f t="shared" si="127"/>
        <v>0</v>
      </c>
      <c r="AR605" s="73">
        <f t="shared" si="127"/>
        <v>0</v>
      </c>
      <c r="AS605" s="74">
        <f t="shared" si="127"/>
        <v>0</v>
      </c>
      <c r="AT605" s="72">
        <f t="shared" si="127"/>
        <v>0</v>
      </c>
      <c r="AU605" s="73">
        <f t="shared" si="127"/>
        <v>0</v>
      </c>
      <c r="AV605" s="74">
        <f t="shared" si="127"/>
        <v>0</v>
      </c>
      <c r="AW605" s="72">
        <f t="shared" si="127"/>
        <v>0</v>
      </c>
      <c r="AX605" s="73">
        <f t="shared" si="127"/>
        <v>0</v>
      </c>
      <c r="AY605" s="74">
        <f t="shared" si="127"/>
        <v>83.48</v>
      </c>
      <c r="AZ605" s="72">
        <f t="shared" si="127"/>
        <v>0</v>
      </c>
      <c r="BA605" s="73">
        <f t="shared" si="127"/>
        <v>0</v>
      </c>
      <c r="BB605" s="74">
        <f t="shared" si="127"/>
        <v>172.34</v>
      </c>
      <c r="BC605" s="72">
        <f t="shared" si="127"/>
        <v>0</v>
      </c>
      <c r="BD605" s="73">
        <f t="shared" si="127"/>
        <v>0</v>
      </c>
      <c r="BE605" s="74">
        <f t="shared" si="127"/>
        <v>54.57</v>
      </c>
      <c r="BF605" s="72">
        <f t="shared" si="127"/>
        <v>0</v>
      </c>
      <c r="BG605" s="73">
        <f t="shared" si="127"/>
        <v>0</v>
      </c>
      <c r="BH605" s="74">
        <f t="shared" si="127"/>
        <v>0</v>
      </c>
      <c r="BI605" s="72">
        <f t="shared" si="127"/>
        <v>0</v>
      </c>
      <c r="BJ605" s="73">
        <f t="shared" si="127"/>
        <v>0</v>
      </c>
      <c r="BK605" s="74">
        <f t="shared" si="127"/>
        <v>0</v>
      </c>
      <c r="BN605" s="125">
        <f t="shared" si="123"/>
        <v>0</v>
      </c>
      <c r="BO605" s="126">
        <f t="shared" si="124"/>
        <v>4854.57</v>
      </c>
      <c r="BP605" s="127">
        <f t="shared" si="125"/>
        <v>5438.2599999999993</v>
      </c>
    </row>
    <row r="606" spans="1:68" s="211" customFormat="1" ht="18" customHeight="1" outlineLevel="5" x14ac:dyDescent="0.25">
      <c r="A606" s="6"/>
      <c r="B606" s="6"/>
      <c r="C606" s="116" t="s">
        <v>83</v>
      </c>
      <c r="D606" s="116" t="s">
        <v>84</v>
      </c>
      <c r="E606" s="116" t="s">
        <v>73</v>
      </c>
      <c r="F606" s="116" t="s">
        <v>74</v>
      </c>
      <c r="G606" s="116" t="s">
        <v>326</v>
      </c>
      <c r="H606" s="116" t="s">
        <v>73</v>
      </c>
      <c r="I606" s="116" t="s">
        <v>73</v>
      </c>
      <c r="J606" s="6"/>
      <c r="K606" s="209" t="s">
        <v>73</v>
      </c>
      <c r="L606" s="116" t="s">
        <v>192</v>
      </c>
      <c r="M606" s="6" t="str">
        <f t="array" ref="M606">Y460</f>
        <v>1ВО::1.1</v>
      </c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403" t="str">
        <f>AB605&amp;".1"</f>
        <v>3.1.1.3.1.1</v>
      </c>
      <c r="AC606" s="444" t="s">
        <v>327</v>
      </c>
      <c r="AD606" s="32" t="s">
        <v>111</v>
      </c>
      <c r="AE606" s="72"/>
      <c r="AF606" s="178"/>
      <c r="AG606" s="96"/>
      <c r="AH606" s="72"/>
      <c r="AI606" s="178"/>
      <c r="AJ606" s="96"/>
      <c r="AK606" s="72"/>
      <c r="AL606" s="178"/>
      <c r="AM606" s="181"/>
      <c r="AN606" s="72"/>
      <c r="AO606" s="178"/>
      <c r="AP606" s="181"/>
      <c r="AQ606" s="72"/>
      <c r="AR606" s="178"/>
      <c r="AS606" s="181"/>
      <c r="AT606" s="72"/>
      <c r="AU606" s="178"/>
      <c r="AV606" s="181"/>
      <c r="AW606" s="72"/>
      <c r="AX606" s="178"/>
      <c r="AY606" s="181"/>
      <c r="AZ606" s="72"/>
      <c r="BA606" s="178"/>
      <c r="BB606" s="181"/>
      <c r="BC606" s="72">
        <v>0</v>
      </c>
      <c r="BD606" s="178"/>
      <c r="BE606" s="181"/>
      <c r="BF606" s="142"/>
      <c r="BG606" s="183"/>
      <c r="BH606" s="184"/>
      <c r="BI606" s="142"/>
      <c r="BJ606" s="183"/>
      <c r="BK606" s="186"/>
      <c r="BL606" s="6"/>
      <c r="BM606" s="6"/>
      <c r="BN606" s="125">
        <f t="shared" si="123"/>
        <v>0</v>
      </c>
      <c r="BO606" s="126">
        <f t="shared" si="124"/>
        <v>0</v>
      </c>
      <c r="BP606" s="127">
        <f t="shared" si="125"/>
        <v>0</v>
      </c>
    </row>
    <row r="607" spans="1:68" ht="0.75" hidden="1" customHeight="1" outlineLevel="5" x14ac:dyDescent="0.25">
      <c r="C607" s="10" t="s">
        <v>83</v>
      </c>
      <c r="D607" s="10" t="s">
        <v>84</v>
      </c>
      <c r="E607" s="10" t="s">
        <v>73</v>
      </c>
      <c r="F607" s="10" t="s">
        <v>74</v>
      </c>
      <c r="G607" s="10" t="s">
        <v>328</v>
      </c>
      <c r="H607" s="10" t="s">
        <v>73</v>
      </c>
      <c r="I607" s="10" t="s">
        <v>73</v>
      </c>
      <c r="K607" s="12" t="s">
        <v>73</v>
      </c>
      <c r="L607" s="10" t="s">
        <v>192</v>
      </c>
      <c r="M607" s="5" t="str">
        <f t="array" ref="M607">Y460</f>
        <v>1ВО::1.1</v>
      </c>
      <c r="AB607" s="403" t="str">
        <f>AB605&amp;".2"</f>
        <v>3.1.1.3.1.2</v>
      </c>
      <c r="AC607" s="444" t="s">
        <v>329</v>
      </c>
      <c r="AD607" s="32" t="s">
        <v>111</v>
      </c>
      <c r="AE607" s="72"/>
      <c r="AF607" s="178"/>
      <c r="AG607" s="96"/>
      <c r="AH607" s="72"/>
      <c r="AI607" s="178"/>
      <c r="AJ607" s="96"/>
      <c r="AK607" s="72"/>
      <c r="AL607" s="178"/>
      <c r="AM607" s="181"/>
      <c r="AN607" s="72"/>
      <c r="AO607" s="178"/>
      <c r="AP607" s="181"/>
      <c r="AQ607" s="72"/>
      <c r="AR607" s="178"/>
      <c r="AS607" s="181"/>
      <c r="AT607" s="72"/>
      <c r="AU607" s="178"/>
      <c r="AV607" s="181"/>
      <c r="AW607" s="72"/>
      <c r="AX607" s="178"/>
      <c r="AY607" s="181"/>
      <c r="AZ607" s="72"/>
      <c r="BA607" s="178"/>
      <c r="BB607" s="181"/>
      <c r="BC607" s="72">
        <v>0</v>
      </c>
      <c r="BD607" s="178"/>
      <c r="BE607" s="181">
        <v>0</v>
      </c>
      <c r="BF607" s="72"/>
      <c r="BG607" s="178"/>
      <c r="BH607" s="181"/>
      <c r="BI607" s="72"/>
      <c r="BJ607" s="178"/>
      <c r="BK607" s="96"/>
      <c r="BN607" s="125">
        <f t="shared" si="123"/>
        <v>0</v>
      </c>
      <c r="BO607" s="126">
        <f t="shared" si="124"/>
        <v>0</v>
      </c>
      <c r="BP607" s="127">
        <f t="shared" si="125"/>
        <v>0</v>
      </c>
    </row>
    <row r="608" spans="1:68" ht="0.75" hidden="1" customHeight="1" outlineLevel="5" x14ac:dyDescent="0.25">
      <c r="C608" s="10" t="s">
        <v>83</v>
      </c>
      <c r="D608" s="10" t="s">
        <v>84</v>
      </c>
      <c r="E608" s="10" t="s">
        <v>73</v>
      </c>
      <c r="F608" s="10" t="s">
        <v>74</v>
      </c>
      <c r="G608" s="10" t="s">
        <v>330</v>
      </c>
      <c r="H608" s="10" t="s">
        <v>73</v>
      </c>
      <c r="I608" s="10" t="s">
        <v>73</v>
      </c>
      <c r="K608" s="12" t="s">
        <v>73</v>
      </c>
      <c r="L608" s="10" t="s">
        <v>192</v>
      </c>
      <c r="M608" s="5" t="str">
        <f t="array" ref="M608">Y460</f>
        <v>1ВО::1.1</v>
      </c>
      <c r="AB608" s="403" t="str">
        <f>AB605&amp;".3"</f>
        <v>3.1.1.3.1.3</v>
      </c>
      <c r="AC608" s="444" t="s">
        <v>331</v>
      </c>
      <c r="AD608" s="32" t="s">
        <v>111</v>
      </c>
      <c r="AE608" s="72"/>
      <c r="AF608" s="178"/>
      <c r="AG608" s="96"/>
      <c r="AH608" s="72"/>
      <c r="AI608" s="178"/>
      <c r="AJ608" s="96"/>
      <c r="AK608" s="72"/>
      <c r="AL608" s="178"/>
      <c r="AM608" s="181"/>
      <c r="AN608" s="72"/>
      <c r="AO608" s="178"/>
      <c r="AP608" s="181"/>
      <c r="AQ608" s="72"/>
      <c r="AR608" s="178"/>
      <c r="AS608" s="181"/>
      <c r="AT608" s="72"/>
      <c r="AU608" s="178"/>
      <c r="AV608" s="181"/>
      <c r="AW608" s="72"/>
      <c r="AX608" s="178"/>
      <c r="AY608" s="181"/>
      <c r="AZ608" s="72"/>
      <c r="BA608" s="178"/>
      <c r="BB608" s="181"/>
      <c r="BC608" s="72">
        <v>0</v>
      </c>
      <c r="BD608" s="178"/>
      <c r="BE608" s="181"/>
      <c r="BF608" s="72"/>
      <c r="BG608" s="178"/>
      <c r="BH608" s="181"/>
      <c r="BI608" s="72"/>
      <c r="BJ608" s="178"/>
      <c r="BK608" s="96"/>
      <c r="BN608" s="125">
        <f t="shared" si="123"/>
        <v>0</v>
      </c>
      <c r="BO608" s="126">
        <f t="shared" si="124"/>
        <v>0</v>
      </c>
      <c r="BP608" s="127">
        <f t="shared" si="125"/>
        <v>0</v>
      </c>
    </row>
    <row r="609" spans="1:68" ht="18.75" customHeight="1" outlineLevel="5" x14ac:dyDescent="0.25">
      <c r="C609" s="10" t="s">
        <v>83</v>
      </c>
      <c r="D609" s="10" t="s">
        <v>84</v>
      </c>
      <c r="E609" s="10" t="s">
        <v>73</v>
      </c>
      <c r="F609" s="10" t="s">
        <v>74</v>
      </c>
      <c r="G609" s="10" t="s">
        <v>332</v>
      </c>
      <c r="H609" s="10" t="s">
        <v>73</v>
      </c>
      <c r="I609" s="10" t="s">
        <v>73</v>
      </c>
      <c r="K609" s="12" t="s">
        <v>73</v>
      </c>
      <c r="L609" s="10" t="s">
        <v>192</v>
      </c>
      <c r="M609" s="5" t="str">
        <f t="array" ref="M609">Y460</f>
        <v>1ВО::1.1</v>
      </c>
      <c r="AB609" s="403" t="str">
        <f>AB605&amp;".4"</f>
        <v>3.1.1.3.1.4</v>
      </c>
      <c r="AC609" s="444" t="s">
        <v>333</v>
      </c>
      <c r="AD609" s="32" t="s">
        <v>111</v>
      </c>
      <c r="AE609" s="72"/>
      <c r="AF609" s="178">
        <v>1103.47</v>
      </c>
      <c r="AG609" s="96">
        <v>1165.5899999999999</v>
      </c>
      <c r="AH609" s="72"/>
      <c r="AI609" s="178"/>
      <c r="AJ609" s="96"/>
      <c r="AK609" s="72"/>
      <c r="AL609" s="178"/>
      <c r="AM609" s="181"/>
      <c r="AN609" s="72"/>
      <c r="AO609" s="178"/>
      <c r="AP609" s="181"/>
      <c r="AQ609" s="72"/>
      <c r="AR609" s="178"/>
      <c r="AS609" s="181"/>
      <c r="AT609" s="72"/>
      <c r="AU609" s="178"/>
      <c r="AV609" s="181"/>
      <c r="AW609" s="72"/>
      <c r="AX609" s="178"/>
      <c r="AY609" s="181"/>
      <c r="AZ609" s="72"/>
      <c r="BA609" s="178"/>
      <c r="BB609" s="181"/>
      <c r="BC609" s="72">
        <v>0</v>
      </c>
      <c r="BD609" s="178"/>
      <c r="BE609" s="181">
        <v>0</v>
      </c>
      <c r="BF609" s="72"/>
      <c r="BG609" s="178"/>
      <c r="BH609" s="181"/>
      <c r="BI609" s="72"/>
      <c r="BJ609" s="178"/>
      <c r="BK609" s="96"/>
      <c r="BN609" s="125">
        <f t="shared" si="123"/>
        <v>0</v>
      </c>
      <c r="BO609" s="126">
        <f t="shared" si="124"/>
        <v>1103.47</v>
      </c>
      <c r="BP609" s="127">
        <f t="shared" si="125"/>
        <v>1165.5899999999999</v>
      </c>
    </row>
    <row r="610" spans="1:68" ht="0.75" hidden="1" customHeight="1" outlineLevel="5" x14ac:dyDescent="0.25">
      <c r="C610" s="10" t="s">
        <v>83</v>
      </c>
      <c r="D610" s="10" t="s">
        <v>84</v>
      </c>
      <c r="E610" s="10" t="s">
        <v>73</v>
      </c>
      <c r="F610" s="10" t="s">
        <v>74</v>
      </c>
      <c r="G610" s="10" t="s">
        <v>334</v>
      </c>
      <c r="H610" s="10" t="s">
        <v>73</v>
      </c>
      <c r="I610" s="10" t="s">
        <v>73</v>
      </c>
      <c r="K610" s="12" t="s">
        <v>73</v>
      </c>
      <c r="L610" s="10" t="s">
        <v>192</v>
      </c>
      <c r="M610" s="5" t="str">
        <f t="array" ref="M610">Y460</f>
        <v>1ВО::1.1</v>
      </c>
      <c r="AB610" s="403" t="str">
        <f>AB605&amp;".5"</f>
        <v>3.1.1.3.1.5</v>
      </c>
      <c r="AC610" s="444" t="s">
        <v>335</v>
      </c>
      <c r="AD610" s="32" t="s">
        <v>111</v>
      </c>
      <c r="AE610" s="72"/>
      <c r="AF610" s="178"/>
      <c r="AG610" s="96"/>
      <c r="AH610" s="72"/>
      <c r="AI610" s="178"/>
      <c r="AJ610" s="96"/>
      <c r="AK610" s="72"/>
      <c r="AL610" s="178"/>
      <c r="AM610" s="181"/>
      <c r="AN610" s="72"/>
      <c r="AO610" s="178"/>
      <c r="AP610" s="181"/>
      <c r="AQ610" s="72"/>
      <c r="AR610" s="178"/>
      <c r="AS610" s="181"/>
      <c r="AT610" s="72"/>
      <c r="AU610" s="178"/>
      <c r="AV610" s="181"/>
      <c r="AW610" s="72"/>
      <c r="AX610" s="178"/>
      <c r="AY610" s="181"/>
      <c r="AZ610" s="72"/>
      <c r="BA610" s="178"/>
      <c r="BB610" s="181"/>
      <c r="BC610" s="72">
        <v>0</v>
      </c>
      <c r="BD610" s="178"/>
      <c r="BE610" s="181"/>
      <c r="BF610" s="72"/>
      <c r="BG610" s="178"/>
      <c r="BH610" s="181"/>
      <c r="BI610" s="72"/>
      <c r="BJ610" s="178"/>
      <c r="BK610" s="96"/>
      <c r="BN610" s="125">
        <f t="shared" si="123"/>
        <v>0</v>
      </c>
      <c r="BO610" s="126">
        <f t="shared" si="124"/>
        <v>0</v>
      </c>
      <c r="BP610" s="127">
        <f t="shared" si="125"/>
        <v>0</v>
      </c>
    </row>
    <row r="611" spans="1:68" ht="20.25" customHeight="1" outlineLevel="5" x14ac:dyDescent="0.25">
      <c r="C611" s="10" t="s">
        <v>83</v>
      </c>
      <c r="D611" s="10" t="s">
        <v>84</v>
      </c>
      <c r="E611" s="10" t="s">
        <v>73</v>
      </c>
      <c r="F611" s="10" t="s">
        <v>74</v>
      </c>
      <c r="G611" s="10" t="s">
        <v>336</v>
      </c>
      <c r="H611" s="10" t="s">
        <v>73</v>
      </c>
      <c r="I611" s="10" t="s">
        <v>73</v>
      </c>
      <c r="J611" s="10" t="s">
        <v>73</v>
      </c>
      <c r="K611" s="12" t="s">
        <v>73</v>
      </c>
      <c r="L611" s="10" t="s">
        <v>192</v>
      </c>
      <c r="M611" s="5" t="str">
        <f t="array" ref="M611">Y460</f>
        <v>1ВО::1.1</v>
      </c>
      <c r="AB611" s="403" t="str">
        <f>AB605&amp;".6"</f>
        <v>3.1.1.3.1.6</v>
      </c>
      <c r="AC611" s="444" t="s">
        <v>337</v>
      </c>
      <c r="AD611" s="32" t="s">
        <v>111</v>
      </c>
      <c r="AE611" s="72"/>
      <c r="AF611" s="178">
        <v>3751.1</v>
      </c>
      <c r="AG611" s="96">
        <v>3962.28</v>
      </c>
      <c r="AH611" s="72"/>
      <c r="AI611" s="178"/>
      <c r="AJ611" s="96"/>
      <c r="AK611" s="72"/>
      <c r="AL611" s="178"/>
      <c r="AM611" s="181"/>
      <c r="AN611" s="72"/>
      <c r="AO611" s="178"/>
      <c r="AP611" s="181"/>
      <c r="AQ611" s="72"/>
      <c r="AR611" s="178"/>
      <c r="AS611" s="181"/>
      <c r="AT611" s="72"/>
      <c r="AU611" s="178"/>
      <c r="AV611" s="181"/>
      <c r="AW611" s="72"/>
      <c r="AX611" s="178"/>
      <c r="AY611" s="181">
        <v>83.48</v>
      </c>
      <c r="AZ611" s="72"/>
      <c r="BA611" s="178"/>
      <c r="BB611" s="181">
        <v>172.34</v>
      </c>
      <c r="BC611" s="72">
        <v>0</v>
      </c>
      <c r="BD611" s="178"/>
      <c r="BE611" s="181">
        <v>54.57</v>
      </c>
      <c r="BF611" s="72"/>
      <c r="BG611" s="178"/>
      <c r="BH611" s="181"/>
      <c r="BI611" s="72"/>
      <c r="BJ611" s="178"/>
      <c r="BK611" s="96"/>
      <c r="BN611" s="125">
        <f t="shared" si="123"/>
        <v>0</v>
      </c>
      <c r="BO611" s="126">
        <f t="shared" si="124"/>
        <v>3751.1</v>
      </c>
      <c r="BP611" s="127">
        <f t="shared" si="125"/>
        <v>4272.67</v>
      </c>
    </row>
    <row r="612" spans="1:68" s="211" customFormat="1" ht="17.25" hidden="1" customHeight="1" outlineLevel="5" x14ac:dyDescent="0.25">
      <c r="A612" s="6"/>
      <c r="B612" s="6"/>
      <c r="C612" s="116" t="s">
        <v>83</v>
      </c>
      <c r="D612" s="116" t="s">
        <v>84</v>
      </c>
      <c r="E612" s="116" t="s">
        <v>73</v>
      </c>
      <c r="F612" s="116" t="s">
        <v>74</v>
      </c>
      <c r="G612" s="116" t="s">
        <v>338</v>
      </c>
      <c r="H612" s="116" t="s">
        <v>73</v>
      </c>
      <c r="I612" s="116" t="s">
        <v>73</v>
      </c>
      <c r="J612" s="116" t="s">
        <v>73</v>
      </c>
      <c r="K612" s="209" t="s">
        <v>73</v>
      </c>
      <c r="L612" s="116" t="s">
        <v>192</v>
      </c>
      <c r="M612" s="6" t="str">
        <f t="array" ref="M612">Y460</f>
        <v>1ВО::1.1</v>
      </c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403" t="str">
        <f>AB605&amp;".7"</f>
        <v>3.1.1.3.1.7</v>
      </c>
      <c r="AC612" s="444" t="s">
        <v>339</v>
      </c>
      <c r="AD612" s="32" t="s">
        <v>111</v>
      </c>
      <c r="AE612" s="72"/>
      <c r="AF612" s="178"/>
      <c r="AG612" s="96"/>
      <c r="AH612" s="40"/>
      <c r="AI612" s="41"/>
      <c r="AJ612" s="42"/>
      <c r="AK612" s="72"/>
      <c r="AL612" s="178"/>
      <c r="AM612" s="181"/>
      <c r="AN612" s="72"/>
      <c r="AO612" s="178"/>
      <c r="AP612" s="181"/>
      <c r="AQ612" s="72"/>
      <c r="AR612" s="178"/>
      <c r="AS612" s="181"/>
      <c r="AT612" s="72"/>
      <c r="AU612" s="178"/>
      <c r="AV612" s="181"/>
      <c r="AW612" s="72"/>
      <c r="AX612" s="178"/>
      <c r="AY612" s="181"/>
      <c r="AZ612" s="72"/>
      <c r="BA612" s="178"/>
      <c r="BB612" s="181"/>
      <c r="BC612" s="72">
        <v>0</v>
      </c>
      <c r="BD612" s="178"/>
      <c r="BE612" s="181"/>
      <c r="BF612" s="72"/>
      <c r="BG612" s="178"/>
      <c r="BH612" s="181"/>
      <c r="BI612" s="72"/>
      <c r="BJ612" s="178"/>
      <c r="BK612" s="96"/>
      <c r="BL612" s="6"/>
      <c r="BM612" s="6"/>
      <c r="BN612" s="125">
        <f t="shared" si="123"/>
        <v>0</v>
      </c>
      <c r="BO612" s="126">
        <f t="shared" si="124"/>
        <v>0</v>
      </c>
      <c r="BP612" s="127">
        <f t="shared" si="125"/>
        <v>0</v>
      </c>
    </row>
    <row r="613" spans="1:68" ht="17.25" customHeight="1" outlineLevel="4" x14ac:dyDescent="0.25">
      <c r="C613" s="10" t="s">
        <v>83</v>
      </c>
      <c r="D613" s="10" t="s">
        <v>84</v>
      </c>
      <c r="E613" s="10" t="s">
        <v>73</v>
      </c>
      <c r="F613" s="10" t="s">
        <v>74</v>
      </c>
      <c r="G613" s="10" t="s">
        <v>201</v>
      </c>
      <c r="H613" s="10" t="s">
        <v>340</v>
      </c>
      <c r="I613" s="10" t="s">
        <v>73</v>
      </c>
      <c r="J613" s="10" t="s">
        <v>73</v>
      </c>
      <c r="K613" s="12" t="s">
        <v>73</v>
      </c>
      <c r="L613" s="10" t="s">
        <v>192</v>
      </c>
      <c r="M613" s="5" t="str">
        <f t="array" ref="M613">Y460</f>
        <v>1ВО::1.1</v>
      </c>
      <c r="AB613" s="403" t="str">
        <f>AB604&amp;".2"</f>
        <v>3.1.1.3.2</v>
      </c>
      <c r="AC613" s="442" t="s">
        <v>341</v>
      </c>
      <c r="AD613" s="32" t="s">
        <v>111</v>
      </c>
      <c r="AE613" s="72">
        <f t="shared" ref="AE613:AJ613" si="128">AE614+AE617</f>
        <v>87168</v>
      </c>
      <c r="AF613" s="73">
        <f t="shared" si="128"/>
        <v>49296.41</v>
      </c>
      <c r="AG613" s="74">
        <f t="shared" si="128"/>
        <v>91934.576000000001</v>
      </c>
      <c r="AH613" s="72">
        <f t="shared" si="128"/>
        <v>0</v>
      </c>
      <c r="AI613" s="73">
        <f t="shared" si="128"/>
        <v>0</v>
      </c>
      <c r="AJ613" s="74">
        <f t="shared" si="128"/>
        <v>0</v>
      </c>
      <c r="AK613" s="72"/>
      <c r="AL613" s="73"/>
      <c r="AM613" s="138"/>
      <c r="AN613" s="72">
        <f t="shared" ref="AN613:BK613" si="129">AN614+AN617</f>
        <v>3710.1600000000003</v>
      </c>
      <c r="AO613" s="73">
        <f t="shared" si="129"/>
        <v>543.68999999999994</v>
      </c>
      <c r="AP613" s="138">
        <f t="shared" si="129"/>
        <v>3156.15</v>
      </c>
      <c r="AQ613" s="72">
        <f t="shared" si="129"/>
        <v>4189.13</v>
      </c>
      <c r="AR613" s="73">
        <f t="shared" si="129"/>
        <v>298.68</v>
      </c>
      <c r="AS613" s="138">
        <f t="shared" si="129"/>
        <v>3997.79</v>
      </c>
      <c r="AT613" s="72">
        <f t="shared" si="129"/>
        <v>2738.06</v>
      </c>
      <c r="AU613" s="73">
        <f t="shared" si="129"/>
        <v>5921.59</v>
      </c>
      <c r="AV613" s="138">
        <f t="shared" si="129"/>
        <v>4629.0300000000007</v>
      </c>
      <c r="AW613" s="72">
        <f t="shared" si="129"/>
        <v>0</v>
      </c>
      <c r="AX613" s="73">
        <f t="shared" si="129"/>
        <v>549.31000000000006</v>
      </c>
      <c r="AY613" s="138">
        <f t="shared" si="129"/>
        <v>1363.2890460000001</v>
      </c>
      <c r="AZ613" s="72">
        <f t="shared" si="129"/>
        <v>7769.9076420000001</v>
      </c>
      <c r="BA613" s="73">
        <f t="shared" si="129"/>
        <v>10572.01866</v>
      </c>
      <c r="BB613" s="138">
        <f t="shared" si="129"/>
        <v>9520.3307640000003</v>
      </c>
      <c r="BC613" s="72">
        <f t="shared" si="129"/>
        <v>0</v>
      </c>
      <c r="BD613" s="73">
        <f t="shared" si="129"/>
        <v>0</v>
      </c>
      <c r="BE613" s="138">
        <f t="shared" si="129"/>
        <v>0</v>
      </c>
      <c r="BF613" s="142">
        <f t="shared" si="129"/>
        <v>0</v>
      </c>
      <c r="BG613" s="140">
        <f t="shared" si="129"/>
        <v>0</v>
      </c>
      <c r="BH613" s="141">
        <f t="shared" si="129"/>
        <v>581.58000000000004</v>
      </c>
      <c r="BI613" s="142">
        <f t="shared" si="129"/>
        <v>0</v>
      </c>
      <c r="BJ613" s="140">
        <f t="shared" si="129"/>
        <v>0</v>
      </c>
      <c r="BK613" s="143">
        <f t="shared" si="129"/>
        <v>708.25</v>
      </c>
      <c r="BN613" s="125">
        <f t="shared" si="123"/>
        <v>105575.25764200001</v>
      </c>
      <c r="BO613" s="126">
        <f t="shared" si="124"/>
        <v>67181.698660000009</v>
      </c>
      <c r="BP613" s="127">
        <f t="shared" si="125"/>
        <v>115890.99580999999</v>
      </c>
    </row>
    <row r="614" spans="1:68" ht="16.5" customHeight="1" outlineLevel="5" x14ac:dyDescent="0.25">
      <c r="C614" s="10" t="s">
        <v>83</v>
      </c>
      <c r="D614" s="10" t="s">
        <v>84</v>
      </c>
      <c r="E614" s="10" t="s">
        <v>73</v>
      </c>
      <c r="F614" s="10" t="s">
        <v>74</v>
      </c>
      <c r="G614" s="10" t="s">
        <v>204</v>
      </c>
      <c r="H614" s="10" t="s">
        <v>340</v>
      </c>
      <c r="I614" s="10" t="s">
        <v>73</v>
      </c>
      <c r="J614" s="10" t="s">
        <v>73</v>
      </c>
      <c r="K614" s="12" t="s">
        <v>73</v>
      </c>
      <c r="L614" s="10" t="s">
        <v>192</v>
      </c>
      <c r="M614" s="5" t="str">
        <f t="array" ref="M614">Y460</f>
        <v>1ВО::1.1</v>
      </c>
      <c r="AB614" s="403" t="str">
        <f>AB613&amp;".1"</f>
        <v>3.1.1.3.2.1</v>
      </c>
      <c r="AC614" s="444" t="s">
        <v>342</v>
      </c>
      <c r="AD614" s="32" t="s">
        <v>111</v>
      </c>
      <c r="AE614" s="72">
        <v>66949.31</v>
      </c>
      <c r="AF614" s="178">
        <v>37862.07</v>
      </c>
      <c r="AG614" s="96">
        <v>70610.275999999998</v>
      </c>
      <c r="AH614" s="72"/>
      <c r="AI614" s="178"/>
      <c r="AJ614" s="96"/>
      <c r="AK614" s="72"/>
      <c r="AL614" s="178"/>
      <c r="AM614" s="181"/>
      <c r="AN614" s="72">
        <v>2849.59</v>
      </c>
      <c r="AO614" s="178">
        <v>417.58</v>
      </c>
      <c r="AP614" s="181">
        <v>2424.08</v>
      </c>
      <c r="AQ614" s="72">
        <v>3217.46</v>
      </c>
      <c r="AR614" s="178">
        <v>229.4</v>
      </c>
      <c r="AS614" s="181">
        <v>3070.5</v>
      </c>
      <c r="AT614" s="72">
        <v>2102.96</v>
      </c>
      <c r="AU614" s="178">
        <v>4548.07</v>
      </c>
      <c r="AV614" s="181">
        <v>3555.32</v>
      </c>
      <c r="AW614" s="72"/>
      <c r="AX614" s="178">
        <v>421.91</v>
      </c>
      <c r="AY614" s="181">
        <v>1047.0730000000001</v>
      </c>
      <c r="AZ614" s="72">
        <v>5967.6710000000003</v>
      </c>
      <c r="BA614" s="178">
        <v>8119.83</v>
      </c>
      <c r="BB614" s="181">
        <v>7312.0820000000003</v>
      </c>
      <c r="BC614" s="72"/>
      <c r="BD614" s="178"/>
      <c r="BE614" s="181"/>
      <c r="BF614" s="142"/>
      <c r="BG614" s="183"/>
      <c r="BH614" s="184">
        <v>446.68</v>
      </c>
      <c r="BI614" s="142"/>
      <c r="BJ614" s="183"/>
      <c r="BK614" s="186">
        <v>543.97</v>
      </c>
      <c r="BN614" s="125">
        <f t="shared" si="123"/>
        <v>81086.991000000009</v>
      </c>
      <c r="BO614" s="126">
        <f t="shared" si="124"/>
        <v>51598.860000000008</v>
      </c>
      <c r="BP614" s="127">
        <f t="shared" si="125"/>
        <v>89009.981</v>
      </c>
    </row>
    <row r="615" spans="1:68" s="115" customFormat="1" ht="14.25" customHeight="1" outlineLevel="5" x14ac:dyDescent="0.25">
      <c r="A615" s="100"/>
      <c r="B615" s="100"/>
      <c r="C615" s="99" t="s">
        <v>206</v>
      </c>
      <c r="D615" s="99" t="s">
        <v>207</v>
      </c>
      <c r="E615" s="99" t="s">
        <v>73</v>
      </c>
      <c r="F615" s="99" t="s">
        <v>74</v>
      </c>
      <c r="G615" s="99" t="s">
        <v>73</v>
      </c>
      <c r="H615" s="99" t="s">
        <v>340</v>
      </c>
      <c r="I615" s="99" t="s">
        <v>73</v>
      </c>
      <c r="J615" s="99" t="s">
        <v>73</v>
      </c>
      <c r="K615" s="102" t="s">
        <v>73</v>
      </c>
      <c r="L615" s="99" t="s">
        <v>192</v>
      </c>
      <c r="M615" s="100" t="str">
        <f t="array" ref="M615">Y460</f>
        <v>1ВО::1.1</v>
      </c>
      <c r="N615" s="100"/>
      <c r="O615" s="100"/>
      <c r="P615" s="100"/>
      <c r="Q615" s="100"/>
      <c r="R615" s="100"/>
      <c r="S615" s="100"/>
      <c r="T615" s="100"/>
      <c r="U615" s="100"/>
      <c r="V615" s="100"/>
      <c r="W615" s="100"/>
      <c r="X615" s="100"/>
      <c r="Y615" s="100"/>
      <c r="Z615" s="100"/>
      <c r="AA615" s="100"/>
      <c r="AB615" s="418" t="str">
        <f>AB614&amp;".1"</f>
        <v>3.1.1.3.2.1.1</v>
      </c>
      <c r="AC615" s="447" t="s">
        <v>208</v>
      </c>
      <c r="AD615" s="448" t="s">
        <v>209</v>
      </c>
      <c r="AE615" s="190">
        <f>(AE614/AE616)/12*1000</f>
        <v>79724.33790606838</v>
      </c>
      <c r="AF615" s="191">
        <f>(AF614/AF616)/12*1000</f>
        <v>75500.658052165585</v>
      </c>
      <c r="AG615" s="192">
        <f>(AG614/AG616)/12*1000</f>
        <v>140803.77283241606</v>
      </c>
      <c r="AH615" s="190"/>
      <c r="AI615" s="191"/>
      <c r="AJ615" s="192"/>
      <c r="AK615" s="190"/>
      <c r="AL615" s="191"/>
      <c r="AM615" s="193"/>
      <c r="AN615" s="190">
        <f t="shared" ref="AN615:BB615" si="130">(AN614/AN616)/12*1000</f>
        <v>58489.121510673242</v>
      </c>
      <c r="AO615" s="191">
        <f t="shared" si="130"/>
        <v>43497.916666666664</v>
      </c>
      <c r="AP615" s="193">
        <f t="shared" si="130"/>
        <v>51796.581196581203</v>
      </c>
      <c r="AQ615" s="190">
        <f t="shared" si="130"/>
        <v>65877.559377559359</v>
      </c>
      <c r="AR615" s="191">
        <f t="shared" si="130"/>
        <v>43446.969696969696</v>
      </c>
      <c r="AS615" s="193">
        <f t="shared" si="130"/>
        <v>52219.387755102041</v>
      </c>
      <c r="AT615" s="190">
        <f t="shared" si="130"/>
        <v>47492.321589882573</v>
      </c>
      <c r="AU615" s="191">
        <f t="shared" si="130"/>
        <v>48840.957903780065</v>
      </c>
      <c r="AV615" s="193">
        <f t="shared" si="130"/>
        <v>51978.362573099417</v>
      </c>
      <c r="AW615" s="190" t="e">
        <f t="shared" si="130"/>
        <v>#DIV/0!</v>
      </c>
      <c r="AX615" s="191">
        <f t="shared" si="130"/>
        <v>43948.958333333336</v>
      </c>
      <c r="AY615" s="193">
        <f t="shared" si="130"/>
        <v>49860.619047619053</v>
      </c>
      <c r="AZ615" s="190">
        <f t="shared" si="130"/>
        <v>62163.239583333336</v>
      </c>
      <c r="BA615" s="191">
        <f t="shared" si="130"/>
        <v>52657.782101167322</v>
      </c>
      <c r="BB615" s="193">
        <f t="shared" si="130"/>
        <v>51638.997175141245</v>
      </c>
      <c r="BC615" s="190"/>
      <c r="BD615" s="191"/>
      <c r="BE615" s="193"/>
      <c r="BF615" s="190" t="e">
        <f t="shared" ref="BF615:BK615" si="131">(BF614/BF616)/12*1000</f>
        <v>#DIV/0!</v>
      </c>
      <c r="BG615" s="191" t="e">
        <f t="shared" si="131"/>
        <v>#DIV/0!</v>
      </c>
      <c r="BH615" s="193">
        <f t="shared" si="131"/>
        <v>74446.666666666672</v>
      </c>
      <c r="BI615" s="190" t="e">
        <f t="shared" si="131"/>
        <v>#DIV/0!</v>
      </c>
      <c r="BJ615" s="191" t="e">
        <f t="shared" si="131"/>
        <v>#DIV/0!</v>
      </c>
      <c r="BK615" s="192">
        <f t="shared" si="131"/>
        <v>45330.833333333336</v>
      </c>
      <c r="BL615" s="111"/>
      <c r="BM615" s="100"/>
      <c r="BN615" s="112">
        <f>(BN614/BN616)/12*1000</f>
        <v>75247.764476614699</v>
      </c>
      <c r="BO615" s="113">
        <f>(BO614/BO616)/12*1000</f>
        <v>66727.265673494752</v>
      </c>
      <c r="BP615" s="114">
        <f>(BP614/BP616)/12*1000</f>
        <v>103973.90547612372</v>
      </c>
    </row>
    <row r="616" spans="1:68" s="115" customFormat="1" ht="14.25" customHeight="1" outlineLevel="5" x14ac:dyDescent="0.25">
      <c r="A616" s="100"/>
      <c r="B616" s="100"/>
      <c r="C616" s="99" t="s">
        <v>210</v>
      </c>
      <c r="D616" s="99" t="s">
        <v>211</v>
      </c>
      <c r="E616" s="99" t="s">
        <v>73</v>
      </c>
      <c r="F616" s="99" t="s">
        <v>74</v>
      </c>
      <c r="G616" s="99" t="s">
        <v>73</v>
      </c>
      <c r="H616" s="99" t="s">
        <v>340</v>
      </c>
      <c r="I616" s="99" t="s">
        <v>73</v>
      </c>
      <c r="J616" s="99" t="s">
        <v>73</v>
      </c>
      <c r="K616" s="102" t="s">
        <v>73</v>
      </c>
      <c r="L616" s="99" t="s">
        <v>192</v>
      </c>
      <c r="M616" s="100" t="str">
        <f t="array" ref="M616">Y460</f>
        <v>1ВО::1.1</v>
      </c>
      <c r="N616" s="100"/>
      <c r="O616" s="100"/>
      <c r="P616" s="100"/>
      <c r="Q616" s="100"/>
      <c r="R616" s="100"/>
      <c r="S616" s="100"/>
      <c r="T616" s="100"/>
      <c r="U616" s="100"/>
      <c r="V616" s="100"/>
      <c r="W616" s="100"/>
      <c r="X616" s="100"/>
      <c r="Y616" s="100"/>
      <c r="Z616" s="100"/>
      <c r="AA616" s="100"/>
      <c r="AB616" s="418" t="str">
        <f>AB614&amp;".2"</f>
        <v>3.1.1.3.2.1.2</v>
      </c>
      <c r="AC616" s="447" t="s">
        <v>212</v>
      </c>
      <c r="AD616" s="448" t="s">
        <v>213</v>
      </c>
      <c r="AE616" s="190">
        <v>69.98</v>
      </c>
      <c r="AF616" s="200">
        <v>41.79</v>
      </c>
      <c r="AG616" s="201">
        <v>41.79</v>
      </c>
      <c r="AH616" s="190"/>
      <c r="AI616" s="200"/>
      <c r="AJ616" s="201"/>
      <c r="AK616" s="190"/>
      <c r="AL616" s="200"/>
      <c r="AM616" s="202"/>
      <c r="AN616" s="190">
        <v>4.0599999999999996</v>
      </c>
      <c r="AO616" s="200">
        <v>0.8</v>
      </c>
      <c r="AP616" s="202">
        <v>3.9</v>
      </c>
      <c r="AQ616" s="190">
        <v>4.07</v>
      </c>
      <c r="AR616" s="200">
        <v>0.44</v>
      </c>
      <c r="AS616" s="202">
        <v>4.9000000000000004</v>
      </c>
      <c r="AT616" s="190">
        <v>3.69</v>
      </c>
      <c r="AU616" s="200">
        <v>7.76</v>
      </c>
      <c r="AV616" s="202">
        <v>5.7</v>
      </c>
      <c r="AW616" s="190"/>
      <c r="AX616" s="200">
        <v>0.8</v>
      </c>
      <c r="AY616" s="202">
        <v>1.75</v>
      </c>
      <c r="AZ616" s="190">
        <v>8</v>
      </c>
      <c r="BA616" s="200">
        <v>12.85</v>
      </c>
      <c r="BB616" s="202">
        <v>11.8</v>
      </c>
      <c r="BC616" s="190"/>
      <c r="BD616" s="200"/>
      <c r="BE616" s="202"/>
      <c r="BF616" s="197"/>
      <c r="BG616" s="204"/>
      <c r="BH616" s="205">
        <v>0.5</v>
      </c>
      <c r="BI616" s="197"/>
      <c r="BJ616" s="204"/>
      <c r="BK616" s="207">
        <v>1</v>
      </c>
      <c r="BL616" s="111"/>
      <c r="BM616" s="100"/>
      <c r="BN616" s="112">
        <f t="shared" ref="BN616:BP617" si="132">AE616+AH616+AK616+AN616+AQ616+AT616+AW616+AZ616+BC616+BF616+BI616</f>
        <v>89.800000000000011</v>
      </c>
      <c r="BO616" s="113">
        <f t="shared" si="132"/>
        <v>64.439999999999984</v>
      </c>
      <c r="BP616" s="114">
        <f t="shared" si="132"/>
        <v>71.34</v>
      </c>
    </row>
    <row r="617" spans="1:68" ht="14.25" customHeight="1" outlineLevel="5" x14ac:dyDescent="0.25">
      <c r="C617" s="10" t="s">
        <v>83</v>
      </c>
      <c r="D617" s="10" t="s">
        <v>84</v>
      </c>
      <c r="E617" s="10" t="s">
        <v>73</v>
      </c>
      <c r="F617" s="10" t="s">
        <v>74</v>
      </c>
      <c r="G617" s="10" t="s">
        <v>214</v>
      </c>
      <c r="H617" s="10" t="s">
        <v>340</v>
      </c>
      <c r="I617" s="10" t="s">
        <v>73</v>
      </c>
      <c r="J617" s="10" t="s">
        <v>73</v>
      </c>
      <c r="K617" s="12" t="s">
        <v>73</v>
      </c>
      <c r="L617" s="10" t="s">
        <v>192</v>
      </c>
      <c r="M617" s="5" t="str">
        <f t="array" ref="M617">Y460</f>
        <v>1ВО::1.1</v>
      </c>
      <c r="AB617" s="403" t="str">
        <f>AB613&amp;".2"</f>
        <v>3.1.1.3.2.2</v>
      </c>
      <c r="AC617" s="444" t="s">
        <v>343</v>
      </c>
      <c r="AD617" s="32" t="s">
        <v>111</v>
      </c>
      <c r="AE617" s="72">
        <v>20218.689999999999</v>
      </c>
      <c r="AF617" s="178">
        <v>11434.34</v>
      </c>
      <c r="AG617" s="96">
        <v>21324.3</v>
      </c>
      <c r="AH617" s="72"/>
      <c r="AI617" s="178"/>
      <c r="AJ617" s="96"/>
      <c r="AK617" s="72"/>
      <c r="AL617" s="178"/>
      <c r="AM617" s="181"/>
      <c r="AN617" s="72">
        <v>860.57</v>
      </c>
      <c r="AO617" s="178">
        <v>126.11</v>
      </c>
      <c r="AP617" s="181">
        <v>732.07</v>
      </c>
      <c r="AQ617" s="72">
        <v>971.67</v>
      </c>
      <c r="AR617" s="178">
        <v>69.28</v>
      </c>
      <c r="AS617" s="181">
        <v>927.29</v>
      </c>
      <c r="AT617" s="72">
        <v>635.1</v>
      </c>
      <c r="AU617" s="178">
        <v>1373.52</v>
      </c>
      <c r="AV617" s="181">
        <v>1073.71</v>
      </c>
      <c r="AW617" s="72"/>
      <c r="AX617" s="178">
        <v>127.4</v>
      </c>
      <c r="AY617" s="181">
        <f>AY614*30.2%</f>
        <v>316.21604600000001</v>
      </c>
      <c r="AZ617" s="72">
        <f>AZ614*30.2%</f>
        <v>1802.2366420000001</v>
      </c>
      <c r="BA617" s="178">
        <f>BA614*30.2%</f>
        <v>2452.1886599999998</v>
      </c>
      <c r="BB617" s="181">
        <f>BB614*30.2%</f>
        <v>2208.2487639999999</v>
      </c>
      <c r="BC617" s="72"/>
      <c r="BD617" s="178"/>
      <c r="BE617" s="181"/>
      <c r="BF617" s="142"/>
      <c r="BG617" s="183"/>
      <c r="BH617" s="184">
        <v>134.9</v>
      </c>
      <c r="BI617" s="142"/>
      <c r="BJ617" s="183"/>
      <c r="BK617" s="186">
        <v>164.28</v>
      </c>
      <c r="BN617" s="125">
        <f t="shared" si="132"/>
        <v>24488.266641999995</v>
      </c>
      <c r="BO617" s="126">
        <f t="shared" si="132"/>
        <v>15582.838660000001</v>
      </c>
      <c r="BP617" s="127">
        <f t="shared" si="132"/>
        <v>26881.014810000001</v>
      </c>
    </row>
    <row r="618" spans="1:68" ht="14.25" customHeight="1" outlineLevel="5" x14ac:dyDescent="0.25">
      <c r="C618" s="10" t="s">
        <v>216</v>
      </c>
      <c r="D618" s="10" t="s">
        <v>217</v>
      </c>
      <c r="E618" s="10" t="s">
        <v>73</v>
      </c>
      <c r="F618" s="10" t="s">
        <v>74</v>
      </c>
      <c r="G618" s="10" t="s">
        <v>73</v>
      </c>
      <c r="H618" s="10" t="s">
        <v>340</v>
      </c>
      <c r="I618" s="10" t="s">
        <v>73</v>
      </c>
      <c r="J618" s="10" t="s">
        <v>73</v>
      </c>
      <c r="K618" s="12" t="s">
        <v>73</v>
      </c>
      <c r="L618" s="10" t="s">
        <v>192</v>
      </c>
      <c r="M618" s="5" t="str">
        <f t="array" ref="M618">Y460</f>
        <v>1ВО::1.1</v>
      </c>
      <c r="AB618" s="403" t="str">
        <f>AB617&amp;".1"</f>
        <v>3.1.1.3.2.2.1</v>
      </c>
      <c r="AC618" s="449" t="s">
        <v>218</v>
      </c>
      <c r="AD618" s="32" t="s">
        <v>119</v>
      </c>
      <c r="AE618" s="72">
        <v>30.2</v>
      </c>
      <c r="AF618" s="73">
        <v>30.2</v>
      </c>
      <c r="AG618" s="74">
        <v>30.2</v>
      </c>
      <c r="AH618" s="72"/>
      <c r="AI618" s="73"/>
      <c r="AJ618" s="74">
        <v>30.2</v>
      </c>
      <c r="AK618" s="72"/>
      <c r="AL618" s="73"/>
      <c r="AM618" s="138"/>
      <c r="AN618" s="72">
        <v>30.2</v>
      </c>
      <c r="AO618" s="73">
        <v>30.2</v>
      </c>
      <c r="AP618" s="138">
        <v>30.2</v>
      </c>
      <c r="AQ618" s="72">
        <v>30.2</v>
      </c>
      <c r="AR618" s="73">
        <v>30.2</v>
      </c>
      <c r="AS618" s="138">
        <v>30.2</v>
      </c>
      <c r="AT618" s="72">
        <v>30.2</v>
      </c>
      <c r="AU618" s="73">
        <v>30.2</v>
      </c>
      <c r="AV618" s="138">
        <v>30.2</v>
      </c>
      <c r="AW618" s="72">
        <v>30.2</v>
      </c>
      <c r="AX618" s="73">
        <v>30.2</v>
      </c>
      <c r="AY618" s="138">
        <v>30.2</v>
      </c>
      <c r="AZ618" s="72">
        <v>30.2</v>
      </c>
      <c r="BA618" s="73">
        <v>30.2</v>
      </c>
      <c r="BB618" s="138">
        <v>30.2</v>
      </c>
      <c r="BC618" s="72">
        <v>30.2</v>
      </c>
      <c r="BD618" s="73">
        <v>30.2</v>
      </c>
      <c r="BE618" s="138">
        <v>30.2</v>
      </c>
      <c r="BF618" s="142">
        <v>30.2</v>
      </c>
      <c r="BG618" s="140">
        <v>30.2</v>
      </c>
      <c r="BH618" s="141">
        <v>30.2</v>
      </c>
      <c r="BI618" s="142">
        <v>30.2</v>
      </c>
      <c r="BJ618" s="140">
        <v>30.2</v>
      </c>
      <c r="BK618" s="143">
        <v>30.2</v>
      </c>
      <c r="BN618" s="125">
        <v>30.2</v>
      </c>
      <c r="BO618" s="126">
        <v>30.2</v>
      </c>
      <c r="BP618" s="127">
        <v>30.2</v>
      </c>
    </row>
    <row r="619" spans="1:68" ht="28.5" hidden="1" customHeight="1" outlineLevel="4" x14ac:dyDescent="0.25">
      <c r="C619" s="10" t="s">
        <v>83</v>
      </c>
      <c r="D619" s="10" t="s">
        <v>84</v>
      </c>
      <c r="E619" s="10" t="s">
        <v>73</v>
      </c>
      <c r="F619" s="10" t="s">
        <v>74</v>
      </c>
      <c r="G619" s="10" t="s">
        <v>344</v>
      </c>
      <c r="H619" s="10" t="s">
        <v>73</v>
      </c>
      <c r="I619" s="10" t="s">
        <v>73</v>
      </c>
      <c r="J619" s="10" t="s">
        <v>73</v>
      </c>
      <c r="K619" s="12" t="s">
        <v>73</v>
      </c>
      <c r="L619" s="10" t="s">
        <v>192</v>
      </c>
      <c r="M619" s="5" t="str">
        <f t="array" ref="M619">Y460</f>
        <v>1ВО::1.1</v>
      </c>
      <c r="AB619" s="403" t="str">
        <f>AB604&amp;".3"</f>
        <v>3.1.1.3.3</v>
      </c>
      <c r="AC619" s="442" t="s">
        <v>344</v>
      </c>
      <c r="AD619" s="32" t="s">
        <v>111</v>
      </c>
      <c r="AE619" s="72"/>
      <c r="AF619" s="178"/>
      <c r="AG619" s="96"/>
      <c r="AH619" s="72"/>
      <c r="AI619" s="178"/>
      <c r="AJ619" s="96"/>
      <c r="AK619" s="72"/>
      <c r="AL619" s="178"/>
      <c r="AM619" s="181"/>
      <c r="AN619" s="72"/>
      <c r="AO619" s="178"/>
      <c r="AP619" s="181"/>
      <c r="AQ619" s="72"/>
      <c r="AR619" s="178"/>
      <c r="AS619" s="181"/>
      <c r="AT619" s="72"/>
      <c r="AU619" s="178"/>
      <c r="AV619" s="181"/>
      <c r="AW619" s="72"/>
      <c r="AX619" s="178"/>
      <c r="AY619" s="181"/>
      <c r="AZ619" s="72"/>
      <c r="BA619" s="178"/>
      <c r="BB619" s="181"/>
      <c r="BC619" s="72"/>
      <c r="BD619" s="178"/>
      <c r="BE619" s="181"/>
      <c r="BF619" s="142"/>
      <c r="BG619" s="183"/>
      <c r="BH619" s="184"/>
      <c r="BI619" s="142"/>
      <c r="BJ619" s="183"/>
      <c r="BK619" s="186"/>
      <c r="BN619" s="125">
        <f t="shared" ref="BN619:BN645" si="133">AE619+AH619+AK619+AN619+AQ619+AT619+AW619+AZ619+BC619+BF619+BI619</f>
        <v>0</v>
      </c>
      <c r="BO619" s="126">
        <f t="shared" ref="BO619:BO645" si="134">AF619+AI619+AL619+AO619+AR619+AU619+AX619+BA619+BD619+BG619+BJ619</f>
        <v>0</v>
      </c>
      <c r="BP619" s="127">
        <f t="shared" ref="BP619:BP645" si="135">AG619+AJ619+AM619+AP619+AS619+AV619+AY619+BB619+BE619+BH619+BK619</f>
        <v>0</v>
      </c>
    </row>
    <row r="620" spans="1:68" ht="14.25" customHeight="1" outlineLevel="4" x14ac:dyDescent="0.25">
      <c r="C620" s="10" t="s">
        <v>83</v>
      </c>
      <c r="D620" s="10" t="s">
        <v>84</v>
      </c>
      <c r="E620" s="10" t="s">
        <v>73</v>
      </c>
      <c r="F620" s="10" t="s">
        <v>74</v>
      </c>
      <c r="G620" s="10" t="s">
        <v>345</v>
      </c>
      <c r="H620" s="10" t="s">
        <v>73</v>
      </c>
      <c r="I620" s="10" t="s">
        <v>73</v>
      </c>
      <c r="J620" s="10" t="s">
        <v>73</v>
      </c>
      <c r="K620" s="12" t="s">
        <v>73</v>
      </c>
      <c r="L620" s="10" t="s">
        <v>192</v>
      </c>
      <c r="M620" s="5" t="str">
        <f t="array" ref="M620">Y460</f>
        <v>1ВО::1.1</v>
      </c>
      <c r="AB620" s="403" t="str">
        <f>AB604&amp;".4"</f>
        <v>3.1.1.3.4</v>
      </c>
      <c r="AC620" s="442" t="s">
        <v>346</v>
      </c>
      <c r="AD620" s="32" t="s">
        <v>111</v>
      </c>
      <c r="AE620" s="72">
        <v>478.06</v>
      </c>
      <c r="AF620" s="178">
        <v>331.96</v>
      </c>
      <c r="AG620" s="96">
        <v>350.65</v>
      </c>
      <c r="AH620" s="72"/>
      <c r="AI620" s="178"/>
      <c r="AJ620" s="96"/>
      <c r="AK620" s="72"/>
      <c r="AL620" s="178"/>
      <c r="AM620" s="181"/>
      <c r="AN620" s="72"/>
      <c r="AO620" s="178"/>
      <c r="AP620" s="181"/>
      <c r="AQ620" s="72"/>
      <c r="AR620" s="178"/>
      <c r="AS620" s="181"/>
      <c r="AT620" s="72"/>
      <c r="AU620" s="178"/>
      <c r="AV620" s="181"/>
      <c r="AW620" s="72"/>
      <c r="AX620" s="178"/>
      <c r="AY620" s="181"/>
      <c r="AZ620" s="72"/>
      <c r="BA620" s="178"/>
      <c r="BB620" s="181"/>
      <c r="BC620" s="72"/>
      <c r="BD620" s="178"/>
      <c r="BE620" s="181"/>
      <c r="BF620" s="142"/>
      <c r="BG620" s="183"/>
      <c r="BH620" s="184"/>
      <c r="BI620" s="142"/>
      <c r="BJ620" s="183"/>
      <c r="BK620" s="186"/>
      <c r="BN620" s="125">
        <f t="shared" si="133"/>
        <v>478.06</v>
      </c>
      <c r="BO620" s="126">
        <f t="shared" si="134"/>
        <v>331.96</v>
      </c>
      <c r="BP620" s="127">
        <f t="shared" si="135"/>
        <v>350.65</v>
      </c>
    </row>
    <row r="621" spans="1:68" s="211" customFormat="1" ht="14.25" customHeight="1" outlineLevel="4" x14ac:dyDescent="0.25">
      <c r="A621" s="6"/>
      <c r="B621" s="6"/>
      <c r="C621" s="116" t="s">
        <v>83</v>
      </c>
      <c r="D621" s="116" t="s">
        <v>84</v>
      </c>
      <c r="E621" s="116" t="s">
        <v>73</v>
      </c>
      <c r="F621" s="116" t="s">
        <v>74</v>
      </c>
      <c r="G621" s="116" t="s">
        <v>347</v>
      </c>
      <c r="H621" s="116" t="s">
        <v>73</v>
      </c>
      <c r="I621" s="116" t="s">
        <v>73</v>
      </c>
      <c r="J621" s="116" t="s">
        <v>73</v>
      </c>
      <c r="K621" s="209" t="s">
        <v>73</v>
      </c>
      <c r="L621" s="116" t="s">
        <v>192</v>
      </c>
      <c r="M621" s="6" t="str">
        <f t="array" ref="M621">Y460</f>
        <v>1ВО::1.1</v>
      </c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403" t="str">
        <f>AB604&amp;".5"</f>
        <v>3.1.1.3.5</v>
      </c>
      <c r="AC621" s="442" t="s">
        <v>348</v>
      </c>
      <c r="AD621" s="32" t="s">
        <v>111</v>
      </c>
      <c r="AE621" s="72"/>
      <c r="AF621" s="178">
        <v>324.33</v>
      </c>
      <c r="AG621" s="96">
        <v>342.59</v>
      </c>
      <c r="AH621" s="72"/>
      <c r="AI621" s="178"/>
      <c r="AJ621" s="96"/>
      <c r="AK621" s="72"/>
      <c r="AL621" s="178"/>
      <c r="AM621" s="181"/>
      <c r="AN621" s="72">
        <v>2.5</v>
      </c>
      <c r="AO621" s="178"/>
      <c r="AP621" s="181">
        <v>3.54</v>
      </c>
      <c r="AQ621" s="72">
        <v>9.25</v>
      </c>
      <c r="AR621" s="178"/>
      <c r="AS621" s="181">
        <v>5.0199999999999996</v>
      </c>
      <c r="AT621" s="72">
        <v>10.45</v>
      </c>
      <c r="AU621" s="178"/>
      <c r="AV621" s="181"/>
      <c r="AW621" s="72">
        <v>22.2</v>
      </c>
      <c r="AX621" s="178"/>
      <c r="AY621" s="181">
        <v>9.68</v>
      </c>
      <c r="AZ621" s="72">
        <v>20.36</v>
      </c>
      <c r="BA621" s="178">
        <v>15.7</v>
      </c>
      <c r="BB621" s="181">
        <v>7.4340000000000002</v>
      </c>
      <c r="BC621" s="72">
        <v>52.21</v>
      </c>
      <c r="BD621" s="178">
        <v>2.35</v>
      </c>
      <c r="BE621" s="181">
        <v>62.51</v>
      </c>
      <c r="BF621" s="142">
        <v>5</v>
      </c>
      <c r="BG621" s="183"/>
      <c r="BH621" s="184">
        <v>1.82</v>
      </c>
      <c r="BI621" s="142">
        <v>2.645</v>
      </c>
      <c r="BJ621" s="183">
        <v>2.35</v>
      </c>
      <c r="BK621" s="186">
        <v>2.0499999999999998</v>
      </c>
      <c r="BL621" s="6"/>
      <c r="BM621" s="6"/>
      <c r="BN621" s="125">
        <f t="shared" si="133"/>
        <v>124.61499999999999</v>
      </c>
      <c r="BO621" s="126">
        <f t="shared" si="134"/>
        <v>344.73</v>
      </c>
      <c r="BP621" s="127">
        <f t="shared" si="135"/>
        <v>434.64400000000001</v>
      </c>
    </row>
    <row r="622" spans="1:68" ht="14.25" hidden="1" customHeight="1" outlineLevel="4" x14ac:dyDescent="0.25">
      <c r="C622" s="10" t="s">
        <v>83</v>
      </c>
      <c r="D622" s="10" t="s">
        <v>84</v>
      </c>
      <c r="E622" s="10" t="s">
        <v>73</v>
      </c>
      <c r="F622" s="10" t="s">
        <v>74</v>
      </c>
      <c r="G622" s="10" t="s">
        <v>349</v>
      </c>
      <c r="H622" s="10" t="s">
        <v>73</v>
      </c>
      <c r="I622" s="10" t="s">
        <v>73</v>
      </c>
      <c r="J622" s="10" t="s">
        <v>73</v>
      </c>
      <c r="K622" s="12" t="s">
        <v>73</v>
      </c>
      <c r="L622" s="10" t="s">
        <v>192</v>
      </c>
      <c r="M622" s="5" t="str">
        <f t="array" ref="M622">Y460</f>
        <v>1ВО::1.1</v>
      </c>
      <c r="AB622" s="403" t="str">
        <f>AB604&amp;".6"</f>
        <v>3.1.1.3.6</v>
      </c>
      <c r="AC622" s="442" t="s">
        <v>350</v>
      </c>
      <c r="AD622" s="32" t="s">
        <v>111</v>
      </c>
      <c r="AE622" s="72"/>
      <c r="AF622" s="178"/>
      <c r="AG622" s="96">
        <v>0</v>
      </c>
      <c r="AH622" s="72"/>
      <c r="AI622" s="178"/>
      <c r="AJ622" s="96"/>
      <c r="AK622" s="72"/>
      <c r="AL622" s="178"/>
      <c r="AM622" s="181"/>
      <c r="AN622" s="72"/>
      <c r="AO622" s="178"/>
      <c r="AP622" s="181"/>
      <c r="AQ622" s="72"/>
      <c r="AR622" s="178"/>
      <c r="AS622" s="181"/>
      <c r="AT622" s="72"/>
      <c r="AU622" s="178"/>
      <c r="AV622" s="181"/>
      <c r="AW622" s="72"/>
      <c r="AX622" s="178"/>
      <c r="AY622" s="181"/>
      <c r="AZ622" s="72"/>
      <c r="BA622" s="178"/>
      <c r="BB622" s="181"/>
      <c r="BC622" s="72"/>
      <c r="BD622" s="178"/>
      <c r="BE622" s="181"/>
      <c r="BF622" s="142"/>
      <c r="BG622" s="183"/>
      <c r="BH622" s="184"/>
      <c r="BI622" s="142"/>
      <c r="BJ622" s="183"/>
      <c r="BK622" s="186"/>
      <c r="BN622" s="125">
        <f t="shared" si="133"/>
        <v>0</v>
      </c>
      <c r="BO622" s="126">
        <f t="shared" si="134"/>
        <v>0</v>
      </c>
      <c r="BP622" s="127">
        <f t="shared" si="135"/>
        <v>0</v>
      </c>
    </row>
    <row r="623" spans="1:68" ht="14.25" customHeight="1" outlineLevel="4" x14ac:dyDescent="0.25">
      <c r="C623" s="10" t="s">
        <v>83</v>
      </c>
      <c r="D623" s="10" t="s">
        <v>84</v>
      </c>
      <c r="E623" s="10" t="s">
        <v>73</v>
      </c>
      <c r="F623" s="10" t="s">
        <v>74</v>
      </c>
      <c r="G623" s="10" t="s">
        <v>351</v>
      </c>
      <c r="H623" s="10" t="s">
        <v>73</v>
      </c>
      <c r="I623" s="10" t="s">
        <v>73</v>
      </c>
      <c r="J623" s="10" t="s">
        <v>73</v>
      </c>
      <c r="K623" s="12" t="s">
        <v>73</v>
      </c>
      <c r="L623" s="10" t="s">
        <v>192</v>
      </c>
      <c r="M623" s="5" t="str">
        <f t="array" ref="M623">Y460</f>
        <v>1ВО::1.1</v>
      </c>
      <c r="AB623" s="403" t="str">
        <f>AB604&amp;".7"</f>
        <v>3.1.1.3.7</v>
      </c>
      <c r="AC623" s="442" t="s">
        <v>352</v>
      </c>
      <c r="AD623" s="32" t="s">
        <v>111</v>
      </c>
      <c r="AE623" s="175">
        <f t="shared" ref="AE623:BK623" si="136">AE630</f>
        <v>14441.07</v>
      </c>
      <c r="AF623" s="73">
        <f t="shared" si="136"/>
        <v>4969.2299999999996</v>
      </c>
      <c r="AG623" s="179">
        <f t="shared" si="136"/>
        <v>5248.99</v>
      </c>
      <c r="AH623" s="175">
        <f t="shared" si="136"/>
        <v>74.72</v>
      </c>
      <c r="AI623" s="73">
        <f t="shared" si="136"/>
        <v>0</v>
      </c>
      <c r="AJ623" s="179">
        <f t="shared" si="136"/>
        <v>77.84</v>
      </c>
      <c r="AK623" s="175">
        <f t="shared" si="136"/>
        <v>0</v>
      </c>
      <c r="AL623" s="73">
        <f t="shared" si="136"/>
        <v>0</v>
      </c>
      <c r="AM623" s="179">
        <f t="shared" si="136"/>
        <v>0</v>
      </c>
      <c r="AN623" s="175">
        <f t="shared" si="136"/>
        <v>9.89</v>
      </c>
      <c r="AO623" s="73">
        <f t="shared" si="136"/>
        <v>2.29</v>
      </c>
      <c r="AP623" s="179">
        <f t="shared" si="136"/>
        <v>23.540000000000003</v>
      </c>
      <c r="AQ623" s="175">
        <f t="shared" si="136"/>
        <v>35.06</v>
      </c>
      <c r="AR623" s="73">
        <f t="shared" si="136"/>
        <v>5.52</v>
      </c>
      <c r="AS623" s="179">
        <f t="shared" si="136"/>
        <v>151.6</v>
      </c>
      <c r="AT623" s="175">
        <f t="shared" si="136"/>
        <v>32.629999999999995</v>
      </c>
      <c r="AU623" s="73">
        <f t="shared" si="136"/>
        <v>0</v>
      </c>
      <c r="AV623" s="179">
        <f t="shared" si="136"/>
        <v>0</v>
      </c>
      <c r="AW623" s="175">
        <f t="shared" si="136"/>
        <v>139.97699999999998</v>
      </c>
      <c r="AX623" s="73">
        <f t="shared" si="136"/>
        <v>0</v>
      </c>
      <c r="AY623" s="179">
        <f t="shared" si="136"/>
        <v>239.41099999999997</v>
      </c>
      <c r="AZ623" s="175">
        <f t="shared" si="136"/>
        <v>246.98200000000003</v>
      </c>
      <c r="BA623" s="73">
        <f t="shared" si="136"/>
        <v>426.02</v>
      </c>
      <c r="BB623" s="179">
        <f t="shared" si="136"/>
        <v>472.69100000000003</v>
      </c>
      <c r="BC623" s="175">
        <f t="shared" si="136"/>
        <v>217.93000000000004</v>
      </c>
      <c r="BD623" s="73">
        <f t="shared" si="136"/>
        <v>176.42000000000002</v>
      </c>
      <c r="BE623" s="179">
        <f t="shared" si="136"/>
        <v>529.79999999999995</v>
      </c>
      <c r="BF623" s="175">
        <f t="shared" si="136"/>
        <v>12.760000000000002</v>
      </c>
      <c r="BG623" s="73">
        <f t="shared" si="136"/>
        <v>11.43</v>
      </c>
      <c r="BH623" s="179">
        <f t="shared" si="136"/>
        <v>116.97000000000001</v>
      </c>
      <c r="BI623" s="175">
        <f t="shared" si="136"/>
        <v>241.29500000000002</v>
      </c>
      <c r="BJ623" s="73">
        <f t="shared" si="136"/>
        <v>111.03</v>
      </c>
      <c r="BK623" s="176">
        <f t="shared" si="136"/>
        <v>351.77</v>
      </c>
      <c r="BN623" s="125">
        <f t="shared" si="133"/>
        <v>15452.313999999998</v>
      </c>
      <c r="BO623" s="126">
        <f t="shared" si="134"/>
        <v>5701.94</v>
      </c>
      <c r="BP623" s="127">
        <f t="shared" si="135"/>
        <v>7212.612000000001</v>
      </c>
    </row>
    <row r="624" spans="1:68" ht="18" hidden="1" customHeight="1" outlineLevel="5" x14ac:dyDescent="0.25">
      <c r="C624" s="10" t="s">
        <v>83</v>
      </c>
      <c r="D624" s="10" t="s">
        <v>84</v>
      </c>
      <c r="E624" s="10" t="s">
        <v>73</v>
      </c>
      <c r="F624" s="10" t="s">
        <v>74</v>
      </c>
      <c r="G624" s="10" t="s">
        <v>353</v>
      </c>
      <c r="H624" s="10" t="s">
        <v>73</v>
      </c>
      <c r="I624" s="10" t="s">
        <v>73</v>
      </c>
      <c r="J624" s="10" t="s">
        <v>73</v>
      </c>
      <c r="K624" s="12" t="s">
        <v>73</v>
      </c>
      <c r="L624" s="10" t="s">
        <v>192</v>
      </c>
      <c r="M624" s="5" t="str">
        <f t="array" ref="M624">Y460</f>
        <v>1ВО::1.1</v>
      </c>
      <c r="AB624" s="403" t="str">
        <f>AB623&amp;".1"</f>
        <v>3.1.1.3.7.1</v>
      </c>
      <c r="AC624" s="444" t="s">
        <v>354</v>
      </c>
      <c r="AD624" s="32" t="s">
        <v>111</v>
      </c>
      <c r="AE624" s="72"/>
      <c r="AF624" s="178"/>
      <c r="AG624" s="96"/>
      <c r="AH624" s="72"/>
      <c r="AI624" s="178"/>
      <c r="AJ624" s="96"/>
      <c r="AK624" s="72"/>
      <c r="AL624" s="178"/>
      <c r="AM624" s="181"/>
      <c r="AN624" s="72"/>
      <c r="AO624" s="178"/>
      <c r="AP624" s="181"/>
      <c r="AQ624" s="72"/>
      <c r="AR624" s="178"/>
      <c r="AS624" s="181"/>
      <c r="AT624" s="72"/>
      <c r="AU624" s="178"/>
      <c r="AV624" s="181"/>
      <c r="AW624" s="72"/>
      <c r="AX624" s="178"/>
      <c r="AY624" s="181"/>
      <c r="AZ624" s="72"/>
      <c r="BA624" s="178"/>
      <c r="BB624" s="181"/>
      <c r="BC624" s="72"/>
      <c r="BD624" s="178"/>
      <c r="BE624" s="181"/>
      <c r="BF624" s="72"/>
      <c r="BG624" s="178"/>
      <c r="BH624" s="181"/>
      <c r="BI624" s="72"/>
      <c r="BJ624" s="178"/>
      <c r="BK624" s="96"/>
      <c r="BN624" s="125">
        <f t="shared" si="133"/>
        <v>0</v>
      </c>
      <c r="BO624" s="126">
        <f t="shared" si="134"/>
        <v>0</v>
      </c>
      <c r="BP624" s="127">
        <f t="shared" si="135"/>
        <v>0</v>
      </c>
    </row>
    <row r="625" spans="1:68" ht="36.75" hidden="1" customHeight="1" outlineLevel="5" x14ac:dyDescent="0.25">
      <c r="C625" s="10" t="s">
        <v>83</v>
      </c>
      <c r="D625" s="10" t="s">
        <v>84</v>
      </c>
      <c r="E625" s="10" t="s">
        <v>73</v>
      </c>
      <c r="F625" s="10" t="s">
        <v>74</v>
      </c>
      <c r="G625" s="10" t="s">
        <v>355</v>
      </c>
      <c r="H625" s="10" t="s">
        <v>73</v>
      </c>
      <c r="I625" s="10" t="s">
        <v>73</v>
      </c>
      <c r="J625" s="10" t="s">
        <v>73</v>
      </c>
      <c r="K625" s="12" t="s">
        <v>73</v>
      </c>
      <c r="L625" s="10" t="s">
        <v>192</v>
      </c>
      <c r="M625" s="5" t="str">
        <f t="array" ref="M625">Y460</f>
        <v>1ВО::1.1</v>
      </c>
      <c r="AB625" s="403" t="str">
        <f>AB623&amp;".2"</f>
        <v>3.1.1.3.7.2</v>
      </c>
      <c r="AC625" s="444" t="s">
        <v>356</v>
      </c>
      <c r="AD625" s="32" t="s">
        <v>111</v>
      </c>
      <c r="AE625" s="72"/>
      <c r="AF625" s="178"/>
      <c r="AG625" s="96"/>
      <c r="AH625" s="72"/>
      <c r="AI625" s="178"/>
      <c r="AJ625" s="96"/>
      <c r="AK625" s="72"/>
      <c r="AL625" s="178"/>
      <c r="AM625" s="181"/>
      <c r="AN625" s="72"/>
      <c r="AO625" s="178"/>
      <c r="AP625" s="181"/>
      <c r="AQ625" s="72"/>
      <c r="AR625" s="178"/>
      <c r="AS625" s="181"/>
      <c r="AT625" s="72"/>
      <c r="AU625" s="178"/>
      <c r="AV625" s="181"/>
      <c r="AW625" s="72"/>
      <c r="AX625" s="178"/>
      <c r="AY625" s="181"/>
      <c r="AZ625" s="72"/>
      <c r="BA625" s="178"/>
      <c r="BB625" s="181"/>
      <c r="BC625" s="72"/>
      <c r="BD625" s="178"/>
      <c r="BE625" s="181"/>
      <c r="BF625" s="72"/>
      <c r="BG625" s="178"/>
      <c r="BH625" s="181"/>
      <c r="BI625" s="72"/>
      <c r="BJ625" s="178"/>
      <c r="BK625" s="96"/>
      <c r="BN625" s="125">
        <f t="shared" si="133"/>
        <v>0</v>
      </c>
      <c r="BO625" s="126">
        <f t="shared" si="134"/>
        <v>0</v>
      </c>
      <c r="BP625" s="127">
        <f t="shared" si="135"/>
        <v>0</v>
      </c>
    </row>
    <row r="626" spans="1:68" ht="18" hidden="1" customHeight="1" outlineLevel="5" x14ac:dyDescent="0.25">
      <c r="C626" s="10" t="s">
        <v>83</v>
      </c>
      <c r="D626" s="10" t="s">
        <v>84</v>
      </c>
      <c r="E626" s="10" t="s">
        <v>73</v>
      </c>
      <c r="F626" s="10" t="s">
        <v>74</v>
      </c>
      <c r="G626" s="10" t="s">
        <v>357</v>
      </c>
      <c r="H626" s="10" t="s">
        <v>73</v>
      </c>
      <c r="I626" s="10" t="s">
        <v>73</v>
      </c>
      <c r="J626" s="10" t="s">
        <v>73</v>
      </c>
      <c r="K626" s="12" t="s">
        <v>73</v>
      </c>
      <c r="L626" s="10" t="s">
        <v>192</v>
      </c>
      <c r="M626" s="5" t="str">
        <f t="array" ref="M626">Y460</f>
        <v>1ВО::1.1</v>
      </c>
      <c r="AB626" s="403" t="str">
        <f>AB623&amp;".3"</f>
        <v>3.1.1.3.7.3</v>
      </c>
      <c r="AC626" s="444" t="s">
        <v>358</v>
      </c>
      <c r="AD626" s="32" t="s">
        <v>111</v>
      </c>
      <c r="AE626" s="72"/>
      <c r="AF626" s="178"/>
      <c r="AG626" s="96"/>
      <c r="AH626" s="72"/>
      <c r="AI626" s="178"/>
      <c r="AJ626" s="96"/>
      <c r="AK626" s="72"/>
      <c r="AL626" s="178"/>
      <c r="AM626" s="181"/>
      <c r="AN626" s="72"/>
      <c r="AO626" s="178"/>
      <c r="AP626" s="181"/>
      <c r="AQ626" s="72"/>
      <c r="AR626" s="178"/>
      <c r="AS626" s="181"/>
      <c r="AT626" s="72"/>
      <c r="AU626" s="178"/>
      <c r="AV626" s="181"/>
      <c r="AW626" s="72"/>
      <c r="AX626" s="178"/>
      <c r="AY626" s="181"/>
      <c r="AZ626" s="72"/>
      <c r="BA626" s="178"/>
      <c r="BB626" s="181"/>
      <c r="BC626" s="72"/>
      <c r="BD626" s="178"/>
      <c r="BE626" s="181"/>
      <c r="BF626" s="72"/>
      <c r="BG626" s="178"/>
      <c r="BH626" s="181"/>
      <c r="BI626" s="72"/>
      <c r="BJ626" s="178"/>
      <c r="BK626" s="96"/>
      <c r="BN626" s="125">
        <f t="shared" si="133"/>
        <v>0</v>
      </c>
      <c r="BO626" s="126">
        <f t="shared" si="134"/>
        <v>0</v>
      </c>
      <c r="BP626" s="127">
        <f t="shared" si="135"/>
        <v>0</v>
      </c>
    </row>
    <row r="627" spans="1:68" ht="15.75" hidden="1" customHeight="1" outlineLevel="5" x14ac:dyDescent="0.25">
      <c r="C627" s="10" t="s">
        <v>83</v>
      </c>
      <c r="D627" s="10" t="s">
        <v>84</v>
      </c>
      <c r="E627" s="10" t="s">
        <v>73</v>
      </c>
      <c r="F627" s="10" t="s">
        <v>74</v>
      </c>
      <c r="G627" s="10" t="s">
        <v>359</v>
      </c>
      <c r="H627" s="10" t="s">
        <v>73</v>
      </c>
      <c r="I627" s="10" t="s">
        <v>73</v>
      </c>
      <c r="J627" s="10" t="s">
        <v>73</v>
      </c>
      <c r="K627" s="12" t="s">
        <v>73</v>
      </c>
      <c r="L627" s="10" t="s">
        <v>192</v>
      </c>
      <c r="M627" s="5" t="str">
        <f t="array" ref="M627">Y460</f>
        <v>1ВО::1.1</v>
      </c>
      <c r="AB627" s="403" t="str">
        <f>AB623&amp;".4"</f>
        <v>3.1.1.3.7.4</v>
      </c>
      <c r="AC627" s="444" t="s">
        <v>360</v>
      </c>
      <c r="AD627" s="32" t="s">
        <v>111</v>
      </c>
      <c r="AE627" s="72"/>
      <c r="AF627" s="178"/>
      <c r="AG627" s="96"/>
      <c r="AH627" s="72"/>
      <c r="AI627" s="178"/>
      <c r="AJ627" s="96"/>
      <c r="AK627" s="72"/>
      <c r="AL627" s="178"/>
      <c r="AM627" s="181"/>
      <c r="AN627" s="72"/>
      <c r="AO627" s="178"/>
      <c r="AP627" s="181"/>
      <c r="AQ627" s="72"/>
      <c r="AR627" s="178"/>
      <c r="AS627" s="181"/>
      <c r="AT627" s="72"/>
      <c r="AU627" s="178"/>
      <c r="AV627" s="181"/>
      <c r="AW627" s="72"/>
      <c r="AX627" s="178"/>
      <c r="AY627" s="181"/>
      <c r="AZ627" s="72"/>
      <c r="BA627" s="178"/>
      <c r="BB627" s="181"/>
      <c r="BC627" s="72"/>
      <c r="BD627" s="178"/>
      <c r="BE627" s="181"/>
      <c r="BF627" s="72"/>
      <c r="BG627" s="178"/>
      <c r="BH627" s="181"/>
      <c r="BI627" s="72"/>
      <c r="BJ627" s="178"/>
      <c r="BK627" s="96"/>
      <c r="BN627" s="125">
        <f t="shared" si="133"/>
        <v>0</v>
      </c>
      <c r="BO627" s="126">
        <f t="shared" si="134"/>
        <v>0</v>
      </c>
      <c r="BP627" s="127">
        <f t="shared" si="135"/>
        <v>0</v>
      </c>
    </row>
    <row r="628" spans="1:68" ht="15.75" hidden="1" customHeight="1" outlineLevel="5" x14ac:dyDescent="0.25">
      <c r="C628" s="10" t="s">
        <v>83</v>
      </c>
      <c r="D628" s="10" t="s">
        <v>84</v>
      </c>
      <c r="E628" s="10" t="s">
        <v>73</v>
      </c>
      <c r="F628" s="10" t="s">
        <v>74</v>
      </c>
      <c r="G628" s="10" t="s">
        <v>361</v>
      </c>
      <c r="H628" s="10" t="s">
        <v>73</v>
      </c>
      <c r="I628" s="10" t="s">
        <v>73</v>
      </c>
      <c r="J628" s="10" t="s">
        <v>73</v>
      </c>
      <c r="K628" s="12" t="s">
        <v>73</v>
      </c>
      <c r="L628" s="10" t="s">
        <v>192</v>
      </c>
      <c r="M628" s="5" t="str">
        <f t="array" ref="M628">Y460</f>
        <v>1ВО::1.1</v>
      </c>
      <c r="AB628" s="403" t="str">
        <f>AB623&amp;".5"</f>
        <v>3.1.1.3.7.5</v>
      </c>
      <c r="AC628" s="444" t="s">
        <v>362</v>
      </c>
      <c r="AD628" s="32" t="s">
        <v>111</v>
      </c>
      <c r="AE628" s="72"/>
      <c r="AF628" s="178"/>
      <c r="AG628" s="96"/>
      <c r="AH628" s="72"/>
      <c r="AI628" s="178"/>
      <c r="AJ628" s="96"/>
      <c r="AK628" s="72"/>
      <c r="AL628" s="178"/>
      <c r="AM628" s="181"/>
      <c r="AN628" s="72"/>
      <c r="AO628" s="178"/>
      <c r="AP628" s="181"/>
      <c r="AQ628" s="72"/>
      <c r="AR628" s="178"/>
      <c r="AS628" s="181"/>
      <c r="AT628" s="72"/>
      <c r="AU628" s="178"/>
      <c r="AV628" s="181"/>
      <c r="AW628" s="72"/>
      <c r="AX628" s="178"/>
      <c r="AY628" s="181"/>
      <c r="AZ628" s="72"/>
      <c r="BA628" s="178"/>
      <c r="BB628" s="181"/>
      <c r="BC628" s="72"/>
      <c r="BD628" s="178"/>
      <c r="BE628" s="181"/>
      <c r="BF628" s="72"/>
      <c r="BG628" s="178"/>
      <c r="BH628" s="181"/>
      <c r="BI628" s="72"/>
      <c r="BJ628" s="178"/>
      <c r="BK628" s="96"/>
      <c r="BN628" s="125">
        <f t="shared" si="133"/>
        <v>0</v>
      </c>
      <c r="BO628" s="126">
        <f t="shared" si="134"/>
        <v>0</v>
      </c>
      <c r="BP628" s="127">
        <f t="shared" si="135"/>
        <v>0</v>
      </c>
    </row>
    <row r="629" spans="1:68" ht="18.75" hidden="1" customHeight="1" outlineLevel="5" x14ac:dyDescent="0.25">
      <c r="C629" s="10" t="s">
        <v>83</v>
      </c>
      <c r="D629" s="10" t="s">
        <v>84</v>
      </c>
      <c r="E629" s="10" t="s">
        <v>73</v>
      </c>
      <c r="F629" s="10" t="s">
        <v>74</v>
      </c>
      <c r="G629" s="10" t="s">
        <v>363</v>
      </c>
      <c r="H629" s="10" t="s">
        <v>73</v>
      </c>
      <c r="I629" s="10" t="s">
        <v>73</v>
      </c>
      <c r="J629" s="10" t="s">
        <v>73</v>
      </c>
      <c r="K629" s="12" t="s">
        <v>73</v>
      </c>
      <c r="L629" s="10" t="s">
        <v>192</v>
      </c>
      <c r="M629" s="5" t="str">
        <f t="array" ref="M629">Y460</f>
        <v>1ВО::1.1</v>
      </c>
      <c r="AB629" s="403" t="str">
        <f>AB623&amp;".6"</f>
        <v>3.1.1.3.7.6</v>
      </c>
      <c r="AC629" s="444" t="s">
        <v>364</v>
      </c>
      <c r="AD629" s="32" t="s">
        <v>111</v>
      </c>
      <c r="AE629" s="72"/>
      <c r="AF629" s="178"/>
      <c r="AG629" s="96"/>
      <c r="AH629" s="72"/>
      <c r="AI629" s="178"/>
      <c r="AJ629" s="96"/>
      <c r="AK629" s="72"/>
      <c r="AL629" s="178"/>
      <c r="AM629" s="181"/>
      <c r="AN629" s="72"/>
      <c r="AO629" s="178"/>
      <c r="AP629" s="181"/>
      <c r="AQ629" s="72"/>
      <c r="AR629" s="178"/>
      <c r="AS629" s="181"/>
      <c r="AT629" s="72"/>
      <c r="AU629" s="178"/>
      <c r="AV629" s="181"/>
      <c r="AW629" s="72"/>
      <c r="AX629" s="178"/>
      <c r="AY629" s="181"/>
      <c r="AZ629" s="72"/>
      <c r="BA629" s="178"/>
      <c r="BB629" s="181"/>
      <c r="BC629" s="72"/>
      <c r="BD629" s="178"/>
      <c r="BE629" s="181"/>
      <c r="BF629" s="72"/>
      <c r="BG629" s="178"/>
      <c r="BH629" s="181"/>
      <c r="BI629" s="72"/>
      <c r="BJ629" s="178"/>
      <c r="BK629" s="96"/>
      <c r="BN629" s="125">
        <f t="shared" si="133"/>
        <v>0</v>
      </c>
      <c r="BO629" s="126">
        <f t="shared" si="134"/>
        <v>0</v>
      </c>
      <c r="BP629" s="127">
        <f t="shared" si="135"/>
        <v>0</v>
      </c>
    </row>
    <row r="630" spans="1:68" s="214" customFormat="1" ht="21" customHeight="1" outlineLevel="5" x14ac:dyDescent="0.25">
      <c r="A630" s="5"/>
      <c r="B630" s="5"/>
      <c r="C630" s="10" t="s">
        <v>83</v>
      </c>
      <c r="D630" s="10" t="s">
        <v>84</v>
      </c>
      <c r="E630" s="10" t="s">
        <v>73</v>
      </c>
      <c r="F630" s="10" t="s">
        <v>74</v>
      </c>
      <c r="G630" s="10" t="s">
        <v>365</v>
      </c>
      <c r="H630" s="10" t="s">
        <v>73</v>
      </c>
      <c r="I630" s="10" t="s">
        <v>73</v>
      </c>
      <c r="J630" s="10" t="s">
        <v>73</v>
      </c>
      <c r="K630" s="12" t="s">
        <v>73</v>
      </c>
      <c r="L630" s="10" t="s">
        <v>192</v>
      </c>
      <c r="M630" s="5" t="str">
        <f t="array" ref="M630">Y460</f>
        <v>1ВО::1.1</v>
      </c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65" t="str">
        <f>AB623&amp;".7"</f>
        <v>3.1.1.3.7.7</v>
      </c>
      <c r="AC630" s="177" t="s">
        <v>366</v>
      </c>
      <c r="AD630" s="51" t="s">
        <v>111</v>
      </c>
      <c r="AE630" s="175">
        <f t="shared" ref="AE630:BK630" si="137">SUM(AE631:AE640)</f>
        <v>14441.07</v>
      </c>
      <c r="AF630" s="73">
        <f t="shared" si="137"/>
        <v>4969.2299999999996</v>
      </c>
      <c r="AG630" s="179">
        <f t="shared" si="137"/>
        <v>5248.99</v>
      </c>
      <c r="AH630" s="175">
        <f t="shared" si="137"/>
        <v>74.72</v>
      </c>
      <c r="AI630" s="73">
        <f t="shared" si="137"/>
        <v>0</v>
      </c>
      <c r="AJ630" s="179">
        <f t="shared" si="137"/>
        <v>77.84</v>
      </c>
      <c r="AK630" s="175">
        <f t="shared" si="137"/>
        <v>0</v>
      </c>
      <c r="AL630" s="73">
        <f t="shared" si="137"/>
        <v>0</v>
      </c>
      <c r="AM630" s="179">
        <f t="shared" si="137"/>
        <v>0</v>
      </c>
      <c r="AN630" s="175">
        <f t="shared" si="137"/>
        <v>9.89</v>
      </c>
      <c r="AO630" s="73">
        <f t="shared" si="137"/>
        <v>2.29</v>
      </c>
      <c r="AP630" s="179">
        <f t="shared" si="137"/>
        <v>23.540000000000003</v>
      </c>
      <c r="AQ630" s="175">
        <f t="shared" si="137"/>
        <v>35.06</v>
      </c>
      <c r="AR630" s="73">
        <f t="shared" si="137"/>
        <v>5.52</v>
      </c>
      <c r="AS630" s="179">
        <f t="shared" si="137"/>
        <v>151.6</v>
      </c>
      <c r="AT630" s="175">
        <f t="shared" si="137"/>
        <v>32.629999999999995</v>
      </c>
      <c r="AU630" s="73">
        <f t="shared" si="137"/>
        <v>0</v>
      </c>
      <c r="AV630" s="179">
        <f t="shared" si="137"/>
        <v>0</v>
      </c>
      <c r="AW630" s="175">
        <f t="shared" si="137"/>
        <v>139.97699999999998</v>
      </c>
      <c r="AX630" s="73">
        <f t="shared" si="137"/>
        <v>0</v>
      </c>
      <c r="AY630" s="179">
        <f t="shared" si="137"/>
        <v>239.41099999999997</v>
      </c>
      <c r="AZ630" s="175">
        <f t="shared" si="137"/>
        <v>246.98200000000003</v>
      </c>
      <c r="BA630" s="73">
        <f t="shared" si="137"/>
        <v>426.02</v>
      </c>
      <c r="BB630" s="179">
        <f t="shared" si="137"/>
        <v>472.69100000000003</v>
      </c>
      <c r="BC630" s="175">
        <f t="shared" si="137"/>
        <v>217.93000000000004</v>
      </c>
      <c r="BD630" s="73">
        <f t="shared" si="137"/>
        <v>176.42000000000002</v>
      </c>
      <c r="BE630" s="179">
        <f t="shared" si="137"/>
        <v>529.79999999999995</v>
      </c>
      <c r="BF630" s="175">
        <f t="shared" si="137"/>
        <v>12.760000000000002</v>
      </c>
      <c r="BG630" s="73">
        <f t="shared" si="137"/>
        <v>11.43</v>
      </c>
      <c r="BH630" s="179">
        <f t="shared" si="137"/>
        <v>116.97000000000001</v>
      </c>
      <c r="BI630" s="175">
        <f t="shared" si="137"/>
        <v>241.29500000000002</v>
      </c>
      <c r="BJ630" s="73">
        <f t="shared" si="137"/>
        <v>111.03</v>
      </c>
      <c r="BK630" s="176">
        <f t="shared" si="137"/>
        <v>351.77</v>
      </c>
      <c r="BL630" s="6"/>
      <c r="BM630" s="5"/>
      <c r="BN630" s="125">
        <f t="shared" si="133"/>
        <v>15452.313999999998</v>
      </c>
      <c r="BO630" s="126">
        <f t="shared" si="134"/>
        <v>5701.94</v>
      </c>
      <c r="BP630" s="127">
        <f t="shared" si="135"/>
        <v>7212.612000000001</v>
      </c>
    </row>
    <row r="631" spans="1:68" s="230" customFormat="1" ht="18.75" customHeight="1" outlineLevel="6" x14ac:dyDescent="0.25">
      <c r="A631" s="215"/>
      <c r="B631" s="215"/>
      <c r="C631" s="216"/>
      <c r="D631" s="216"/>
      <c r="E631" s="216"/>
      <c r="F631" s="216"/>
      <c r="G631" s="216"/>
      <c r="H631" s="216"/>
      <c r="I631" s="216"/>
      <c r="J631" s="216"/>
      <c r="K631" s="217"/>
      <c r="L631" s="216"/>
      <c r="M631" s="215"/>
      <c r="N631" s="215"/>
      <c r="O631" s="215"/>
      <c r="P631" s="215"/>
      <c r="Q631" s="215"/>
      <c r="R631" s="215"/>
      <c r="S631" s="215"/>
      <c r="T631" s="215"/>
      <c r="U631" s="215"/>
      <c r="V631" s="215"/>
      <c r="W631" s="215"/>
      <c r="X631" s="215"/>
      <c r="Y631" s="215"/>
      <c r="Z631" s="215"/>
      <c r="AA631" s="215"/>
      <c r="AB631" s="456"/>
      <c r="AC631" s="219" t="s">
        <v>631</v>
      </c>
      <c r="AD631" s="259" t="s">
        <v>111</v>
      </c>
      <c r="AE631" s="463">
        <v>2213.66</v>
      </c>
      <c r="AF631" s="478">
        <v>2250</v>
      </c>
      <c r="AG631" s="479">
        <v>2435.73</v>
      </c>
      <c r="AH631" s="463"/>
      <c r="AI631" s="478"/>
      <c r="AJ631" s="479"/>
      <c r="AK631" s="463"/>
      <c r="AL631" s="478"/>
      <c r="AM631" s="480"/>
      <c r="AN631" s="463"/>
      <c r="AO631" s="478"/>
      <c r="AP631" s="480"/>
      <c r="AQ631" s="463"/>
      <c r="AR631" s="478">
        <v>5.52</v>
      </c>
      <c r="AS631" s="480"/>
      <c r="AT631" s="463"/>
      <c r="AU631" s="478"/>
      <c r="AV631" s="480"/>
      <c r="AW631" s="463"/>
      <c r="AX631" s="478"/>
      <c r="AY631" s="480"/>
      <c r="AZ631" s="463"/>
      <c r="BA631" s="478"/>
      <c r="BB631" s="480"/>
      <c r="BC631" s="463">
        <v>0.12</v>
      </c>
      <c r="BD631" s="478">
        <v>0.15</v>
      </c>
      <c r="BE631" s="481">
        <v>0.15</v>
      </c>
      <c r="BF631" s="463"/>
      <c r="BG631" s="478"/>
      <c r="BH631" s="480"/>
      <c r="BI631" s="463"/>
      <c r="BJ631" s="478"/>
      <c r="BK631" s="479"/>
      <c r="BL631" s="229"/>
      <c r="BM631" s="215"/>
      <c r="BN631" s="125">
        <f t="shared" si="133"/>
        <v>2213.7799999999997</v>
      </c>
      <c r="BO631" s="126">
        <f t="shared" si="134"/>
        <v>2255.67</v>
      </c>
      <c r="BP631" s="127">
        <f t="shared" si="135"/>
        <v>2435.88</v>
      </c>
    </row>
    <row r="632" spans="1:68" s="246" customFormat="1" ht="18.75" customHeight="1" outlineLevel="6" x14ac:dyDescent="0.25">
      <c r="A632" s="229"/>
      <c r="B632" s="229"/>
      <c r="C632" s="242"/>
      <c r="D632" s="242"/>
      <c r="E632" s="242"/>
      <c r="F632" s="242"/>
      <c r="G632" s="242"/>
      <c r="H632" s="242"/>
      <c r="I632" s="242"/>
      <c r="J632" s="242"/>
      <c r="K632" s="243"/>
      <c r="L632" s="242"/>
      <c r="M632" s="229"/>
      <c r="N632" s="229"/>
      <c r="O632" s="229"/>
      <c r="P632" s="229"/>
      <c r="Q632" s="229"/>
      <c r="R632" s="229"/>
      <c r="S632" s="229"/>
      <c r="T632" s="229"/>
      <c r="U632" s="229"/>
      <c r="V632" s="229"/>
      <c r="W632" s="229"/>
      <c r="X632" s="229"/>
      <c r="Y632" s="229"/>
      <c r="Z632" s="229"/>
      <c r="AA632" s="229"/>
      <c r="AB632" s="456"/>
      <c r="AC632" s="219" t="s">
        <v>632</v>
      </c>
      <c r="AD632" s="259" t="s">
        <v>111</v>
      </c>
      <c r="AE632" s="463">
        <v>1735.34</v>
      </c>
      <c r="AF632" s="478">
        <v>1791.17</v>
      </c>
      <c r="AG632" s="479">
        <v>1832.95</v>
      </c>
      <c r="AH632" s="72">
        <v>2.42</v>
      </c>
      <c r="AI632" s="178"/>
      <c r="AJ632" s="96">
        <v>2.65</v>
      </c>
      <c r="AK632" s="463"/>
      <c r="AL632" s="478"/>
      <c r="AM632" s="480"/>
      <c r="AN632" s="463">
        <v>2.52</v>
      </c>
      <c r="AO632" s="478"/>
      <c r="AP632" s="480">
        <v>15.48</v>
      </c>
      <c r="AQ632" s="463">
        <v>0.53</v>
      </c>
      <c r="AR632" s="478"/>
      <c r="AS632" s="480">
        <f>15.17+3.42</f>
        <v>18.59</v>
      </c>
      <c r="AT632" s="463"/>
      <c r="AU632" s="478"/>
      <c r="AV632" s="480"/>
      <c r="AW632" s="463">
        <v>32.720999999999997</v>
      </c>
      <c r="AX632" s="478"/>
      <c r="AY632" s="482">
        <v>27.754000000000001</v>
      </c>
      <c r="AZ632" s="463">
        <v>56.984000000000002</v>
      </c>
      <c r="BA632" s="478"/>
      <c r="BB632" s="482">
        <v>114.85299999999999</v>
      </c>
      <c r="BC632" s="463">
        <v>98.01</v>
      </c>
      <c r="BD632" s="478">
        <v>96</v>
      </c>
      <c r="BE632" s="481">
        <v>200</v>
      </c>
      <c r="BF632" s="483"/>
      <c r="BG632" s="484"/>
      <c r="BH632" s="485">
        <v>1.68</v>
      </c>
      <c r="BI632" s="483">
        <v>31.684999999999999</v>
      </c>
      <c r="BJ632" s="484">
        <v>11</v>
      </c>
      <c r="BK632" s="486">
        <v>39.229999999999997</v>
      </c>
      <c r="BL632" s="229"/>
      <c r="BM632" s="229"/>
      <c r="BN632" s="125">
        <f t="shared" si="133"/>
        <v>1960.2099999999998</v>
      </c>
      <c r="BO632" s="126">
        <f t="shared" si="134"/>
        <v>1898.17</v>
      </c>
      <c r="BP632" s="127">
        <f t="shared" si="135"/>
        <v>2253.1869999999999</v>
      </c>
    </row>
    <row r="633" spans="1:68" s="230" customFormat="1" ht="18.75" customHeight="1" outlineLevel="6" x14ac:dyDescent="0.25">
      <c r="A633" s="215"/>
      <c r="B633" s="215"/>
      <c r="C633" s="216"/>
      <c r="D633" s="216"/>
      <c r="E633" s="216"/>
      <c r="F633" s="216"/>
      <c r="G633" s="216"/>
      <c r="H633" s="216"/>
      <c r="I633" s="216"/>
      <c r="J633" s="216"/>
      <c r="K633" s="217"/>
      <c r="L633" s="216"/>
      <c r="M633" s="215"/>
      <c r="N633" s="215"/>
      <c r="O633" s="215"/>
      <c r="P633" s="215"/>
      <c r="Q633" s="215"/>
      <c r="R633" s="215"/>
      <c r="S633" s="215"/>
      <c r="T633" s="215"/>
      <c r="U633" s="215"/>
      <c r="V633" s="215"/>
      <c r="W633" s="215"/>
      <c r="X633" s="215"/>
      <c r="Y633" s="215"/>
      <c r="Z633" s="215"/>
      <c r="AA633" s="215"/>
      <c r="AB633" s="456"/>
      <c r="AC633" s="219" t="s">
        <v>270</v>
      </c>
      <c r="AD633" s="259" t="s">
        <v>111</v>
      </c>
      <c r="AE633" s="463">
        <v>535.04999999999995</v>
      </c>
      <c r="AF633" s="478"/>
      <c r="AG633" s="479"/>
      <c r="AH633" s="463"/>
      <c r="AI633" s="478"/>
      <c r="AJ633" s="479"/>
      <c r="AK633" s="463"/>
      <c r="AL633" s="478"/>
      <c r="AM633" s="480"/>
      <c r="AN633" s="463">
        <v>2.42</v>
      </c>
      <c r="AO633" s="478"/>
      <c r="AP633" s="480">
        <v>2.62</v>
      </c>
      <c r="AQ633" s="463">
        <v>2.61</v>
      </c>
      <c r="AR633" s="478"/>
      <c r="AS633" s="480">
        <v>2.82</v>
      </c>
      <c r="AT633" s="463">
        <v>2.61</v>
      </c>
      <c r="AU633" s="478"/>
      <c r="AV633" s="480"/>
      <c r="AW633" s="463">
        <v>2.0470000000000002</v>
      </c>
      <c r="AX633" s="478"/>
      <c r="AY633" s="482">
        <v>2.214</v>
      </c>
      <c r="AZ633" s="463">
        <v>37.779000000000003</v>
      </c>
      <c r="BA633" s="478"/>
      <c r="BB633" s="482">
        <v>40.862000000000002</v>
      </c>
      <c r="BC633" s="463">
        <v>35.36</v>
      </c>
      <c r="BD633" s="478">
        <v>34</v>
      </c>
      <c r="BE633" s="481">
        <v>87</v>
      </c>
      <c r="BF633" s="483">
        <v>0.56000000000000005</v>
      </c>
      <c r="BG633" s="484">
        <v>1.43</v>
      </c>
      <c r="BH633" s="485">
        <v>0.6</v>
      </c>
      <c r="BI633" s="483">
        <v>2.0499999999999998</v>
      </c>
      <c r="BJ633" s="484">
        <v>2.0299999999999998</v>
      </c>
      <c r="BK633" s="486">
        <v>2.21</v>
      </c>
      <c r="BL633" s="229"/>
      <c r="BM633" s="215"/>
      <c r="BN633" s="125">
        <f t="shared" si="133"/>
        <v>620.48599999999988</v>
      </c>
      <c r="BO633" s="126">
        <f t="shared" si="134"/>
        <v>37.46</v>
      </c>
      <c r="BP633" s="127">
        <f t="shared" si="135"/>
        <v>138.32600000000002</v>
      </c>
    </row>
    <row r="634" spans="1:68" s="230" customFormat="1" ht="47.25" customHeight="1" outlineLevel="6" x14ac:dyDescent="0.25">
      <c r="A634" s="215"/>
      <c r="B634" s="215"/>
      <c r="C634" s="216"/>
      <c r="D634" s="216"/>
      <c r="E634" s="216"/>
      <c r="F634" s="216"/>
      <c r="G634" s="216"/>
      <c r="H634" s="216"/>
      <c r="I634" s="216"/>
      <c r="J634" s="216"/>
      <c r="K634" s="217"/>
      <c r="L634" s="216"/>
      <c r="M634" s="215"/>
      <c r="N634" s="215"/>
      <c r="O634" s="215"/>
      <c r="P634" s="215"/>
      <c r="Q634" s="215"/>
      <c r="R634" s="215"/>
      <c r="S634" s="215"/>
      <c r="T634" s="215"/>
      <c r="U634" s="215"/>
      <c r="V634" s="215"/>
      <c r="W634" s="215"/>
      <c r="X634" s="215"/>
      <c r="Y634" s="215"/>
      <c r="Z634" s="215"/>
      <c r="AA634" s="215"/>
      <c r="AB634" s="456"/>
      <c r="AC634" s="219" t="s">
        <v>633</v>
      </c>
      <c r="AD634" s="259" t="s">
        <v>111</v>
      </c>
      <c r="AE634" s="463"/>
      <c r="AF634" s="478"/>
      <c r="AG634" s="261"/>
      <c r="AH634" s="463"/>
      <c r="AI634" s="478"/>
      <c r="AJ634" s="261"/>
      <c r="AK634" s="463"/>
      <c r="AL634" s="478"/>
      <c r="AM634" s="487"/>
      <c r="AN634" s="463"/>
      <c r="AO634" s="478"/>
      <c r="AP634" s="487"/>
      <c r="AQ634" s="463">
        <v>17.98</v>
      </c>
      <c r="AR634" s="478"/>
      <c r="AS634" s="487">
        <f>1.1+17.97+20.53+28.66</f>
        <v>68.260000000000005</v>
      </c>
      <c r="AT634" s="463"/>
      <c r="AU634" s="478"/>
      <c r="AV634" s="487"/>
      <c r="AW634" s="463">
        <v>32.481000000000002</v>
      </c>
      <c r="AX634" s="478"/>
      <c r="AY634" s="482">
        <f>46.735+82.689</f>
        <v>129.42399999999998</v>
      </c>
      <c r="AZ634" s="463">
        <f>39+55.359+0.4</f>
        <v>94.759000000000015</v>
      </c>
      <c r="BA634" s="478">
        <f>106.85+147.83</f>
        <v>254.68</v>
      </c>
      <c r="BB634" s="482">
        <f>27.564+119.107+0.44</f>
        <v>147.11099999999999</v>
      </c>
      <c r="BC634" s="463">
        <v>30.18</v>
      </c>
      <c r="BD634" s="478">
        <v>30</v>
      </c>
      <c r="BE634" s="481">
        <v>70.14</v>
      </c>
      <c r="BF634" s="463"/>
      <c r="BG634" s="478"/>
      <c r="BH634" s="487">
        <f>5.23+78.16</f>
        <v>83.39</v>
      </c>
      <c r="BI634" s="483">
        <f>20.82+102.62</f>
        <v>123.44</v>
      </c>
      <c r="BJ634" s="484">
        <v>50</v>
      </c>
      <c r="BK634" s="261">
        <f>78.16+45</f>
        <v>123.16</v>
      </c>
      <c r="BL634" s="229"/>
      <c r="BM634" s="215"/>
      <c r="BN634" s="125">
        <f t="shared" si="133"/>
        <v>298.84000000000003</v>
      </c>
      <c r="BO634" s="126">
        <f t="shared" si="134"/>
        <v>334.68</v>
      </c>
      <c r="BP634" s="127">
        <f t="shared" si="135"/>
        <v>621.4849999999999</v>
      </c>
    </row>
    <row r="635" spans="1:68" s="230" customFormat="1" ht="18.75" customHeight="1" outlineLevel="6" x14ac:dyDescent="0.25">
      <c r="A635" s="215"/>
      <c r="B635" s="215"/>
      <c r="C635" s="216"/>
      <c r="D635" s="216"/>
      <c r="E635" s="216"/>
      <c r="F635" s="216"/>
      <c r="G635" s="216"/>
      <c r="H635" s="216"/>
      <c r="I635" s="216"/>
      <c r="J635" s="216"/>
      <c r="K635" s="217"/>
      <c r="L635" s="216"/>
      <c r="M635" s="215"/>
      <c r="N635" s="215"/>
      <c r="O635" s="215"/>
      <c r="P635" s="215"/>
      <c r="Q635" s="215"/>
      <c r="R635" s="215"/>
      <c r="S635" s="215"/>
      <c r="T635" s="215"/>
      <c r="U635" s="215"/>
      <c r="V635" s="215"/>
      <c r="W635" s="215"/>
      <c r="X635" s="215"/>
      <c r="Y635" s="215"/>
      <c r="Z635" s="215"/>
      <c r="AA635" s="215"/>
      <c r="AB635" s="456"/>
      <c r="AC635" s="219" t="s">
        <v>634</v>
      </c>
      <c r="AD635" s="259" t="s">
        <v>111</v>
      </c>
      <c r="AE635" s="463"/>
      <c r="AF635" s="478"/>
      <c r="AG635" s="261"/>
      <c r="AH635" s="463"/>
      <c r="AI635" s="478"/>
      <c r="AJ635" s="261"/>
      <c r="AK635" s="463"/>
      <c r="AL635" s="478"/>
      <c r="AM635" s="487"/>
      <c r="AN635" s="463"/>
      <c r="AO635" s="478"/>
      <c r="AP635" s="487"/>
      <c r="AQ635" s="463">
        <v>8.99</v>
      </c>
      <c r="AR635" s="478"/>
      <c r="AS635" s="487">
        <v>9.51</v>
      </c>
      <c r="AT635" s="463"/>
      <c r="AU635" s="478"/>
      <c r="AV635" s="487"/>
      <c r="AW635" s="463">
        <v>1.0349999999999999</v>
      </c>
      <c r="AX635" s="478"/>
      <c r="AY635" s="482">
        <v>1.139</v>
      </c>
      <c r="AZ635" s="463"/>
      <c r="BA635" s="478"/>
      <c r="BB635" s="487"/>
      <c r="BC635" s="463">
        <v>17.88</v>
      </c>
      <c r="BD635" s="478">
        <v>16.27</v>
      </c>
      <c r="BE635" s="481">
        <v>20</v>
      </c>
      <c r="BF635" s="483">
        <v>7.25</v>
      </c>
      <c r="BG635" s="484">
        <v>10</v>
      </c>
      <c r="BH635" s="487">
        <v>7.98</v>
      </c>
      <c r="BI635" s="463"/>
      <c r="BJ635" s="478"/>
      <c r="BK635" s="261"/>
      <c r="BL635" s="229"/>
      <c r="BM635" s="215"/>
      <c r="BN635" s="125">
        <f t="shared" si="133"/>
        <v>35.155000000000001</v>
      </c>
      <c r="BO635" s="126">
        <f t="shared" si="134"/>
        <v>26.27</v>
      </c>
      <c r="BP635" s="127">
        <f t="shared" si="135"/>
        <v>38.629000000000005</v>
      </c>
    </row>
    <row r="636" spans="1:68" s="230" customFormat="1" ht="18.75" customHeight="1" outlineLevel="6" x14ac:dyDescent="0.25">
      <c r="A636" s="215"/>
      <c r="B636" s="215"/>
      <c r="C636" s="216"/>
      <c r="D636" s="216"/>
      <c r="E636" s="216"/>
      <c r="F636" s="216"/>
      <c r="G636" s="216"/>
      <c r="H636" s="216"/>
      <c r="I636" s="216"/>
      <c r="J636" s="216"/>
      <c r="K636" s="217"/>
      <c r="L636" s="216"/>
      <c r="M636" s="215"/>
      <c r="N636" s="215"/>
      <c r="O636" s="215"/>
      <c r="P636" s="215"/>
      <c r="Q636" s="215"/>
      <c r="R636" s="215"/>
      <c r="S636" s="215"/>
      <c r="T636" s="215"/>
      <c r="U636" s="215"/>
      <c r="V636" s="215"/>
      <c r="W636" s="215"/>
      <c r="X636" s="215"/>
      <c r="Y636" s="215"/>
      <c r="Z636" s="215"/>
      <c r="AA636" s="215"/>
      <c r="AB636" s="456"/>
      <c r="AC636" s="219" t="s">
        <v>635</v>
      </c>
      <c r="AD636" s="259" t="s">
        <v>111</v>
      </c>
      <c r="AE636" s="463">
        <v>8837.91</v>
      </c>
      <c r="AF636" s="478"/>
      <c r="AG636" s="261"/>
      <c r="AH636" s="463"/>
      <c r="AI636" s="478"/>
      <c r="AJ636" s="261"/>
      <c r="AK636" s="463"/>
      <c r="AL636" s="478"/>
      <c r="AM636" s="487"/>
      <c r="AN636" s="463"/>
      <c r="AO636" s="478"/>
      <c r="AP636" s="487"/>
      <c r="AQ636" s="463"/>
      <c r="AR636" s="478"/>
      <c r="AS636" s="487">
        <f>3.99+13.39</f>
        <v>17.380000000000003</v>
      </c>
      <c r="AT636" s="463"/>
      <c r="AU636" s="478"/>
      <c r="AV636" s="487"/>
      <c r="AW636" s="463"/>
      <c r="AX636" s="478"/>
      <c r="AY636" s="487"/>
      <c r="AZ636" s="463"/>
      <c r="BA636" s="478">
        <v>131.83000000000001</v>
      </c>
      <c r="BB636" s="482">
        <v>99.944000000000003</v>
      </c>
      <c r="BC636" s="463">
        <v>11.83</v>
      </c>
      <c r="BD636" s="478"/>
      <c r="BE636" s="481">
        <v>15</v>
      </c>
      <c r="BF636" s="463"/>
      <c r="BG636" s="478"/>
      <c r="BH636" s="487">
        <v>17.87</v>
      </c>
      <c r="BI636" s="483"/>
      <c r="BJ636" s="484"/>
      <c r="BK636" s="261">
        <v>54.29</v>
      </c>
      <c r="BL636" s="229"/>
      <c r="BM636" s="215"/>
      <c r="BN636" s="125">
        <f t="shared" si="133"/>
        <v>8849.74</v>
      </c>
      <c r="BO636" s="126">
        <f t="shared" si="134"/>
        <v>131.83000000000001</v>
      </c>
      <c r="BP636" s="127">
        <f t="shared" si="135"/>
        <v>204.48400000000001</v>
      </c>
    </row>
    <row r="637" spans="1:68" s="246" customFormat="1" ht="18.75" hidden="1" customHeight="1" outlineLevel="6" x14ac:dyDescent="0.25">
      <c r="A637" s="229"/>
      <c r="B637" s="229"/>
      <c r="C637" s="242"/>
      <c r="D637" s="242"/>
      <c r="E637" s="242"/>
      <c r="F637" s="242"/>
      <c r="G637" s="242"/>
      <c r="H637" s="242"/>
      <c r="I637" s="242"/>
      <c r="J637" s="242"/>
      <c r="K637" s="243"/>
      <c r="L637" s="242"/>
      <c r="M637" s="229"/>
      <c r="N637" s="229"/>
      <c r="O637" s="229"/>
      <c r="P637" s="229"/>
      <c r="Q637" s="229"/>
      <c r="R637" s="229"/>
      <c r="S637" s="229"/>
      <c r="T637" s="229"/>
      <c r="U637" s="229"/>
      <c r="V637" s="229"/>
      <c r="W637" s="229"/>
      <c r="X637" s="229"/>
      <c r="Y637" s="229"/>
      <c r="Z637" s="229"/>
      <c r="AA637" s="229"/>
      <c r="AB637" s="456"/>
      <c r="AC637" s="471" t="s">
        <v>636</v>
      </c>
      <c r="AD637" s="259" t="s">
        <v>111</v>
      </c>
      <c r="AE637" s="463"/>
      <c r="AF637" s="478"/>
      <c r="AG637" s="261"/>
      <c r="AH637" s="463"/>
      <c r="AI637" s="478"/>
      <c r="AJ637" s="261"/>
      <c r="AK637" s="463"/>
      <c r="AL637" s="478"/>
      <c r="AM637" s="487"/>
      <c r="AN637" s="463"/>
      <c r="AO637" s="478"/>
      <c r="AP637" s="487"/>
      <c r="AQ637" s="463"/>
      <c r="AR637" s="478"/>
      <c r="AS637" s="487"/>
      <c r="AT637" s="463"/>
      <c r="AU637" s="478"/>
      <c r="AV637" s="487"/>
      <c r="AW637" s="463"/>
      <c r="AX637" s="478"/>
      <c r="AY637" s="487"/>
      <c r="AZ637" s="463"/>
      <c r="BA637" s="478"/>
      <c r="BB637" s="487"/>
      <c r="BC637" s="463"/>
      <c r="BD637" s="478"/>
      <c r="BE637" s="227"/>
      <c r="BF637" s="240"/>
      <c r="BG637" s="238"/>
      <c r="BH637" s="239"/>
      <c r="BI637" s="240"/>
      <c r="BJ637" s="238"/>
      <c r="BK637" s="241"/>
      <c r="BL637" s="229"/>
      <c r="BM637" s="229"/>
      <c r="BN637" s="125">
        <f t="shared" si="133"/>
        <v>0</v>
      </c>
      <c r="BO637" s="126">
        <f t="shared" si="134"/>
        <v>0</v>
      </c>
      <c r="BP637" s="127">
        <f t="shared" si="135"/>
        <v>0</v>
      </c>
    </row>
    <row r="638" spans="1:68" s="246" customFormat="1" ht="18.75" hidden="1" customHeight="1" outlineLevel="6" x14ac:dyDescent="0.25">
      <c r="A638" s="229"/>
      <c r="B638" s="229"/>
      <c r="C638" s="242"/>
      <c r="D638" s="242"/>
      <c r="E638" s="242"/>
      <c r="F638" s="242"/>
      <c r="G638" s="242"/>
      <c r="H638" s="242"/>
      <c r="I638" s="242"/>
      <c r="J638" s="242"/>
      <c r="K638" s="243"/>
      <c r="L638" s="242"/>
      <c r="M638" s="229"/>
      <c r="N638" s="229"/>
      <c r="O638" s="229"/>
      <c r="P638" s="229"/>
      <c r="Q638" s="229"/>
      <c r="R638" s="229"/>
      <c r="S638" s="229"/>
      <c r="T638" s="229"/>
      <c r="U638" s="229"/>
      <c r="V638" s="229"/>
      <c r="W638" s="229"/>
      <c r="X638" s="229"/>
      <c r="Y638" s="229"/>
      <c r="Z638" s="229"/>
      <c r="AA638" s="229"/>
      <c r="AB638" s="456"/>
      <c r="AC638" s="471" t="s">
        <v>637</v>
      </c>
      <c r="AD638" s="259" t="s">
        <v>111</v>
      </c>
      <c r="AE638" s="463"/>
      <c r="AF638" s="478"/>
      <c r="AG638" s="261"/>
      <c r="AH638" s="463"/>
      <c r="AI638" s="478"/>
      <c r="AJ638" s="261"/>
      <c r="AK638" s="463"/>
      <c r="AL638" s="478"/>
      <c r="AM638" s="487"/>
      <c r="AN638" s="488"/>
      <c r="AO638" s="478"/>
      <c r="AP638" s="487"/>
      <c r="AQ638" s="463"/>
      <c r="AR638" s="478"/>
      <c r="AS638" s="487"/>
      <c r="AT638" s="463"/>
      <c r="AU638" s="478"/>
      <c r="AV638" s="487"/>
      <c r="AW638" s="463"/>
      <c r="AX638" s="478"/>
      <c r="AY638" s="487"/>
      <c r="AZ638" s="463"/>
      <c r="BA638" s="478"/>
      <c r="BB638" s="487"/>
      <c r="BC638" s="463"/>
      <c r="BD638" s="478"/>
      <c r="BE638" s="481"/>
      <c r="BF638" s="463"/>
      <c r="BG638" s="478"/>
      <c r="BH638" s="487"/>
      <c r="BI638" s="463"/>
      <c r="BJ638" s="478"/>
      <c r="BK638" s="261"/>
      <c r="BL638" s="229"/>
      <c r="BM638" s="229"/>
      <c r="BN638" s="125">
        <f t="shared" si="133"/>
        <v>0</v>
      </c>
      <c r="BO638" s="126">
        <f t="shared" si="134"/>
        <v>0</v>
      </c>
      <c r="BP638" s="127">
        <f t="shared" si="135"/>
        <v>0</v>
      </c>
    </row>
    <row r="639" spans="1:68" s="246" customFormat="1" ht="18.75" customHeight="1" outlineLevel="6" x14ac:dyDescent="0.25">
      <c r="A639" s="229"/>
      <c r="B639" s="229"/>
      <c r="C639" s="242"/>
      <c r="D639" s="242"/>
      <c r="E639" s="242"/>
      <c r="F639" s="242"/>
      <c r="G639" s="242"/>
      <c r="H639" s="242"/>
      <c r="I639" s="242"/>
      <c r="J639" s="242"/>
      <c r="K639" s="243"/>
      <c r="L639" s="242"/>
      <c r="M639" s="229"/>
      <c r="N639" s="229"/>
      <c r="O639" s="229"/>
      <c r="P639" s="229"/>
      <c r="Q639" s="229"/>
      <c r="R639" s="229"/>
      <c r="S639" s="229"/>
      <c r="T639" s="229"/>
      <c r="U639" s="229"/>
      <c r="V639" s="229"/>
      <c r="W639" s="229"/>
      <c r="X639" s="229"/>
      <c r="Y639" s="229"/>
      <c r="Z639" s="229"/>
      <c r="AA639" s="229"/>
      <c r="AB639" s="456"/>
      <c r="AC639" s="219" t="s">
        <v>327</v>
      </c>
      <c r="AD639" s="259" t="s">
        <v>111</v>
      </c>
      <c r="AE639" s="224">
        <v>1119.1099999999999</v>
      </c>
      <c r="AF639" s="225">
        <v>928.06</v>
      </c>
      <c r="AG639" s="226">
        <v>980.31</v>
      </c>
      <c r="AH639" s="224">
        <v>72.3</v>
      </c>
      <c r="AI639" s="225"/>
      <c r="AJ639" s="226">
        <v>75.19</v>
      </c>
      <c r="AK639" s="463"/>
      <c r="AL639" s="478"/>
      <c r="AM639" s="487"/>
      <c r="AN639" s="463">
        <v>4.95</v>
      </c>
      <c r="AO639" s="478">
        <v>2.29</v>
      </c>
      <c r="AP639" s="487">
        <v>5.44</v>
      </c>
      <c r="AQ639" s="463">
        <v>4.95</v>
      </c>
      <c r="AR639" s="478"/>
      <c r="AS639" s="487">
        <v>35.04</v>
      </c>
      <c r="AT639" s="463">
        <f>18.15+11.87</f>
        <v>30.019999999999996</v>
      </c>
      <c r="AU639" s="478"/>
      <c r="AV639" s="487"/>
      <c r="AW639" s="224">
        <v>71.692999999999998</v>
      </c>
      <c r="AX639" s="225"/>
      <c r="AY639" s="227">
        <v>78.88</v>
      </c>
      <c r="AZ639" s="224">
        <v>57.46</v>
      </c>
      <c r="BA639" s="225">
        <v>39.51</v>
      </c>
      <c r="BB639" s="227">
        <v>69.921000000000006</v>
      </c>
      <c r="BC639" s="463">
        <v>24.55</v>
      </c>
      <c r="BD639" s="478"/>
      <c r="BE639" s="227">
        <f>107.51+30</f>
        <v>137.51</v>
      </c>
      <c r="BF639" s="240">
        <v>4.95</v>
      </c>
      <c r="BG639" s="238"/>
      <c r="BH639" s="239">
        <v>5.45</v>
      </c>
      <c r="BI639" s="240">
        <v>35.799999999999997</v>
      </c>
      <c r="BJ639" s="238"/>
      <c r="BK639" s="241">
        <v>79.540000000000006</v>
      </c>
      <c r="BL639" s="229"/>
      <c r="BM639" s="229"/>
      <c r="BN639" s="125">
        <f t="shared" si="133"/>
        <v>1425.7829999999999</v>
      </c>
      <c r="BO639" s="126">
        <f t="shared" si="134"/>
        <v>969.8599999999999</v>
      </c>
      <c r="BP639" s="127">
        <f t="shared" si="135"/>
        <v>1467.2810000000002</v>
      </c>
    </row>
    <row r="640" spans="1:68" s="230" customFormat="1" ht="18.75" customHeight="1" outlineLevel="6" x14ac:dyDescent="0.25">
      <c r="A640" s="215"/>
      <c r="B640" s="215"/>
      <c r="C640" s="216"/>
      <c r="D640" s="216"/>
      <c r="E640" s="216"/>
      <c r="F640" s="216"/>
      <c r="G640" s="216"/>
      <c r="H640" s="216"/>
      <c r="I640" s="216"/>
      <c r="J640" s="216"/>
      <c r="K640" s="217"/>
      <c r="L640" s="216"/>
      <c r="M640" s="215"/>
      <c r="N640" s="215"/>
      <c r="O640" s="215"/>
      <c r="P640" s="215"/>
      <c r="Q640" s="215"/>
      <c r="R640" s="215"/>
      <c r="S640" s="215"/>
      <c r="T640" s="215"/>
      <c r="U640" s="215"/>
      <c r="V640" s="215"/>
      <c r="W640" s="215"/>
      <c r="X640" s="215"/>
      <c r="Y640" s="215"/>
      <c r="Z640" s="215"/>
      <c r="AA640" s="215"/>
      <c r="AB640" s="456"/>
      <c r="AC640" s="219" t="s">
        <v>638</v>
      </c>
      <c r="AD640" s="259" t="s">
        <v>111</v>
      </c>
      <c r="AE640" s="483"/>
      <c r="AF640" s="484"/>
      <c r="AG640" s="261"/>
      <c r="AH640" s="483"/>
      <c r="AI640" s="484"/>
      <c r="AJ640" s="261"/>
      <c r="AK640" s="483"/>
      <c r="AL640" s="484"/>
      <c r="AM640" s="487"/>
      <c r="AN640" s="483"/>
      <c r="AO640" s="484"/>
      <c r="AP640" s="487"/>
      <c r="AQ640" s="483"/>
      <c r="AR640" s="484"/>
      <c r="AS640" s="487"/>
      <c r="AT640" s="483"/>
      <c r="AU640" s="484"/>
      <c r="AV640" s="487"/>
      <c r="AW640" s="483"/>
      <c r="AX640" s="484"/>
      <c r="AY640" s="487"/>
      <c r="AZ640" s="483"/>
      <c r="BA640" s="484"/>
      <c r="BB640" s="487"/>
      <c r="BC640" s="483"/>
      <c r="BD640" s="484"/>
      <c r="BE640" s="487"/>
      <c r="BF640" s="483"/>
      <c r="BG640" s="484"/>
      <c r="BH640" s="487"/>
      <c r="BI640" s="483">
        <v>48.32</v>
      </c>
      <c r="BJ640" s="484">
        <v>48</v>
      </c>
      <c r="BK640" s="261">
        <v>53.34</v>
      </c>
      <c r="BL640" s="229"/>
      <c r="BM640" s="215"/>
      <c r="BN640" s="125">
        <f t="shared" si="133"/>
        <v>48.32</v>
      </c>
      <c r="BO640" s="126">
        <f t="shared" si="134"/>
        <v>48</v>
      </c>
      <c r="BP640" s="127">
        <f t="shared" si="135"/>
        <v>53.34</v>
      </c>
    </row>
    <row r="641" spans="1:68" s="171" customFormat="1" ht="22.5" customHeight="1" outlineLevel="3" x14ac:dyDescent="0.25">
      <c r="A641" s="166"/>
      <c r="B641" s="166"/>
      <c r="C641" s="167" t="s">
        <v>83</v>
      </c>
      <c r="D641" s="167" t="s">
        <v>84</v>
      </c>
      <c r="E641" s="167" t="s">
        <v>73</v>
      </c>
      <c r="F641" s="167" t="s">
        <v>74</v>
      </c>
      <c r="G641" s="167" t="s">
        <v>388</v>
      </c>
      <c r="H641" s="167" t="s">
        <v>73</v>
      </c>
      <c r="I641" s="167" t="s">
        <v>73</v>
      </c>
      <c r="J641" s="167" t="s">
        <v>73</v>
      </c>
      <c r="K641" s="168" t="s">
        <v>73</v>
      </c>
      <c r="L641" s="167" t="s">
        <v>192</v>
      </c>
      <c r="M641" s="166" t="str">
        <f t="array" ref="M641">Y460</f>
        <v>1ВО::1.1</v>
      </c>
      <c r="N641" s="166"/>
      <c r="O641" s="166"/>
      <c r="P641" s="166"/>
      <c r="Q641" s="166"/>
      <c r="R641" s="166"/>
      <c r="S641" s="166"/>
      <c r="T641" s="166"/>
      <c r="U641" s="166"/>
      <c r="V641" s="166"/>
      <c r="W641" s="166"/>
      <c r="X641" s="166"/>
      <c r="Y641" s="166"/>
      <c r="Z641" s="166"/>
      <c r="AA641" s="166"/>
      <c r="AB641" s="429" t="str">
        <f>AB511&amp;".4"</f>
        <v>3.1.1.4</v>
      </c>
      <c r="AC641" s="474" t="s">
        <v>389</v>
      </c>
      <c r="AD641" s="431" t="s">
        <v>111</v>
      </c>
      <c r="AE641" s="432">
        <f t="shared" ref="AE641:BK641" si="138">SUM(AE642:AE644)+SUM(AE650:AE654)</f>
        <v>64022.220758000003</v>
      </c>
      <c r="AF641" s="433">
        <f t="shared" si="138"/>
        <v>61762.709999999992</v>
      </c>
      <c r="AG641" s="434">
        <f t="shared" si="138"/>
        <v>74183.263999999996</v>
      </c>
      <c r="AH641" s="432">
        <f t="shared" si="138"/>
        <v>0</v>
      </c>
      <c r="AI641" s="433">
        <f t="shared" si="138"/>
        <v>0</v>
      </c>
      <c r="AJ641" s="434">
        <f t="shared" si="138"/>
        <v>0</v>
      </c>
      <c r="AK641" s="432">
        <f t="shared" si="138"/>
        <v>0</v>
      </c>
      <c r="AL641" s="433">
        <f t="shared" si="138"/>
        <v>0</v>
      </c>
      <c r="AM641" s="434">
        <f t="shared" si="138"/>
        <v>0</v>
      </c>
      <c r="AN641" s="432">
        <f t="shared" si="138"/>
        <v>2039.8899999999999</v>
      </c>
      <c r="AO641" s="433">
        <f t="shared" si="138"/>
        <v>41.8</v>
      </c>
      <c r="AP641" s="434">
        <f t="shared" si="138"/>
        <v>2279.3999999999996</v>
      </c>
      <c r="AQ641" s="432">
        <f t="shared" si="138"/>
        <v>2276.0099999999998</v>
      </c>
      <c r="AR641" s="433">
        <f t="shared" si="138"/>
        <v>0</v>
      </c>
      <c r="AS641" s="434">
        <f t="shared" si="138"/>
        <v>2985.3399999999997</v>
      </c>
      <c r="AT641" s="432">
        <f t="shared" si="138"/>
        <v>1812.04</v>
      </c>
      <c r="AU641" s="433">
        <f t="shared" si="138"/>
        <v>5167.84</v>
      </c>
      <c r="AV641" s="434">
        <f t="shared" si="138"/>
        <v>5384.89</v>
      </c>
      <c r="AW641" s="432">
        <f t="shared" si="138"/>
        <v>2369.597976</v>
      </c>
      <c r="AX641" s="433">
        <f t="shared" si="138"/>
        <v>0</v>
      </c>
      <c r="AY641" s="434">
        <f t="shared" si="138"/>
        <v>2509.559968</v>
      </c>
      <c r="AZ641" s="432">
        <f t="shared" si="138"/>
        <v>3891.1012059999994</v>
      </c>
      <c r="BA641" s="433">
        <f t="shared" si="138"/>
        <v>4735.7429400000001</v>
      </c>
      <c r="BB641" s="434">
        <f t="shared" si="138"/>
        <v>4931.6833160000006</v>
      </c>
      <c r="BC641" s="432">
        <f t="shared" si="138"/>
        <v>5710.3760600000005</v>
      </c>
      <c r="BD641" s="433">
        <f t="shared" si="138"/>
        <v>601.6</v>
      </c>
      <c r="BE641" s="434">
        <f t="shared" si="138"/>
        <v>6283.9344000000001</v>
      </c>
      <c r="BF641" s="432">
        <f t="shared" si="138"/>
        <v>313.79399999999998</v>
      </c>
      <c r="BG641" s="433">
        <f t="shared" si="138"/>
        <v>44.36</v>
      </c>
      <c r="BH641" s="434">
        <f t="shared" si="138"/>
        <v>372.46000000000004</v>
      </c>
      <c r="BI641" s="432">
        <f t="shared" si="138"/>
        <v>1881.2800000000002</v>
      </c>
      <c r="BJ641" s="433">
        <f t="shared" si="138"/>
        <v>134.19</v>
      </c>
      <c r="BK641" s="435">
        <f t="shared" si="138"/>
        <v>1658.83</v>
      </c>
      <c r="BL641" s="170"/>
      <c r="BM641" s="166"/>
      <c r="BN641" s="436">
        <f t="shared" si="133"/>
        <v>84316.309999999983</v>
      </c>
      <c r="BO641" s="437">
        <f t="shared" si="134"/>
        <v>72488.242939999996</v>
      </c>
      <c r="BP641" s="438">
        <f t="shared" si="135"/>
        <v>100589.36168399999</v>
      </c>
    </row>
    <row r="642" spans="1:68" ht="31.5" hidden="1" customHeight="1" outlineLevel="4" x14ac:dyDescent="0.25">
      <c r="C642" s="10" t="s">
        <v>83</v>
      </c>
      <c r="D642" s="10" t="s">
        <v>84</v>
      </c>
      <c r="E642" s="10" t="s">
        <v>73</v>
      </c>
      <c r="F642" s="10" t="s">
        <v>74</v>
      </c>
      <c r="G642" s="10" t="s">
        <v>390</v>
      </c>
      <c r="H642" s="10" t="s">
        <v>73</v>
      </c>
      <c r="I642" s="10" t="s">
        <v>73</v>
      </c>
      <c r="J642" s="10" t="s">
        <v>73</v>
      </c>
      <c r="K642" s="12" t="s">
        <v>73</v>
      </c>
      <c r="L642" s="10" t="s">
        <v>73</v>
      </c>
      <c r="M642" s="5" t="str">
        <f t="array" ref="M642">Y460</f>
        <v>1ВО::1.1</v>
      </c>
      <c r="AB642" s="403" t="str">
        <f>AB641&amp;".1"</f>
        <v>3.1.1.4.1</v>
      </c>
      <c r="AC642" s="442" t="s">
        <v>390</v>
      </c>
      <c r="AD642" s="32" t="s">
        <v>111</v>
      </c>
      <c r="AE642" s="95"/>
      <c r="AF642" s="178"/>
      <c r="AG642" s="96"/>
      <c r="AH642" s="95"/>
      <c r="AI642" s="178"/>
      <c r="AJ642" s="96"/>
      <c r="AK642" s="95"/>
      <c r="AL642" s="178"/>
      <c r="AM642" s="181"/>
      <c r="AN642" s="95"/>
      <c r="AO642" s="178"/>
      <c r="AP642" s="181"/>
      <c r="AQ642" s="95"/>
      <c r="AR642" s="178"/>
      <c r="AS642" s="181"/>
      <c r="AT642" s="95"/>
      <c r="AU642" s="178"/>
      <c r="AV642" s="181"/>
      <c r="AW642" s="95"/>
      <c r="AX642" s="178"/>
      <c r="AY642" s="181"/>
      <c r="AZ642" s="95"/>
      <c r="BA642" s="178"/>
      <c r="BB642" s="181"/>
      <c r="BC642" s="95"/>
      <c r="BD642" s="178"/>
      <c r="BE642" s="181"/>
      <c r="BF642" s="95"/>
      <c r="BG642" s="178"/>
      <c r="BH642" s="181"/>
      <c r="BI642" s="95"/>
      <c r="BJ642" s="178"/>
      <c r="BK642" s="96"/>
      <c r="BN642" s="125">
        <f t="shared" si="133"/>
        <v>0</v>
      </c>
      <c r="BO642" s="126">
        <f t="shared" si="134"/>
        <v>0</v>
      </c>
      <c r="BP642" s="127">
        <f t="shared" si="135"/>
        <v>0</v>
      </c>
    </row>
    <row r="643" spans="1:68" ht="30.75" hidden="1" customHeight="1" outlineLevel="4" x14ac:dyDescent="0.25">
      <c r="C643" s="10" t="s">
        <v>83</v>
      </c>
      <c r="D643" s="10" t="s">
        <v>84</v>
      </c>
      <c r="E643" s="10" t="s">
        <v>73</v>
      </c>
      <c r="F643" s="10" t="s">
        <v>74</v>
      </c>
      <c r="G643" s="10" t="s">
        <v>391</v>
      </c>
      <c r="H643" s="10" t="s">
        <v>73</v>
      </c>
      <c r="I643" s="10" t="s">
        <v>73</v>
      </c>
      <c r="J643" s="10" t="s">
        <v>73</v>
      </c>
      <c r="K643" s="12" t="s">
        <v>73</v>
      </c>
      <c r="L643" s="10" t="s">
        <v>73</v>
      </c>
      <c r="M643" s="5" t="str">
        <f t="array" ref="M643">Y460</f>
        <v>1ВО::1.1</v>
      </c>
      <c r="AB643" s="403" t="str">
        <f>AB641&amp;".2"</f>
        <v>3.1.1.4.2</v>
      </c>
      <c r="AC643" s="442" t="s">
        <v>391</v>
      </c>
      <c r="AD643" s="32" t="s">
        <v>111</v>
      </c>
      <c r="AE643" s="95"/>
      <c r="AF643" s="178"/>
      <c r="AG643" s="96"/>
      <c r="AH643" s="95"/>
      <c r="AI643" s="178"/>
      <c r="AJ643" s="96"/>
      <c r="AK643" s="95"/>
      <c r="AL643" s="178"/>
      <c r="AM643" s="181"/>
      <c r="AN643" s="95"/>
      <c r="AO643" s="178"/>
      <c r="AP643" s="181"/>
      <c r="AQ643" s="95"/>
      <c r="AR643" s="178"/>
      <c r="AS643" s="181"/>
      <c r="AT643" s="95"/>
      <c r="AU643" s="178"/>
      <c r="AV643" s="181"/>
      <c r="AW643" s="95"/>
      <c r="AX643" s="178"/>
      <c r="AY643" s="181"/>
      <c r="AZ643" s="95"/>
      <c r="BA643" s="178"/>
      <c r="BB643" s="181"/>
      <c r="BC643" s="95"/>
      <c r="BD643" s="178"/>
      <c r="BE643" s="181"/>
      <c r="BF643" s="95"/>
      <c r="BG643" s="178"/>
      <c r="BH643" s="181"/>
      <c r="BI643" s="95"/>
      <c r="BJ643" s="178"/>
      <c r="BK643" s="96"/>
      <c r="BN643" s="125">
        <f t="shared" si="133"/>
        <v>0</v>
      </c>
      <c r="BO643" s="126">
        <f t="shared" si="134"/>
        <v>0</v>
      </c>
      <c r="BP643" s="127">
        <f t="shared" si="135"/>
        <v>0</v>
      </c>
    </row>
    <row r="644" spans="1:68" ht="51" customHeight="1" outlineLevel="4" x14ac:dyDescent="0.25">
      <c r="C644" s="10" t="s">
        <v>83</v>
      </c>
      <c r="D644" s="10" t="s">
        <v>84</v>
      </c>
      <c r="E644" s="10" t="s">
        <v>73</v>
      </c>
      <c r="F644" s="10" t="s">
        <v>74</v>
      </c>
      <c r="G644" s="10" t="s">
        <v>201</v>
      </c>
      <c r="H644" s="10" t="s">
        <v>392</v>
      </c>
      <c r="I644" s="10" t="s">
        <v>73</v>
      </c>
      <c r="J644" s="10" t="s">
        <v>73</v>
      </c>
      <c r="K644" s="12" t="s">
        <v>73</v>
      </c>
      <c r="L644" s="10" t="s">
        <v>73</v>
      </c>
      <c r="M644" s="5" t="str">
        <f t="array" ref="M644">Y460</f>
        <v>1ВО::1.1</v>
      </c>
      <c r="AB644" s="403" t="str">
        <f>AB641&amp;".3"</f>
        <v>3.1.1.4.3</v>
      </c>
      <c r="AC644" s="442" t="s">
        <v>393</v>
      </c>
      <c r="AD644" s="32" t="s">
        <v>111</v>
      </c>
      <c r="AE644" s="72">
        <f>AE645+AE648</f>
        <v>48405.142758000002</v>
      </c>
      <c r="AF644" s="178">
        <f>12800.06+39311.63</f>
        <v>52111.689999999995</v>
      </c>
      <c r="AG644" s="96">
        <v>55045.47</v>
      </c>
      <c r="AH644" s="72">
        <f>AH645+AH648</f>
        <v>0</v>
      </c>
      <c r="AI644" s="73">
        <f>AI645+AI648</f>
        <v>0</v>
      </c>
      <c r="AJ644" s="74">
        <f>AJ645+AJ648</f>
        <v>0</v>
      </c>
      <c r="AK644" s="72"/>
      <c r="AL644" s="178"/>
      <c r="AM644" s="181"/>
      <c r="AN644" s="72">
        <f>AN645+AN648</f>
        <v>1981.11</v>
      </c>
      <c r="AO644" s="178"/>
      <c r="AP644" s="181">
        <v>2196.2399999999998</v>
      </c>
      <c r="AQ644" s="72">
        <f t="shared" ref="AQ644:AW644" si="139">AQ645+AQ648</f>
        <v>2124.9699999999998</v>
      </c>
      <c r="AR644" s="73">
        <f t="shared" si="139"/>
        <v>0</v>
      </c>
      <c r="AS644" s="138">
        <f t="shared" si="139"/>
        <v>2781.8999999999996</v>
      </c>
      <c r="AT644" s="72">
        <f t="shared" si="139"/>
        <v>1573.48</v>
      </c>
      <c r="AU644" s="73">
        <f t="shared" si="139"/>
        <v>5011.8500000000004</v>
      </c>
      <c r="AV644" s="138">
        <f t="shared" si="139"/>
        <v>3221.15</v>
      </c>
      <c r="AW644" s="72">
        <f t="shared" si="139"/>
        <v>1773.0479760000001</v>
      </c>
      <c r="AX644" s="178"/>
      <c r="AY644" s="181">
        <f t="shared" ref="AY644:BF644" si="140">AY645+AY648</f>
        <v>1836.319968</v>
      </c>
      <c r="AZ644" s="72">
        <f t="shared" si="140"/>
        <v>2761.7412059999997</v>
      </c>
      <c r="BA644" s="178">
        <f t="shared" si="140"/>
        <v>2917.7429399999996</v>
      </c>
      <c r="BB644" s="181">
        <f t="shared" si="140"/>
        <v>3058.343316</v>
      </c>
      <c r="BC644" s="72">
        <f t="shared" si="140"/>
        <v>3850.3160600000001</v>
      </c>
      <c r="BD644" s="73">
        <f t="shared" si="140"/>
        <v>0</v>
      </c>
      <c r="BE644" s="138">
        <f t="shared" si="140"/>
        <v>4236.58</v>
      </c>
      <c r="BF644" s="142">
        <f t="shared" si="140"/>
        <v>255.3</v>
      </c>
      <c r="BG644" s="183"/>
      <c r="BH644" s="184">
        <v>301.56</v>
      </c>
      <c r="BI644" s="142">
        <f>BI645+BI648</f>
        <v>1545.1850000000002</v>
      </c>
      <c r="BJ644" s="183"/>
      <c r="BK644" s="186">
        <v>1278.33</v>
      </c>
      <c r="BN644" s="125">
        <f t="shared" si="133"/>
        <v>64270.293000000005</v>
      </c>
      <c r="BO644" s="126">
        <f t="shared" si="134"/>
        <v>60041.28293999999</v>
      </c>
      <c r="BP644" s="127">
        <f t="shared" si="135"/>
        <v>73955.893284000005</v>
      </c>
    </row>
    <row r="645" spans="1:68" ht="14.25" customHeight="1" outlineLevel="4" x14ac:dyDescent="0.25">
      <c r="C645" s="10" t="s">
        <v>394</v>
      </c>
      <c r="D645" s="10" t="s">
        <v>84</v>
      </c>
      <c r="F645" s="10" t="s">
        <v>74</v>
      </c>
      <c r="G645" s="77" t="str">
        <f t="array" ref="G645">AC645</f>
        <v>Заработная плата всего</v>
      </c>
      <c r="H645" s="10" t="s">
        <v>73</v>
      </c>
      <c r="I645" s="10" t="s">
        <v>73</v>
      </c>
      <c r="J645" s="10" t="s">
        <v>73</v>
      </c>
      <c r="L645" s="10" t="s">
        <v>73</v>
      </c>
      <c r="M645" s="5" t="str">
        <f t="array" ref="M645">Y460</f>
        <v>1ВО::1.1</v>
      </c>
      <c r="AB645" s="403" t="str">
        <f>AB644&amp;".1"</f>
        <v>3.1.1.4.3.1</v>
      </c>
      <c r="AC645" s="444" t="s">
        <v>395</v>
      </c>
      <c r="AD645" s="32" t="s">
        <v>111</v>
      </c>
      <c r="AE645" s="95">
        <v>37177.529000000002</v>
      </c>
      <c r="AF645" s="178">
        <v>39311.360000000001</v>
      </c>
      <c r="AG645" s="96">
        <v>41524.51</v>
      </c>
      <c r="AH645" s="95"/>
      <c r="AI645" s="178"/>
      <c r="AJ645" s="96"/>
      <c r="AK645" s="95"/>
      <c r="AL645" s="178"/>
      <c r="AM645" s="181"/>
      <c r="AN645" s="95">
        <v>1521.59</v>
      </c>
      <c r="AO645" s="178"/>
      <c r="AP645" s="181">
        <v>1686.82</v>
      </c>
      <c r="AQ645" s="95">
        <v>1632.08</v>
      </c>
      <c r="AR645" s="178"/>
      <c r="AS645" s="181">
        <v>2136.64</v>
      </c>
      <c r="AT645" s="95">
        <v>1208.51</v>
      </c>
      <c r="AU645" s="178">
        <v>3849.35</v>
      </c>
      <c r="AV645" s="181">
        <v>2474</v>
      </c>
      <c r="AW645" s="95">
        <v>1361.788</v>
      </c>
      <c r="AX645" s="178"/>
      <c r="AY645" s="181">
        <v>1410.384</v>
      </c>
      <c r="AZ645" s="95">
        <v>2121.1529999999998</v>
      </c>
      <c r="BA645" s="178">
        <v>2240.9699999999998</v>
      </c>
      <c r="BB645" s="181">
        <v>2348.9580000000001</v>
      </c>
      <c r="BC645" s="95">
        <v>2957.232</v>
      </c>
      <c r="BD645" s="178"/>
      <c r="BE645" s="181">
        <v>3253.9</v>
      </c>
      <c r="BF645" s="185">
        <v>196.08</v>
      </c>
      <c r="BG645" s="183"/>
      <c r="BH645" s="184">
        <v>231.61</v>
      </c>
      <c r="BI645" s="185">
        <v>1186.7750000000001</v>
      </c>
      <c r="BJ645" s="183"/>
      <c r="BK645" s="186">
        <v>981.82</v>
      </c>
      <c r="BN645" s="125">
        <f t="shared" si="133"/>
        <v>49362.737000000001</v>
      </c>
      <c r="BO645" s="126">
        <f t="shared" si="134"/>
        <v>45401.68</v>
      </c>
      <c r="BP645" s="127">
        <f t="shared" si="135"/>
        <v>56048.642</v>
      </c>
    </row>
    <row r="646" spans="1:68" s="115" customFormat="1" ht="14.25" customHeight="1" outlineLevel="4" x14ac:dyDescent="0.25">
      <c r="A646" s="100"/>
      <c r="B646" s="100"/>
      <c r="C646" s="99" t="s">
        <v>206</v>
      </c>
      <c r="D646" s="99" t="s">
        <v>207</v>
      </c>
      <c r="E646" s="99" t="s">
        <v>73</v>
      </c>
      <c r="F646" s="99" t="s">
        <v>74</v>
      </c>
      <c r="G646" s="99" t="s">
        <v>73</v>
      </c>
      <c r="H646" s="99" t="s">
        <v>73</v>
      </c>
      <c r="I646" s="99" t="s">
        <v>73</v>
      </c>
      <c r="J646" s="99" t="s">
        <v>73</v>
      </c>
      <c r="K646" s="102" t="s">
        <v>73</v>
      </c>
      <c r="L646" s="99" t="s">
        <v>73</v>
      </c>
      <c r="M646" s="100" t="str">
        <f t="array" ref="M646">Y460</f>
        <v>1ВО::1.1</v>
      </c>
      <c r="N646" s="100"/>
      <c r="O646" s="100"/>
      <c r="P646" s="100"/>
      <c r="Q646" s="100"/>
      <c r="R646" s="100"/>
      <c r="S646" s="100"/>
      <c r="T646" s="100"/>
      <c r="U646" s="100"/>
      <c r="V646" s="100"/>
      <c r="W646" s="100"/>
      <c r="X646" s="100"/>
      <c r="Y646" s="100"/>
      <c r="Z646" s="100"/>
      <c r="AA646" s="100"/>
      <c r="AB646" s="418" t="str">
        <f>AB645&amp;".1"</f>
        <v>3.1.1.4.3.1.1</v>
      </c>
      <c r="AC646" s="447" t="s">
        <v>208</v>
      </c>
      <c r="AD646" s="448" t="s">
        <v>209</v>
      </c>
      <c r="AE646" s="190">
        <f>(AE645/AE647)/12*1000</f>
        <v>62842.341108857341</v>
      </c>
      <c r="AF646" s="191">
        <f>(AF645/AF647)/12*1000</f>
        <v>71216.231884057983</v>
      </c>
      <c r="AG646" s="192">
        <f>(AG645/AG647)/12*1000</f>
        <v>75225.561594202896</v>
      </c>
      <c r="AH646" s="190"/>
      <c r="AI646" s="191"/>
      <c r="AJ646" s="192"/>
      <c r="AK646" s="190"/>
      <c r="AL646" s="191"/>
      <c r="AM646" s="193"/>
      <c r="AN646" s="190">
        <f t="shared" ref="AN646:AW646" si="141">(AN645/AN647)/12*1000</f>
        <v>52832.986111111102</v>
      </c>
      <c r="AO646" s="191" t="e">
        <f t="shared" si="141"/>
        <v>#DIV/0!</v>
      </c>
      <c r="AP646" s="193">
        <f t="shared" si="141"/>
        <v>52062.345679012338</v>
      </c>
      <c r="AQ646" s="190">
        <f t="shared" si="141"/>
        <v>52310.256410256407</v>
      </c>
      <c r="AR646" s="191" t="e">
        <f t="shared" si="141"/>
        <v>#DIV/0!</v>
      </c>
      <c r="AS646" s="193">
        <f t="shared" si="141"/>
        <v>50872.380952380954</v>
      </c>
      <c r="AT646" s="190">
        <f t="shared" si="141"/>
        <v>53004.824561403519</v>
      </c>
      <c r="AU646" s="191">
        <f t="shared" si="141"/>
        <v>45825.595238095237</v>
      </c>
      <c r="AV646" s="193">
        <f t="shared" si="141"/>
        <v>51541.666666666664</v>
      </c>
      <c r="AW646" s="190">
        <f t="shared" si="141"/>
        <v>45392.933333333334</v>
      </c>
      <c r="AX646" s="191"/>
      <c r="AY646" s="193">
        <f t="shared" ref="AY646:BK646" si="142">(AY645/AY647)/12*1000</f>
        <v>47012.799999999996</v>
      </c>
      <c r="AZ646" s="190">
        <f t="shared" si="142"/>
        <v>44190.687499999993</v>
      </c>
      <c r="BA646" s="191">
        <f t="shared" si="142"/>
        <v>46686.874999999993</v>
      </c>
      <c r="BB646" s="193">
        <f t="shared" si="142"/>
        <v>48936.625</v>
      </c>
      <c r="BC646" s="190">
        <f t="shared" si="142"/>
        <v>43810.844444444447</v>
      </c>
      <c r="BD646" s="191" t="e">
        <f t="shared" si="142"/>
        <v>#DIV/0!</v>
      </c>
      <c r="BE646" s="193">
        <f t="shared" si="142"/>
        <v>48163.114268798105</v>
      </c>
      <c r="BF646" s="190">
        <f t="shared" si="142"/>
        <v>39853.658536585368</v>
      </c>
      <c r="BG646" s="191" t="e">
        <f t="shared" si="142"/>
        <v>#DIV/0!</v>
      </c>
      <c r="BH646" s="193">
        <f t="shared" si="142"/>
        <v>38601.666666666664</v>
      </c>
      <c r="BI646" s="190">
        <f t="shared" si="142"/>
        <v>39559.166666666672</v>
      </c>
      <c r="BJ646" s="191" t="e">
        <f t="shared" si="142"/>
        <v>#DIV/0!</v>
      </c>
      <c r="BK646" s="192">
        <f t="shared" si="142"/>
        <v>40909.166666666672</v>
      </c>
      <c r="BL646" s="111"/>
      <c r="BM646" s="100"/>
      <c r="BN646" s="112">
        <f>(BN645/BN647)/12*1000</f>
        <v>57746.352448468693</v>
      </c>
      <c r="BO646" s="113">
        <f>(BO645/BO647)/12*1000</f>
        <v>66376.725146198834</v>
      </c>
      <c r="BP646" s="114">
        <f>(BP645/BP647)/12*1000</f>
        <v>65942.682008565112</v>
      </c>
    </row>
    <row r="647" spans="1:68" s="115" customFormat="1" ht="14.25" customHeight="1" outlineLevel="4" x14ac:dyDescent="0.25">
      <c r="A647" s="100"/>
      <c r="B647" s="100"/>
      <c r="C647" s="99" t="s">
        <v>210</v>
      </c>
      <c r="D647" s="99" t="s">
        <v>211</v>
      </c>
      <c r="E647" s="99" t="s">
        <v>73</v>
      </c>
      <c r="F647" s="99" t="s">
        <v>74</v>
      </c>
      <c r="G647" s="99" t="s">
        <v>73</v>
      </c>
      <c r="H647" s="99" t="s">
        <v>73</v>
      </c>
      <c r="I647" s="99" t="s">
        <v>73</v>
      </c>
      <c r="J647" s="99" t="s">
        <v>73</v>
      </c>
      <c r="K647" s="102" t="s">
        <v>73</v>
      </c>
      <c r="L647" s="99" t="s">
        <v>73</v>
      </c>
      <c r="M647" s="100" t="str">
        <f t="array" ref="M647">Y460</f>
        <v>1ВО::1.1</v>
      </c>
      <c r="N647" s="100"/>
      <c r="O647" s="100"/>
      <c r="P647" s="100"/>
      <c r="Q647" s="100"/>
      <c r="R647" s="100"/>
      <c r="S647" s="100"/>
      <c r="T647" s="100"/>
      <c r="U647" s="100"/>
      <c r="V647" s="100"/>
      <c r="W647" s="100"/>
      <c r="X647" s="100"/>
      <c r="Y647" s="100"/>
      <c r="Z647" s="100"/>
      <c r="AA647" s="100"/>
      <c r="AB647" s="418" t="str">
        <f>AB645&amp;".2"</f>
        <v>3.1.1.4.3.1.2</v>
      </c>
      <c r="AC647" s="447" t="s">
        <v>212</v>
      </c>
      <c r="AD647" s="448" t="s">
        <v>213</v>
      </c>
      <c r="AE647" s="199">
        <v>49.3</v>
      </c>
      <c r="AF647" s="200">
        <v>46</v>
      </c>
      <c r="AG647" s="201">
        <v>46</v>
      </c>
      <c r="AH647" s="199"/>
      <c r="AI647" s="200"/>
      <c r="AJ647" s="201"/>
      <c r="AK647" s="199"/>
      <c r="AL647" s="200"/>
      <c r="AM647" s="202"/>
      <c r="AN647" s="199">
        <v>2.4</v>
      </c>
      <c r="AO647" s="200"/>
      <c r="AP647" s="202">
        <v>2.7</v>
      </c>
      <c r="AQ647" s="199">
        <v>2.6</v>
      </c>
      <c r="AR647" s="200"/>
      <c r="AS647" s="202">
        <v>3.5</v>
      </c>
      <c r="AT647" s="199">
        <v>1.9</v>
      </c>
      <c r="AU647" s="200">
        <v>7</v>
      </c>
      <c r="AV647" s="202">
        <v>4</v>
      </c>
      <c r="AW647" s="199">
        <v>2.5</v>
      </c>
      <c r="AX647" s="200"/>
      <c r="AY647" s="202">
        <v>2.5</v>
      </c>
      <c r="AZ647" s="199">
        <v>4</v>
      </c>
      <c r="BA647" s="200">
        <v>4</v>
      </c>
      <c r="BB647" s="202">
        <v>4</v>
      </c>
      <c r="BC647" s="199">
        <v>5.625</v>
      </c>
      <c r="BD647" s="200"/>
      <c r="BE647" s="202">
        <v>5.63</v>
      </c>
      <c r="BF647" s="206">
        <v>0.41</v>
      </c>
      <c r="BG647" s="204"/>
      <c r="BH647" s="205">
        <v>0.5</v>
      </c>
      <c r="BI647" s="206">
        <v>2.5</v>
      </c>
      <c r="BJ647" s="204"/>
      <c r="BK647" s="207">
        <v>2</v>
      </c>
      <c r="BL647" s="111"/>
      <c r="BM647" s="100"/>
      <c r="BN647" s="112">
        <f t="shared" ref="BN647:BP648" si="143">AE647+AH647+AK647+AN647+AQ647+AT647+AW647+AZ647+BC647+BF647+BI647</f>
        <v>71.234999999999985</v>
      </c>
      <c r="BO647" s="113">
        <f t="shared" si="143"/>
        <v>57</v>
      </c>
      <c r="BP647" s="114">
        <f t="shared" si="143"/>
        <v>70.83</v>
      </c>
    </row>
    <row r="648" spans="1:68" ht="16.5" customHeight="1" outlineLevel="4" x14ac:dyDescent="0.25">
      <c r="C648" s="10" t="s">
        <v>83</v>
      </c>
      <c r="D648" s="10" t="s">
        <v>84</v>
      </c>
      <c r="E648" s="10" t="s">
        <v>73</v>
      </c>
      <c r="F648" s="10" t="s">
        <v>74</v>
      </c>
      <c r="G648" s="10" t="s">
        <v>214</v>
      </c>
      <c r="H648" s="10" t="s">
        <v>73</v>
      </c>
      <c r="I648" s="10" t="s">
        <v>73</v>
      </c>
      <c r="J648" s="10" t="s">
        <v>73</v>
      </c>
      <c r="K648" s="12" t="s">
        <v>73</v>
      </c>
      <c r="L648" s="10" t="s">
        <v>73</v>
      </c>
      <c r="M648" s="5" t="str">
        <f t="array" ref="M648">Y460</f>
        <v>1ВО::1.1</v>
      </c>
      <c r="AB648" s="403" t="str">
        <f>AB644&amp;".2"</f>
        <v>3.1.1.4.3.2</v>
      </c>
      <c r="AC648" s="444" t="s">
        <v>214</v>
      </c>
      <c r="AD648" s="32" t="s">
        <v>111</v>
      </c>
      <c r="AE648" s="95">
        <f>37177.529*0.302</f>
        <v>11227.613758</v>
      </c>
      <c r="AF648" s="73">
        <f>AF644-AF645</f>
        <v>12800.329999999994</v>
      </c>
      <c r="AG648" s="74">
        <f>AG644-AG645</f>
        <v>13520.96</v>
      </c>
      <c r="AH648" s="95"/>
      <c r="AI648" s="73"/>
      <c r="AJ648" s="74"/>
      <c r="AK648" s="95"/>
      <c r="AL648" s="73"/>
      <c r="AM648" s="138"/>
      <c r="AN648" s="95">
        <v>459.52</v>
      </c>
      <c r="AO648" s="73"/>
      <c r="AP648" s="138">
        <v>509.42</v>
      </c>
      <c r="AQ648" s="95">
        <v>492.89</v>
      </c>
      <c r="AR648" s="73"/>
      <c r="AS648" s="138">
        <v>645.26</v>
      </c>
      <c r="AT648" s="95">
        <v>364.97</v>
      </c>
      <c r="AU648" s="73">
        <v>1162.5</v>
      </c>
      <c r="AV648" s="138">
        <v>747.15</v>
      </c>
      <c r="AW648" s="95">
        <f>AW645*30.2%</f>
        <v>411.25997599999999</v>
      </c>
      <c r="AX648" s="73"/>
      <c r="AY648" s="138">
        <f>AY645*30.2%</f>
        <v>425.935968</v>
      </c>
      <c r="AZ648" s="95">
        <f>AZ645*30.2%</f>
        <v>640.5882059999999</v>
      </c>
      <c r="BA648" s="73">
        <f>BA645*30.2%</f>
        <v>676.77293999999995</v>
      </c>
      <c r="BB648" s="138">
        <f>BB645*30.2%</f>
        <v>709.38531599999999</v>
      </c>
      <c r="BC648" s="95">
        <v>893.08406000000002</v>
      </c>
      <c r="BD648" s="73"/>
      <c r="BE648" s="138">
        <v>982.68</v>
      </c>
      <c r="BF648" s="185">
        <v>59.22</v>
      </c>
      <c r="BG648" s="140"/>
      <c r="BH648" s="141">
        <v>69.95</v>
      </c>
      <c r="BI648" s="185">
        <v>358.41</v>
      </c>
      <c r="BJ648" s="140"/>
      <c r="BK648" s="143">
        <v>296.51</v>
      </c>
      <c r="BN648" s="125">
        <f t="shared" si="143"/>
        <v>14907.555999999997</v>
      </c>
      <c r="BO648" s="126">
        <f t="shared" si="143"/>
        <v>14639.602939999995</v>
      </c>
      <c r="BP648" s="127">
        <f t="shared" si="143"/>
        <v>17907.251283999998</v>
      </c>
    </row>
    <row r="649" spans="1:68" ht="14.25" customHeight="1" outlineLevel="4" x14ac:dyDescent="0.25">
      <c r="C649" s="10" t="s">
        <v>216</v>
      </c>
      <c r="D649" s="10" t="s">
        <v>217</v>
      </c>
      <c r="E649" s="10" t="s">
        <v>73</v>
      </c>
      <c r="F649" s="10" t="s">
        <v>74</v>
      </c>
      <c r="G649" s="10" t="s">
        <v>73</v>
      </c>
      <c r="H649" s="10" t="s">
        <v>73</v>
      </c>
      <c r="I649" s="10" t="s">
        <v>73</v>
      </c>
      <c r="J649" s="10" t="s">
        <v>73</v>
      </c>
      <c r="K649" s="12" t="s">
        <v>73</v>
      </c>
      <c r="L649" s="10" t="s">
        <v>73</v>
      </c>
      <c r="M649" s="5" t="str">
        <f t="array" ref="M649">Y460</f>
        <v>1ВО::1.1</v>
      </c>
      <c r="AB649" s="403" t="str">
        <f>AB648&amp;".1"</f>
        <v>3.1.1.4.3.2.1</v>
      </c>
      <c r="AC649" s="449" t="s">
        <v>218</v>
      </c>
      <c r="AD649" s="32" t="s">
        <v>119</v>
      </c>
      <c r="AE649" s="72">
        <v>30.2</v>
      </c>
      <c r="AF649" s="73">
        <v>30.2</v>
      </c>
      <c r="AG649" s="74">
        <v>30.2</v>
      </c>
      <c r="AH649" s="72"/>
      <c r="AI649" s="73"/>
      <c r="AJ649" s="74"/>
      <c r="AK649" s="72"/>
      <c r="AL649" s="73"/>
      <c r="AM649" s="138"/>
      <c r="AN649" s="72">
        <v>30.2</v>
      </c>
      <c r="AO649" s="73"/>
      <c r="AP649" s="138">
        <v>30.2</v>
      </c>
      <c r="AQ649" s="72">
        <v>30.2</v>
      </c>
      <c r="AR649" s="73"/>
      <c r="AS649" s="138">
        <v>30.2</v>
      </c>
      <c r="AT649" s="72">
        <v>30.2</v>
      </c>
      <c r="AU649" s="73">
        <v>30.2</v>
      </c>
      <c r="AV649" s="138">
        <v>30.2</v>
      </c>
      <c r="AW649" s="72">
        <v>30.2</v>
      </c>
      <c r="AX649" s="73"/>
      <c r="AY649" s="138">
        <v>30.2</v>
      </c>
      <c r="AZ649" s="72">
        <v>30.2</v>
      </c>
      <c r="BA649" s="73">
        <v>30.2</v>
      </c>
      <c r="BB649" s="138">
        <v>30.2</v>
      </c>
      <c r="BC649" s="72">
        <v>30.2</v>
      </c>
      <c r="BD649" s="73"/>
      <c r="BE649" s="138">
        <v>30.2</v>
      </c>
      <c r="BF649" s="142">
        <v>30.2</v>
      </c>
      <c r="BG649" s="140"/>
      <c r="BH649" s="141">
        <v>30.2</v>
      </c>
      <c r="BI649" s="142">
        <v>30.2</v>
      </c>
      <c r="BJ649" s="140"/>
      <c r="BK649" s="143">
        <v>30.2</v>
      </c>
      <c r="BN649" s="125">
        <v>30.2</v>
      </c>
      <c r="BO649" s="126">
        <v>30.2</v>
      </c>
      <c r="BP649" s="127">
        <v>30.2</v>
      </c>
    </row>
    <row r="650" spans="1:68" ht="46.5" hidden="1" customHeight="1" outlineLevel="4" x14ac:dyDescent="0.25">
      <c r="C650" s="10" t="s">
        <v>83</v>
      </c>
      <c r="D650" s="10" t="s">
        <v>84</v>
      </c>
      <c r="E650" s="10" t="s">
        <v>73</v>
      </c>
      <c r="F650" s="10" t="s">
        <v>74</v>
      </c>
      <c r="G650" s="10" t="s">
        <v>396</v>
      </c>
      <c r="H650" s="10" t="s">
        <v>73</v>
      </c>
      <c r="I650" s="10" t="s">
        <v>73</v>
      </c>
      <c r="J650" s="10" t="s">
        <v>73</v>
      </c>
      <c r="K650" s="12" t="s">
        <v>73</v>
      </c>
      <c r="L650" s="10" t="s">
        <v>73</v>
      </c>
      <c r="M650" s="5" t="str">
        <f t="array" ref="M650">Y460</f>
        <v>1ВО::1.1</v>
      </c>
      <c r="AB650" s="403" t="str">
        <f>AB641&amp;".4"</f>
        <v>3.1.1.4.4</v>
      </c>
      <c r="AC650" s="442" t="s">
        <v>397</v>
      </c>
      <c r="AD650" s="32" t="s">
        <v>111</v>
      </c>
      <c r="AE650" s="95"/>
      <c r="AF650" s="178"/>
      <c r="AG650" s="96"/>
      <c r="AH650" s="95"/>
      <c r="AI650" s="178"/>
      <c r="AJ650" s="96"/>
      <c r="AK650" s="95"/>
      <c r="AL650" s="178"/>
      <c r="AM650" s="181"/>
      <c r="AN650" s="95"/>
      <c r="AO650" s="178"/>
      <c r="AP650" s="181"/>
      <c r="AQ650" s="95"/>
      <c r="AR650" s="178"/>
      <c r="AS650" s="181"/>
      <c r="AT650" s="95"/>
      <c r="AU650" s="178"/>
      <c r="AV650" s="181"/>
      <c r="AW650" s="95"/>
      <c r="AX650" s="178"/>
      <c r="AY650" s="181"/>
      <c r="AZ650" s="95"/>
      <c r="BA650" s="178"/>
      <c r="BB650" s="181"/>
      <c r="BC650" s="95">
        <v>0</v>
      </c>
      <c r="BD650" s="178"/>
      <c r="BE650" s="181">
        <v>0</v>
      </c>
      <c r="BF650" s="185"/>
      <c r="BG650" s="183"/>
      <c r="BH650" s="184"/>
      <c r="BI650" s="185"/>
      <c r="BJ650" s="183"/>
      <c r="BK650" s="186"/>
      <c r="BN650" s="125">
        <f t="shared" ref="BN650:BP656" si="144">AE650+AH650+AK650+AN650+AQ650+AT650+AW650+AZ650+BC650+BF650+BI650</f>
        <v>0</v>
      </c>
      <c r="BO650" s="126">
        <f t="shared" si="144"/>
        <v>0</v>
      </c>
      <c r="BP650" s="127">
        <f t="shared" si="144"/>
        <v>0</v>
      </c>
    </row>
    <row r="651" spans="1:68" s="211" customFormat="1" ht="50.25" customHeight="1" outlineLevel="4" x14ac:dyDescent="0.25">
      <c r="A651" s="6"/>
      <c r="B651" s="6"/>
      <c r="C651" s="116" t="s">
        <v>83</v>
      </c>
      <c r="D651" s="116" t="s">
        <v>84</v>
      </c>
      <c r="E651" s="116" t="s">
        <v>73</v>
      </c>
      <c r="F651" s="116" t="s">
        <v>74</v>
      </c>
      <c r="G651" s="116" t="s">
        <v>398</v>
      </c>
      <c r="H651" s="116" t="s">
        <v>73</v>
      </c>
      <c r="I651" s="116" t="s">
        <v>73</v>
      </c>
      <c r="J651" s="116" t="s">
        <v>73</v>
      </c>
      <c r="K651" s="209" t="s">
        <v>73</v>
      </c>
      <c r="L651" s="116" t="s">
        <v>73</v>
      </c>
      <c r="M651" s="6" t="str">
        <f t="array" ref="M651">Y460</f>
        <v>1ВО::1.1</v>
      </c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403" t="str">
        <f>AB641&amp;".5"</f>
        <v>3.1.1.4.5</v>
      </c>
      <c r="AC651" s="442" t="s">
        <v>398</v>
      </c>
      <c r="AD651" s="32" t="s">
        <v>111</v>
      </c>
      <c r="AE651" s="95">
        <v>1413.37</v>
      </c>
      <c r="AF651" s="178"/>
      <c r="AG651" s="96">
        <v>1400.1780000000001</v>
      </c>
      <c r="AH651" s="95"/>
      <c r="AI651" s="178"/>
      <c r="AJ651" s="96"/>
      <c r="AK651" s="95"/>
      <c r="AL651" s="178"/>
      <c r="AM651" s="181"/>
      <c r="AN651" s="95"/>
      <c r="AO651" s="178"/>
      <c r="AP651" s="181"/>
      <c r="AQ651" s="95"/>
      <c r="AR651" s="178">
        <v>0</v>
      </c>
      <c r="AS651" s="181"/>
      <c r="AT651" s="95"/>
      <c r="AU651" s="178"/>
      <c r="AV651" s="181"/>
      <c r="AW651" s="95">
        <f>77.48+280.38</f>
        <v>357.86</v>
      </c>
      <c r="AX651" s="178"/>
      <c r="AY651" s="181">
        <f>85.26+308.51</f>
        <v>393.77</v>
      </c>
      <c r="AZ651" s="95"/>
      <c r="BA651" s="178"/>
      <c r="BB651" s="181"/>
      <c r="BC651" s="95">
        <v>708</v>
      </c>
      <c r="BD651" s="178"/>
      <c r="BE651" s="181">
        <v>779.02239999999995</v>
      </c>
      <c r="BF651" s="185"/>
      <c r="BG651" s="183"/>
      <c r="BH651" s="184"/>
      <c r="BI651" s="185">
        <v>180</v>
      </c>
      <c r="BJ651" s="183"/>
      <c r="BK651" s="186">
        <v>180</v>
      </c>
      <c r="BL651" s="6"/>
      <c r="BM651" s="6"/>
      <c r="BN651" s="125">
        <f t="shared" si="144"/>
        <v>2659.23</v>
      </c>
      <c r="BO651" s="126">
        <f t="shared" si="144"/>
        <v>0</v>
      </c>
      <c r="BP651" s="127">
        <f t="shared" si="144"/>
        <v>2752.9704000000002</v>
      </c>
    </row>
    <row r="652" spans="1:68" ht="72" hidden="1" customHeight="1" outlineLevel="4" x14ac:dyDescent="0.25">
      <c r="C652" s="10" t="s">
        <v>83</v>
      </c>
      <c r="D652" s="10" t="s">
        <v>84</v>
      </c>
      <c r="E652" s="10" t="s">
        <v>73</v>
      </c>
      <c r="F652" s="10" t="s">
        <v>74</v>
      </c>
      <c r="G652" s="10" t="s">
        <v>399</v>
      </c>
      <c r="H652" s="10" t="s">
        <v>73</v>
      </c>
      <c r="I652" s="10" t="s">
        <v>73</v>
      </c>
      <c r="J652" s="10" t="s">
        <v>73</v>
      </c>
      <c r="K652" s="12" t="s">
        <v>73</v>
      </c>
      <c r="L652" s="10" t="s">
        <v>73</v>
      </c>
      <c r="M652" s="5" t="str">
        <f t="array" ref="M652">Y460</f>
        <v>1ВО::1.1</v>
      </c>
      <c r="AB652" s="403" t="str">
        <f>AB641&amp;".6"</f>
        <v>3.1.1.4.6</v>
      </c>
      <c r="AC652" s="442" t="s">
        <v>400</v>
      </c>
      <c r="AD652" s="32" t="s">
        <v>111</v>
      </c>
      <c r="AE652" s="95"/>
      <c r="AF652" s="178"/>
      <c r="AG652" s="96"/>
      <c r="AH652" s="95"/>
      <c r="AI652" s="178"/>
      <c r="AJ652" s="96"/>
      <c r="AK652" s="95"/>
      <c r="AL652" s="178"/>
      <c r="AM652" s="181"/>
      <c r="AN652" s="95"/>
      <c r="AO652" s="178"/>
      <c r="AP652" s="181"/>
      <c r="AQ652" s="95"/>
      <c r="AR652" s="178"/>
      <c r="AS652" s="181"/>
      <c r="AT652" s="95"/>
      <c r="AU652" s="178"/>
      <c r="AV652" s="181"/>
      <c r="AW652" s="95"/>
      <c r="AX652" s="178"/>
      <c r="AY652" s="181"/>
      <c r="AZ652" s="95"/>
      <c r="BA652" s="178"/>
      <c r="BB652" s="181"/>
      <c r="BC652" s="95"/>
      <c r="BD652" s="178"/>
      <c r="BE652" s="181"/>
      <c r="BF652" s="185"/>
      <c r="BG652" s="183"/>
      <c r="BH652" s="184"/>
      <c r="BI652" s="185"/>
      <c r="BJ652" s="183"/>
      <c r="BK652" s="186"/>
      <c r="BN652" s="125">
        <f t="shared" si="144"/>
        <v>0</v>
      </c>
      <c r="BO652" s="126">
        <f t="shared" si="144"/>
        <v>0</v>
      </c>
      <c r="BP652" s="127">
        <f t="shared" si="144"/>
        <v>0</v>
      </c>
    </row>
    <row r="653" spans="1:68" ht="71.25" customHeight="1" outlineLevel="4" x14ac:dyDescent="0.25">
      <c r="C653" s="10" t="s">
        <v>83</v>
      </c>
      <c r="D653" s="10" t="s">
        <v>84</v>
      </c>
      <c r="E653" s="10" t="s">
        <v>73</v>
      </c>
      <c r="F653" s="10" t="s">
        <v>74</v>
      </c>
      <c r="G653" s="10" t="s">
        <v>401</v>
      </c>
      <c r="H653" s="10" t="s">
        <v>73</v>
      </c>
      <c r="I653" s="10" t="s">
        <v>73</v>
      </c>
      <c r="J653" s="10" t="s">
        <v>73</v>
      </c>
      <c r="K653" s="12" t="s">
        <v>73</v>
      </c>
      <c r="L653" s="10" t="s">
        <v>73</v>
      </c>
      <c r="M653" s="5" t="str">
        <f t="array" ref="M653">Y460</f>
        <v>1ВО::1.1</v>
      </c>
      <c r="AB653" s="403" t="str">
        <f>AB641&amp;".7"</f>
        <v>3.1.1.4.7</v>
      </c>
      <c r="AC653" s="442" t="s">
        <v>402</v>
      </c>
      <c r="AD653" s="32" t="s">
        <v>111</v>
      </c>
      <c r="AE653" s="95">
        <v>14203.708000000001</v>
      </c>
      <c r="AF653" s="178">
        <v>9651.02</v>
      </c>
      <c r="AG653" s="96">
        <v>17737.616000000002</v>
      </c>
      <c r="AH653" s="95"/>
      <c r="AI653" s="178"/>
      <c r="AJ653" s="96"/>
      <c r="AK653" s="95"/>
      <c r="AL653" s="178"/>
      <c r="AM653" s="181"/>
      <c r="AN653" s="95">
        <v>58.78</v>
      </c>
      <c r="AO653" s="178">
        <v>41.8</v>
      </c>
      <c r="AP653" s="181">
        <v>83.16</v>
      </c>
      <c r="AQ653" s="95">
        <v>151.04</v>
      </c>
      <c r="AR653" s="178"/>
      <c r="AS653" s="181">
        <v>203.44</v>
      </c>
      <c r="AT653" s="95">
        <v>238.56</v>
      </c>
      <c r="AU653" s="178">
        <v>155.99</v>
      </c>
      <c r="AV653" s="181">
        <f>1524.13+639.61</f>
        <v>2163.7400000000002</v>
      </c>
      <c r="AW653" s="95">
        <v>238.69</v>
      </c>
      <c r="AX653" s="178"/>
      <c r="AY653" s="181">
        <v>279.47000000000003</v>
      </c>
      <c r="AZ653" s="95">
        <v>1129.3599999999999</v>
      </c>
      <c r="BA653" s="178">
        <v>1818</v>
      </c>
      <c r="BB653" s="181">
        <f>1198.46+674.88</f>
        <v>1873.3400000000001</v>
      </c>
      <c r="BC653" s="95">
        <v>1152.06</v>
      </c>
      <c r="BD653" s="178">
        <v>601.6</v>
      </c>
      <c r="BE653" s="181">
        <v>1268.3320000000001</v>
      </c>
      <c r="BF653" s="185">
        <v>58.494</v>
      </c>
      <c r="BG653" s="183">
        <v>44.36</v>
      </c>
      <c r="BH653" s="184">
        <v>70.900000000000006</v>
      </c>
      <c r="BI653" s="185">
        <f>156.1-0.005</f>
        <v>156.095</v>
      </c>
      <c r="BJ653" s="183">
        <v>134.19</v>
      </c>
      <c r="BK653" s="186">
        <v>200.5</v>
      </c>
      <c r="BN653" s="125">
        <f t="shared" si="144"/>
        <v>17386.787000000004</v>
      </c>
      <c r="BO653" s="126">
        <f t="shared" si="144"/>
        <v>12446.960000000001</v>
      </c>
      <c r="BP653" s="127">
        <f t="shared" si="144"/>
        <v>23880.498000000003</v>
      </c>
    </row>
    <row r="654" spans="1:68" ht="24.75" hidden="1" customHeight="1" outlineLevel="4" x14ac:dyDescent="0.25">
      <c r="C654" s="10" t="s">
        <v>83</v>
      </c>
      <c r="D654" s="10" t="s">
        <v>84</v>
      </c>
      <c r="E654" s="10" t="s">
        <v>73</v>
      </c>
      <c r="F654" s="10" t="s">
        <v>74</v>
      </c>
      <c r="G654" s="10" t="s">
        <v>403</v>
      </c>
      <c r="H654" s="10" t="s">
        <v>73</v>
      </c>
      <c r="I654" s="10" t="s">
        <v>73</v>
      </c>
      <c r="J654" s="10" t="s">
        <v>73</v>
      </c>
      <c r="K654" s="12" t="s">
        <v>73</v>
      </c>
      <c r="L654" s="10" t="s">
        <v>73</v>
      </c>
      <c r="M654" s="5" t="str">
        <f t="array" ref="M654">Y460</f>
        <v>1ВО::1.1</v>
      </c>
      <c r="AB654" s="403" t="str">
        <f>AB641&amp;".8"</f>
        <v>3.1.1.4.8</v>
      </c>
      <c r="AC654" s="442" t="s">
        <v>403</v>
      </c>
      <c r="AD654" s="32" t="s">
        <v>111</v>
      </c>
      <c r="AE654" s="95"/>
      <c r="AF654" s="73"/>
      <c r="AG654" s="74"/>
      <c r="AH654" s="95"/>
      <c r="AI654" s="73"/>
      <c r="AJ654" s="74"/>
      <c r="AK654" s="95"/>
      <c r="AL654" s="73"/>
      <c r="AM654" s="138"/>
      <c r="AN654" s="95"/>
      <c r="AO654" s="73"/>
      <c r="AP654" s="138"/>
      <c r="AQ654" s="95"/>
      <c r="AR654" s="73"/>
      <c r="AS654" s="138"/>
      <c r="AT654" s="95"/>
      <c r="AU654" s="73"/>
      <c r="AV654" s="138"/>
      <c r="AW654" s="95"/>
      <c r="AX654" s="73"/>
      <c r="AY654" s="138"/>
      <c r="AZ654" s="95"/>
      <c r="BA654" s="73"/>
      <c r="BB654" s="138"/>
      <c r="BC654" s="95"/>
      <c r="BD654" s="73"/>
      <c r="BE654" s="138"/>
      <c r="BF654" s="185"/>
      <c r="BG654" s="140"/>
      <c r="BH654" s="141"/>
      <c r="BI654" s="185"/>
      <c r="BJ654" s="140"/>
      <c r="BK654" s="143"/>
      <c r="BN654" s="125">
        <f t="shared" si="144"/>
        <v>0</v>
      </c>
      <c r="BO654" s="126">
        <f t="shared" si="144"/>
        <v>0</v>
      </c>
      <c r="BP654" s="127">
        <f t="shared" si="144"/>
        <v>0</v>
      </c>
    </row>
    <row r="655" spans="1:68" s="171" customFormat="1" ht="28.5" customHeight="1" outlineLevel="2" x14ac:dyDescent="0.25">
      <c r="A655" s="166"/>
      <c r="B655" s="166"/>
      <c r="C655" s="167" t="s">
        <v>83</v>
      </c>
      <c r="D655" s="167" t="s">
        <v>84</v>
      </c>
      <c r="E655" s="167" t="s">
        <v>73</v>
      </c>
      <c r="F655" s="167" t="s">
        <v>74</v>
      </c>
      <c r="G655" s="167" t="s">
        <v>404</v>
      </c>
      <c r="H655" s="167" t="s">
        <v>73</v>
      </c>
      <c r="I655" s="167" t="s">
        <v>73</v>
      </c>
      <c r="J655" s="167" t="s">
        <v>73</v>
      </c>
      <c r="K655" s="168" t="s">
        <v>73</v>
      </c>
      <c r="L655" s="167" t="s">
        <v>133</v>
      </c>
      <c r="M655" s="166" t="str">
        <f t="array" ref="M655">Y460</f>
        <v>1ВО::1.1</v>
      </c>
      <c r="N655" s="166"/>
      <c r="O655" s="166"/>
      <c r="P655" s="166"/>
      <c r="Q655" s="166"/>
      <c r="R655" s="166"/>
      <c r="S655" s="166"/>
      <c r="T655" s="166"/>
      <c r="U655" s="166"/>
      <c r="V655" s="166"/>
      <c r="W655" s="166"/>
      <c r="X655" s="166"/>
      <c r="Y655" s="166"/>
      <c r="Z655" s="166"/>
      <c r="AA655" s="166"/>
      <c r="AB655" s="429" t="str">
        <f>AB510&amp;".2"</f>
        <v>3.1.2</v>
      </c>
      <c r="AC655" s="440" t="s">
        <v>405</v>
      </c>
      <c r="AD655" s="431" t="s">
        <v>111</v>
      </c>
      <c r="AE655" s="476">
        <f>AE656+AE669+AE670+AE671</f>
        <v>153567.82999999999</v>
      </c>
      <c r="AF655" s="489">
        <v>179645.28</v>
      </c>
      <c r="AG655" s="490">
        <f>AG656+AG669+AG670+AG671</f>
        <v>206139.1</v>
      </c>
      <c r="AH655" s="476">
        <f>AH656+AH669+AH670+AH671</f>
        <v>3070.36996</v>
      </c>
      <c r="AI655" s="433">
        <f>AI656+AI669+AI670+AI671</f>
        <v>3497.32</v>
      </c>
      <c r="AJ655" s="490">
        <f>AJ656+AJ669+AJ670+AJ671</f>
        <v>4118.2884999999997</v>
      </c>
      <c r="AK655" s="476"/>
      <c r="AL655" s="489"/>
      <c r="AM655" s="477"/>
      <c r="AN655" s="476">
        <f t="shared" ref="AN655:AT655" si="145">AN656+AN669+AN670+AN671</f>
        <v>2081.1999999999998</v>
      </c>
      <c r="AO655" s="433">
        <f t="shared" si="145"/>
        <v>551.05999999999995</v>
      </c>
      <c r="AP655" s="477">
        <f t="shared" si="145"/>
        <v>2792.81</v>
      </c>
      <c r="AQ655" s="476">
        <f t="shared" si="145"/>
        <v>585.15</v>
      </c>
      <c r="AR655" s="433">
        <f t="shared" si="145"/>
        <v>105.33</v>
      </c>
      <c r="AS655" s="477">
        <f t="shared" si="145"/>
        <v>609.08000000000004</v>
      </c>
      <c r="AT655" s="476">
        <f t="shared" si="145"/>
        <v>363.97</v>
      </c>
      <c r="AU655" s="433">
        <v>873.37</v>
      </c>
      <c r="AV655" s="477">
        <f t="shared" ref="AV655:BK655" si="146">AV656+AV669+AV670+AV671</f>
        <v>488.4</v>
      </c>
      <c r="AW655" s="476">
        <f t="shared" si="146"/>
        <v>334.34396765000002</v>
      </c>
      <c r="AX655" s="433">
        <f t="shared" si="146"/>
        <v>27.12</v>
      </c>
      <c r="AY655" s="477">
        <f t="shared" si="146"/>
        <v>769.42319999999995</v>
      </c>
      <c r="AZ655" s="476">
        <f t="shared" si="146"/>
        <v>15052.75</v>
      </c>
      <c r="BA655" s="433">
        <f t="shared" si="146"/>
        <v>20381.946</v>
      </c>
      <c r="BB655" s="477">
        <f t="shared" si="146"/>
        <v>19842.82</v>
      </c>
      <c r="BC655" s="476">
        <f t="shared" si="146"/>
        <v>11611.96</v>
      </c>
      <c r="BD655" s="433">
        <f t="shared" si="146"/>
        <v>14115.64</v>
      </c>
      <c r="BE655" s="477">
        <f t="shared" si="146"/>
        <v>15586.21</v>
      </c>
      <c r="BF655" s="491">
        <f t="shared" si="146"/>
        <v>97.12</v>
      </c>
      <c r="BG655" s="492">
        <f t="shared" si="146"/>
        <v>0</v>
      </c>
      <c r="BH655" s="493">
        <f t="shared" si="146"/>
        <v>130.33000000000001</v>
      </c>
      <c r="BI655" s="491">
        <f t="shared" si="146"/>
        <v>1980.75</v>
      </c>
      <c r="BJ655" s="492">
        <f t="shared" si="146"/>
        <v>417.33</v>
      </c>
      <c r="BK655" s="494">
        <f t="shared" si="146"/>
        <v>3128.98</v>
      </c>
      <c r="BL655" s="170"/>
      <c r="BM655" s="166"/>
      <c r="BN655" s="436">
        <f t="shared" si="144"/>
        <v>188745.44392764999</v>
      </c>
      <c r="BO655" s="437">
        <f t="shared" si="144"/>
        <v>219614.39599999998</v>
      </c>
      <c r="BP655" s="438">
        <f t="shared" si="144"/>
        <v>253605.44169999997</v>
      </c>
    </row>
    <row r="656" spans="1:68" ht="14.25" customHeight="1" outlineLevel="3" x14ac:dyDescent="0.25">
      <c r="C656" s="10" t="s">
        <v>83</v>
      </c>
      <c r="D656" s="10" t="s">
        <v>84</v>
      </c>
      <c r="E656" s="10" t="s">
        <v>73</v>
      </c>
      <c r="F656" s="10" t="s">
        <v>74</v>
      </c>
      <c r="G656" s="10" t="s">
        <v>406</v>
      </c>
      <c r="H656" s="10" t="s">
        <v>73</v>
      </c>
      <c r="I656" s="10" t="s">
        <v>73</v>
      </c>
      <c r="J656" s="10" t="s">
        <v>73</v>
      </c>
      <c r="K656" s="12" t="s">
        <v>73</v>
      </c>
      <c r="L656" s="10" t="s">
        <v>407</v>
      </c>
      <c r="M656" s="5" t="str">
        <f t="array" ref="M656">Y460</f>
        <v>1ВО::1.1</v>
      </c>
      <c r="Y656" s="10">
        <v>1</v>
      </c>
      <c r="AB656" s="403" t="str">
        <f>AB655&amp;".1"</f>
        <v>3.1.2.1</v>
      </c>
      <c r="AC656" s="413" t="s">
        <v>406</v>
      </c>
      <c r="AD656" s="32" t="s">
        <v>111</v>
      </c>
      <c r="AE656" s="72">
        <v>153567.82999999999</v>
      </c>
      <c r="AF656" s="73">
        <f>AF655-SUM(AF669:AF671)</f>
        <v>179645.28</v>
      </c>
      <c r="AG656" s="74">
        <v>206139.1</v>
      </c>
      <c r="AH656" s="72">
        <f>AH657*AH658</f>
        <v>3070.36996</v>
      </c>
      <c r="AI656" s="73">
        <v>3497.32</v>
      </c>
      <c r="AJ656" s="74">
        <f>AJ657*AJ658</f>
        <v>4118.2884999999997</v>
      </c>
      <c r="AK656" s="72"/>
      <c r="AL656" s="73"/>
      <c r="AM656" s="138"/>
      <c r="AN656" s="72">
        <v>2081.1999999999998</v>
      </c>
      <c r="AO656" s="73">
        <v>551.05999999999995</v>
      </c>
      <c r="AP656" s="138">
        <v>2792.81</v>
      </c>
      <c r="AQ656" s="72">
        <v>585.15</v>
      </c>
      <c r="AR656" s="73">
        <v>105.33</v>
      </c>
      <c r="AS656" s="138">
        <v>609.08000000000004</v>
      </c>
      <c r="AT656" s="72">
        <v>363.97</v>
      </c>
      <c r="AU656" s="73">
        <v>873.37</v>
      </c>
      <c r="AV656" s="138">
        <v>488.4</v>
      </c>
      <c r="AW656" s="72">
        <f>AW657*AW658</f>
        <v>334.34396765000002</v>
      </c>
      <c r="AX656" s="73">
        <v>27.12</v>
      </c>
      <c r="AY656" s="138">
        <f>AY657*AY658</f>
        <v>769.42319999999995</v>
      </c>
      <c r="AZ656" s="72">
        <v>15052.75</v>
      </c>
      <c r="BA656" s="73">
        <v>20381.946</v>
      </c>
      <c r="BB656" s="138">
        <v>19842.82</v>
      </c>
      <c r="BC656" s="72">
        <v>11611.96</v>
      </c>
      <c r="BD656" s="73">
        <v>14115.64</v>
      </c>
      <c r="BE656" s="138">
        <v>15586.21</v>
      </c>
      <c r="BF656" s="142">
        <v>97.12</v>
      </c>
      <c r="BG656" s="140"/>
      <c r="BH656" s="141">
        <v>130.33000000000001</v>
      </c>
      <c r="BI656" s="142">
        <v>1980.75</v>
      </c>
      <c r="BJ656" s="140">
        <v>417.33</v>
      </c>
      <c r="BK656" s="143">
        <v>3128.98</v>
      </c>
      <c r="BN656" s="125">
        <f t="shared" si="144"/>
        <v>188745.44392764999</v>
      </c>
      <c r="BO656" s="126">
        <f t="shared" si="144"/>
        <v>219614.39599999998</v>
      </c>
      <c r="BP656" s="127">
        <f t="shared" si="144"/>
        <v>253605.44169999997</v>
      </c>
    </row>
    <row r="657" spans="1:68" ht="14.25" customHeight="1" outlineLevel="3" x14ac:dyDescent="0.25">
      <c r="C657" s="10" t="s">
        <v>408</v>
      </c>
      <c r="D657" s="10" t="s">
        <v>409</v>
      </c>
      <c r="E657" s="10" t="s">
        <v>73</v>
      </c>
      <c r="F657" s="10" t="s">
        <v>74</v>
      </c>
      <c r="G657" s="10" t="s">
        <v>73</v>
      </c>
      <c r="H657" s="10" t="s">
        <v>73</v>
      </c>
      <c r="I657" s="10" t="s">
        <v>73</v>
      </c>
      <c r="J657" s="10" t="s">
        <v>73</v>
      </c>
      <c r="K657" s="12" t="s">
        <v>73</v>
      </c>
      <c r="L657" s="10" t="s">
        <v>407</v>
      </c>
      <c r="M657" s="5" t="str">
        <f t="array" ref="M657">Y460</f>
        <v>1ВО::1.1</v>
      </c>
      <c r="AB657" s="403" t="str">
        <f>AB656&amp;".1"</f>
        <v>3.1.2.1.1</v>
      </c>
      <c r="AC657" s="495" t="s">
        <v>410</v>
      </c>
      <c r="AD657" s="32" t="s">
        <v>411</v>
      </c>
      <c r="AE657" s="269">
        <v>6.6662100000000004</v>
      </c>
      <c r="AF657" s="270">
        <v>7.5193500000000002</v>
      </c>
      <c r="AG657" s="271">
        <v>9.4044799999999995</v>
      </c>
      <c r="AH657" s="269">
        <v>7.58</v>
      </c>
      <c r="AI657" s="270">
        <v>8.64</v>
      </c>
      <c r="AJ657" s="271">
        <v>10.19</v>
      </c>
      <c r="AK657" s="269"/>
      <c r="AL657" s="270"/>
      <c r="AM657" s="272"/>
      <c r="AN657" s="269">
        <v>7.5190700000000001</v>
      </c>
      <c r="AO657" s="270">
        <v>8.6197400000000002</v>
      </c>
      <c r="AP657" s="272">
        <v>10.11777</v>
      </c>
      <c r="AQ657" s="269">
        <v>7.6265799999999997</v>
      </c>
      <c r="AR657" s="270">
        <v>8.1023099999999992</v>
      </c>
      <c r="AS657" s="272">
        <v>9.86205</v>
      </c>
      <c r="AT657" s="269">
        <v>9.7083399999999997</v>
      </c>
      <c r="AU657" s="270">
        <v>12.196199999999999</v>
      </c>
      <c r="AV657" s="272">
        <v>8.8800000000000008</v>
      </c>
      <c r="AW657" s="269">
        <v>7.5365500000000001</v>
      </c>
      <c r="AX657" s="270">
        <f>AX656/AX658</f>
        <v>8.6369426751592364</v>
      </c>
      <c r="AY657" s="272">
        <v>10.14</v>
      </c>
      <c r="AZ657" s="269">
        <v>8.1816499999999994</v>
      </c>
      <c r="BA657" s="270">
        <f>BA656/BA658</f>
        <v>9.373466149749591</v>
      </c>
      <c r="BB657" s="272">
        <v>11.046620000000001</v>
      </c>
      <c r="BC657" s="269">
        <v>6.6224629999999998</v>
      </c>
      <c r="BD657" s="270">
        <v>4.6439399999999997</v>
      </c>
      <c r="BE657" s="272">
        <v>8.9162400000000002</v>
      </c>
      <c r="BF657" s="276">
        <v>7.7296699999999996</v>
      </c>
      <c r="BG657" s="274"/>
      <c r="BH657" s="275">
        <v>10.375730000000001</v>
      </c>
      <c r="BI657" s="276">
        <v>9.8400599999999994</v>
      </c>
      <c r="BJ657" s="274">
        <v>8.6337799999999998</v>
      </c>
      <c r="BK657" s="277">
        <v>76.963576000000003</v>
      </c>
      <c r="BN657" s="125">
        <f>BN656/BN658</f>
        <v>6.8179274289023812</v>
      </c>
      <c r="BO657" s="126">
        <f>BO656/BO658</f>
        <v>7.3919679814281718</v>
      </c>
      <c r="BP657" s="127">
        <f>BP656/BP658</f>
        <v>9.6100332088489377</v>
      </c>
    </row>
    <row r="658" spans="1:68" ht="14.25" customHeight="1" outlineLevel="3" x14ac:dyDescent="0.25">
      <c r="C658" s="10" t="s">
        <v>412</v>
      </c>
      <c r="D658" s="10" t="s">
        <v>413</v>
      </c>
      <c r="E658" s="10" t="s">
        <v>73</v>
      </c>
      <c r="F658" s="10" t="s">
        <v>74</v>
      </c>
      <c r="G658" s="10" t="s">
        <v>73</v>
      </c>
      <c r="H658" s="10" t="s">
        <v>73</v>
      </c>
      <c r="I658" s="10" t="s">
        <v>73</v>
      </c>
      <c r="J658" s="10" t="s">
        <v>73</v>
      </c>
      <c r="K658" s="12" t="s">
        <v>73</v>
      </c>
      <c r="L658" s="10" t="s">
        <v>407</v>
      </c>
      <c r="M658" s="5" t="str">
        <f t="array" ref="M658">Y460</f>
        <v>1ВО::1.1</v>
      </c>
      <c r="AB658" s="403" t="str">
        <f>AB657&amp;".2"</f>
        <v>3.1.2.1.1.2</v>
      </c>
      <c r="AC658" s="495" t="s">
        <v>414</v>
      </c>
      <c r="AD658" s="32" t="s">
        <v>415</v>
      </c>
      <c r="AE658" s="66">
        <v>23036.741999999998</v>
      </c>
      <c r="AF658" s="91">
        <v>23891.059000000001</v>
      </c>
      <c r="AG658" s="68">
        <v>21919.252</v>
      </c>
      <c r="AH658" s="66">
        <v>405.06200000000001</v>
      </c>
      <c r="AI658" s="91">
        <f>AI656/AI657</f>
        <v>404.78240740740739</v>
      </c>
      <c r="AJ658" s="68">
        <v>404.15</v>
      </c>
      <c r="AK658" s="66"/>
      <c r="AL658" s="91"/>
      <c r="AM658" s="119"/>
      <c r="AN658" s="66">
        <v>276.79000000000002</v>
      </c>
      <c r="AO658" s="91">
        <v>63.93</v>
      </c>
      <c r="AP658" s="119">
        <v>276.02999999999997</v>
      </c>
      <c r="AQ658" s="66">
        <v>76.725999999999999</v>
      </c>
      <c r="AR658" s="91">
        <v>13</v>
      </c>
      <c r="AS658" s="119">
        <v>61.76</v>
      </c>
      <c r="AT658" s="66">
        <v>37.49</v>
      </c>
      <c r="AU658" s="91">
        <v>71.61</v>
      </c>
      <c r="AV658" s="119">
        <v>55</v>
      </c>
      <c r="AW658" s="66">
        <v>44.363</v>
      </c>
      <c r="AX658" s="91">
        <v>3.14</v>
      </c>
      <c r="AY658" s="119">
        <v>75.88</v>
      </c>
      <c r="AZ658" s="66">
        <v>1839.818</v>
      </c>
      <c r="BA658" s="91">
        <v>2174.4299999999998</v>
      </c>
      <c r="BB658" s="119">
        <v>1796.28</v>
      </c>
      <c r="BC658" s="66">
        <v>1752.847</v>
      </c>
      <c r="BD658" s="91">
        <v>3039.58</v>
      </c>
      <c r="BE658" s="119">
        <v>1748.07</v>
      </c>
      <c r="BF658" s="123">
        <v>12.565</v>
      </c>
      <c r="BG658" s="279"/>
      <c r="BH658" s="122">
        <v>12.561</v>
      </c>
      <c r="BI658" s="123">
        <v>201.29499999999999</v>
      </c>
      <c r="BJ658" s="279">
        <v>48.337000000000003</v>
      </c>
      <c r="BK658" s="124">
        <v>40.67</v>
      </c>
      <c r="BN658" s="125">
        <f t="shared" ref="BN658:BN689" si="147">AE658+AH658+AK658+AN658+AQ658+AT658+AW658+AZ658+BC658+BF658+BI658</f>
        <v>27683.698</v>
      </c>
      <c r="BO658" s="126">
        <f t="shared" ref="BO658:BO689" si="148">AF658+AI658+AL658+AO658+AR658+AU658+AX658+BA658+BD658+BG658+BJ658</f>
        <v>29709.868407407412</v>
      </c>
      <c r="BP658" s="127">
        <f t="shared" ref="BP658:BP689" si="149">AG658+AJ658+AM658+AP658+AS658+AV658+AY658+BB658+BE658+BH658+BK658</f>
        <v>26389.652999999998</v>
      </c>
    </row>
    <row r="659" spans="1:68" ht="14.25" customHeight="1" outlineLevel="3" x14ac:dyDescent="0.25">
      <c r="B659" s="10" t="b">
        <f>$AD$36="да"</f>
        <v>0</v>
      </c>
      <c r="C659" s="11" t="s">
        <v>412</v>
      </c>
      <c r="D659" s="10" t="s">
        <v>413</v>
      </c>
      <c r="E659" s="10" t="s">
        <v>73</v>
      </c>
      <c r="F659" s="10" t="s">
        <v>74</v>
      </c>
      <c r="G659" s="10" t="s">
        <v>73</v>
      </c>
      <c r="H659" s="10" t="s">
        <v>73</v>
      </c>
      <c r="I659" s="10" t="s">
        <v>73</v>
      </c>
      <c r="J659" s="11" t="s">
        <v>416</v>
      </c>
      <c r="K659" s="12" t="s">
        <v>73</v>
      </c>
      <c r="L659" s="10" t="s">
        <v>417</v>
      </c>
      <c r="M659" s="5" t="str">
        <f t="array" ref="M659">Y460</f>
        <v>1ВО::1.1</v>
      </c>
      <c r="AB659" s="403" t="str">
        <f t="array" ref="AB659">IF(A659,AB658&amp;".1",AB658)</f>
        <v>3.1.2.1.1.2</v>
      </c>
      <c r="AC659" s="496" t="s">
        <v>418</v>
      </c>
      <c r="AD659" s="32" t="s">
        <v>415</v>
      </c>
      <c r="AE659" s="66"/>
      <c r="AF659" s="67">
        <v>23891.059000000001</v>
      </c>
      <c r="AG659" s="68"/>
      <c r="AH659" s="66">
        <v>369</v>
      </c>
      <c r="AI659" s="67">
        <v>364.30380000000002</v>
      </c>
      <c r="AJ659" s="68">
        <v>355.57</v>
      </c>
      <c r="AK659" s="66"/>
      <c r="AL659" s="67"/>
      <c r="AM659" s="119"/>
      <c r="AN659" s="66"/>
      <c r="AO659" s="67"/>
      <c r="AP659" s="119"/>
      <c r="AQ659" s="66"/>
      <c r="AR659" s="67"/>
      <c r="AS659" s="119"/>
      <c r="AT659" s="66"/>
      <c r="AU659" s="67"/>
      <c r="AV659" s="119"/>
      <c r="AW659" s="66">
        <v>0</v>
      </c>
      <c r="AX659" s="67"/>
      <c r="AY659" s="119">
        <v>0</v>
      </c>
      <c r="AZ659" s="66"/>
      <c r="BA659" s="67"/>
      <c r="BB659" s="119"/>
      <c r="BC659" s="66"/>
      <c r="BD659" s="67">
        <v>2714.97</v>
      </c>
      <c r="BE659" s="119">
        <v>1748.07</v>
      </c>
      <c r="BF659" s="123"/>
      <c r="BG659" s="121"/>
      <c r="BH659" s="122"/>
      <c r="BI659" s="123"/>
      <c r="BJ659" s="121"/>
      <c r="BK659" s="124"/>
      <c r="BN659" s="125">
        <f t="shared" si="147"/>
        <v>369</v>
      </c>
      <c r="BO659" s="126">
        <f t="shared" si="148"/>
        <v>26970.332800000004</v>
      </c>
      <c r="BP659" s="127">
        <f t="shared" si="149"/>
        <v>2103.64</v>
      </c>
    </row>
    <row r="660" spans="1:68" ht="14.25" customHeight="1" outlineLevel="3" x14ac:dyDescent="0.25">
      <c r="B660" s="10" t="b">
        <f>$AD$37="нет"</f>
        <v>0</v>
      </c>
      <c r="C660" s="10" t="s">
        <v>419</v>
      </c>
      <c r="D660" s="10" t="s">
        <v>420</v>
      </c>
      <c r="E660" s="10" t="s">
        <v>73</v>
      </c>
      <c r="F660" s="10" t="s">
        <v>74</v>
      </c>
      <c r="G660" s="10" t="s">
        <v>73</v>
      </c>
      <c r="H660" s="10" t="s">
        <v>73</v>
      </c>
      <c r="I660" s="10" t="s">
        <v>73</v>
      </c>
      <c r="J660" s="10" t="s">
        <v>73</v>
      </c>
      <c r="K660" s="12" t="s">
        <v>73</v>
      </c>
      <c r="L660" s="10" t="s">
        <v>417</v>
      </c>
      <c r="M660" s="5" t="str">
        <f t="array" ref="M660">Y460</f>
        <v>1ВО::1.1</v>
      </c>
      <c r="AB660" s="403" t="str">
        <f>IF(AB659="",AB658&amp;".1",AB659&amp;".1")</f>
        <v>3.1.2.1.1.2.1</v>
      </c>
      <c r="AC660" s="497" t="s">
        <v>421</v>
      </c>
      <c r="AD660" s="32" t="s">
        <v>422</v>
      </c>
      <c r="AE660" s="282">
        <v>0.38329999999999997</v>
      </c>
      <c r="AF660" s="283">
        <v>0.39100000000000001</v>
      </c>
      <c r="AG660" s="284">
        <v>0.3614</v>
      </c>
      <c r="AH660" s="282">
        <f>AH659/AH661</f>
        <v>1.6856627304081679</v>
      </c>
      <c r="AI660" s="283">
        <f>AI659/AI661</f>
        <v>2.9445829291949566</v>
      </c>
      <c r="AJ660" s="284">
        <f>AJ659/AJ661</f>
        <v>1.5744192842783893</v>
      </c>
      <c r="AK660" s="282"/>
      <c r="AL660" s="283"/>
      <c r="AM660" s="285"/>
      <c r="AN660" s="282"/>
      <c r="AO660" s="283"/>
      <c r="AP660" s="285"/>
      <c r="AQ660" s="282"/>
      <c r="AR660" s="283"/>
      <c r="AS660" s="285"/>
      <c r="AT660" s="282"/>
      <c r="AU660" s="283"/>
      <c r="AV660" s="285"/>
      <c r="AW660" s="282">
        <v>0</v>
      </c>
      <c r="AX660" s="283"/>
      <c r="AY660" s="285">
        <v>0</v>
      </c>
      <c r="AZ660" s="282"/>
      <c r="BA660" s="283"/>
      <c r="BB660" s="285"/>
      <c r="BC660" s="282"/>
      <c r="BD660" s="283">
        <v>1.8365</v>
      </c>
      <c r="BE660" s="285">
        <v>0.7329</v>
      </c>
      <c r="BF660" s="289"/>
      <c r="BG660" s="287"/>
      <c r="BH660" s="288"/>
      <c r="BI660" s="289"/>
      <c r="BJ660" s="287"/>
      <c r="BK660" s="290"/>
      <c r="BN660" s="125">
        <f t="shared" si="147"/>
        <v>2.0689627304081677</v>
      </c>
      <c r="BO660" s="126">
        <f t="shared" si="148"/>
        <v>5.172082929194957</v>
      </c>
      <c r="BP660" s="127">
        <f t="shared" si="149"/>
        <v>2.6687192842783891</v>
      </c>
    </row>
    <row r="661" spans="1:68" ht="14.25" customHeight="1" outlineLevel="3" x14ac:dyDescent="0.25">
      <c r="B661" s="10" t="b">
        <f t="array" ref="B661">B660</f>
        <v>0</v>
      </c>
      <c r="C661" s="10" t="s">
        <v>423</v>
      </c>
      <c r="D661" s="10" t="s">
        <v>424</v>
      </c>
      <c r="E661" s="10" t="s">
        <v>73</v>
      </c>
      <c r="F661" s="10" t="s">
        <v>74</v>
      </c>
      <c r="G661" s="10" t="s">
        <v>73</v>
      </c>
      <c r="H661" s="10" t="s">
        <v>73</v>
      </c>
      <c r="I661" s="10" t="s">
        <v>73</v>
      </c>
      <c r="J661" s="10" t="s">
        <v>73</v>
      </c>
      <c r="K661" s="12" t="s">
        <v>73</v>
      </c>
      <c r="L661" s="10" t="s">
        <v>417</v>
      </c>
      <c r="M661" s="5" t="str">
        <f t="array" ref="M661">Y460</f>
        <v>1ВО::1.1</v>
      </c>
      <c r="AB661" s="403" t="str">
        <f>IF(AB659="",AB658&amp;".2",AB659&amp;".2")</f>
        <v>3.1.2.1.1.2.2</v>
      </c>
      <c r="AC661" s="497" t="s">
        <v>425</v>
      </c>
      <c r="AD661" s="32" t="s">
        <v>137</v>
      </c>
      <c r="AE661" s="66">
        <v>60098.574999999997</v>
      </c>
      <c r="AF661" s="67">
        <v>61098.531000000003</v>
      </c>
      <c r="AG661" s="68">
        <v>60649.311000000002</v>
      </c>
      <c r="AH661" s="66">
        <v>218.905</v>
      </c>
      <c r="AI661" s="67">
        <v>123.72</v>
      </c>
      <c r="AJ661" s="68">
        <v>225.84200000000001</v>
      </c>
      <c r="AK661" s="66"/>
      <c r="AL661" s="67"/>
      <c r="AM661" s="119"/>
      <c r="AN661" s="66"/>
      <c r="AO661" s="67"/>
      <c r="AP661" s="119"/>
      <c r="AQ661" s="66"/>
      <c r="AR661" s="67"/>
      <c r="AS661" s="119"/>
      <c r="AT661" s="66">
        <v>274.77999999999997</v>
      </c>
      <c r="AU661" s="67">
        <v>319.74</v>
      </c>
      <c r="AV661" s="119">
        <v>250</v>
      </c>
      <c r="AW661" s="66">
        <v>0</v>
      </c>
      <c r="AX661" s="67"/>
      <c r="AY661" s="119">
        <v>0</v>
      </c>
      <c r="AZ661" s="66"/>
      <c r="BA661" s="67"/>
      <c r="BB661" s="119"/>
      <c r="BC661" s="66">
        <v>1191.194</v>
      </c>
      <c r="BD661" s="67">
        <v>1478.3309999999999</v>
      </c>
      <c r="BE661" s="119">
        <v>2385.232</v>
      </c>
      <c r="BF661" s="123"/>
      <c r="BG661" s="121"/>
      <c r="BH661" s="122"/>
      <c r="BI661" s="123"/>
      <c r="BJ661" s="121"/>
      <c r="BK661" s="124"/>
      <c r="BN661" s="125">
        <f t="shared" si="147"/>
        <v>61783.453999999998</v>
      </c>
      <c r="BO661" s="126">
        <f t="shared" si="148"/>
        <v>63020.322</v>
      </c>
      <c r="BP661" s="127">
        <f t="shared" si="149"/>
        <v>63510.384999999995</v>
      </c>
    </row>
    <row r="662" spans="1:68" ht="29.25" customHeight="1" outlineLevel="3" x14ac:dyDescent="0.25">
      <c r="B662" s="10" t="b">
        <f>NOT(B661)</f>
        <v>1</v>
      </c>
      <c r="C662" s="10" t="s">
        <v>426</v>
      </c>
      <c r="D662" s="10" t="s">
        <v>427</v>
      </c>
      <c r="E662" s="10" t="s">
        <v>73</v>
      </c>
      <c r="F662" s="10" t="s">
        <v>74</v>
      </c>
      <c r="G662" s="10" t="s">
        <v>73</v>
      </c>
      <c r="H662" s="10" t="s">
        <v>73</v>
      </c>
      <c r="I662" s="10" t="s">
        <v>428</v>
      </c>
      <c r="J662" s="10" t="s">
        <v>73</v>
      </c>
      <c r="K662" s="12" t="s">
        <v>73</v>
      </c>
      <c r="L662" s="10" t="s">
        <v>429</v>
      </c>
      <c r="M662" s="5" t="str">
        <f t="array" ref="M662">Y460</f>
        <v>1ВО::1.1</v>
      </c>
      <c r="AB662" s="403" t="str">
        <f>AB659&amp;".1"</f>
        <v>3.1.2.1.1.2.1</v>
      </c>
      <c r="AC662" s="498" t="s">
        <v>430</v>
      </c>
      <c r="AD662" s="32" t="s">
        <v>415</v>
      </c>
      <c r="AE662" s="66">
        <v>0</v>
      </c>
      <c r="AF662" s="67">
        <v>9787.1039999999994</v>
      </c>
      <c r="AG662" s="68">
        <v>8160.92</v>
      </c>
      <c r="AH662" s="66">
        <v>36.061999999999998</v>
      </c>
      <c r="AI662" s="67">
        <v>40.478000000000002</v>
      </c>
      <c r="AJ662" s="68">
        <v>48.58</v>
      </c>
      <c r="AK662" s="66"/>
      <c r="AL662" s="67"/>
      <c r="AM662" s="119"/>
      <c r="AN662" s="66"/>
      <c r="AO662" s="67"/>
      <c r="AP662" s="119"/>
      <c r="AQ662" s="66"/>
      <c r="AR662" s="67"/>
      <c r="AS662" s="119"/>
      <c r="AT662" s="66">
        <f>AT658</f>
        <v>37.49</v>
      </c>
      <c r="AU662" s="67">
        <f>AU658</f>
        <v>71.61</v>
      </c>
      <c r="AV662" s="119">
        <f>AV658</f>
        <v>55</v>
      </c>
      <c r="AW662" s="66">
        <v>0</v>
      </c>
      <c r="AX662" s="67"/>
      <c r="AY662" s="119">
        <v>0</v>
      </c>
      <c r="AZ662" s="66">
        <v>1038.9770000000001</v>
      </c>
      <c r="BA662" s="67">
        <v>713.64</v>
      </c>
      <c r="BB662" s="119">
        <v>997.62</v>
      </c>
      <c r="BC662" s="66">
        <v>1752.847</v>
      </c>
      <c r="BD662" s="67">
        <v>324.61</v>
      </c>
      <c r="BE662" s="119"/>
      <c r="BF662" s="123"/>
      <c r="BG662" s="121"/>
      <c r="BH662" s="122"/>
      <c r="BI662" s="123"/>
      <c r="BJ662" s="121"/>
      <c r="BK662" s="124"/>
      <c r="BN662" s="125">
        <f t="shared" si="147"/>
        <v>2865.3760000000002</v>
      </c>
      <c r="BO662" s="126">
        <f t="shared" si="148"/>
        <v>10937.441999999999</v>
      </c>
      <c r="BP662" s="127">
        <f t="shared" si="149"/>
        <v>9262.1200000000008</v>
      </c>
    </row>
    <row r="663" spans="1:68" ht="36.75" customHeight="1" outlineLevel="3" x14ac:dyDescent="0.25">
      <c r="B663" s="10" t="b">
        <f t="array" ref="B663">B662</f>
        <v>1</v>
      </c>
      <c r="C663" s="10" t="s">
        <v>426</v>
      </c>
      <c r="D663" s="10" t="s">
        <v>427</v>
      </c>
      <c r="E663" s="10" t="s">
        <v>73</v>
      </c>
      <c r="F663" s="10" t="s">
        <v>74</v>
      </c>
      <c r="G663" s="10" t="s">
        <v>73</v>
      </c>
      <c r="H663" s="10" t="s">
        <v>73</v>
      </c>
      <c r="I663" s="10" t="s">
        <v>431</v>
      </c>
      <c r="J663" s="10" t="s">
        <v>73</v>
      </c>
      <c r="K663" s="12" t="s">
        <v>73</v>
      </c>
      <c r="L663" s="10" t="s">
        <v>429</v>
      </c>
      <c r="M663" s="5" t="str">
        <f t="array" ref="M663">Y460</f>
        <v>1ВО::1.1</v>
      </c>
      <c r="AB663" s="403" t="str">
        <f>AB662&amp;".1"</f>
        <v>3.1.2.1.1.2.1.1</v>
      </c>
      <c r="AC663" s="499" t="s">
        <v>432</v>
      </c>
      <c r="AD663" s="32" t="s">
        <v>422</v>
      </c>
      <c r="AE663" s="282">
        <v>0</v>
      </c>
      <c r="AF663" s="283">
        <v>0.16</v>
      </c>
      <c r="AG663" s="284">
        <v>0.13439999999999999</v>
      </c>
      <c r="AH663" s="282">
        <f>AH662/AH664</f>
        <v>0.16473812841186816</v>
      </c>
      <c r="AI663" s="283">
        <f>AI662/AI664</f>
        <v>0.3271742644681539</v>
      </c>
      <c r="AJ663" s="284">
        <f>AJ662/AJ664</f>
        <v>0.21510613614828064</v>
      </c>
      <c r="AK663" s="282"/>
      <c r="AL663" s="283"/>
      <c r="AM663" s="285"/>
      <c r="AN663" s="282"/>
      <c r="AO663" s="283"/>
      <c r="AP663" s="285"/>
      <c r="AQ663" s="282"/>
      <c r="AR663" s="283"/>
      <c r="AS663" s="285"/>
      <c r="AT663" s="282">
        <v>0.13639999999999999</v>
      </c>
      <c r="AU663" s="283">
        <v>0.224</v>
      </c>
      <c r="AV663" s="285">
        <v>0.22</v>
      </c>
      <c r="AW663" s="282">
        <v>0</v>
      </c>
      <c r="AX663" s="283"/>
      <c r="AY663" s="285">
        <v>0</v>
      </c>
      <c r="AZ663" s="282">
        <f>AZ662/AZ664</f>
        <v>0.39103387278885965</v>
      </c>
      <c r="BA663" s="283">
        <v>0.36199999999999999</v>
      </c>
      <c r="BB663" s="285">
        <v>0.36630000000000001</v>
      </c>
      <c r="BC663" s="282">
        <v>0.40810000000000002</v>
      </c>
      <c r="BD663" s="283">
        <v>0.14280000000000001</v>
      </c>
      <c r="BE663" s="285"/>
      <c r="BF663" s="289"/>
      <c r="BG663" s="287"/>
      <c r="BH663" s="288"/>
      <c r="BI663" s="289"/>
      <c r="BJ663" s="287"/>
      <c r="BK663" s="290"/>
      <c r="BN663" s="125">
        <f t="shared" si="147"/>
        <v>1.1002720012007279</v>
      </c>
      <c r="BO663" s="126">
        <f t="shared" si="148"/>
        <v>1.2159742644681539</v>
      </c>
      <c r="BP663" s="127">
        <f t="shared" si="149"/>
        <v>0.93580613614828057</v>
      </c>
    </row>
    <row r="664" spans="1:68" ht="24.75" customHeight="1" outlineLevel="3" x14ac:dyDescent="0.25">
      <c r="B664" s="10" t="b">
        <f t="array" ref="B664">B663</f>
        <v>1</v>
      </c>
      <c r="C664" s="10" t="s">
        <v>426</v>
      </c>
      <c r="D664" s="10" t="s">
        <v>427</v>
      </c>
      <c r="E664" s="10" t="s">
        <v>73</v>
      </c>
      <c r="F664" s="10" t="s">
        <v>74</v>
      </c>
      <c r="G664" s="10" t="s">
        <v>73</v>
      </c>
      <c r="H664" s="10" t="s">
        <v>73</v>
      </c>
      <c r="I664" s="10" t="s">
        <v>433</v>
      </c>
      <c r="J664" s="10" t="s">
        <v>73</v>
      </c>
      <c r="K664" s="12" t="s">
        <v>73</v>
      </c>
      <c r="L664" s="10" t="s">
        <v>429</v>
      </c>
      <c r="M664" s="5" t="str">
        <f t="array" ref="M664">Y460</f>
        <v>1ВО::1.1</v>
      </c>
      <c r="AB664" s="403" t="str">
        <f>AB662&amp;".2"</f>
        <v>3.1.2.1.1.2.1.2</v>
      </c>
      <c r="AC664" s="499" t="s">
        <v>425</v>
      </c>
      <c r="AD664" s="32" t="s">
        <v>137</v>
      </c>
      <c r="AE664" s="66">
        <v>60174.777999999998</v>
      </c>
      <c r="AF664" s="67">
        <v>53511.555999999997</v>
      </c>
      <c r="AG664" s="68">
        <v>60721.131999999998</v>
      </c>
      <c r="AH664" s="66">
        <v>218.905</v>
      </c>
      <c r="AI664" s="67">
        <v>123.72</v>
      </c>
      <c r="AJ664" s="68">
        <v>225.84200000000001</v>
      </c>
      <c r="AK664" s="66"/>
      <c r="AL664" s="67"/>
      <c r="AM664" s="119"/>
      <c r="AN664" s="66">
        <v>202.97</v>
      </c>
      <c r="AO664" s="67">
        <v>119.23</v>
      </c>
      <c r="AP664" s="119">
        <v>199</v>
      </c>
      <c r="AQ664" s="66">
        <f>AQ491</f>
        <v>502.17</v>
      </c>
      <c r="AR664" s="67">
        <f>AR491</f>
        <v>438.95</v>
      </c>
      <c r="AS664" s="119">
        <f>AS491</f>
        <v>482.28</v>
      </c>
      <c r="AT664" s="66">
        <f>AT661</f>
        <v>274.77999999999997</v>
      </c>
      <c r="AU664" s="67">
        <f>AU661</f>
        <v>319.74</v>
      </c>
      <c r="AV664" s="119">
        <f>AV661</f>
        <v>250</v>
      </c>
      <c r="AW664" s="66">
        <v>0</v>
      </c>
      <c r="AX664" s="67"/>
      <c r="AY664" s="119">
        <v>0</v>
      </c>
      <c r="AZ664" s="66">
        <v>2657</v>
      </c>
      <c r="BA664" s="67">
        <v>1971.38</v>
      </c>
      <c r="BB664" s="119">
        <v>2723.42</v>
      </c>
      <c r="BC664" s="66">
        <v>4295.6499999999996</v>
      </c>
      <c r="BD664" s="67">
        <v>2273.1999999999998</v>
      </c>
      <c r="BE664" s="119">
        <v>3113.3440000000001</v>
      </c>
      <c r="BF664" s="123"/>
      <c r="BG664" s="121"/>
      <c r="BH664" s="122"/>
      <c r="BI664" s="123"/>
      <c r="BJ664" s="121"/>
      <c r="BK664" s="124">
        <v>252.608</v>
      </c>
      <c r="BN664" s="125">
        <f t="shared" si="147"/>
        <v>68326.252999999997</v>
      </c>
      <c r="BO664" s="126">
        <f t="shared" si="148"/>
        <v>58757.775999999991</v>
      </c>
      <c r="BP664" s="127">
        <f t="shared" si="149"/>
        <v>67967.625999999989</v>
      </c>
    </row>
    <row r="665" spans="1:68" ht="33.75" customHeight="1" outlineLevel="3" x14ac:dyDescent="0.25">
      <c r="B665" s="10" t="b">
        <f t="array" ref="B665">B664</f>
        <v>1</v>
      </c>
      <c r="C665" s="10" t="s">
        <v>426</v>
      </c>
      <c r="D665" s="10" t="s">
        <v>427</v>
      </c>
      <c r="E665" s="10" t="s">
        <v>73</v>
      </c>
      <c r="F665" s="10" t="s">
        <v>74</v>
      </c>
      <c r="G665" s="10" t="s">
        <v>73</v>
      </c>
      <c r="H665" s="10" t="s">
        <v>73</v>
      </c>
      <c r="I665" s="10" t="s">
        <v>434</v>
      </c>
      <c r="J665" s="10" t="s">
        <v>73</v>
      </c>
      <c r="K665" s="12" t="s">
        <v>73</v>
      </c>
      <c r="L665" s="10" t="s">
        <v>429</v>
      </c>
      <c r="M665" s="5" t="str">
        <f t="array" ref="M665">Y460</f>
        <v>1ВО::1.1</v>
      </c>
      <c r="AB665" s="403" t="str">
        <f>AB659&amp;".2"</f>
        <v>3.1.2.1.1.2.2</v>
      </c>
      <c r="AC665" s="498" t="s">
        <v>435</v>
      </c>
      <c r="AD665" s="32" t="s">
        <v>415</v>
      </c>
      <c r="AE665" s="66">
        <v>23036.741999999998</v>
      </c>
      <c r="AF665" s="67">
        <v>14103.954</v>
      </c>
      <c r="AG665" s="68">
        <v>13758.332</v>
      </c>
      <c r="AH665" s="66"/>
      <c r="AI665" s="67"/>
      <c r="AJ665" s="68"/>
      <c r="AK665" s="66"/>
      <c r="AL665" s="67"/>
      <c r="AM665" s="119"/>
      <c r="AN665" s="282">
        <f t="shared" ref="AN665:AS665" si="150">AN658</f>
        <v>276.79000000000002</v>
      </c>
      <c r="AO665" s="283">
        <f t="shared" si="150"/>
        <v>63.93</v>
      </c>
      <c r="AP665" s="285">
        <f t="shared" si="150"/>
        <v>276.02999999999997</v>
      </c>
      <c r="AQ665" s="66">
        <f t="shared" si="150"/>
        <v>76.725999999999999</v>
      </c>
      <c r="AR665" s="67">
        <f t="shared" si="150"/>
        <v>13</v>
      </c>
      <c r="AS665" s="119">
        <f t="shared" si="150"/>
        <v>61.76</v>
      </c>
      <c r="AT665" s="66"/>
      <c r="AU665" s="67"/>
      <c r="AV665" s="119"/>
      <c r="AW665" s="66">
        <f>AW658</f>
        <v>44.363</v>
      </c>
      <c r="AX665" s="67"/>
      <c r="AY665" s="119">
        <f>AY658</f>
        <v>75.88</v>
      </c>
      <c r="AZ665" s="66">
        <v>800.84100000000001</v>
      </c>
      <c r="BA665" s="67">
        <v>1460.79</v>
      </c>
      <c r="BB665" s="119">
        <v>798.66</v>
      </c>
      <c r="BC665" s="66"/>
      <c r="BD665" s="67"/>
      <c r="BE665" s="119"/>
      <c r="BF665" s="123">
        <v>12.565</v>
      </c>
      <c r="BG665" s="121"/>
      <c r="BH665" s="122">
        <v>12.561</v>
      </c>
      <c r="BI665" s="123">
        <v>201.29499999999999</v>
      </c>
      <c r="BJ665" s="121">
        <v>48.337000000000003</v>
      </c>
      <c r="BK665" s="124">
        <v>40.67</v>
      </c>
      <c r="BN665" s="125">
        <f t="shared" si="147"/>
        <v>24449.321999999996</v>
      </c>
      <c r="BO665" s="126">
        <f t="shared" si="148"/>
        <v>15690.010999999999</v>
      </c>
      <c r="BP665" s="127">
        <f t="shared" si="149"/>
        <v>15023.893</v>
      </c>
    </row>
    <row r="666" spans="1:68" ht="33.75" customHeight="1" outlineLevel="3" x14ac:dyDescent="0.25">
      <c r="B666" s="10" t="b">
        <f t="array" ref="B666">B665</f>
        <v>1</v>
      </c>
      <c r="C666" s="10" t="s">
        <v>426</v>
      </c>
      <c r="D666" s="10" t="s">
        <v>427</v>
      </c>
      <c r="E666" s="10" t="s">
        <v>73</v>
      </c>
      <c r="F666" s="10" t="s">
        <v>74</v>
      </c>
      <c r="G666" s="10" t="s">
        <v>73</v>
      </c>
      <c r="H666" s="10" t="s">
        <v>73</v>
      </c>
      <c r="I666" s="10" t="s">
        <v>436</v>
      </c>
      <c r="J666" s="10" t="s">
        <v>73</v>
      </c>
      <c r="K666" s="12" t="s">
        <v>73</v>
      </c>
      <c r="L666" s="10" t="s">
        <v>429</v>
      </c>
      <c r="M666" s="5" t="str">
        <f t="array" ref="M666">Y460</f>
        <v>1ВО::1.1</v>
      </c>
      <c r="AB666" s="403" t="str">
        <f>AB665&amp;".1"</f>
        <v>3.1.2.1.1.2.2.1</v>
      </c>
      <c r="AC666" s="499" t="s">
        <v>437</v>
      </c>
      <c r="AD666" s="32" t="s">
        <v>422</v>
      </c>
      <c r="AE666" s="282">
        <v>0.40260000000000001</v>
      </c>
      <c r="AF666" s="283">
        <v>0.2419</v>
      </c>
      <c r="AG666" s="284">
        <v>0.2384</v>
      </c>
      <c r="AH666" s="282"/>
      <c r="AI666" s="283"/>
      <c r="AJ666" s="284"/>
      <c r="AK666" s="282"/>
      <c r="AL666" s="283"/>
      <c r="AM666" s="285"/>
      <c r="AN666" s="282">
        <v>1.3636999999999999</v>
      </c>
      <c r="AO666" s="283">
        <v>0.27</v>
      </c>
      <c r="AP666" s="285">
        <v>1.3871</v>
      </c>
      <c r="AQ666" s="282">
        <f>AQ665/AQ664</f>
        <v>0.15278889619053307</v>
      </c>
      <c r="AR666" s="283">
        <f>AR665/AR664</f>
        <v>2.9616129399703841E-2</v>
      </c>
      <c r="AS666" s="285">
        <f>AS665/AS664</f>
        <v>0.12805838931740898</v>
      </c>
      <c r="AT666" s="282"/>
      <c r="AU666" s="283"/>
      <c r="AV666" s="285"/>
      <c r="AW666" s="282">
        <f>AW665/AW667</f>
        <v>0.16461835318564697</v>
      </c>
      <c r="AX666" s="283"/>
      <c r="AY666" s="285">
        <f>AY665/AY667</f>
        <v>0.28150099237632392</v>
      </c>
      <c r="AZ666" s="282">
        <f>AZ665/AZ667</f>
        <v>0.28147287693572992</v>
      </c>
      <c r="BA666" s="283">
        <v>0.74150000000000005</v>
      </c>
      <c r="BB666" s="285">
        <v>0.29330000000000001</v>
      </c>
      <c r="BC666" s="282"/>
      <c r="BD666" s="283"/>
      <c r="BE666" s="285"/>
      <c r="BF666" s="289">
        <v>0.157</v>
      </c>
      <c r="BG666" s="287"/>
      <c r="BH666" s="288">
        <v>0.154</v>
      </c>
      <c r="BI666" s="289">
        <v>0.82569999999999999</v>
      </c>
      <c r="BJ666" s="287">
        <v>0.161</v>
      </c>
      <c r="BK666" s="290">
        <v>0.161</v>
      </c>
      <c r="BN666" s="125">
        <f t="shared" si="147"/>
        <v>3.3478801263119098</v>
      </c>
      <c r="BO666" s="126">
        <f t="shared" si="148"/>
        <v>1.4440161293997038</v>
      </c>
      <c r="BP666" s="127">
        <f t="shared" si="149"/>
        <v>2.6433593816937329</v>
      </c>
    </row>
    <row r="667" spans="1:68" ht="14.25" customHeight="1" outlineLevel="3" x14ac:dyDescent="0.25">
      <c r="B667" s="10" t="b">
        <f t="array" ref="B667">B666</f>
        <v>1</v>
      </c>
      <c r="C667" s="10" t="s">
        <v>426</v>
      </c>
      <c r="D667" s="10" t="s">
        <v>427</v>
      </c>
      <c r="E667" s="10" t="s">
        <v>73</v>
      </c>
      <c r="F667" s="10" t="s">
        <v>74</v>
      </c>
      <c r="G667" s="10" t="s">
        <v>73</v>
      </c>
      <c r="H667" s="10" t="s">
        <v>73</v>
      </c>
      <c r="I667" s="10" t="s">
        <v>438</v>
      </c>
      <c r="J667" s="10" t="s">
        <v>73</v>
      </c>
      <c r="K667" s="12" t="s">
        <v>73</v>
      </c>
      <c r="L667" s="10" t="s">
        <v>429</v>
      </c>
      <c r="M667" s="5" t="str">
        <f t="array" ref="M667">Y460</f>
        <v>1ВО::1.1</v>
      </c>
      <c r="AB667" s="403" t="str">
        <f>AB665&amp;".2"</f>
        <v>3.1.2.1.1.2.2.2</v>
      </c>
      <c r="AC667" s="499" t="s">
        <v>425</v>
      </c>
      <c r="AD667" s="32" t="s">
        <v>137</v>
      </c>
      <c r="AE667" s="66">
        <v>57218.796999999999</v>
      </c>
      <c r="AF667" s="67">
        <v>58304.896000000001</v>
      </c>
      <c r="AG667" s="68">
        <v>57711.123</v>
      </c>
      <c r="AH667" s="66"/>
      <c r="AI667" s="67"/>
      <c r="AJ667" s="68"/>
      <c r="AK667" s="66"/>
      <c r="AL667" s="67"/>
      <c r="AM667" s="119"/>
      <c r="AN667" s="66">
        <f>AN664</f>
        <v>202.97</v>
      </c>
      <c r="AO667" s="67">
        <v>236.79</v>
      </c>
      <c r="AP667" s="119">
        <f>AP664</f>
        <v>199</v>
      </c>
      <c r="AQ667" s="66">
        <f>AQ664</f>
        <v>502.17</v>
      </c>
      <c r="AR667" s="67">
        <f>AR664</f>
        <v>438.95</v>
      </c>
      <c r="AS667" s="119">
        <f>AS664</f>
        <v>482.28</v>
      </c>
      <c r="AT667" s="66"/>
      <c r="AU667" s="67"/>
      <c r="AV667" s="119"/>
      <c r="AW667" s="66">
        <v>269.49</v>
      </c>
      <c r="AX667" s="67"/>
      <c r="AY667" s="119">
        <v>269.55500000000001</v>
      </c>
      <c r="AZ667" s="66">
        <v>2845.18</v>
      </c>
      <c r="BA667" s="67">
        <v>3272.7</v>
      </c>
      <c r="BB667" s="119">
        <v>2723.42</v>
      </c>
      <c r="BC667" s="66"/>
      <c r="BD667" s="67"/>
      <c r="BE667" s="119"/>
      <c r="BF667" s="123">
        <v>80.02</v>
      </c>
      <c r="BG667" s="121">
        <v>89.34</v>
      </c>
      <c r="BH667" s="122">
        <v>81.561999999999998</v>
      </c>
      <c r="BI667" s="123">
        <v>243.79</v>
      </c>
      <c r="BJ667" s="121">
        <v>300.23</v>
      </c>
      <c r="BK667" s="124">
        <v>252.608</v>
      </c>
      <c r="BN667" s="125">
        <f t="shared" si="147"/>
        <v>61362.416999999994</v>
      </c>
      <c r="BO667" s="126">
        <f t="shared" si="148"/>
        <v>62642.905999999995</v>
      </c>
      <c r="BP667" s="127">
        <f t="shared" si="149"/>
        <v>61719.547999999995</v>
      </c>
    </row>
    <row r="668" spans="1:68" ht="14.25" customHeight="1" outlineLevel="3" x14ac:dyDescent="0.25">
      <c r="B668" s="10" t="b">
        <f t="array" ref="B668">B659</f>
        <v>0</v>
      </c>
      <c r="C668" s="11" t="s">
        <v>412</v>
      </c>
      <c r="D668" s="10" t="s">
        <v>413</v>
      </c>
      <c r="E668" s="10" t="s">
        <v>73</v>
      </c>
      <c r="F668" s="10" t="s">
        <v>74</v>
      </c>
      <c r="G668" s="10" t="s">
        <v>73</v>
      </c>
      <c r="H668" s="10" t="s">
        <v>73</v>
      </c>
      <c r="I668" s="10" t="s">
        <v>73</v>
      </c>
      <c r="J668" s="11" t="s">
        <v>439</v>
      </c>
      <c r="K668" s="12" t="s">
        <v>73</v>
      </c>
      <c r="L668" s="10" t="s">
        <v>417</v>
      </c>
      <c r="M668" s="5" t="str">
        <f t="array" ref="M668">Y460</f>
        <v>1ВО::1.1</v>
      </c>
      <c r="AB668" s="403" t="str">
        <f>AB658&amp;".2"</f>
        <v>3.1.2.1.1.2.2</v>
      </c>
      <c r="AC668" s="500" t="s">
        <v>440</v>
      </c>
      <c r="AD668" s="32" t="s">
        <v>415</v>
      </c>
      <c r="AE668" s="66"/>
      <c r="AF668" s="67"/>
      <c r="AG668" s="68"/>
      <c r="AH668" s="66"/>
      <c r="AI668" s="67"/>
      <c r="AJ668" s="68"/>
      <c r="AK668" s="66"/>
      <c r="AL668" s="67"/>
      <c r="AM668" s="119"/>
      <c r="AN668" s="66"/>
      <c r="AO668" s="67"/>
      <c r="AP668" s="119"/>
      <c r="AQ668" s="66"/>
      <c r="AR668" s="67"/>
      <c r="AS668" s="119"/>
      <c r="AT668" s="66"/>
      <c r="AU668" s="67"/>
      <c r="AV668" s="119"/>
      <c r="AW668" s="66"/>
      <c r="AX668" s="67"/>
      <c r="AY668" s="119"/>
      <c r="AZ668" s="66"/>
      <c r="BA668" s="67"/>
      <c r="BB668" s="119"/>
      <c r="BC668" s="66"/>
      <c r="BD668" s="67"/>
      <c r="BE668" s="119"/>
      <c r="BF668" s="123"/>
      <c r="BG668" s="121"/>
      <c r="BH668" s="122"/>
      <c r="BI668" s="123"/>
      <c r="BJ668" s="121"/>
      <c r="BK668" s="124"/>
      <c r="BN668" s="125">
        <f t="shared" si="147"/>
        <v>0</v>
      </c>
      <c r="BO668" s="126">
        <f t="shared" si="148"/>
        <v>0</v>
      </c>
      <c r="BP668" s="127">
        <f t="shared" si="149"/>
        <v>0</v>
      </c>
    </row>
    <row r="669" spans="1:68" ht="32.25" hidden="1" customHeight="1" outlineLevel="3" x14ac:dyDescent="0.25">
      <c r="A669" s="10" t="b">
        <f>$AD$48="да"</f>
        <v>1</v>
      </c>
      <c r="B669" s="5" t="b">
        <f t="array" ref="B669">A669</f>
        <v>1</v>
      </c>
      <c r="C669" s="10" t="s">
        <v>83</v>
      </c>
      <c r="D669" s="10" t="s">
        <v>84</v>
      </c>
      <c r="E669" s="10" t="s">
        <v>73</v>
      </c>
      <c r="F669" s="10" t="s">
        <v>74</v>
      </c>
      <c r="G669" s="10" t="s">
        <v>441</v>
      </c>
      <c r="H669" s="10" t="s">
        <v>73</v>
      </c>
      <c r="I669" s="10" t="s">
        <v>73</v>
      </c>
      <c r="J669" s="10" t="s">
        <v>73</v>
      </c>
      <c r="K669" s="12" t="s">
        <v>73</v>
      </c>
      <c r="L669" s="10" t="s">
        <v>442</v>
      </c>
      <c r="M669" s="5" t="str">
        <f t="array" ref="M669">Y460</f>
        <v>1ВО::1.1</v>
      </c>
      <c r="Y669" s="10">
        <f>COUNT($Y656:Y668)+1</f>
        <v>2</v>
      </c>
      <c r="AB669" s="501" t="s">
        <v>639</v>
      </c>
      <c r="AC669" s="413" t="s">
        <v>443</v>
      </c>
      <c r="AD669" s="32" t="s">
        <v>111</v>
      </c>
      <c r="AE669" s="72"/>
      <c r="AF669" s="178"/>
      <c r="AG669" s="74"/>
      <c r="AH669" s="72"/>
      <c r="AI669" s="178"/>
      <c r="AJ669" s="74"/>
      <c r="AK669" s="72"/>
      <c r="AL669" s="178"/>
      <c r="AM669" s="138"/>
      <c r="AN669" s="72"/>
      <c r="AO669" s="178"/>
      <c r="AP669" s="138"/>
      <c r="AQ669" s="72"/>
      <c r="AR669" s="178"/>
      <c r="AS669" s="138"/>
      <c r="AT669" s="72"/>
      <c r="AU669" s="178"/>
      <c r="AV669" s="138"/>
      <c r="AW669" s="72"/>
      <c r="AX669" s="178"/>
      <c r="AY669" s="138"/>
      <c r="AZ669" s="72"/>
      <c r="BA669" s="178"/>
      <c r="BB669" s="138"/>
      <c r="BC669" s="72"/>
      <c r="BD669" s="178"/>
      <c r="BE669" s="138"/>
      <c r="BF669" s="142"/>
      <c r="BG669" s="183"/>
      <c r="BH669" s="141"/>
      <c r="BI669" s="142"/>
      <c r="BJ669" s="183"/>
      <c r="BK669" s="143"/>
      <c r="BN669" s="125">
        <f t="shared" si="147"/>
        <v>0</v>
      </c>
      <c r="BO669" s="126">
        <f t="shared" si="148"/>
        <v>0</v>
      </c>
      <c r="BP669" s="127">
        <f t="shared" si="149"/>
        <v>0</v>
      </c>
    </row>
    <row r="670" spans="1:68" ht="31.5" hidden="1" customHeight="1" outlineLevel="3" x14ac:dyDescent="0.25">
      <c r="A670" s="10" t="b">
        <f>$AD$49="да"</f>
        <v>1</v>
      </c>
      <c r="B670" s="5" t="b">
        <f t="array" ref="B670">A670</f>
        <v>1</v>
      </c>
      <c r="C670" s="10" t="s">
        <v>83</v>
      </c>
      <c r="D670" s="10" t="s">
        <v>84</v>
      </c>
      <c r="E670" s="10" t="s">
        <v>73</v>
      </c>
      <c r="F670" s="10" t="s">
        <v>74</v>
      </c>
      <c r="G670" s="10" t="s">
        <v>444</v>
      </c>
      <c r="H670" s="10" t="s">
        <v>73</v>
      </c>
      <c r="I670" s="10" t="s">
        <v>73</v>
      </c>
      <c r="J670" s="10" t="s">
        <v>73</v>
      </c>
      <c r="K670" s="12" t="s">
        <v>73</v>
      </c>
      <c r="L670" s="10" t="s">
        <v>224</v>
      </c>
      <c r="M670" s="5" t="str">
        <f t="array" ref="M670">Y460</f>
        <v>1ВО::1.1</v>
      </c>
      <c r="Y670" s="10">
        <f>COUNT($Y656:Y669)+1</f>
        <v>3</v>
      </c>
      <c r="AB670" s="501" t="s">
        <v>640</v>
      </c>
      <c r="AC670" s="413" t="s">
        <v>445</v>
      </c>
      <c r="AD670" s="32" t="s">
        <v>111</v>
      </c>
      <c r="AE670" s="72"/>
      <c r="AF670" s="178"/>
      <c r="AG670" s="74"/>
      <c r="AH670" s="72"/>
      <c r="AI670" s="178"/>
      <c r="AJ670" s="74"/>
      <c r="AK670" s="72"/>
      <c r="AL670" s="178"/>
      <c r="AM670" s="138"/>
      <c r="AN670" s="72"/>
      <c r="AO670" s="178"/>
      <c r="AP670" s="138"/>
      <c r="AQ670" s="72"/>
      <c r="AR670" s="178"/>
      <c r="AS670" s="138"/>
      <c r="AT670" s="72"/>
      <c r="AU670" s="178"/>
      <c r="AV670" s="138"/>
      <c r="AW670" s="72"/>
      <c r="AX670" s="178"/>
      <c r="AY670" s="138"/>
      <c r="AZ670" s="72"/>
      <c r="BA670" s="178"/>
      <c r="BB670" s="138"/>
      <c r="BC670" s="72"/>
      <c r="BD670" s="178"/>
      <c r="BE670" s="138"/>
      <c r="BF670" s="142"/>
      <c r="BG670" s="183"/>
      <c r="BH670" s="141"/>
      <c r="BI670" s="142"/>
      <c r="BJ670" s="183"/>
      <c r="BK670" s="143"/>
      <c r="BN670" s="125">
        <f t="shared" si="147"/>
        <v>0</v>
      </c>
      <c r="BO670" s="126">
        <f t="shared" si="148"/>
        <v>0</v>
      </c>
      <c r="BP670" s="127">
        <f t="shared" si="149"/>
        <v>0</v>
      </c>
    </row>
    <row r="671" spans="1:68" ht="24" hidden="1" customHeight="1" outlineLevel="3" x14ac:dyDescent="0.25">
      <c r="A671" s="10" t="b">
        <f>$AD$50="да"</f>
        <v>1</v>
      </c>
      <c r="B671" s="5" t="b">
        <f t="array" ref="B671">A671</f>
        <v>1</v>
      </c>
      <c r="C671" s="10" t="s">
        <v>83</v>
      </c>
      <c r="D671" s="10" t="s">
        <v>84</v>
      </c>
      <c r="E671" s="10" t="s">
        <v>73</v>
      </c>
      <c r="F671" s="10" t="s">
        <v>74</v>
      </c>
      <c r="G671" s="10" t="s">
        <v>446</v>
      </c>
      <c r="H671" s="10" t="s">
        <v>73</v>
      </c>
      <c r="I671" s="10" t="s">
        <v>73</v>
      </c>
      <c r="J671" s="10" t="s">
        <v>73</v>
      </c>
      <c r="K671" s="12" t="s">
        <v>73</v>
      </c>
      <c r="L671" s="10" t="s">
        <v>447</v>
      </c>
      <c r="M671" s="5" t="str">
        <f t="array" ref="M671">Y460</f>
        <v>1ВО::1.1</v>
      </c>
      <c r="Y671" s="10">
        <f>COUNT($Y656:Y670)+1</f>
        <v>4</v>
      </c>
      <c r="AB671" s="501" t="s">
        <v>641</v>
      </c>
      <c r="AC671" s="413" t="s">
        <v>448</v>
      </c>
      <c r="AD671" s="32" t="s">
        <v>111</v>
      </c>
      <c r="AE671" s="72"/>
      <c r="AF671" s="178"/>
      <c r="AG671" s="74"/>
      <c r="AH671" s="72"/>
      <c r="AI671" s="178"/>
      <c r="AJ671" s="74"/>
      <c r="AK671" s="72"/>
      <c r="AL671" s="178"/>
      <c r="AM671" s="138"/>
      <c r="AN671" s="72"/>
      <c r="AO671" s="178"/>
      <c r="AP671" s="138"/>
      <c r="AQ671" s="72"/>
      <c r="AR671" s="178"/>
      <c r="AS671" s="138"/>
      <c r="AT671" s="72"/>
      <c r="AU671" s="178"/>
      <c r="AV671" s="138"/>
      <c r="AW671" s="72"/>
      <c r="AX671" s="178"/>
      <c r="AY671" s="138"/>
      <c r="AZ671" s="72"/>
      <c r="BA671" s="178"/>
      <c r="BB671" s="138"/>
      <c r="BC671" s="72"/>
      <c r="BD671" s="178"/>
      <c r="BE671" s="138"/>
      <c r="BF671" s="142"/>
      <c r="BG671" s="183"/>
      <c r="BH671" s="141"/>
      <c r="BI671" s="142"/>
      <c r="BJ671" s="183"/>
      <c r="BK671" s="143"/>
      <c r="BN671" s="125">
        <f t="shared" si="147"/>
        <v>0</v>
      </c>
      <c r="BO671" s="126">
        <f t="shared" si="148"/>
        <v>0</v>
      </c>
      <c r="BP671" s="127">
        <f t="shared" si="149"/>
        <v>0</v>
      </c>
    </row>
    <row r="672" spans="1:68" s="171" customFormat="1" ht="29.25" customHeight="1" outlineLevel="2" x14ac:dyDescent="0.25">
      <c r="A672" s="166"/>
      <c r="B672" s="166"/>
      <c r="C672" s="167" t="s">
        <v>83</v>
      </c>
      <c r="D672" s="167" t="s">
        <v>84</v>
      </c>
      <c r="E672" s="167" t="s">
        <v>73</v>
      </c>
      <c r="F672" s="167" t="s">
        <v>74</v>
      </c>
      <c r="G672" s="167" t="s">
        <v>449</v>
      </c>
      <c r="H672" s="167" t="s">
        <v>73</v>
      </c>
      <c r="I672" s="167" t="s">
        <v>73</v>
      </c>
      <c r="J672" s="167" t="s">
        <v>73</v>
      </c>
      <c r="K672" s="168" t="s">
        <v>73</v>
      </c>
      <c r="L672" s="167" t="s">
        <v>133</v>
      </c>
      <c r="M672" s="166" t="str">
        <f t="array" ref="M672">Y460</f>
        <v>1ВО::1.1</v>
      </c>
      <c r="N672" s="166"/>
      <c r="O672" s="166"/>
      <c r="P672" s="166"/>
      <c r="Q672" s="166"/>
      <c r="R672" s="166"/>
      <c r="S672" s="166"/>
      <c r="T672" s="166"/>
      <c r="U672" s="166"/>
      <c r="V672" s="166"/>
      <c r="W672" s="166"/>
      <c r="X672" s="166"/>
      <c r="Y672" s="166"/>
      <c r="Z672" s="166"/>
      <c r="AA672" s="166"/>
      <c r="AB672" s="429" t="str">
        <f>AB510&amp;".3"</f>
        <v>3.1.3</v>
      </c>
      <c r="AC672" s="440" t="s">
        <v>450</v>
      </c>
      <c r="AD672" s="431" t="s">
        <v>111</v>
      </c>
      <c r="AE672" s="432">
        <f t="shared" ref="AE672:AJ672" si="151">AE673+AE686+AE687+AE697+AE704+AE705+AE706+AE707+AE708+AE711+AE712+AE713+AE714+AE715</f>
        <v>133523.351</v>
      </c>
      <c r="AF672" s="433">
        <f t="shared" si="151"/>
        <v>162588.68</v>
      </c>
      <c r="AG672" s="475">
        <f t="shared" si="151"/>
        <v>200104.75099999999</v>
      </c>
      <c r="AH672" s="432">
        <f t="shared" si="151"/>
        <v>3224.3</v>
      </c>
      <c r="AI672" s="433">
        <f t="shared" si="151"/>
        <v>4362.6000000000004</v>
      </c>
      <c r="AJ672" s="475">
        <f t="shared" si="151"/>
        <v>3355.6000000000004</v>
      </c>
      <c r="AK672" s="476"/>
      <c r="AL672" s="433"/>
      <c r="AM672" s="477"/>
      <c r="AN672" s="432">
        <f t="shared" ref="AN672:BK672" si="152">AN673+AN686+AN687+AN697+AN704+AN705+AN706+AN707+AN708+AN711+AN712+AN713+AN714+AN715</f>
        <v>137.29000000000002</v>
      </c>
      <c r="AO672" s="433">
        <f t="shared" si="152"/>
        <v>506.27</v>
      </c>
      <c r="AP672" s="475">
        <f t="shared" si="152"/>
        <v>137.76</v>
      </c>
      <c r="AQ672" s="432">
        <f t="shared" si="152"/>
        <v>67.31</v>
      </c>
      <c r="AR672" s="433">
        <f t="shared" si="152"/>
        <v>91.27</v>
      </c>
      <c r="AS672" s="475">
        <f t="shared" si="152"/>
        <v>1019.58</v>
      </c>
      <c r="AT672" s="432">
        <f t="shared" si="152"/>
        <v>17.02</v>
      </c>
      <c r="AU672" s="433">
        <f t="shared" si="152"/>
        <v>17.89</v>
      </c>
      <c r="AV672" s="475">
        <f t="shared" si="152"/>
        <v>28.03</v>
      </c>
      <c r="AW672" s="432">
        <f t="shared" si="152"/>
        <v>88.81</v>
      </c>
      <c r="AX672" s="433">
        <f t="shared" si="152"/>
        <v>307.65999999999997</v>
      </c>
      <c r="AY672" s="475">
        <f t="shared" si="152"/>
        <v>81.63</v>
      </c>
      <c r="AZ672" s="432">
        <f t="shared" si="152"/>
        <v>7776.17</v>
      </c>
      <c r="BA672" s="433">
        <f t="shared" si="152"/>
        <v>3134.6099999999997</v>
      </c>
      <c r="BB672" s="475">
        <f t="shared" si="152"/>
        <v>45553.45</v>
      </c>
      <c r="BC672" s="432">
        <f t="shared" si="152"/>
        <v>20666.300000000003</v>
      </c>
      <c r="BD672" s="433">
        <f t="shared" si="152"/>
        <v>21897.02</v>
      </c>
      <c r="BE672" s="475">
        <f t="shared" si="152"/>
        <v>25244.63</v>
      </c>
      <c r="BF672" s="432">
        <f t="shared" si="152"/>
        <v>0</v>
      </c>
      <c r="BG672" s="433">
        <f t="shared" si="152"/>
        <v>0</v>
      </c>
      <c r="BH672" s="475">
        <f t="shared" si="152"/>
        <v>0</v>
      </c>
      <c r="BI672" s="432">
        <f t="shared" si="152"/>
        <v>6732.7800000000007</v>
      </c>
      <c r="BJ672" s="433">
        <f t="shared" si="152"/>
        <v>6515.2</v>
      </c>
      <c r="BK672" s="435">
        <f t="shared" si="152"/>
        <v>11715.640000000001</v>
      </c>
      <c r="BL672" s="170"/>
      <c r="BM672" s="166"/>
      <c r="BN672" s="436">
        <f t="shared" si="147"/>
        <v>172233.33099999998</v>
      </c>
      <c r="BO672" s="437">
        <f t="shared" si="148"/>
        <v>199421.19999999998</v>
      </c>
      <c r="BP672" s="438">
        <f t="shared" si="149"/>
        <v>287241.071</v>
      </c>
    </row>
    <row r="673" spans="1:68" ht="34.5" hidden="1" customHeight="1" outlineLevel="3" x14ac:dyDescent="0.25">
      <c r="C673" s="10" t="s">
        <v>83</v>
      </c>
      <c r="D673" s="10" t="s">
        <v>84</v>
      </c>
      <c r="E673" s="10" t="s">
        <v>73</v>
      </c>
      <c r="F673" s="10" t="s">
        <v>74</v>
      </c>
      <c r="G673" s="10" t="s">
        <v>451</v>
      </c>
      <c r="H673" s="10" t="s">
        <v>73</v>
      </c>
      <c r="I673" s="10" t="s">
        <v>73</v>
      </c>
      <c r="J673" s="10" t="s">
        <v>73</v>
      </c>
      <c r="K673" s="12" t="s">
        <v>73</v>
      </c>
      <c r="L673" s="10" t="s">
        <v>452</v>
      </c>
      <c r="M673" s="5" t="str">
        <f t="array" ref="M673">Y460</f>
        <v>1ВО::1.1</v>
      </c>
      <c r="AB673" s="403" t="str">
        <f>AB672&amp;".1"</f>
        <v>3.1.3.1</v>
      </c>
      <c r="AC673" s="414" t="s">
        <v>453</v>
      </c>
      <c r="AD673" s="32" t="s">
        <v>111</v>
      </c>
      <c r="AE673" s="72">
        <f t="shared" ref="AE673:AJ673" si="153">AE674+AE675+AE676+AE677+AE678+AE679+AE680+AE681+AE682+AE683+AE684+AE685</f>
        <v>7248.0400000000009</v>
      </c>
      <c r="AF673" s="73">
        <f t="shared" si="153"/>
        <v>8801</v>
      </c>
      <c r="AG673" s="74">
        <f t="shared" si="153"/>
        <v>11775.369999999999</v>
      </c>
      <c r="AH673" s="72">
        <f t="shared" si="153"/>
        <v>0</v>
      </c>
      <c r="AI673" s="73">
        <f t="shared" si="153"/>
        <v>0</v>
      </c>
      <c r="AJ673" s="74">
        <f t="shared" si="153"/>
        <v>0</v>
      </c>
      <c r="AK673" s="72"/>
      <c r="AL673" s="73"/>
      <c r="AM673" s="138"/>
      <c r="AN673" s="72">
        <f t="shared" ref="AN673:BK673" si="154">AN674+AN675+AN676+AN677+AN678+AN679+AN680+AN681+AN682+AN683+AN684+AN685</f>
        <v>71.650000000000006</v>
      </c>
      <c r="AO673" s="73">
        <f t="shared" si="154"/>
        <v>0</v>
      </c>
      <c r="AP673" s="138">
        <f t="shared" si="154"/>
        <v>78.83</v>
      </c>
      <c r="AQ673" s="72">
        <f t="shared" si="154"/>
        <v>0</v>
      </c>
      <c r="AR673" s="73">
        <f t="shared" si="154"/>
        <v>0</v>
      </c>
      <c r="AS673" s="138">
        <f t="shared" si="154"/>
        <v>0</v>
      </c>
      <c r="AT673" s="72">
        <f t="shared" si="154"/>
        <v>0</v>
      </c>
      <c r="AU673" s="73">
        <f t="shared" si="154"/>
        <v>0</v>
      </c>
      <c r="AV673" s="138">
        <f t="shared" si="154"/>
        <v>0</v>
      </c>
      <c r="AW673" s="72">
        <f t="shared" si="154"/>
        <v>0</v>
      </c>
      <c r="AX673" s="73">
        <f t="shared" si="154"/>
        <v>0</v>
      </c>
      <c r="AY673" s="138">
        <f t="shared" si="154"/>
        <v>0</v>
      </c>
      <c r="AZ673" s="72">
        <f t="shared" si="154"/>
        <v>678.39</v>
      </c>
      <c r="BA673" s="73">
        <f t="shared" si="154"/>
        <v>0</v>
      </c>
      <c r="BB673" s="138">
        <f t="shared" si="154"/>
        <v>2695</v>
      </c>
      <c r="BC673" s="72">
        <f t="shared" si="154"/>
        <v>869.5</v>
      </c>
      <c r="BD673" s="73">
        <f t="shared" si="154"/>
        <v>322.72000000000003</v>
      </c>
      <c r="BE673" s="138">
        <f t="shared" si="154"/>
        <v>1184.97</v>
      </c>
      <c r="BF673" s="72">
        <f t="shared" si="154"/>
        <v>0</v>
      </c>
      <c r="BG673" s="73">
        <f t="shared" si="154"/>
        <v>0</v>
      </c>
      <c r="BH673" s="138">
        <f t="shared" si="154"/>
        <v>0</v>
      </c>
      <c r="BI673" s="142">
        <f t="shared" si="154"/>
        <v>0</v>
      </c>
      <c r="BJ673" s="140">
        <f t="shared" si="154"/>
        <v>0</v>
      </c>
      <c r="BK673" s="143">
        <f t="shared" si="154"/>
        <v>0</v>
      </c>
      <c r="BN673" s="125">
        <f t="shared" si="147"/>
        <v>8867.5800000000017</v>
      </c>
      <c r="BO673" s="126">
        <f t="shared" si="148"/>
        <v>9123.7199999999993</v>
      </c>
      <c r="BP673" s="127">
        <f t="shared" si="149"/>
        <v>15734.169999999998</v>
      </c>
    </row>
    <row r="674" spans="1:68" ht="14.25" hidden="1" customHeight="1" outlineLevel="4" x14ac:dyDescent="0.25">
      <c r="C674" s="10" t="s">
        <v>83</v>
      </c>
      <c r="D674" s="10" t="s">
        <v>84</v>
      </c>
      <c r="E674" s="10" t="s">
        <v>73</v>
      </c>
      <c r="F674" s="10" t="s">
        <v>74</v>
      </c>
      <c r="G674" s="10" t="s">
        <v>454</v>
      </c>
      <c r="H674" s="10" t="s">
        <v>73</v>
      </c>
      <c r="I674" s="10" t="s">
        <v>73</v>
      </c>
      <c r="J674" s="10" t="s">
        <v>73</v>
      </c>
      <c r="K674" s="12" t="s">
        <v>73</v>
      </c>
      <c r="L674" s="10" t="s">
        <v>452</v>
      </c>
      <c r="M674" s="5" t="str">
        <f t="array" ref="M674">Y460</f>
        <v>1ВО::1.1</v>
      </c>
      <c r="Y674" s="10">
        <v>1</v>
      </c>
      <c r="AB674" s="403" t="str">
        <f>AB$308&amp;"."&amp;Y674</f>
        <v>3.1.1.4.1</v>
      </c>
      <c r="AC674" s="426" t="s">
        <v>455</v>
      </c>
      <c r="AD674" s="32" t="s">
        <v>111</v>
      </c>
      <c r="AE674" s="72">
        <v>2309.02</v>
      </c>
      <c r="AF674" s="178">
        <v>2379.9699999999998</v>
      </c>
      <c r="AG674" s="74">
        <v>2597.21</v>
      </c>
      <c r="AH674" s="72"/>
      <c r="AI674" s="178"/>
      <c r="AJ674" s="74"/>
      <c r="AK674" s="72"/>
      <c r="AL674" s="178"/>
      <c r="AM674" s="138"/>
      <c r="AN674" s="72">
        <v>71.650000000000006</v>
      </c>
      <c r="AO674" s="178"/>
      <c r="AP674" s="138">
        <v>78.83</v>
      </c>
      <c r="AQ674" s="72"/>
      <c r="AR674" s="178"/>
      <c r="AS674" s="138"/>
      <c r="AT674" s="72"/>
      <c r="AU674" s="178"/>
      <c r="AV674" s="138"/>
      <c r="AW674" s="72"/>
      <c r="AX674" s="178"/>
      <c r="AY674" s="138"/>
      <c r="AZ674" s="72">
        <v>678.39</v>
      </c>
      <c r="BA674" s="178"/>
      <c r="BB674" s="138">
        <v>2695</v>
      </c>
      <c r="BC674" s="72">
        <v>511.21</v>
      </c>
      <c r="BD674" s="178">
        <v>322.72000000000003</v>
      </c>
      <c r="BE674" s="138">
        <v>599.65</v>
      </c>
      <c r="BF674" s="72"/>
      <c r="BG674" s="178"/>
      <c r="BH674" s="138"/>
      <c r="BI674" s="142"/>
      <c r="BJ674" s="183"/>
      <c r="BK674" s="143"/>
      <c r="BN674" s="125">
        <f t="shared" si="147"/>
        <v>3570.27</v>
      </c>
      <c r="BO674" s="126">
        <f t="shared" si="148"/>
        <v>2702.6899999999996</v>
      </c>
      <c r="BP674" s="127">
        <f t="shared" si="149"/>
        <v>5970.69</v>
      </c>
    </row>
    <row r="675" spans="1:68" ht="14.25" hidden="1" customHeight="1" outlineLevel="4" x14ac:dyDescent="0.25">
      <c r="C675" s="10" t="s">
        <v>83</v>
      </c>
      <c r="D675" s="10" t="s">
        <v>84</v>
      </c>
      <c r="E675" s="10" t="s">
        <v>73</v>
      </c>
      <c r="F675" s="10" t="s">
        <v>74</v>
      </c>
      <c r="G675" s="10" t="s">
        <v>456</v>
      </c>
      <c r="H675" s="10" t="s">
        <v>73</v>
      </c>
      <c r="I675" s="10" t="s">
        <v>73</v>
      </c>
      <c r="J675" s="10" t="s">
        <v>73</v>
      </c>
      <c r="K675" s="12" t="s">
        <v>73</v>
      </c>
      <c r="L675" s="10" t="s">
        <v>452</v>
      </c>
      <c r="M675" s="5" t="str">
        <f t="array" ref="M675">Y460</f>
        <v>1ВО::1.1</v>
      </c>
      <c r="Y675" s="10">
        <f>COUNT($Y673:Y674)+1</f>
        <v>2</v>
      </c>
      <c r="AB675" s="403" t="str">
        <f>AB$308&amp;"."&amp;Y675</f>
        <v>3.1.1.4.2</v>
      </c>
      <c r="AC675" s="426" t="s">
        <v>456</v>
      </c>
      <c r="AD675" s="32" t="s">
        <v>111</v>
      </c>
      <c r="AE675" s="72"/>
      <c r="AF675" s="178">
        <v>5393.65</v>
      </c>
      <c r="AG675" s="74"/>
      <c r="AH675" s="72"/>
      <c r="AI675" s="178"/>
      <c r="AJ675" s="74"/>
      <c r="AK675" s="72"/>
      <c r="AL675" s="178"/>
      <c r="AM675" s="138"/>
      <c r="AN675" s="72"/>
      <c r="AO675" s="178"/>
      <c r="AP675" s="138"/>
      <c r="AQ675" s="72"/>
      <c r="AR675" s="178"/>
      <c r="AS675" s="138"/>
      <c r="AT675" s="72"/>
      <c r="AU675" s="178"/>
      <c r="AV675" s="138"/>
      <c r="AW675" s="72"/>
      <c r="AX675" s="178"/>
      <c r="AY675" s="138"/>
      <c r="AZ675" s="72"/>
      <c r="BA675" s="178"/>
      <c r="BB675" s="138"/>
      <c r="BC675" s="72"/>
      <c r="BD675" s="178"/>
      <c r="BE675" s="138"/>
      <c r="BF675" s="72"/>
      <c r="BG675" s="178"/>
      <c r="BH675" s="138"/>
      <c r="BI675" s="142"/>
      <c r="BJ675" s="183"/>
      <c r="BK675" s="143"/>
      <c r="BN675" s="125">
        <f t="shared" si="147"/>
        <v>0</v>
      </c>
      <c r="BO675" s="126">
        <f t="shared" si="148"/>
        <v>5393.65</v>
      </c>
      <c r="BP675" s="127">
        <f t="shared" si="149"/>
        <v>0</v>
      </c>
    </row>
    <row r="676" spans="1:68" ht="14.25" hidden="1" customHeight="1" outlineLevel="4" x14ac:dyDescent="0.25">
      <c r="C676" s="10" t="s">
        <v>83</v>
      </c>
      <c r="D676" s="10" t="s">
        <v>84</v>
      </c>
      <c r="E676" s="10" t="s">
        <v>73</v>
      </c>
      <c r="F676" s="10" t="s">
        <v>74</v>
      </c>
      <c r="G676" s="10" t="s">
        <v>457</v>
      </c>
      <c r="H676" s="10" t="s">
        <v>73</v>
      </c>
      <c r="I676" s="10" t="s">
        <v>73</v>
      </c>
      <c r="J676" s="10" t="s">
        <v>73</v>
      </c>
      <c r="K676" s="12" t="s">
        <v>73</v>
      </c>
      <c r="L676" s="10" t="s">
        <v>452</v>
      </c>
      <c r="M676" s="5" t="str">
        <f t="array" ref="M676">Y460</f>
        <v>1ВО::1.1</v>
      </c>
      <c r="Y676" s="10">
        <f>COUNT($Y673:Y675)+1</f>
        <v>3</v>
      </c>
      <c r="AB676" s="403" t="str">
        <f>AB$308&amp;"."&amp;Y676</f>
        <v>3.1.1.4.3</v>
      </c>
      <c r="AC676" s="426" t="s">
        <v>457</v>
      </c>
      <c r="AD676" s="32" t="s">
        <v>111</v>
      </c>
      <c r="AE676" s="72">
        <v>4250.43</v>
      </c>
      <c r="AF676" s="178"/>
      <c r="AG676" s="74">
        <v>8291.9500000000007</v>
      </c>
      <c r="AH676" s="72"/>
      <c r="AI676" s="178"/>
      <c r="AJ676" s="74"/>
      <c r="AK676" s="72"/>
      <c r="AL676" s="178"/>
      <c r="AM676" s="138"/>
      <c r="AN676" s="72"/>
      <c r="AO676" s="178"/>
      <c r="AP676" s="138"/>
      <c r="AQ676" s="72"/>
      <c r="AR676" s="178"/>
      <c r="AS676" s="138"/>
      <c r="AT676" s="72"/>
      <c r="AU676" s="178"/>
      <c r="AV676" s="138"/>
      <c r="AW676" s="72"/>
      <c r="AX676" s="178"/>
      <c r="AY676" s="138"/>
      <c r="AZ676" s="72"/>
      <c r="BA676" s="178"/>
      <c r="BB676" s="138"/>
      <c r="BC676" s="72">
        <v>358.29</v>
      </c>
      <c r="BD676" s="178"/>
      <c r="BE676" s="138">
        <v>585.32000000000005</v>
      </c>
      <c r="BF676" s="72"/>
      <c r="BG676" s="178"/>
      <c r="BH676" s="138"/>
      <c r="BI676" s="142"/>
      <c r="BJ676" s="183"/>
      <c r="BK676" s="143"/>
      <c r="BN676" s="125">
        <f t="shared" si="147"/>
        <v>4608.72</v>
      </c>
      <c r="BO676" s="126">
        <f t="shared" si="148"/>
        <v>0</v>
      </c>
      <c r="BP676" s="127">
        <f t="shared" si="149"/>
        <v>8877.27</v>
      </c>
    </row>
    <row r="677" spans="1:68" ht="14.25" hidden="1" customHeight="1" outlineLevel="4" x14ac:dyDescent="0.25">
      <c r="A677" s="76" t="b">
        <f>OR($AD$52="да",$U460="Водоснабжение")</f>
        <v>0</v>
      </c>
      <c r="B677" s="5" t="b">
        <f t="array" ref="B677">A677</f>
        <v>0</v>
      </c>
      <c r="C677" s="10" t="s">
        <v>83</v>
      </c>
      <c r="D677" s="10" t="s">
        <v>84</v>
      </c>
      <c r="E677" s="10" t="s">
        <v>73</v>
      </c>
      <c r="F677" s="10" t="s">
        <v>74</v>
      </c>
      <c r="G677" s="10" t="s">
        <v>458</v>
      </c>
      <c r="H677" s="10" t="s">
        <v>73</v>
      </c>
      <c r="I677" s="10" t="s">
        <v>73</v>
      </c>
      <c r="J677" s="10" t="s">
        <v>73</v>
      </c>
      <c r="K677" s="12" t="s">
        <v>73</v>
      </c>
      <c r="L677" s="10" t="s">
        <v>452</v>
      </c>
      <c r="M677" s="5" t="str">
        <f t="array" ref="M677">Y460</f>
        <v>1ВО::1.1</v>
      </c>
      <c r="Y677" s="10">
        <f>COUNT($Y673:Y676)+1</f>
        <v>4</v>
      </c>
      <c r="Z677" s="6"/>
      <c r="AA677" s="6"/>
      <c r="AB677" s="403"/>
      <c r="AC677" s="426"/>
      <c r="AD677" s="32"/>
      <c r="AE677" s="72"/>
      <c r="AF677" s="73"/>
      <c r="AG677" s="74"/>
      <c r="AH677" s="72"/>
      <c r="AI677" s="73"/>
      <c r="AJ677" s="74"/>
      <c r="AK677" s="72"/>
      <c r="AL677" s="73"/>
      <c r="AM677" s="138"/>
      <c r="AN677" s="72"/>
      <c r="AO677" s="73"/>
      <c r="AP677" s="138"/>
      <c r="AQ677" s="72"/>
      <c r="AR677" s="73"/>
      <c r="AS677" s="138"/>
      <c r="AT677" s="72"/>
      <c r="AU677" s="73"/>
      <c r="AV677" s="138"/>
      <c r="AW677" s="72"/>
      <c r="AX677" s="73"/>
      <c r="AY677" s="138"/>
      <c r="AZ677" s="72"/>
      <c r="BA677" s="73"/>
      <c r="BB677" s="138"/>
      <c r="BC677" s="72"/>
      <c r="BD677" s="73"/>
      <c r="BE677" s="138"/>
      <c r="BF677" s="72"/>
      <c r="BG677" s="73"/>
      <c r="BH677" s="138"/>
      <c r="BI677" s="142"/>
      <c r="BJ677" s="140"/>
      <c r="BK677" s="143"/>
      <c r="BN677" s="125">
        <f t="shared" si="147"/>
        <v>0</v>
      </c>
      <c r="BO677" s="126">
        <f t="shared" si="148"/>
        <v>0</v>
      </c>
      <c r="BP677" s="127">
        <f t="shared" si="149"/>
        <v>0</v>
      </c>
    </row>
    <row r="678" spans="1:68" ht="14.25" hidden="1" customHeight="1" outlineLevel="4" x14ac:dyDescent="0.25">
      <c r="C678" s="10" t="s">
        <v>83</v>
      </c>
      <c r="D678" s="10" t="s">
        <v>84</v>
      </c>
      <c r="E678" s="10" t="s">
        <v>73</v>
      </c>
      <c r="F678" s="10" t="s">
        <v>74</v>
      </c>
      <c r="G678" s="10" t="s">
        <v>460</v>
      </c>
      <c r="H678" s="10" t="s">
        <v>73</v>
      </c>
      <c r="I678" s="10" t="s">
        <v>73</v>
      </c>
      <c r="J678" s="10" t="s">
        <v>73</v>
      </c>
      <c r="K678" s="12" t="s">
        <v>73</v>
      </c>
      <c r="L678" s="10" t="s">
        <v>452</v>
      </c>
      <c r="M678" s="5" t="str">
        <f t="array" ref="M678">Y460</f>
        <v>1ВО::1.1</v>
      </c>
      <c r="Y678" s="10">
        <f>COUNT($Y673:Y677)+1</f>
        <v>5</v>
      </c>
      <c r="AB678" s="403" t="str">
        <f>AB$308&amp;"."&amp;Y678</f>
        <v>3.1.1.4.5</v>
      </c>
      <c r="AC678" s="426" t="s">
        <v>461</v>
      </c>
      <c r="AD678" s="32" t="s">
        <v>111</v>
      </c>
      <c r="AE678" s="72"/>
      <c r="AF678" s="178"/>
      <c r="AG678" s="74"/>
      <c r="AH678" s="72"/>
      <c r="AI678" s="178"/>
      <c r="AJ678" s="74"/>
      <c r="AK678" s="72"/>
      <c r="AL678" s="178"/>
      <c r="AM678" s="138"/>
      <c r="AN678" s="72"/>
      <c r="AO678" s="178"/>
      <c r="AP678" s="138"/>
      <c r="AQ678" s="72"/>
      <c r="AR678" s="178"/>
      <c r="AS678" s="138"/>
      <c r="AT678" s="72"/>
      <c r="AU678" s="178"/>
      <c r="AV678" s="138"/>
      <c r="AW678" s="72"/>
      <c r="AX678" s="178"/>
      <c r="AY678" s="138"/>
      <c r="AZ678" s="72"/>
      <c r="BA678" s="178"/>
      <c r="BB678" s="138"/>
      <c r="BC678" s="72"/>
      <c r="BD678" s="178"/>
      <c r="BE678" s="138"/>
      <c r="BF678" s="72"/>
      <c r="BG678" s="178"/>
      <c r="BH678" s="138"/>
      <c r="BI678" s="142"/>
      <c r="BJ678" s="183"/>
      <c r="BK678" s="143"/>
      <c r="BN678" s="125">
        <f t="shared" si="147"/>
        <v>0</v>
      </c>
      <c r="BO678" s="126">
        <f t="shared" si="148"/>
        <v>0</v>
      </c>
      <c r="BP678" s="127">
        <f t="shared" si="149"/>
        <v>0</v>
      </c>
    </row>
    <row r="679" spans="1:68" ht="14.25" hidden="1" customHeight="1" outlineLevel="4" x14ac:dyDescent="0.25">
      <c r="A679" s="76" t="b">
        <f>$AD$52="да"</f>
        <v>0</v>
      </c>
      <c r="B679" s="5" t="b">
        <f t="array" ref="B679">A679</f>
        <v>0</v>
      </c>
      <c r="C679" s="10" t="s">
        <v>83</v>
      </c>
      <c r="D679" s="10" t="s">
        <v>84</v>
      </c>
      <c r="E679" s="10" t="s">
        <v>73</v>
      </c>
      <c r="F679" s="10" t="s">
        <v>74</v>
      </c>
      <c r="G679" s="10" t="s">
        <v>462</v>
      </c>
      <c r="H679" s="10" t="s">
        <v>73</v>
      </c>
      <c r="I679" s="10" t="s">
        <v>73</v>
      </c>
      <c r="J679" s="10" t="s">
        <v>73</v>
      </c>
      <c r="K679" s="12" t="s">
        <v>73</v>
      </c>
      <c r="L679" s="10" t="s">
        <v>452</v>
      </c>
      <c r="M679" s="5" t="str">
        <f t="array" ref="M679">Y460</f>
        <v>1ВО::1.1</v>
      </c>
      <c r="Y679" s="10">
        <f>COUNT($Y673:Y678)+1</f>
        <v>6</v>
      </c>
      <c r="Z679" s="6"/>
      <c r="AA679" s="6"/>
      <c r="AB679" s="403"/>
      <c r="AC679" s="426"/>
      <c r="AD679" s="32"/>
      <c r="AE679" s="72"/>
      <c r="AF679" s="73"/>
      <c r="AG679" s="74"/>
      <c r="AH679" s="72"/>
      <c r="AI679" s="73"/>
      <c r="AJ679" s="74"/>
      <c r="AK679" s="72"/>
      <c r="AL679" s="73"/>
      <c r="AM679" s="138"/>
      <c r="AN679" s="72"/>
      <c r="AO679" s="73"/>
      <c r="AP679" s="138"/>
      <c r="AQ679" s="72"/>
      <c r="AR679" s="73"/>
      <c r="AS679" s="138"/>
      <c r="AT679" s="72"/>
      <c r="AU679" s="73"/>
      <c r="AV679" s="138"/>
      <c r="AW679" s="72"/>
      <c r="AX679" s="73"/>
      <c r="AY679" s="138"/>
      <c r="AZ679" s="72"/>
      <c r="BA679" s="73"/>
      <c r="BB679" s="138"/>
      <c r="BC679" s="72"/>
      <c r="BD679" s="73"/>
      <c r="BE679" s="138"/>
      <c r="BF679" s="72"/>
      <c r="BG679" s="73"/>
      <c r="BH679" s="138"/>
      <c r="BI679" s="142"/>
      <c r="BJ679" s="140"/>
      <c r="BK679" s="143"/>
      <c r="BN679" s="125">
        <f t="shared" si="147"/>
        <v>0</v>
      </c>
      <c r="BO679" s="126">
        <f t="shared" si="148"/>
        <v>0</v>
      </c>
      <c r="BP679" s="127">
        <f t="shared" si="149"/>
        <v>0</v>
      </c>
    </row>
    <row r="680" spans="1:68" ht="14.25" hidden="1" customHeight="1" outlineLevel="4" x14ac:dyDescent="0.25">
      <c r="A680" s="76" t="b">
        <f t="array" ref="A680">A679</f>
        <v>0</v>
      </c>
      <c r="B680" s="5" t="b">
        <f t="array" ref="B680">A680</f>
        <v>0</v>
      </c>
      <c r="C680" s="10" t="s">
        <v>83</v>
      </c>
      <c r="D680" s="10" t="s">
        <v>84</v>
      </c>
      <c r="E680" s="10" t="s">
        <v>73</v>
      </c>
      <c r="F680" s="10" t="s">
        <v>74</v>
      </c>
      <c r="G680" s="10" t="s">
        <v>463</v>
      </c>
      <c r="H680" s="10" t="s">
        <v>73</v>
      </c>
      <c r="I680" s="10" t="s">
        <v>73</v>
      </c>
      <c r="J680" s="10" t="s">
        <v>73</v>
      </c>
      <c r="K680" s="12" t="s">
        <v>73</v>
      </c>
      <c r="L680" s="10" t="s">
        <v>452</v>
      </c>
      <c r="M680" s="5" t="str">
        <f t="array" ref="M680">Y460</f>
        <v>1ВО::1.1</v>
      </c>
      <c r="Y680" s="10">
        <f>COUNT($Y673:Y679)+1</f>
        <v>7</v>
      </c>
      <c r="Z680" s="6"/>
      <c r="AA680" s="6"/>
      <c r="AB680" s="403"/>
      <c r="AC680" s="426"/>
      <c r="AD680" s="32"/>
      <c r="AE680" s="72"/>
      <c r="AF680" s="73"/>
      <c r="AG680" s="74"/>
      <c r="AH680" s="72"/>
      <c r="AI680" s="73"/>
      <c r="AJ680" s="74"/>
      <c r="AK680" s="72"/>
      <c r="AL680" s="73"/>
      <c r="AM680" s="138"/>
      <c r="AN680" s="72"/>
      <c r="AO680" s="73"/>
      <c r="AP680" s="138"/>
      <c r="AQ680" s="72"/>
      <c r="AR680" s="73"/>
      <c r="AS680" s="138"/>
      <c r="AT680" s="72"/>
      <c r="AU680" s="73"/>
      <c r="AV680" s="138"/>
      <c r="AW680" s="72"/>
      <c r="AX680" s="73"/>
      <c r="AY680" s="138"/>
      <c r="AZ680" s="72"/>
      <c r="BA680" s="73"/>
      <c r="BB680" s="138"/>
      <c r="BC680" s="72"/>
      <c r="BD680" s="73"/>
      <c r="BE680" s="138"/>
      <c r="BF680" s="72"/>
      <c r="BG680" s="73"/>
      <c r="BH680" s="138"/>
      <c r="BI680" s="142"/>
      <c r="BJ680" s="140"/>
      <c r="BK680" s="143"/>
      <c r="BN680" s="125">
        <f t="shared" si="147"/>
        <v>0</v>
      </c>
      <c r="BO680" s="126">
        <f t="shared" si="148"/>
        <v>0</v>
      </c>
      <c r="BP680" s="127">
        <f t="shared" si="149"/>
        <v>0</v>
      </c>
    </row>
    <row r="681" spans="1:68" ht="14.25" hidden="1" customHeight="1" outlineLevel="4" x14ac:dyDescent="0.25">
      <c r="A681" s="76" t="b">
        <f t="array" ref="A681">A680</f>
        <v>0</v>
      </c>
      <c r="B681" s="5" t="b">
        <f t="array" ref="B681">A681</f>
        <v>0</v>
      </c>
      <c r="C681" s="10" t="s">
        <v>83</v>
      </c>
      <c r="D681" s="10" t="s">
        <v>84</v>
      </c>
      <c r="E681" s="10" t="s">
        <v>73</v>
      </c>
      <c r="F681" s="10" t="s">
        <v>74</v>
      </c>
      <c r="G681" s="10" t="s">
        <v>464</v>
      </c>
      <c r="H681" s="10" t="s">
        <v>73</v>
      </c>
      <c r="I681" s="10" t="s">
        <v>73</v>
      </c>
      <c r="J681" s="10" t="s">
        <v>73</v>
      </c>
      <c r="K681" s="12" t="s">
        <v>73</v>
      </c>
      <c r="L681" s="10" t="s">
        <v>452</v>
      </c>
      <c r="M681" s="5" t="str">
        <f t="array" ref="M681">Y460</f>
        <v>1ВО::1.1</v>
      </c>
      <c r="Y681" s="10">
        <f>COUNT($Y673:Y680)+1</f>
        <v>8</v>
      </c>
      <c r="Z681" s="6"/>
      <c r="AA681" s="6"/>
      <c r="AB681" s="403"/>
      <c r="AC681" s="426"/>
      <c r="AD681" s="32"/>
      <c r="AE681" s="72"/>
      <c r="AF681" s="73"/>
      <c r="AG681" s="74"/>
      <c r="AH681" s="72"/>
      <c r="AI681" s="73"/>
      <c r="AJ681" s="74"/>
      <c r="AK681" s="72"/>
      <c r="AL681" s="73"/>
      <c r="AM681" s="138"/>
      <c r="AN681" s="72"/>
      <c r="AO681" s="73"/>
      <c r="AP681" s="138"/>
      <c r="AQ681" s="72"/>
      <c r="AR681" s="73"/>
      <c r="AS681" s="138"/>
      <c r="AT681" s="72"/>
      <c r="AU681" s="73"/>
      <c r="AV681" s="138"/>
      <c r="AW681" s="72"/>
      <c r="AX681" s="73"/>
      <c r="AY681" s="138"/>
      <c r="AZ681" s="72"/>
      <c r="BA681" s="73"/>
      <c r="BB681" s="138"/>
      <c r="BC681" s="72"/>
      <c r="BD681" s="73"/>
      <c r="BE681" s="138"/>
      <c r="BF681" s="72"/>
      <c r="BG681" s="73"/>
      <c r="BH681" s="138"/>
      <c r="BI681" s="142"/>
      <c r="BJ681" s="140"/>
      <c r="BK681" s="143"/>
      <c r="BN681" s="125">
        <f t="shared" si="147"/>
        <v>0</v>
      </c>
      <c r="BO681" s="126">
        <f t="shared" si="148"/>
        <v>0</v>
      </c>
      <c r="BP681" s="127">
        <f t="shared" si="149"/>
        <v>0</v>
      </c>
    </row>
    <row r="682" spans="1:68" ht="14.25" hidden="1" customHeight="1" outlineLevel="4" x14ac:dyDescent="0.25">
      <c r="A682" s="76" t="b">
        <f t="array" ref="A682">A681</f>
        <v>0</v>
      </c>
      <c r="B682" s="5" t="b">
        <f t="array" ref="B682">A682</f>
        <v>0</v>
      </c>
      <c r="C682" s="10" t="s">
        <v>83</v>
      </c>
      <c r="D682" s="10" t="s">
        <v>84</v>
      </c>
      <c r="E682" s="10" t="s">
        <v>73</v>
      </c>
      <c r="F682" s="10" t="s">
        <v>74</v>
      </c>
      <c r="G682" s="10" t="s">
        <v>465</v>
      </c>
      <c r="H682" s="10" t="s">
        <v>73</v>
      </c>
      <c r="I682" s="10" t="s">
        <v>73</v>
      </c>
      <c r="J682" s="10" t="s">
        <v>73</v>
      </c>
      <c r="K682" s="12" t="s">
        <v>73</v>
      </c>
      <c r="L682" s="10" t="s">
        <v>452</v>
      </c>
      <c r="M682" s="5" t="str">
        <f t="array" ref="M682">Y460</f>
        <v>1ВО::1.1</v>
      </c>
      <c r="Y682" s="10">
        <f>COUNT($Y673:Y681)+1</f>
        <v>9</v>
      </c>
      <c r="Z682" s="6"/>
      <c r="AA682" s="6"/>
      <c r="AB682" s="403"/>
      <c r="AC682" s="426"/>
      <c r="AD682" s="32"/>
      <c r="AE682" s="72"/>
      <c r="AF682" s="73"/>
      <c r="AG682" s="74"/>
      <c r="AH682" s="72"/>
      <c r="AI682" s="73"/>
      <c r="AJ682" s="74"/>
      <c r="AK682" s="72"/>
      <c r="AL682" s="73"/>
      <c r="AM682" s="138"/>
      <c r="AN682" s="72"/>
      <c r="AO682" s="73"/>
      <c r="AP682" s="138"/>
      <c r="AQ682" s="72"/>
      <c r="AR682" s="73"/>
      <c r="AS682" s="138"/>
      <c r="AT682" s="72"/>
      <c r="AU682" s="73"/>
      <c r="AV682" s="138"/>
      <c r="AW682" s="72"/>
      <c r="AX682" s="73"/>
      <c r="AY682" s="138"/>
      <c r="AZ682" s="72"/>
      <c r="BA682" s="73"/>
      <c r="BB682" s="138"/>
      <c r="BC682" s="72"/>
      <c r="BD682" s="73"/>
      <c r="BE682" s="138"/>
      <c r="BF682" s="72"/>
      <c r="BG682" s="73"/>
      <c r="BH682" s="138"/>
      <c r="BI682" s="142"/>
      <c r="BJ682" s="140"/>
      <c r="BK682" s="143"/>
      <c r="BN682" s="125">
        <f t="shared" si="147"/>
        <v>0</v>
      </c>
      <c r="BO682" s="126">
        <f t="shared" si="148"/>
        <v>0</v>
      </c>
      <c r="BP682" s="127">
        <f t="shared" si="149"/>
        <v>0</v>
      </c>
    </row>
    <row r="683" spans="1:68" ht="14.25" hidden="1" customHeight="1" outlineLevel="4" x14ac:dyDescent="0.25">
      <c r="A683" s="76" t="b">
        <f t="array" ref="A683">A682</f>
        <v>0</v>
      </c>
      <c r="B683" s="5" t="b">
        <f t="array" ref="B683">A683</f>
        <v>0</v>
      </c>
      <c r="C683" s="10" t="s">
        <v>83</v>
      </c>
      <c r="D683" s="10" t="s">
        <v>84</v>
      </c>
      <c r="E683" s="10" t="s">
        <v>73</v>
      </c>
      <c r="F683" s="10" t="s">
        <v>74</v>
      </c>
      <c r="G683" s="10" t="s">
        <v>466</v>
      </c>
      <c r="H683" s="10" t="s">
        <v>73</v>
      </c>
      <c r="I683" s="10" t="s">
        <v>73</v>
      </c>
      <c r="J683" s="10" t="s">
        <v>73</v>
      </c>
      <c r="K683" s="12" t="s">
        <v>73</v>
      </c>
      <c r="L683" s="10" t="s">
        <v>452</v>
      </c>
      <c r="M683" s="5" t="str">
        <f t="array" ref="M683">Y460</f>
        <v>1ВО::1.1</v>
      </c>
      <c r="Y683" s="10">
        <f>COUNT($Y673:Y682)+1</f>
        <v>10</v>
      </c>
      <c r="Z683" s="6"/>
      <c r="AA683" s="6"/>
      <c r="AB683" s="403"/>
      <c r="AC683" s="426"/>
      <c r="AD683" s="32"/>
      <c r="AE683" s="72"/>
      <c r="AF683" s="73"/>
      <c r="AG683" s="74"/>
      <c r="AH683" s="72"/>
      <c r="AI683" s="73"/>
      <c r="AJ683" s="74"/>
      <c r="AK683" s="72"/>
      <c r="AL683" s="73"/>
      <c r="AM683" s="138"/>
      <c r="AN683" s="72"/>
      <c r="AO683" s="73"/>
      <c r="AP683" s="138"/>
      <c r="AQ683" s="72"/>
      <c r="AR683" s="73"/>
      <c r="AS683" s="138"/>
      <c r="AT683" s="72"/>
      <c r="AU683" s="73"/>
      <c r="AV683" s="138"/>
      <c r="AW683" s="72"/>
      <c r="AX683" s="73"/>
      <c r="AY683" s="138"/>
      <c r="AZ683" s="72"/>
      <c r="BA683" s="73"/>
      <c r="BB683" s="138"/>
      <c r="BC683" s="72"/>
      <c r="BD683" s="73"/>
      <c r="BE683" s="138"/>
      <c r="BF683" s="72"/>
      <c r="BG683" s="73"/>
      <c r="BH683" s="138"/>
      <c r="BI683" s="142"/>
      <c r="BJ683" s="140"/>
      <c r="BK683" s="143"/>
      <c r="BN683" s="125">
        <f t="shared" si="147"/>
        <v>0</v>
      </c>
      <c r="BO683" s="126">
        <f t="shared" si="148"/>
        <v>0</v>
      </c>
      <c r="BP683" s="127">
        <f t="shared" si="149"/>
        <v>0</v>
      </c>
    </row>
    <row r="684" spans="1:68" ht="14.25" hidden="1" customHeight="1" outlineLevel="4" x14ac:dyDescent="0.25">
      <c r="C684" s="10" t="s">
        <v>83</v>
      </c>
      <c r="D684" s="10" t="s">
        <v>84</v>
      </c>
      <c r="E684" s="10" t="s">
        <v>73</v>
      </c>
      <c r="F684" s="10" t="s">
        <v>74</v>
      </c>
      <c r="G684" s="10" t="s">
        <v>467</v>
      </c>
      <c r="H684" s="10" t="s">
        <v>73</v>
      </c>
      <c r="I684" s="10" t="s">
        <v>73</v>
      </c>
      <c r="J684" s="10" t="s">
        <v>73</v>
      </c>
      <c r="K684" s="12" t="s">
        <v>73</v>
      </c>
      <c r="L684" s="10" t="s">
        <v>452</v>
      </c>
      <c r="M684" s="5" t="str">
        <f t="array" ref="M684">Y460</f>
        <v>1ВО::1.1</v>
      </c>
      <c r="Y684" s="10">
        <f>COUNT($Y673:Y683)+1</f>
        <v>11</v>
      </c>
      <c r="AB684" s="403" t="str">
        <f>AB$308&amp;"."&amp;Y684</f>
        <v>3.1.1.4.11</v>
      </c>
      <c r="AC684" s="426" t="s">
        <v>468</v>
      </c>
      <c r="AD684" s="32" t="s">
        <v>111</v>
      </c>
      <c r="AE684" s="72">
        <v>688.59</v>
      </c>
      <c r="AF684" s="178">
        <v>1027.3800000000001</v>
      </c>
      <c r="AG684" s="74">
        <v>886.21</v>
      </c>
      <c r="AH684" s="72"/>
      <c r="AI684" s="178"/>
      <c r="AJ684" s="74"/>
      <c r="AK684" s="72"/>
      <c r="AL684" s="178"/>
      <c r="AM684" s="138"/>
      <c r="AN684" s="72"/>
      <c r="AO684" s="178"/>
      <c r="AP684" s="138"/>
      <c r="AQ684" s="72"/>
      <c r="AR684" s="178"/>
      <c r="AS684" s="138"/>
      <c r="AT684" s="72"/>
      <c r="AU684" s="178"/>
      <c r="AV684" s="138"/>
      <c r="AW684" s="72"/>
      <c r="AX684" s="178"/>
      <c r="AY684" s="138"/>
      <c r="AZ684" s="72"/>
      <c r="BA684" s="178"/>
      <c r="BB684" s="138"/>
      <c r="BC684" s="72"/>
      <c r="BD684" s="178"/>
      <c r="BE684" s="138"/>
      <c r="BF684" s="72"/>
      <c r="BG684" s="178"/>
      <c r="BH684" s="138"/>
      <c r="BI684" s="142"/>
      <c r="BJ684" s="183"/>
      <c r="BK684" s="143"/>
      <c r="BN684" s="125">
        <f t="shared" si="147"/>
        <v>688.59</v>
      </c>
      <c r="BO684" s="126">
        <f t="shared" si="148"/>
        <v>1027.3800000000001</v>
      </c>
      <c r="BP684" s="127">
        <f t="shared" si="149"/>
        <v>886.21</v>
      </c>
    </row>
    <row r="685" spans="1:68" ht="14.25" hidden="1" customHeight="1" outlineLevel="4" x14ac:dyDescent="0.25">
      <c r="A685" s="76" t="b">
        <f>OR($AD$52="да",$U460&lt;&gt;"Водоснабжение")</f>
        <v>1</v>
      </c>
      <c r="B685" s="5" t="b">
        <f t="array" ref="B685">A685</f>
        <v>1</v>
      </c>
      <c r="C685" s="10" t="s">
        <v>83</v>
      </c>
      <c r="D685" s="10" t="s">
        <v>84</v>
      </c>
      <c r="E685" s="10" t="s">
        <v>73</v>
      </c>
      <c r="F685" s="10" t="s">
        <v>74</v>
      </c>
      <c r="G685" s="10" t="s">
        <v>469</v>
      </c>
      <c r="H685" s="10" t="s">
        <v>73</v>
      </c>
      <c r="I685" s="10" t="s">
        <v>73</v>
      </c>
      <c r="J685" s="10" t="s">
        <v>73</v>
      </c>
      <c r="K685" s="12" t="s">
        <v>73</v>
      </c>
      <c r="L685" s="10" t="s">
        <v>452</v>
      </c>
      <c r="M685" s="5" t="str">
        <f t="array" ref="M685">Y460</f>
        <v>1ВО::1.1</v>
      </c>
      <c r="Y685" s="10">
        <f>COUNT($Y673:Y684)+1</f>
        <v>12</v>
      </c>
      <c r="AB685" s="403" t="str">
        <f>AB$308&amp;"."&amp;Y685</f>
        <v>3.1.1.4.12</v>
      </c>
      <c r="AC685" s="426" t="s">
        <v>642</v>
      </c>
      <c r="AD685" s="32" t="s">
        <v>111</v>
      </c>
      <c r="AE685" s="72"/>
      <c r="AF685" s="178"/>
      <c r="AG685" s="74"/>
      <c r="AH685" s="72"/>
      <c r="AI685" s="178"/>
      <c r="AJ685" s="74"/>
      <c r="AK685" s="72"/>
      <c r="AL685" s="178"/>
      <c r="AM685" s="138"/>
      <c r="AN685" s="72"/>
      <c r="AO685" s="178"/>
      <c r="AP685" s="138"/>
      <c r="AQ685" s="72"/>
      <c r="AR685" s="178"/>
      <c r="AS685" s="138"/>
      <c r="AT685" s="72"/>
      <c r="AU685" s="178"/>
      <c r="AV685" s="138"/>
      <c r="AW685" s="72"/>
      <c r="AX685" s="178"/>
      <c r="AY685" s="138"/>
      <c r="AZ685" s="72"/>
      <c r="BA685" s="178"/>
      <c r="BB685" s="138"/>
      <c r="BC685" s="72"/>
      <c r="BD685" s="178"/>
      <c r="BE685" s="138"/>
      <c r="BF685" s="72"/>
      <c r="BG685" s="178"/>
      <c r="BH685" s="138"/>
      <c r="BI685" s="142"/>
      <c r="BJ685" s="183"/>
      <c r="BK685" s="143"/>
      <c r="BN685" s="125">
        <f t="shared" si="147"/>
        <v>0</v>
      </c>
      <c r="BO685" s="126">
        <f t="shared" si="148"/>
        <v>0</v>
      </c>
      <c r="BP685" s="127">
        <f t="shared" si="149"/>
        <v>0</v>
      </c>
    </row>
    <row r="686" spans="1:68" ht="14.25" hidden="1" customHeight="1" outlineLevel="3" x14ac:dyDescent="0.25">
      <c r="C686" s="10" t="s">
        <v>83</v>
      </c>
      <c r="D686" s="10" t="s">
        <v>84</v>
      </c>
      <c r="E686" s="10" t="s">
        <v>73</v>
      </c>
      <c r="F686" s="10" t="s">
        <v>74</v>
      </c>
      <c r="G686" s="10" t="s">
        <v>470</v>
      </c>
      <c r="H686" s="10" t="s">
        <v>73</v>
      </c>
      <c r="I686" s="10" t="s">
        <v>73</v>
      </c>
      <c r="J686" s="10" t="s">
        <v>73</v>
      </c>
      <c r="K686" s="12" t="s">
        <v>73</v>
      </c>
      <c r="L686" s="10" t="s">
        <v>452</v>
      </c>
      <c r="M686" s="5" t="str">
        <f t="array" ref="M686">Y460</f>
        <v>1ВО::1.1</v>
      </c>
      <c r="AB686" s="403" t="str">
        <f>AB672&amp;".2"</f>
        <v>3.1.3.2</v>
      </c>
      <c r="AC686" s="414" t="s">
        <v>471</v>
      </c>
      <c r="AD686" s="32" t="s">
        <v>111</v>
      </c>
      <c r="AE686" s="72">
        <v>5587.36</v>
      </c>
      <c r="AF686" s="178">
        <v>51460.31</v>
      </c>
      <c r="AG686" s="74">
        <v>27820.17</v>
      </c>
      <c r="AH686" s="72">
        <v>1.91</v>
      </c>
      <c r="AI686" s="178">
        <v>471.81</v>
      </c>
      <c r="AJ686" s="74">
        <v>332.76</v>
      </c>
      <c r="AK686" s="72"/>
      <c r="AL686" s="178"/>
      <c r="AM686" s="138"/>
      <c r="AN686" s="72"/>
      <c r="AO686" s="178">
        <v>438.75</v>
      </c>
      <c r="AP686" s="138"/>
      <c r="AQ686" s="72"/>
      <c r="AR686" s="178"/>
      <c r="AS686" s="138"/>
      <c r="AT686" s="72"/>
      <c r="AU686" s="178"/>
      <c r="AV686" s="138"/>
      <c r="AW686" s="72"/>
      <c r="AX686" s="178"/>
      <c r="AY686" s="138"/>
      <c r="AZ686" s="72"/>
      <c r="BA686" s="178"/>
      <c r="BB686" s="138"/>
      <c r="BC686" s="72">
        <v>391.97</v>
      </c>
      <c r="BD686" s="178">
        <v>3168.32</v>
      </c>
      <c r="BE686" s="138">
        <v>2998.84</v>
      </c>
      <c r="BF686" s="72"/>
      <c r="BG686" s="178"/>
      <c r="BH686" s="138"/>
      <c r="BI686" s="142"/>
      <c r="BJ686" s="183">
        <v>184.465</v>
      </c>
      <c r="BK686" s="143">
        <v>512.42999999999995</v>
      </c>
      <c r="BN686" s="125">
        <f t="shared" si="147"/>
        <v>5981.24</v>
      </c>
      <c r="BO686" s="126">
        <f t="shared" si="148"/>
        <v>55723.654999999992</v>
      </c>
      <c r="BP686" s="127">
        <f t="shared" si="149"/>
        <v>31664.199999999997</v>
      </c>
    </row>
    <row r="687" spans="1:68" ht="14.25" hidden="1" customHeight="1" outlineLevel="3" x14ac:dyDescent="0.25">
      <c r="C687" s="10" t="s">
        <v>83</v>
      </c>
      <c r="D687" s="10" t="s">
        <v>84</v>
      </c>
      <c r="E687" s="10" t="s">
        <v>73</v>
      </c>
      <c r="F687" s="10" t="s">
        <v>74</v>
      </c>
      <c r="G687" s="10" t="s">
        <v>472</v>
      </c>
      <c r="H687" s="10" t="s">
        <v>73</v>
      </c>
      <c r="I687" s="10" t="s">
        <v>73</v>
      </c>
      <c r="J687" s="10" t="s">
        <v>73</v>
      </c>
      <c r="K687" s="12" t="s">
        <v>73</v>
      </c>
      <c r="L687" s="10" t="s">
        <v>452</v>
      </c>
      <c r="M687" s="5" t="str">
        <f t="array" ref="M687">Y460</f>
        <v>1ВО::1.1</v>
      </c>
      <c r="AB687" s="403" t="str">
        <f>AB672&amp;".3"</f>
        <v>3.1.3.3</v>
      </c>
      <c r="AC687" s="414" t="s">
        <v>473</v>
      </c>
      <c r="AD687" s="32" t="s">
        <v>111</v>
      </c>
      <c r="AE687" s="72">
        <f t="shared" ref="AE687:AJ687" si="155">AE688+AE689+AE690+AE691+AE692+AE693+AE694+AE695+AE696</f>
        <v>96032.069999999992</v>
      </c>
      <c r="AF687" s="73">
        <f t="shared" si="155"/>
        <v>102327.37</v>
      </c>
      <c r="AG687" s="74">
        <f t="shared" si="155"/>
        <v>113077.06</v>
      </c>
      <c r="AH687" s="72">
        <f t="shared" si="155"/>
        <v>3201.34</v>
      </c>
      <c r="AI687" s="73">
        <f t="shared" si="155"/>
        <v>3890.79</v>
      </c>
      <c r="AJ687" s="74">
        <f t="shared" si="155"/>
        <v>3001.79</v>
      </c>
      <c r="AK687" s="72"/>
      <c r="AL687" s="73"/>
      <c r="AM687" s="138"/>
      <c r="AN687" s="72">
        <f t="shared" ref="AN687:BK687" si="156">AN688+AN689+AN690+AN691+AN692+AN693+AN694+AN695+AN696</f>
        <v>65.64</v>
      </c>
      <c r="AO687" s="73">
        <f t="shared" si="156"/>
        <v>67.52</v>
      </c>
      <c r="AP687" s="138">
        <f t="shared" si="156"/>
        <v>58.93</v>
      </c>
      <c r="AQ687" s="72">
        <f t="shared" si="156"/>
        <v>51.3</v>
      </c>
      <c r="AR687" s="73">
        <f t="shared" si="156"/>
        <v>1.27</v>
      </c>
      <c r="AS687" s="138">
        <f t="shared" si="156"/>
        <v>1003.25</v>
      </c>
      <c r="AT687" s="72">
        <f t="shared" si="156"/>
        <v>17.02</v>
      </c>
      <c r="AU687" s="73">
        <f t="shared" si="156"/>
        <v>17.89</v>
      </c>
      <c r="AV687" s="138">
        <f t="shared" si="156"/>
        <v>28.03</v>
      </c>
      <c r="AW687" s="72">
        <f t="shared" si="156"/>
        <v>88.81</v>
      </c>
      <c r="AX687" s="73">
        <f t="shared" si="156"/>
        <v>67.66</v>
      </c>
      <c r="AY687" s="138">
        <f t="shared" si="156"/>
        <v>81.63</v>
      </c>
      <c r="AZ687" s="72">
        <f t="shared" si="156"/>
        <v>7097.69</v>
      </c>
      <c r="BA687" s="73">
        <f t="shared" si="156"/>
        <v>3134.6099999999997</v>
      </c>
      <c r="BB687" s="138">
        <f t="shared" si="156"/>
        <v>42858.09</v>
      </c>
      <c r="BC687" s="72">
        <f t="shared" si="156"/>
        <v>19075.09</v>
      </c>
      <c r="BD687" s="73">
        <f t="shared" si="156"/>
        <v>18405.98</v>
      </c>
      <c r="BE687" s="138">
        <f t="shared" si="156"/>
        <v>21034.47</v>
      </c>
      <c r="BF687" s="72">
        <f t="shared" si="156"/>
        <v>0</v>
      </c>
      <c r="BG687" s="73">
        <f t="shared" si="156"/>
        <v>0</v>
      </c>
      <c r="BH687" s="138">
        <f t="shared" si="156"/>
        <v>0</v>
      </c>
      <c r="BI687" s="142">
        <f t="shared" si="156"/>
        <v>6707.22</v>
      </c>
      <c r="BJ687" s="140">
        <f t="shared" si="156"/>
        <v>6330.7349999999997</v>
      </c>
      <c r="BK687" s="143">
        <f t="shared" si="156"/>
        <v>11177.650000000001</v>
      </c>
      <c r="BN687" s="125">
        <f t="shared" si="147"/>
        <v>132336.18</v>
      </c>
      <c r="BO687" s="126">
        <f t="shared" si="148"/>
        <v>134243.82499999998</v>
      </c>
      <c r="BP687" s="127">
        <f t="shared" si="149"/>
        <v>192320.89999999997</v>
      </c>
    </row>
    <row r="688" spans="1:68" ht="14.25" hidden="1" customHeight="1" outlineLevel="4" x14ac:dyDescent="0.25">
      <c r="C688" s="10" t="s">
        <v>83</v>
      </c>
      <c r="D688" s="10" t="s">
        <v>84</v>
      </c>
      <c r="E688" s="10" t="s">
        <v>73</v>
      </c>
      <c r="F688" s="10" t="s">
        <v>74</v>
      </c>
      <c r="G688" s="10" t="s">
        <v>474</v>
      </c>
      <c r="H688" s="10" t="s">
        <v>73</v>
      </c>
      <c r="I688" s="10" t="s">
        <v>73</v>
      </c>
      <c r="J688" s="10" t="s">
        <v>73</v>
      </c>
      <c r="K688" s="12" t="s">
        <v>73</v>
      </c>
      <c r="L688" s="10" t="s">
        <v>452</v>
      </c>
      <c r="M688" s="5" t="str">
        <f t="array" ref="M688">Y460</f>
        <v>1ВО::1.1</v>
      </c>
      <c r="Y688" s="10">
        <v>1</v>
      </c>
      <c r="AB688" s="403" t="str">
        <f>AB$322&amp;"."&amp;Y688</f>
        <v>3.1.2.1</v>
      </c>
      <c r="AC688" s="426" t="s">
        <v>474</v>
      </c>
      <c r="AD688" s="32" t="s">
        <v>111</v>
      </c>
      <c r="AE688" s="72"/>
      <c r="AF688" s="178"/>
      <c r="AG688" s="74"/>
      <c r="AH688" s="72"/>
      <c r="AI688" s="178"/>
      <c r="AJ688" s="74"/>
      <c r="AK688" s="72"/>
      <c r="AL688" s="178"/>
      <c r="AM688" s="138"/>
      <c r="AN688" s="72"/>
      <c r="AO688" s="178"/>
      <c r="AP688" s="138"/>
      <c r="AQ688" s="72"/>
      <c r="AR688" s="178"/>
      <c r="AS688" s="138"/>
      <c r="AT688" s="72"/>
      <c r="AU688" s="178"/>
      <c r="AV688" s="138"/>
      <c r="AW688" s="72"/>
      <c r="AX688" s="178"/>
      <c r="AY688" s="138"/>
      <c r="AZ688" s="72"/>
      <c r="BA688" s="178"/>
      <c r="BB688" s="138"/>
      <c r="BC688" s="72"/>
      <c r="BD688" s="178"/>
      <c r="BE688" s="138"/>
      <c r="BF688" s="72"/>
      <c r="BG688" s="178"/>
      <c r="BH688" s="138"/>
      <c r="BI688" s="142"/>
      <c r="BJ688" s="183"/>
      <c r="BK688" s="143"/>
      <c r="BN688" s="125">
        <f t="shared" si="147"/>
        <v>0</v>
      </c>
      <c r="BO688" s="126">
        <f t="shared" si="148"/>
        <v>0</v>
      </c>
      <c r="BP688" s="127">
        <f t="shared" si="149"/>
        <v>0</v>
      </c>
    </row>
    <row r="689" spans="1:68" ht="14.25" hidden="1" customHeight="1" outlineLevel="4" x14ac:dyDescent="0.25">
      <c r="C689" s="10" t="s">
        <v>83</v>
      </c>
      <c r="D689" s="10" t="s">
        <v>84</v>
      </c>
      <c r="E689" s="10" t="s">
        <v>73</v>
      </c>
      <c r="F689" s="10" t="s">
        <v>74</v>
      </c>
      <c r="G689" s="10" t="s">
        <v>475</v>
      </c>
      <c r="H689" s="10" t="s">
        <v>73</v>
      </c>
      <c r="I689" s="10" t="s">
        <v>73</v>
      </c>
      <c r="J689" s="10" t="s">
        <v>73</v>
      </c>
      <c r="K689" s="12" t="s">
        <v>73</v>
      </c>
      <c r="L689" s="10" t="s">
        <v>452</v>
      </c>
      <c r="M689" s="5" t="str">
        <f t="array" ref="M689">Y460</f>
        <v>1ВО::1.1</v>
      </c>
      <c r="Y689" s="10">
        <f>COUNT($Y688:Y688)+1</f>
        <v>2</v>
      </c>
      <c r="AB689" s="403" t="str">
        <f>AB$322&amp;"."&amp;Y689</f>
        <v>3.1.2.2</v>
      </c>
      <c r="AC689" s="426" t="s">
        <v>475</v>
      </c>
      <c r="AD689" s="32" t="s">
        <v>111</v>
      </c>
      <c r="AE689" s="72">
        <v>95323.18</v>
      </c>
      <c r="AF689" s="178">
        <v>91744.23</v>
      </c>
      <c r="AG689" s="74">
        <v>99710.54</v>
      </c>
      <c r="AH689" s="72">
        <v>3201.34</v>
      </c>
      <c r="AI689" s="178">
        <v>3097.55</v>
      </c>
      <c r="AJ689" s="74">
        <v>3001.79</v>
      </c>
      <c r="AK689" s="72"/>
      <c r="AL689" s="178"/>
      <c r="AM689" s="138"/>
      <c r="AN689" s="72">
        <v>65.64</v>
      </c>
      <c r="AO689" s="178">
        <v>67.52</v>
      </c>
      <c r="AP689" s="138">
        <v>58.93</v>
      </c>
      <c r="AQ689" s="72">
        <v>51.3</v>
      </c>
      <c r="AR689" s="178">
        <v>1.27</v>
      </c>
      <c r="AS689" s="138">
        <v>45.77</v>
      </c>
      <c r="AT689" s="72">
        <v>17.02</v>
      </c>
      <c r="AU689" s="178">
        <v>17.89</v>
      </c>
      <c r="AV689" s="138">
        <v>28.03</v>
      </c>
      <c r="AW689" s="72">
        <v>88.81</v>
      </c>
      <c r="AX689" s="178">
        <v>67.66</v>
      </c>
      <c r="AY689" s="138">
        <v>81.63</v>
      </c>
      <c r="AZ689" s="72">
        <v>7077.49</v>
      </c>
      <c r="BA689" s="178">
        <v>3127.72</v>
      </c>
      <c r="BB689" s="138">
        <v>7033.03</v>
      </c>
      <c r="BC689" s="72">
        <v>19047.72</v>
      </c>
      <c r="BD689" s="178">
        <v>18405.98</v>
      </c>
      <c r="BE689" s="138">
        <v>21034.47</v>
      </c>
      <c r="BF689" s="72"/>
      <c r="BG689" s="178"/>
      <c r="BH689" s="138"/>
      <c r="BI689" s="142">
        <v>6705.72</v>
      </c>
      <c r="BJ689" s="183">
        <v>6330.7349999999997</v>
      </c>
      <c r="BK689" s="143">
        <v>6448.05</v>
      </c>
      <c r="BN689" s="125">
        <f t="shared" si="147"/>
        <v>131578.22</v>
      </c>
      <c r="BO689" s="126">
        <f t="shared" si="148"/>
        <v>122860.55500000001</v>
      </c>
      <c r="BP689" s="127">
        <f t="shared" si="149"/>
        <v>137442.23999999999</v>
      </c>
    </row>
    <row r="690" spans="1:68" ht="14.25" hidden="1" customHeight="1" outlineLevel="4" x14ac:dyDescent="0.25">
      <c r="C690" s="10" t="s">
        <v>83</v>
      </c>
      <c r="D690" s="10" t="s">
        <v>84</v>
      </c>
      <c r="E690" s="10" t="s">
        <v>73</v>
      </c>
      <c r="F690" s="10" t="s">
        <v>74</v>
      </c>
      <c r="G690" s="10" t="s">
        <v>476</v>
      </c>
      <c r="H690" s="10" t="s">
        <v>73</v>
      </c>
      <c r="I690" s="10" t="s">
        <v>73</v>
      </c>
      <c r="J690" s="10" t="s">
        <v>73</v>
      </c>
      <c r="K690" s="12" t="s">
        <v>73</v>
      </c>
      <c r="L690" s="10" t="s">
        <v>452</v>
      </c>
      <c r="M690" s="5" t="str">
        <f t="array" ref="M690">Y460</f>
        <v>1ВО::1.1</v>
      </c>
      <c r="Y690" s="10">
        <f>COUNT($Y688:Y689)+1</f>
        <v>3</v>
      </c>
      <c r="AB690" s="403" t="str">
        <f>AB$322&amp;"."&amp;Y690</f>
        <v>3.1.2.3</v>
      </c>
      <c r="AC690" s="426" t="s">
        <v>476</v>
      </c>
      <c r="AD690" s="32" t="s">
        <v>111</v>
      </c>
      <c r="AE690" s="72"/>
      <c r="AF690" s="178"/>
      <c r="AG690" s="74"/>
      <c r="AH690" s="72"/>
      <c r="AI690" s="178"/>
      <c r="AJ690" s="74"/>
      <c r="AK690" s="72"/>
      <c r="AL690" s="178"/>
      <c r="AM690" s="138"/>
      <c r="AN690" s="72"/>
      <c r="AO690" s="178"/>
      <c r="AP690" s="138"/>
      <c r="AQ690" s="72"/>
      <c r="AR690" s="178"/>
      <c r="AS690" s="138"/>
      <c r="AT690" s="72"/>
      <c r="AU690" s="178"/>
      <c r="AV690" s="138"/>
      <c r="AW690" s="72"/>
      <c r="AX690" s="178"/>
      <c r="AY690" s="138"/>
      <c r="AZ690" s="72"/>
      <c r="BA690" s="178"/>
      <c r="BB690" s="138"/>
      <c r="BC690" s="72"/>
      <c r="BD690" s="178"/>
      <c r="BE690" s="138"/>
      <c r="BF690" s="72"/>
      <c r="BG690" s="178"/>
      <c r="BH690" s="138"/>
      <c r="BI690" s="142"/>
      <c r="BJ690" s="183"/>
      <c r="BK690" s="143"/>
      <c r="BN690" s="125">
        <f t="shared" ref="BN690:BN721" si="157">AE690+AH690+AK690+AN690+AQ690+AT690+AW690+AZ690+BC690+BF690+BI690</f>
        <v>0</v>
      </c>
      <c r="BO690" s="126">
        <f t="shared" ref="BO690:BO721" si="158">AF690+AI690+AL690+AO690+AR690+AU690+AX690+BA690+BD690+BG690+BJ690</f>
        <v>0</v>
      </c>
      <c r="BP690" s="127">
        <f t="shared" ref="BP690:BP721" si="159">AG690+AJ690+AM690+AP690+AS690+AV690+AY690+BB690+BE690+BH690+BK690</f>
        <v>0</v>
      </c>
    </row>
    <row r="691" spans="1:68" ht="14.25" hidden="1" customHeight="1" outlineLevel="4" x14ac:dyDescent="0.25">
      <c r="A691" s="10" t="b">
        <f>$U460="Водоснабжение"</f>
        <v>0</v>
      </c>
      <c r="B691" s="5" t="b">
        <f t="array" ref="B691">A691</f>
        <v>0</v>
      </c>
      <c r="C691" s="10" t="s">
        <v>83</v>
      </c>
      <c r="D691" s="10" t="s">
        <v>84</v>
      </c>
      <c r="E691" s="10" t="s">
        <v>73</v>
      </c>
      <c r="F691" s="10" t="s">
        <v>74</v>
      </c>
      <c r="G691" s="10" t="s">
        <v>477</v>
      </c>
      <c r="H691" s="10" t="s">
        <v>73</v>
      </c>
      <c r="I691" s="10" t="s">
        <v>73</v>
      </c>
      <c r="J691" s="10" t="s">
        <v>73</v>
      </c>
      <c r="K691" s="12" t="s">
        <v>73</v>
      </c>
      <c r="L691" s="10" t="s">
        <v>452</v>
      </c>
      <c r="M691" s="5" t="str">
        <f t="array" ref="M691">Y460</f>
        <v>1ВО::1.1</v>
      </c>
      <c r="Y691" s="10">
        <f>COUNT($Y688:Y690)+1</f>
        <v>4</v>
      </c>
      <c r="Z691" s="6"/>
      <c r="AA691" s="6"/>
      <c r="AB691" s="403"/>
      <c r="AC691" s="426"/>
      <c r="AD691" s="32"/>
      <c r="AE691" s="72"/>
      <c r="AF691" s="73"/>
      <c r="AG691" s="74"/>
      <c r="AH691" s="72"/>
      <c r="AI691" s="73"/>
      <c r="AJ691" s="74"/>
      <c r="AK691" s="72"/>
      <c r="AL691" s="73"/>
      <c r="AM691" s="138"/>
      <c r="AN691" s="72"/>
      <c r="AO691" s="73"/>
      <c r="AP691" s="138"/>
      <c r="AQ691" s="72"/>
      <c r="AR691" s="73"/>
      <c r="AS691" s="138"/>
      <c r="AT691" s="72"/>
      <c r="AU691" s="73"/>
      <c r="AV691" s="138"/>
      <c r="AW691" s="72"/>
      <c r="AX691" s="73"/>
      <c r="AY691" s="138"/>
      <c r="AZ691" s="72"/>
      <c r="BA691" s="73"/>
      <c r="BB691" s="138"/>
      <c r="BC691" s="72"/>
      <c r="BD691" s="73"/>
      <c r="BE691" s="138"/>
      <c r="BF691" s="72"/>
      <c r="BG691" s="73"/>
      <c r="BH691" s="138"/>
      <c r="BI691" s="142"/>
      <c r="BJ691" s="140"/>
      <c r="BK691" s="143"/>
      <c r="BN691" s="125">
        <f t="shared" si="157"/>
        <v>0</v>
      </c>
      <c r="BO691" s="126">
        <f t="shared" si="158"/>
        <v>0</v>
      </c>
      <c r="BP691" s="127">
        <f t="shared" si="159"/>
        <v>0</v>
      </c>
    </row>
    <row r="692" spans="1:68" ht="14.25" hidden="1" customHeight="1" outlineLevel="4" x14ac:dyDescent="0.25">
      <c r="A692" s="10" t="b">
        <f t="array" ref="A692">A691</f>
        <v>0</v>
      </c>
      <c r="B692" s="5" t="b">
        <f t="array" ref="B692">A692</f>
        <v>0</v>
      </c>
      <c r="C692" s="10" t="s">
        <v>83</v>
      </c>
      <c r="D692" s="10" t="s">
        <v>84</v>
      </c>
      <c r="E692" s="10" t="s">
        <v>73</v>
      </c>
      <c r="F692" s="10" t="s">
        <v>74</v>
      </c>
      <c r="G692" s="10" t="s">
        <v>478</v>
      </c>
      <c r="H692" s="10" t="s">
        <v>73</v>
      </c>
      <c r="I692" s="10" t="s">
        <v>73</v>
      </c>
      <c r="J692" s="10" t="s">
        <v>73</v>
      </c>
      <c r="K692" s="12" t="s">
        <v>73</v>
      </c>
      <c r="L692" s="10" t="s">
        <v>452</v>
      </c>
      <c r="M692" s="5" t="str">
        <f t="array" ref="M692">Y460</f>
        <v>1ВО::1.1</v>
      </c>
      <c r="Y692" s="10">
        <f>COUNT($Y688:Y691)+1</f>
        <v>5</v>
      </c>
      <c r="Z692" s="6"/>
      <c r="AA692" s="6"/>
      <c r="AB692" s="403"/>
      <c r="AC692" s="426"/>
      <c r="AD692" s="32"/>
      <c r="AE692" s="72"/>
      <c r="AF692" s="73"/>
      <c r="AG692" s="74"/>
      <c r="AH692" s="72"/>
      <c r="AI692" s="73"/>
      <c r="AJ692" s="74"/>
      <c r="AK692" s="72"/>
      <c r="AL692" s="73"/>
      <c r="AM692" s="138"/>
      <c r="AN692" s="72"/>
      <c r="AO692" s="73"/>
      <c r="AP692" s="138"/>
      <c r="AQ692" s="72"/>
      <c r="AR692" s="73"/>
      <c r="AS692" s="138"/>
      <c r="AT692" s="72"/>
      <c r="AU692" s="73"/>
      <c r="AV692" s="138"/>
      <c r="AW692" s="72"/>
      <c r="AX692" s="73"/>
      <c r="AY692" s="138"/>
      <c r="AZ692" s="72"/>
      <c r="BA692" s="73"/>
      <c r="BB692" s="138"/>
      <c r="BC692" s="72"/>
      <c r="BD692" s="73"/>
      <c r="BE692" s="138"/>
      <c r="BF692" s="72"/>
      <c r="BG692" s="73"/>
      <c r="BH692" s="138"/>
      <c r="BI692" s="142"/>
      <c r="BJ692" s="140"/>
      <c r="BK692" s="143"/>
      <c r="BN692" s="125">
        <f t="shared" si="157"/>
        <v>0</v>
      </c>
      <c r="BO692" s="126">
        <f t="shared" si="158"/>
        <v>0</v>
      </c>
      <c r="BP692" s="127">
        <f t="shared" si="159"/>
        <v>0</v>
      </c>
    </row>
    <row r="693" spans="1:68" ht="14.25" hidden="1" customHeight="1" outlineLevel="4" x14ac:dyDescent="0.25">
      <c r="C693" s="10" t="s">
        <v>83</v>
      </c>
      <c r="D693" s="10" t="s">
        <v>84</v>
      </c>
      <c r="E693" s="10" t="s">
        <v>73</v>
      </c>
      <c r="F693" s="10" t="s">
        <v>74</v>
      </c>
      <c r="G693" s="10" t="s">
        <v>479</v>
      </c>
      <c r="H693" s="10" t="s">
        <v>73</v>
      </c>
      <c r="I693" s="10" t="s">
        <v>73</v>
      </c>
      <c r="J693" s="10" t="s">
        <v>73</v>
      </c>
      <c r="K693" s="12" t="s">
        <v>73</v>
      </c>
      <c r="L693" s="10" t="s">
        <v>452</v>
      </c>
      <c r="M693" s="5" t="str">
        <f t="array" ref="M693">Y460</f>
        <v>1ВО::1.1</v>
      </c>
      <c r="Y693" s="10">
        <f>COUNT($Y688:Y692)+1</f>
        <v>6</v>
      </c>
      <c r="AB693" s="403" t="str">
        <f>AB$322&amp;"."&amp;Y693</f>
        <v>3.1.2.6</v>
      </c>
      <c r="AC693" s="426" t="s">
        <v>479</v>
      </c>
      <c r="AD693" s="32" t="s">
        <v>111</v>
      </c>
      <c r="AE693" s="72">
        <v>691.5</v>
      </c>
      <c r="AF693" s="178">
        <v>548.12</v>
      </c>
      <c r="AG693" s="74">
        <v>691.52</v>
      </c>
      <c r="AH693" s="72"/>
      <c r="AI693" s="178"/>
      <c r="AJ693" s="74"/>
      <c r="AK693" s="72"/>
      <c r="AL693" s="178"/>
      <c r="AM693" s="138"/>
      <c r="AN693" s="72"/>
      <c r="AO693" s="178"/>
      <c r="AP693" s="138"/>
      <c r="AQ693" s="72"/>
      <c r="AR693" s="178"/>
      <c r="AS693" s="138"/>
      <c r="AT693" s="72"/>
      <c r="AU693" s="178"/>
      <c r="AV693" s="138"/>
      <c r="AW693" s="72"/>
      <c r="AX693" s="178"/>
      <c r="AY693" s="138"/>
      <c r="AZ693" s="72">
        <v>20.190000000000001</v>
      </c>
      <c r="BA693" s="178">
        <v>6.89</v>
      </c>
      <c r="BB693" s="138">
        <v>16.25</v>
      </c>
      <c r="BC693" s="72">
        <v>27.37</v>
      </c>
      <c r="BD693" s="178"/>
      <c r="BE693" s="138"/>
      <c r="BF693" s="72"/>
      <c r="BG693" s="178"/>
      <c r="BH693" s="138"/>
      <c r="BI693" s="142">
        <v>1.5</v>
      </c>
      <c r="BJ693" s="183"/>
      <c r="BK693" s="143">
        <v>1.5</v>
      </c>
      <c r="BN693" s="125">
        <f t="shared" si="157"/>
        <v>740.56000000000006</v>
      </c>
      <c r="BO693" s="126">
        <f t="shared" si="158"/>
        <v>555.01</v>
      </c>
      <c r="BP693" s="127">
        <f t="shared" si="159"/>
        <v>709.27</v>
      </c>
    </row>
    <row r="694" spans="1:68" ht="14.25" hidden="1" customHeight="1" outlineLevel="4" x14ac:dyDescent="0.25">
      <c r="C694" s="10" t="s">
        <v>83</v>
      </c>
      <c r="D694" s="10" t="s">
        <v>84</v>
      </c>
      <c r="E694" s="10" t="s">
        <v>73</v>
      </c>
      <c r="F694" s="10" t="s">
        <v>74</v>
      </c>
      <c r="G694" s="10" t="s">
        <v>480</v>
      </c>
      <c r="H694" s="10" t="s">
        <v>73</v>
      </c>
      <c r="I694" s="10" t="s">
        <v>73</v>
      </c>
      <c r="J694" s="10" t="s">
        <v>73</v>
      </c>
      <c r="K694" s="12" t="s">
        <v>73</v>
      </c>
      <c r="L694" s="10" t="s">
        <v>452</v>
      </c>
      <c r="M694" s="5" t="str">
        <f t="array" ref="M694">Y460</f>
        <v>1ВО::1.1</v>
      </c>
      <c r="Y694" s="10">
        <f>COUNT($Y688:Y693)+1</f>
        <v>7</v>
      </c>
      <c r="AB694" s="403" t="str">
        <f>AB$322&amp;"."&amp;Y694</f>
        <v>3.1.2.7</v>
      </c>
      <c r="AC694" s="426" t="s">
        <v>480</v>
      </c>
      <c r="AD694" s="32" t="s">
        <v>111</v>
      </c>
      <c r="AE694" s="72">
        <v>17.39</v>
      </c>
      <c r="AF694" s="178">
        <v>10035.02</v>
      </c>
      <c r="AG694" s="74">
        <v>12675</v>
      </c>
      <c r="AH694" s="72"/>
      <c r="AI694" s="178">
        <v>793.24</v>
      </c>
      <c r="AJ694" s="74"/>
      <c r="AK694" s="72"/>
      <c r="AL694" s="178"/>
      <c r="AM694" s="138"/>
      <c r="AN694" s="72"/>
      <c r="AO694" s="178"/>
      <c r="AP694" s="138"/>
      <c r="AQ694" s="72"/>
      <c r="AR694" s="178"/>
      <c r="AS694" s="138">
        <v>957.48</v>
      </c>
      <c r="AT694" s="72"/>
      <c r="AU694" s="178"/>
      <c r="AV694" s="138"/>
      <c r="AW694" s="72"/>
      <c r="AX694" s="178"/>
      <c r="AY694" s="138"/>
      <c r="AZ694" s="72">
        <v>0.01</v>
      </c>
      <c r="BA694" s="178"/>
      <c r="BB694" s="138">
        <f>62199.9-26391.09</f>
        <v>35808.81</v>
      </c>
      <c r="BC694" s="72"/>
      <c r="BD694" s="178"/>
      <c r="BE694" s="138"/>
      <c r="BF694" s="72"/>
      <c r="BG694" s="178"/>
      <c r="BH694" s="138"/>
      <c r="BI694" s="142"/>
      <c r="BJ694" s="183"/>
      <c r="BK694" s="143">
        <v>4728.1000000000004</v>
      </c>
      <c r="BN694" s="125">
        <f t="shared" si="157"/>
        <v>17.400000000000002</v>
      </c>
      <c r="BO694" s="126">
        <f t="shared" si="158"/>
        <v>10828.26</v>
      </c>
      <c r="BP694" s="127">
        <f t="shared" si="159"/>
        <v>54169.389999999992</v>
      </c>
    </row>
    <row r="695" spans="1:68" ht="14.25" hidden="1" customHeight="1" outlineLevel="4" x14ac:dyDescent="0.25">
      <c r="C695" s="10" t="s">
        <v>83</v>
      </c>
      <c r="D695" s="10" t="s">
        <v>84</v>
      </c>
      <c r="E695" s="10" t="s">
        <v>73</v>
      </c>
      <c r="F695" s="10" t="s">
        <v>74</v>
      </c>
      <c r="G695" s="10" t="s">
        <v>481</v>
      </c>
      <c r="H695" s="10" t="s">
        <v>73</v>
      </c>
      <c r="I695" s="10" t="s">
        <v>73</v>
      </c>
      <c r="J695" s="10" t="s">
        <v>73</v>
      </c>
      <c r="K695" s="12" t="s">
        <v>73</v>
      </c>
      <c r="L695" s="10" t="s">
        <v>452</v>
      </c>
      <c r="M695" s="5" t="str">
        <f t="array" ref="M695">Y460</f>
        <v>1ВО::1.1</v>
      </c>
      <c r="Y695" s="10">
        <f>COUNT($Y688:Y694)+1</f>
        <v>8</v>
      </c>
      <c r="AB695" s="403" t="str">
        <f>AB$322&amp;"."&amp;Y695</f>
        <v>3.1.2.8</v>
      </c>
      <c r="AC695" s="426" t="s">
        <v>481</v>
      </c>
      <c r="AD695" s="32" t="s">
        <v>111</v>
      </c>
      <c r="AE695" s="72"/>
      <c r="AF695" s="178"/>
      <c r="AG695" s="74"/>
      <c r="AH695" s="72"/>
      <c r="AI695" s="178"/>
      <c r="AJ695" s="74"/>
      <c r="AK695" s="72"/>
      <c r="AL695" s="178"/>
      <c r="AM695" s="138"/>
      <c r="AN695" s="72"/>
      <c r="AO695" s="178"/>
      <c r="AP695" s="138"/>
      <c r="AQ695" s="72"/>
      <c r="AR695" s="178"/>
      <c r="AS695" s="138"/>
      <c r="AT695" s="72"/>
      <c r="AU695" s="178"/>
      <c r="AV695" s="138"/>
      <c r="AW695" s="72"/>
      <c r="AX695" s="178"/>
      <c r="AY695" s="138"/>
      <c r="AZ695" s="72"/>
      <c r="BA695" s="178"/>
      <c r="BB695" s="138"/>
      <c r="BC695" s="72"/>
      <c r="BD695" s="178"/>
      <c r="BE695" s="138"/>
      <c r="BF695" s="72"/>
      <c r="BG695" s="178"/>
      <c r="BH695" s="138"/>
      <c r="BI695" s="142"/>
      <c r="BJ695" s="183"/>
      <c r="BK695" s="143"/>
      <c r="BN695" s="125">
        <f t="shared" si="157"/>
        <v>0</v>
      </c>
      <c r="BO695" s="126">
        <f t="shared" si="158"/>
        <v>0</v>
      </c>
      <c r="BP695" s="127">
        <f t="shared" si="159"/>
        <v>0</v>
      </c>
    </row>
    <row r="696" spans="1:68" ht="4.5" hidden="1" customHeight="1" outlineLevel="4" x14ac:dyDescent="0.25">
      <c r="C696" s="10" t="s">
        <v>83</v>
      </c>
      <c r="D696" s="10" t="s">
        <v>84</v>
      </c>
      <c r="E696" s="10" t="s">
        <v>73</v>
      </c>
      <c r="F696" s="10" t="s">
        <v>74</v>
      </c>
      <c r="G696" s="10" t="s">
        <v>482</v>
      </c>
      <c r="H696" s="10" t="s">
        <v>73</v>
      </c>
      <c r="I696" s="10" t="s">
        <v>73</v>
      </c>
      <c r="J696" s="10" t="s">
        <v>73</v>
      </c>
      <c r="K696" s="12" t="s">
        <v>73</v>
      </c>
      <c r="L696" s="10" t="s">
        <v>452</v>
      </c>
      <c r="M696" s="5" t="str">
        <f t="array" ref="M696">Y460</f>
        <v>1ВО::1.1</v>
      </c>
      <c r="Y696" s="10">
        <f>COUNT($Y688:Y695)+1</f>
        <v>9</v>
      </c>
      <c r="AB696" s="403" t="str">
        <f>AB$322&amp;"."&amp;Y696</f>
        <v>3.1.2.9</v>
      </c>
      <c r="AC696" s="426" t="s">
        <v>483</v>
      </c>
      <c r="AD696" s="32" t="s">
        <v>111</v>
      </c>
      <c r="AE696" s="72"/>
      <c r="AF696" s="178"/>
      <c r="AG696" s="74"/>
      <c r="AH696" s="72"/>
      <c r="AI696" s="178"/>
      <c r="AJ696" s="74"/>
      <c r="AK696" s="72"/>
      <c r="AL696" s="178"/>
      <c r="AM696" s="138"/>
      <c r="AN696" s="72"/>
      <c r="AO696" s="178"/>
      <c r="AP696" s="138"/>
      <c r="AQ696" s="72"/>
      <c r="AR696" s="178"/>
      <c r="AS696" s="138"/>
      <c r="AT696" s="72"/>
      <c r="AU696" s="178"/>
      <c r="AV696" s="138"/>
      <c r="AW696" s="72"/>
      <c r="AX696" s="178"/>
      <c r="AY696" s="138"/>
      <c r="AZ696" s="72"/>
      <c r="BA696" s="178"/>
      <c r="BB696" s="138"/>
      <c r="BC696" s="72"/>
      <c r="BD696" s="178"/>
      <c r="BE696" s="138"/>
      <c r="BF696" s="72"/>
      <c r="BG696" s="178"/>
      <c r="BH696" s="138"/>
      <c r="BI696" s="142"/>
      <c r="BJ696" s="183"/>
      <c r="BK696" s="143"/>
      <c r="BN696" s="125">
        <f t="shared" si="157"/>
        <v>0</v>
      </c>
      <c r="BO696" s="126">
        <f t="shared" si="158"/>
        <v>0</v>
      </c>
      <c r="BP696" s="127">
        <f t="shared" si="159"/>
        <v>0</v>
      </c>
    </row>
    <row r="697" spans="1:68" ht="17.25" hidden="1" customHeight="1" outlineLevel="3" x14ac:dyDescent="0.25">
      <c r="C697" s="10" t="s">
        <v>83</v>
      </c>
      <c r="D697" s="10" t="s">
        <v>84</v>
      </c>
      <c r="E697" s="10" t="s">
        <v>73</v>
      </c>
      <c r="F697" s="10" t="s">
        <v>74</v>
      </c>
      <c r="G697" s="10" t="s">
        <v>484</v>
      </c>
      <c r="H697" s="10" t="s">
        <v>73</v>
      </c>
      <c r="I697" s="10" t="s">
        <v>73</v>
      </c>
      <c r="J697" s="10" t="s">
        <v>73</v>
      </c>
      <c r="K697" s="12" t="s">
        <v>73</v>
      </c>
      <c r="L697" s="10" t="s">
        <v>407</v>
      </c>
      <c r="M697" s="5" t="str">
        <f t="array" ref="M697">Y460</f>
        <v>1ВО::1.1</v>
      </c>
      <c r="AB697" s="403" t="str">
        <f>AB672&amp;".4"</f>
        <v>3.1.3.4</v>
      </c>
      <c r="AC697" s="414" t="s">
        <v>485</v>
      </c>
      <c r="AD697" s="32" t="s">
        <v>111</v>
      </c>
      <c r="AE697" s="72">
        <f>AE698+AE701+AE702+AE703</f>
        <v>24254.370000000003</v>
      </c>
      <c r="AF697" s="73"/>
      <c r="AG697" s="74">
        <f>AG698+AG701+AG702+AG703</f>
        <v>47030.64</v>
      </c>
      <c r="AH697" s="72">
        <f>AH698+AH701+AH702+AH703</f>
        <v>21.05</v>
      </c>
      <c r="AI697" s="73">
        <f>AI698+AI701+AI702+AI703</f>
        <v>0</v>
      </c>
      <c r="AJ697" s="74">
        <f>AJ698+AJ701+AJ702+AJ703</f>
        <v>21.05</v>
      </c>
      <c r="AK697" s="72"/>
      <c r="AL697" s="73"/>
      <c r="AM697" s="138"/>
      <c r="AN697" s="72">
        <f>AN698+AN701+AN702+AN703</f>
        <v>0</v>
      </c>
      <c r="AO697" s="73">
        <f>AO698+AO701+AO702+AO703</f>
        <v>0</v>
      </c>
      <c r="AP697" s="138">
        <f>AP698+AP701+AP702+AP703</f>
        <v>0</v>
      </c>
      <c r="AQ697" s="72">
        <f>AQ698+AQ701+AQ702+AQ703</f>
        <v>6.79</v>
      </c>
      <c r="AR697" s="73">
        <v>90</v>
      </c>
      <c r="AS697" s="138">
        <f>AS698+AS701+AS702+AS703</f>
        <v>7.1</v>
      </c>
      <c r="AT697" s="72">
        <f>AT698+AT701+AT702+AT703</f>
        <v>0</v>
      </c>
      <c r="AU697" s="73">
        <f>AU698+AU701+AU702+AU703</f>
        <v>0</v>
      </c>
      <c r="AV697" s="138">
        <f>AV698+AV701+AV702+AV703</f>
        <v>0</v>
      </c>
      <c r="AW697" s="72">
        <f>AW698+AW701+AW702+AW703</f>
        <v>0</v>
      </c>
      <c r="AX697" s="73">
        <v>240</v>
      </c>
      <c r="AY697" s="138">
        <f t="shared" ref="AY697:BK697" si="160">AY698+AY701+AY702+AY703</f>
        <v>0</v>
      </c>
      <c r="AZ697" s="72">
        <f t="shared" si="160"/>
        <v>0.09</v>
      </c>
      <c r="BA697" s="73">
        <f t="shared" si="160"/>
        <v>0</v>
      </c>
      <c r="BB697" s="138">
        <f t="shared" si="160"/>
        <v>0.36</v>
      </c>
      <c r="BC697" s="72">
        <f t="shared" si="160"/>
        <v>329.74</v>
      </c>
      <c r="BD697" s="73">
        <f t="shared" si="160"/>
        <v>0</v>
      </c>
      <c r="BE697" s="138">
        <f t="shared" si="160"/>
        <v>26.35</v>
      </c>
      <c r="BF697" s="72">
        <f t="shared" si="160"/>
        <v>0</v>
      </c>
      <c r="BG697" s="73">
        <f t="shared" si="160"/>
        <v>0</v>
      </c>
      <c r="BH697" s="138">
        <f t="shared" si="160"/>
        <v>0</v>
      </c>
      <c r="BI697" s="142">
        <f t="shared" si="160"/>
        <v>25.56</v>
      </c>
      <c r="BJ697" s="140">
        <f t="shared" si="160"/>
        <v>0</v>
      </c>
      <c r="BK697" s="143">
        <f t="shared" si="160"/>
        <v>25.56</v>
      </c>
      <c r="BN697" s="125">
        <f t="shared" si="157"/>
        <v>24637.600000000006</v>
      </c>
      <c r="BO697" s="126">
        <f t="shared" si="158"/>
        <v>330</v>
      </c>
      <c r="BP697" s="127">
        <f t="shared" si="159"/>
        <v>47111.06</v>
      </c>
    </row>
    <row r="698" spans="1:68" s="211" customFormat="1" ht="14.25" hidden="1" customHeight="1" outlineLevel="4" x14ac:dyDescent="0.25">
      <c r="A698" s="6"/>
      <c r="B698" s="6"/>
      <c r="C698" s="116" t="s">
        <v>83</v>
      </c>
      <c r="D698" s="116" t="s">
        <v>84</v>
      </c>
      <c r="E698" s="116" t="s">
        <v>73</v>
      </c>
      <c r="F698" s="116" t="s">
        <v>74</v>
      </c>
      <c r="G698" s="116" t="s">
        <v>486</v>
      </c>
      <c r="H698" s="116" t="s">
        <v>73</v>
      </c>
      <c r="I698" s="116" t="s">
        <v>73</v>
      </c>
      <c r="J698" s="116" t="s">
        <v>73</v>
      </c>
      <c r="K698" s="209" t="s">
        <v>73</v>
      </c>
      <c r="L698" s="116" t="s">
        <v>407</v>
      </c>
      <c r="M698" s="6" t="str">
        <f t="array" ref="M698">Y460</f>
        <v>1ВО::1.1</v>
      </c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116">
        <v>1</v>
      </c>
      <c r="Z698" s="6"/>
      <c r="AA698" s="6"/>
      <c r="AB698" s="403" t="str">
        <f>AB$332&amp;"."&amp;Y698</f>
        <v>3.1.2.1.1.2.2.1</v>
      </c>
      <c r="AC698" s="426" t="s">
        <v>486</v>
      </c>
      <c r="AD698" s="32" t="s">
        <v>111</v>
      </c>
      <c r="AE698" s="72"/>
      <c r="AF698" s="178"/>
      <c r="AG698" s="74"/>
      <c r="AH698" s="72"/>
      <c r="AI698" s="178"/>
      <c r="AJ698" s="74"/>
      <c r="AK698" s="72"/>
      <c r="AL698" s="178"/>
      <c r="AM698" s="138"/>
      <c r="AN698" s="72"/>
      <c r="AO698" s="178"/>
      <c r="AP698" s="138"/>
      <c r="AQ698" s="72"/>
      <c r="AR698" s="178"/>
      <c r="AS698" s="138"/>
      <c r="AT698" s="72"/>
      <c r="AU698" s="178"/>
      <c r="AV698" s="138"/>
      <c r="AW698" s="72"/>
      <c r="AX698" s="178"/>
      <c r="AY698" s="138"/>
      <c r="AZ698" s="72"/>
      <c r="BA698" s="178"/>
      <c r="BB698" s="138"/>
      <c r="BC698" s="72"/>
      <c r="BD698" s="178"/>
      <c r="BE698" s="138"/>
      <c r="BF698" s="72"/>
      <c r="BG698" s="178"/>
      <c r="BH698" s="138"/>
      <c r="BI698" s="142"/>
      <c r="BJ698" s="183"/>
      <c r="BK698" s="143"/>
      <c r="BL698" s="6"/>
      <c r="BM698" s="6"/>
      <c r="BN698" s="125">
        <f t="shared" si="157"/>
        <v>0</v>
      </c>
      <c r="BO698" s="126">
        <f t="shared" si="158"/>
        <v>0</v>
      </c>
      <c r="BP698" s="127">
        <f t="shared" si="159"/>
        <v>0</v>
      </c>
    </row>
    <row r="699" spans="1:68" s="211" customFormat="1" ht="17.25" hidden="1" customHeight="1" outlineLevel="4" x14ac:dyDescent="0.25">
      <c r="A699" s="6"/>
      <c r="B699" s="6"/>
      <c r="C699" s="116" t="s">
        <v>83</v>
      </c>
      <c r="D699" s="116" t="s">
        <v>84</v>
      </c>
      <c r="E699" s="116" t="s">
        <v>73</v>
      </c>
      <c r="F699" s="116" t="s">
        <v>74</v>
      </c>
      <c r="G699" s="116" t="s">
        <v>487</v>
      </c>
      <c r="H699" s="116" t="s">
        <v>73</v>
      </c>
      <c r="I699" s="116" t="s">
        <v>73</v>
      </c>
      <c r="J699" s="116" t="s">
        <v>73</v>
      </c>
      <c r="K699" s="209" t="s">
        <v>73</v>
      </c>
      <c r="L699" s="116" t="s">
        <v>73</v>
      </c>
      <c r="M699" s="6" t="str">
        <f t="array" ref="M699">Y460</f>
        <v>1ВО::1.1</v>
      </c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403" t="str">
        <f>AB698&amp;".1"</f>
        <v>3.1.2.1.1.2.2.1.1</v>
      </c>
      <c r="AC699" s="459" t="s">
        <v>487</v>
      </c>
      <c r="AD699" s="32" t="s">
        <v>111</v>
      </c>
      <c r="AE699" s="95"/>
      <c r="AF699" s="178"/>
      <c r="AG699" s="96"/>
      <c r="AH699" s="95"/>
      <c r="AI699" s="178"/>
      <c r="AJ699" s="96"/>
      <c r="AK699" s="95"/>
      <c r="AL699" s="178"/>
      <c r="AM699" s="181"/>
      <c r="AN699" s="95"/>
      <c r="AO699" s="178"/>
      <c r="AP699" s="181"/>
      <c r="AQ699" s="95"/>
      <c r="AR699" s="178"/>
      <c r="AS699" s="181"/>
      <c r="AT699" s="95"/>
      <c r="AU699" s="178"/>
      <c r="AV699" s="181"/>
      <c r="AW699" s="95"/>
      <c r="AX699" s="178"/>
      <c r="AY699" s="181"/>
      <c r="AZ699" s="95"/>
      <c r="BA699" s="178"/>
      <c r="BB699" s="181"/>
      <c r="BC699" s="95"/>
      <c r="BD699" s="178"/>
      <c r="BE699" s="181"/>
      <c r="BF699" s="95"/>
      <c r="BG699" s="178"/>
      <c r="BH699" s="181"/>
      <c r="BI699" s="185"/>
      <c r="BJ699" s="183"/>
      <c r="BK699" s="186"/>
      <c r="BL699" s="6"/>
      <c r="BM699" s="6"/>
      <c r="BN699" s="125">
        <f t="shared" si="157"/>
        <v>0</v>
      </c>
      <c r="BO699" s="126">
        <f t="shared" si="158"/>
        <v>0</v>
      </c>
      <c r="BP699" s="127">
        <f t="shared" si="159"/>
        <v>0</v>
      </c>
    </row>
    <row r="700" spans="1:68" s="211" customFormat="1" ht="14.25" hidden="1" customHeight="1" outlineLevel="4" x14ac:dyDescent="0.25">
      <c r="A700" s="6"/>
      <c r="B700" s="6"/>
      <c r="C700" s="116" t="s">
        <v>83</v>
      </c>
      <c r="D700" s="116" t="s">
        <v>84</v>
      </c>
      <c r="E700" s="116" t="s">
        <v>73</v>
      </c>
      <c r="F700" s="116" t="s">
        <v>74</v>
      </c>
      <c r="G700" s="116" t="s">
        <v>488</v>
      </c>
      <c r="H700" s="116" t="s">
        <v>73</v>
      </c>
      <c r="I700" s="116" t="s">
        <v>73</v>
      </c>
      <c r="J700" s="116" t="s">
        <v>73</v>
      </c>
      <c r="K700" s="209" t="s">
        <v>73</v>
      </c>
      <c r="L700" s="116" t="s">
        <v>73</v>
      </c>
      <c r="M700" s="6" t="str">
        <f t="array" ref="M700">Y460</f>
        <v>1ВО::1.1</v>
      </c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403" t="str">
        <f>AB698&amp;".2"</f>
        <v>3.1.2.1.1.2.2.1.2</v>
      </c>
      <c r="AC700" s="459" t="s">
        <v>488</v>
      </c>
      <c r="AD700" s="32" t="s">
        <v>111</v>
      </c>
      <c r="AE700" s="72"/>
      <c r="AF700" s="73"/>
      <c r="AG700" s="74"/>
      <c r="AH700" s="72"/>
      <c r="AI700" s="73"/>
      <c r="AJ700" s="74"/>
      <c r="AK700" s="72"/>
      <c r="AL700" s="73"/>
      <c r="AM700" s="138"/>
      <c r="AN700" s="72"/>
      <c r="AO700" s="73"/>
      <c r="AP700" s="138"/>
      <c r="AQ700" s="72"/>
      <c r="AR700" s="73"/>
      <c r="AS700" s="138"/>
      <c r="AT700" s="72"/>
      <c r="AU700" s="73"/>
      <c r="AV700" s="138"/>
      <c r="AW700" s="72"/>
      <c r="AX700" s="73"/>
      <c r="AY700" s="138"/>
      <c r="AZ700" s="72"/>
      <c r="BA700" s="73"/>
      <c r="BB700" s="138"/>
      <c r="BC700" s="72"/>
      <c r="BD700" s="73"/>
      <c r="BE700" s="138"/>
      <c r="BF700" s="72"/>
      <c r="BG700" s="73"/>
      <c r="BH700" s="138"/>
      <c r="BI700" s="142"/>
      <c r="BJ700" s="140"/>
      <c r="BK700" s="143"/>
      <c r="BL700" s="6"/>
      <c r="BM700" s="6"/>
      <c r="BN700" s="125">
        <f t="shared" si="157"/>
        <v>0</v>
      </c>
      <c r="BO700" s="126">
        <f t="shared" si="158"/>
        <v>0</v>
      </c>
      <c r="BP700" s="127">
        <f t="shared" si="159"/>
        <v>0</v>
      </c>
    </row>
    <row r="701" spans="1:68" ht="14.25" hidden="1" customHeight="1" outlineLevel="4" x14ac:dyDescent="0.25">
      <c r="C701" s="10" t="s">
        <v>83</v>
      </c>
      <c r="D701" s="10" t="s">
        <v>84</v>
      </c>
      <c r="E701" s="10" t="s">
        <v>73</v>
      </c>
      <c r="F701" s="10" t="s">
        <v>74</v>
      </c>
      <c r="G701" s="10" t="s">
        <v>489</v>
      </c>
      <c r="H701" s="10" t="s">
        <v>73</v>
      </c>
      <c r="I701" s="10" t="s">
        <v>73</v>
      </c>
      <c r="J701" s="10" t="s">
        <v>73</v>
      </c>
      <c r="K701" s="12" t="s">
        <v>73</v>
      </c>
      <c r="L701" s="10" t="s">
        <v>407</v>
      </c>
      <c r="M701" s="5" t="str">
        <f t="array" ref="M701">Y460</f>
        <v>1ВО::1.1</v>
      </c>
      <c r="Y701" s="10">
        <f>COUNT($Y698:Y698)+1</f>
        <v>2</v>
      </c>
      <c r="AB701" s="403" t="str">
        <f>AB$332&amp;"."&amp;Y701</f>
        <v>3.1.2.1.1.2.2.2</v>
      </c>
      <c r="AC701" s="426" t="s">
        <v>489</v>
      </c>
      <c r="AD701" s="32" t="s">
        <v>111</v>
      </c>
      <c r="AE701" s="72"/>
      <c r="AF701" s="178"/>
      <c r="AG701" s="74"/>
      <c r="AH701" s="72"/>
      <c r="AI701" s="178"/>
      <c r="AJ701" s="74"/>
      <c r="AK701" s="72"/>
      <c r="AL701" s="178"/>
      <c r="AM701" s="138"/>
      <c r="AN701" s="72"/>
      <c r="AO701" s="178"/>
      <c r="AP701" s="138"/>
      <c r="AQ701" s="72"/>
      <c r="AR701" s="178"/>
      <c r="AS701" s="138"/>
      <c r="AT701" s="72"/>
      <c r="AU701" s="178"/>
      <c r="AV701" s="138"/>
      <c r="AW701" s="72"/>
      <c r="AX701" s="178"/>
      <c r="AY701" s="138"/>
      <c r="AZ701" s="72"/>
      <c r="BA701" s="178"/>
      <c r="BB701" s="138"/>
      <c r="BC701" s="72"/>
      <c r="BD701" s="178"/>
      <c r="BE701" s="138"/>
      <c r="BF701" s="72"/>
      <c r="BG701" s="178"/>
      <c r="BH701" s="138"/>
      <c r="BI701" s="142"/>
      <c r="BJ701" s="183"/>
      <c r="BK701" s="143"/>
      <c r="BN701" s="125">
        <f t="shared" si="157"/>
        <v>0</v>
      </c>
      <c r="BO701" s="126">
        <f t="shared" si="158"/>
        <v>0</v>
      </c>
      <c r="BP701" s="127">
        <f t="shared" si="159"/>
        <v>0</v>
      </c>
    </row>
    <row r="702" spans="1:68" ht="21" hidden="1" customHeight="1" outlineLevel="4" x14ac:dyDescent="0.25">
      <c r="C702" s="10" t="s">
        <v>83</v>
      </c>
      <c r="D702" s="10" t="s">
        <v>84</v>
      </c>
      <c r="E702" s="10" t="s">
        <v>73</v>
      </c>
      <c r="F702" s="10" t="s">
        <v>74</v>
      </c>
      <c r="G702" s="10" t="s">
        <v>490</v>
      </c>
      <c r="H702" s="10" t="s">
        <v>73</v>
      </c>
      <c r="I702" s="10" t="s">
        <v>73</v>
      </c>
      <c r="J702" s="10" t="s">
        <v>73</v>
      </c>
      <c r="K702" s="12" t="s">
        <v>73</v>
      </c>
      <c r="L702" s="10" t="s">
        <v>407</v>
      </c>
      <c r="M702" s="5" t="str">
        <f t="array" ref="M702">Y460</f>
        <v>1ВО::1.1</v>
      </c>
      <c r="Y702" s="10">
        <f>COUNT($Y698:Y701)+1</f>
        <v>3</v>
      </c>
      <c r="AB702" s="501" t="s">
        <v>643</v>
      </c>
      <c r="AC702" s="426" t="s">
        <v>490</v>
      </c>
      <c r="AD702" s="32" t="s">
        <v>111</v>
      </c>
      <c r="AE702" s="72">
        <v>23901.13</v>
      </c>
      <c r="AF702" s="178"/>
      <c r="AG702" s="74">
        <v>46677.4</v>
      </c>
      <c r="AH702" s="72"/>
      <c r="AI702" s="178"/>
      <c r="AJ702" s="74"/>
      <c r="AK702" s="72"/>
      <c r="AL702" s="178"/>
      <c r="AM702" s="138"/>
      <c r="AN702" s="72"/>
      <c r="AO702" s="178"/>
      <c r="AP702" s="138"/>
      <c r="AQ702" s="72"/>
      <c r="AR702" s="178"/>
      <c r="AS702" s="138"/>
      <c r="AT702" s="72"/>
      <c r="AU702" s="178"/>
      <c r="AV702" s="138"/>
      <c r="AW702" s="72"/>
      <c r="AX702" s="178"/>
      <c r="AY702" s="138"/>
      <c r="AZ702" s="72"/>
      <c r="BA702" s="178"/>
      <c r="BB702" s="138"/>
      <c r="BC702" s="72"/>
      <c r="BD702" s="178"/>
      <c r="BE702" s="138"/>
      <c r="BF702" s="72"/>
      <c r="BG702" s="178"/>
      <c r="BH702" s="138"/>
      <c r="BI702" s="142"/>
      <c r="BJ702" s="183"/>
      <c r="BK702" s="143"/>
      <c r="BN702" s="125">
        <f t="shared" si="157"/>
        <v>23901.13</v>
      </c>
      <c r="BO702" s="126">
        <f t="shared" si="158"/>
        <v>0</v>
      </c>
      <c r="BP702" s="127">
        <f t="shared" si="159"/>
        <v>46677.4</v>
      </c>
    </row>
    <row r="703" spans="1:68" ht="18.75" hidden="1" customHeight="1" outlineLevel="4" x14ac:dyDescent="0.25">
      <c r="C703" s="10" t="s">
        <v>83</v>
      </c>
      <c r="D703" s="10" t="s">
        <v>84</v>
      </c>
      <c r="E703" s="10" t="s">
        <v>73</v>
      </c>
      <c r="F703" s="10" t="s">
        <v>74</v>
      </c>
      <c r="G703" s="10" t="s">
        <v>491</v>
      </c>
      <c r="H703" s="10" t="s">
        <v>73</v>
      </c>
      <c r="I703" s="10" t="s">
        <v>73</v>
      </c>
      <c r="J703" s="10" t="s">
        <v>73</v>
      </c>
      <c r="K703" s="12" t="s">
        <v>73</v>
      </c>
      <c r="L703" s="10" t="s">
        <v>407</v>
      </c>
      <c r="M703" s="5" t="str">
        <f t="array" ref="M703">Y460</f>
        <v>1ВО::1.1</v>
      </c>
      <c r="Y703" s="10">
        <f>COUNT($Y698:Y702)+1</f>
        <v>4</v>
      </c>
      <c r="AB703" s="501" t="s">
        <v>644</v>
      </c>
      <c r="AC703" s="426" t="s">
        <v>491</v>
      </c>
      <c r="AD703" s="32" t="s">
        <v>111</v>
      </c>
      <c r="AE703" s="72">
        <v>353.24</v>
      </c>
      <c r="AF703" s="178"/>
      <c r="AG703" s="74">
        <v>353.24</v>
      </c>
      <c r="AH703" s="72">
        <v>21.05</v>
      </c>
      <c r="AI703" s="178"/>
      <c r="AJ703" s="74">
        <v>21.05</v>
      </c>
      <c r="AK703" s="72"/>
      <c r="AL703" s="178"/>
      <c r="AM703" s="138"/>
      <c r="AN703" s="72"/>
      <c r="AO703" s="178"/>
      <c r="AP703" s="138"/>
      <c r="AQ703" s="72">
        <v>6.79</v>
      </c>
      <c r="AR703" s="178"/>
      <c r="AS703" s="138">
        <v>7.1</v>
      </c>
      <c r="AT703" s="72"/>
      <c r="AU703" s="178"/>
      <c r="AV703" s="138"/>
      <c r="AW703" s="72"/>
      <c r="AX703" s="178"/>
      <c r="AY703" s="138"/>
      <c r="AZ703" s="72">
        <v>0.09</v>
      </c>
      <c r="BA703" s="178"/>
      <c r="BB703" s="138">
        <v>0.36</v>
      </c>
      <c r="BC703" s="72">
        <v>329.74</v>
      </c>
      <c r="BD703" s="178"/>
      <c r="BE703" s="138">
        <v>26.35</v>
      </c>
      <c r="BF703" s="72"/>
      <c r="BG703" s="178"/>
      <c r="BH703" s="138"/>
      <c r="BI703" s="142">
        <v>25.56</v>
      </c>
      <c r="BJ703" s="183"/>
      <c r="BK703" s="143">
        <v>25.56</v>
      </c>
      <c r="BN703" s="125">
        <f t="shared" si="157"/>
        <v>736.47</v>
      </c>
      <c r="BO703" s="126">
        <f t="shared" si="158"/>
        <v>0</v>
      </c>
      <c r="BP703" s="127">
        <f t="shared" si="159"/>
        <v>433.66000000000008</v>
      </c>
    </row>
    <row r="704" spans="1:68" ht="16.5" hidden="1" customHeight="1" outlineLevel="3" x14ac:dyDescent="0.25">
      <c r="C704" s="10" t="s">
        <v>83</v>
      </c>
      <c r="D704" s="10" t="s">
        <v>84</v>
      </c>
      <c r="E704" s="10" t="s">
        <v>73</v>
      </c>
      <c r="F704" s="10" t="s">
        <v>74</v>
      </c>
      <c r="G704" s="10" t="s">
        <v>492</v>
      </c>
      <c r="H704" s="10" t="s">
        <v>73</v>
      </c>
      <c r="I704" s="10" t="s">
        <v>73</v>
      </c>
      <c r="J704" s="10" t="s">
        <v>73</v>
      </c>
      <c r="K704" s="12" t="s">
        <v>73</v>
      </c>
      <c r="L704" s="10" t="s">
        <v>452</v>
      </c>
      <c r="M704" s="5" t="str">
        <f t="array" ref="M704">Y460</f>
        <v>1ВО::1.1</v>
      </c>
      <c r="Y704" s="10">
        <f>COUNT($Y698:Y703)+1</f>
        <v>5</v>
      </c>
      <c r="AB704" s="403" t="str">
        <f>AB672&amp;".5"</f>
        <v>3.1.3.5</v>
      </c>
      <c r="AC704" s="414" t="s">
        <v>493</v>
      </c>
      <c r="AD704" s="32" t="s">
        <v>111</v>
      </c>
      <c r="AE704" s="95">
        <v>401.51100000000002</v>
      </c>
      <c r="AF704" s="178"/>
      <c r="AG704" s="96">
        <v>401.51100000000002</v>
      </c>
      <c r="AH704" s="95"/>
      <c r="AI704" s="178"/>
      <c r="AJ704" s="96"/>
      <c r="AK704" s="95"/>
      <c r="AL704" s="178"/>
      <c r="AM704" s="181"/>
      <c r="AN704" s="95"/>
      <c r="AO704" s="178"/>
      <c r="AP704" s="181"/>
      <c r="AQ704" s="95">
        <v>9.2200000000000006</v>
      </c>
      <c r="AR704" s="178"/>
      <c r="AS704" s="181">
        <v>9.23</v>
      </c>
      <c r="AT704" s="95"/>
      <c r="AU704" s="178"/>
      <c r="AV704" s="181"/>
      <c r="AW704" s="95"/>
      <c r="AX704" s="178"/>
      <c r="AY704" s="181"/>
      <c r="AZ704" s="95"/>
      <c r="BA704" s="178"/>
      <c r="BB704" s="181"/>
      <c r="BC704" s="95"/>
      <c r="BD704" s="178"/>
      <c r="BE704" s="181"/>
      <c r="BF704" s="95"/>
      <c r="BG704" s="178"/>
      <c r="BH704" s="181"/>
      <c r="BI704" s="185"/>
      <c r="BJ704" s="183"/>
      <c r="BK704" s="186"/>
      <c r="BN704" s="125">
        <f t="shared" si="157"/>
        <v>410.73100000000005</v>
      </c>
      <c r="BO704" s="126">
        <f t="shared" si="158"/>
        <v>0</v>
      </c>
      <c r="BP704" s="127">
        <f t="shared" si="159"/>
        <v>410.74100000000004</v>
      </c>
    </row>
    <row r="705" spans="1:68" ht="14.25" hidden="1" customHeight="1" outlineLevel="3" x14ac:dyDescent="0.25">
      <c r="A705" s="10" t="b">
        <f>AND(PREVIOUS_REGULATION_METHODS="Метод индексации",REGULATION_METHODS="Метод индексации")</f>
        <v>1</v>
      </c>
      <c r="B705" s="5" t="b">
        <f t="array" ref="B705">A705</f>
        <v>1</v>
      </c>
      <c r="C705" s="10" t="s">
        <v>83</v>
      </c>
      <c r="D705" s="10" t="s">
        <v>84</v>
      </c>
      <c r="E705" s="10" t="s">
        <v>73</v>
      </c>
      <c r="F705" s="10" t="s">
        <v>74</v>
      </c>
      <c r="G705" s="10" t="s">
        <v>494</v>
      </c>
      <c r="H705" s="10" t="s">
        <v>73</v>
      </c>
      <c r="I705" s="10" t="s">
        <v>73</v>
      </c>
      <c r="J705" s="10" t="s">
        <v>73</v>
      </c>
      <c r="K705" s="12" t="s">
        <v>73</v>
      </c>
      <c r="L705" s="10" t="s">
        <v>452</v>
      </c>
      <c r="M705" s="5" t="str">
        <f t="array" ref="M705">Y460</f>
        <v>1ВО::1.1</v>
      </c>
      <c r="Y705" s="10">
        <f>COUNT($Y698:Y704)+1</f>
        <v>6</v>
      </c>
      <c r="AB705" s="403" t="str">
        <f>AB672&amp;"."&amp;Y705</f>
        <v>3.1.3.6</v>
      </c>
      <c r="AC705" s="414" t="s">
        <v>494</v>
      </c>
      <c r="AD705" s="32" t="s">
        <v>111</v>
      </c>
      <c r="AE705" s="95"/>
      <c r="AF705" s="178"/>
      <c r="AG705" s="96"/>
      <c r="AH705" s="95"/>
      <c r="AI705" s="178"/>
      <c r="AJ705" s="96"/>
      <c r="AK705" s="95"/>
      <c r="AL705" s="178"/>
      <c r="AM705" s="181"/>
      <c r="AN705" s="95"/>
      <c r="AO705" s="178"/>
      <c r="AP705" s="181"/>
      <c r="AQ705" s="95"/>
      <c r="AR705" s="178"/>
      <c r="AS705" s="181"/>
      <c r="AT705" s="95"/>
      <c r="AU705" s="178"/>
      <c r="AV705" s="181"/>
      <c r="AW705" s="95"/>
      <c r="AX705" s="178"/>
      <c r="AY705" s="181"/>
      <c r="AZ705" s="95"/>
      <c r="BA705" s="178"/>
      <c r="BB705" s="181"/>
      <c r="BC705" s="95"/>
      <c r="BD705" s="178"/>
      <c r="BE705" s="181"/>
      <c r="BF705" s="95"/>
      <c r="BG705" s="178"/>
      <c r="BH705" s="181"/>
      <c r="BI705" s="185"/>
      <c r="BJ705" s="183"/>
      <c r="BK705" s="186"/>
      <c r="BN705" s="125">
        <f t="shared" si="157"/>
        <v>0</v>
      </c>
      <c r="BO705" s="126">
        <f t="shared" si="158"/>
        <v>0</v>
      </c>
      <c r="BP705" s="127">
        <f t="shared" si="159"/>
        <v>0</v>
      </c>
    </row>
    <row r="706" spans="1:68" ht="14.25" hidden="1" customHeight="1" outlineLevel="3" x14ac:dyDescent="0.25">
      <c r="A706" s="10" t="b">
        <f>REGULATION_METHODS="Метод индексации"</f>
        <v>1</v>
      </c>
      <c r="B706" s="5" t="b">
        <f t="array" ref="B706">A706</f>
        <v>1</v>
      </c>
      <c r="C706" s="10" t="s">
        <v>83</v>
      </c>
      <c r="D706" s="10" t="s">
        <v>84</v>
      </c>
      <c r="E706" s="10" t="s">
        <v>73</v>
      </c>
      <c r="F706" s="10" t="s">
        <v>74</v>
      </c>
      <c r="G706" s="10" t="s">
        <v>495</v>
      </c>
      <c r="H706" s="10" t="s">
        <v>73</v>
      </c>
      <c r="I706" s="10" t="s">
        <v>73</v>
      </c>
      <c r="J706" s="10" t="s">
        <v>73</v>
      </c>
      <c r="K706" s="12" t="s">
        <v>73</v>
      </c>
      <c r="L706" s="10" t="s">
        <v>452</v>
      </c>
      <c r="M706" s="5" t="str">
        <f t="array" ref="M706">Y460</f>
        <v>1ВО::1.1</v>
      </c>
      <c r="Y706" s="10">
        <f>COUNT($Y698:Y705)+1</f>
        <v>7</v>
      </c>
      <c r="AB706" s="403" t="str">
        <f>AB672&amp;"."&amp;Y706</f>
        <v>3.1.3.7</v>
      </c>
      <c r="AC706" s="414" t="s">
        <v>495</v>
      </c>
      <c r="AD706" s="32" t="s">
        <v>111</v>
      </c>
      <c r="AE706" s="95"/>
      <c r="AF706" s="178"/>
      <c r="AG706" s="96"/>
      <c r="AH706" s="95"/>
      <c r="AI706" s="178"/>
      <c r="AJ706" s="96"/>
      <c r="AK706" s="95"/>
      <c r="AL706" s="178"/>
      <c r="AM706" s="181"/>
      <c r="AN706" s="95"/>
      <c r="AO706" s="178"/>
      <c r="AP706" s="181"/>
      <c r="AQ706" s="95"/>
      <c r="AR706" s="178"/>
      <c r="AS706" s="181"/>
      <c r="AT706" s="95"/>
      <c r="AU706" s="178"/>
      <c r="AV706" s="181"/>
      <c r="AW706" s="95"/>
      <c r="AX706" s="178"/>
      <c r="AY706" s="181"/>
      <c r="AZ706" s="95"/>
      <c r="BA706" s="178"/>
      <c r="BB706" s="181"/>
      <c r="BC706" s="95"/>
      <c r="BD706" s="178"/>
      <c r="BE706" s="181"/>
      <c r="BF706" s="95"/>
      <c r="BG706" s="178"/>
      <c r="BH706" s="181"/>
      <c r="BI706" s="185"/>
      <c r="BJ706" s="183"/>
      <c r="BK706" s="186"/>
      <c r="BN706" s="125">
        <f t="shared" si="157"/>
        <v>0</v>
      </c>
      <c r="BO706" s="126">
        <f t="shared" si="158"/>
        <v>0</v>
      </c>
      <c r="BP706" s="127">
        <f t="shared" si="159"/>
        <v>0</v>
      </c>
    </row>
    <row r="707" spans="1:68" ht="16.5" hidden="1" customHeight="1" outlineLevel="3" x14ac:dyDescent="0.25">
      <c r="A707" s="5" t="b">
        <f>REGULATION_METHODS&lt;&gt;"МЭОР"</f>
        <v>1</v>
      </c>
      <c r="C707" s="10" t="s">
        <v>83</v>
      </c>
      <c r="D707" s="10" t="s">
        <v>84</v>
      </c>
      <c r="E707" s="10" t="s">
        <v>73</v>
      </c>
      <c r="F707" s="10" t="s">
        <v>74</v>
      </c>
      <c r="G707" s="10" t="s">
        <v>496</v>
      </c>
      <c r="H707" s="10" t="s">
        <v>73</v>
      </c>
      <c r="I707" s="10" t="s">
        <v>73</v>
      </c>
      <c r="J707" s="10" t="s">
        <v>73</v>
      </c>
      <c r="K707" s="12" t="s">
        <v>73</v>
      </c>
      <c r="L707" s="10" t="s">
        <v>452</v>
      </c>
      <c r="M707" s="5" t="str">
        <f t="array" ref="M707">Y460</f>
        <v>1ВО::1.1</v>
      </c>
      <c r="Y707" s="10">
        <f>COUNT($Y698:Y706)+1</f>
        <v>8</v>
      </c>
      <c r="AB707" s="403" t="str">
        <f>AB672&amp;"."&amp;Y707</f>
        <v>3.1.3.8</v>
      </c>
      <c r="AC707" s="414" t="s">
        <v>496</v>
      </c>
      <c r="AD707" s="32" t="s">
        <v>111</v>
      </c>
      <c r="AE707" s="95"/>
      <c r="AF707" s="178"/>
      <c r="AG707" s="96"/>
      <c r="AH707" s="95"/>
      <c r="AI707" s="178"/>
      <c r="AJ707" s="96"/>
      <c r="AK707" s="95"/>
      <c r="AL707" s="178"/>
      <c r="AM707" s="181"/>
      <c r="AN707" s="95"/>
      <c r="AO707" s="178"/>
      <c r="AP707" s="181"/>
      <c r="AQ707" s="95"/>
      <c r="AR707" s="178"/>
      <c r="AS707" s="181"/>
      <c r="AT707" s="95"/>
      <c r="AU707" s="178"/>
      <c r="AV707" s="181"/>
      <c r="AW707" s="95"/>
      <c r="AX707" s="178"/>
      <c r="AY707" s="181"/>
      <c r="AZ707" s="95"/>
      <c r="BA707" s="178"/>
      <c r="BB707" s="181"/>
      <c r="BC707" s="95"/>
      <c r="BD707" s="178"/>
      <c r="BE707" s="181"/>
      <c r="BF707" s="95"/>
      <c r="BG707" s="178"/>
      <c r="BH707" s="181"/>
      <c r="BI707" s="185"/>
      <c r="BJ707" s="183"/>
      <c r="BK707" s="186"/>
      <c r="BN707" s="125">
        <f t="shared" si="157"/>
        <v>0</v>
      </c>
      <c r="BO707" s="126">
        <f t="shared" si="158"/>
        <v>0</v>
      </c>
      <c r="BP707" s="127">
        <f t="shared" si="159"/>
        <v>0</v>
      </c>
    </row>
    <row r="708" spans="1:68" ht="14.25" hidden="1" customHeight="1" outlineLevel="3" x14ac:dyDescent="0.25">
      <c r="A708" s="10" t="b">
        <f>REGULATION_METHODS="Метод индексации"</f>
        <v>1</v>
      </c>
      <c r="B708" s="5" t="b">
        <f t="array" ref="B708">A708</f>
        <v>1</v>
      </c>
      <c r="C708" s="10" t="s">
        <v>83</v>
      </c>
      <c r="D708" s="10" t="s">
        <v>84</v>
      </c>
      <c r="E708" s="10" t="s">
        <v>73</v>
      </c>
      <c r="F708" s="10" t="s">
        <v>74</v>
      </c>
      <c r="G708" s="10" t="s">
        <v>645</v>
      </c>
      <c r="H708" s="10" t="s">
        <v>73</v>
      </c>
      <c r="I708" s="10" t="s">
        <v>73</v>
      </c>
      <c r="J708" s="10" t="s">
        <v>73</v>
      </c>
      <c r="K708" s="12" t="s">
        <v>73</v>
      </c>
      <c r="L708" s="10" t="s">
        <v>452</v>
      </c>
      <c r="M708" s="5" t="str">
        <f t="array" ref="M708">Y460</f>
        <v>1ВО::1.1</v>
      </c>
      <c r="Y708" s="10">
        <f>COUNT($Y698:Y707)+1</f>
        <v>9</v>
      </c>
      <c r="AB708" s="403" t="str">
        <f>AB672&amp;"."&amp;Y708</f>
        <v>3.1.3.9</v>
      </c>
      <c r="AC708" s="414" t="s">
        <v>646</v>
      </c>
      <c r="AD708" s="32" t="s">
        <v>111</v>
      </c>
      <c r="AE708" s="72"/>
      <c r="AF708" s="73"/>
      <c r="AG708" s="74"/>
      <c r="AH708" s="72"/>
      <c r="AI708" s="73"/>
      <c r="AJ708" s="74"/>
      <c r="AK708" s="72"/>
      <c r="AL708" s="73"/>
      <c r="AM708" s="138"/>
      <c r="AN708" s="72"/>
      <c r="AO708" s="73"/>
      <c r="AP708" s="138"/>
      <c r="AQ708" s="72"/>
      <c r="AR708" s="73"/>
      <c r="AS708" s="138"/>
      <c r="AT708" s="72"/>
      <c r="AU708" s="73"/>
      <c r="AV708" s="138"/>
      <c r="AW708" s="72"/>
      <c r="AX708" s="73"/>
      <c r="AY708" s="138"/>
      <c r="AZ708" s="72"/>
      <c r="BA708" s="73"/>
      <c r="BB708" s="138"/>
      <c r="BC708" s="72"/>
      <c r="BD708" s="73"/>
      <c r="BE708" s="138"/>
      <c r="BF708" s="72"/>
      <c r="BG708" s="73"/>
      <c r="BH708" s="138"/>
      <c r="BI708" s="142"/>
      <c r="BJ708" s="140"/>
      <c r="BK708" s="143"/>
      <c r="BN708" s="125">
        <f t="shared" si="157"/>
        <v>0</v>
      </c>
      <c r="BO708" s="126">
        <f t="shared" si="158"/>
        <v>0</v>
      </c>
      <c r="BP708" s="127">
        <f t="shared" si="159"/>
        <v>0</v>
      </c>
    </row>
    <row r="709" spans="1:68" ht="14.25" hidden="1" customHeight="1" outlineLevel="4" x14ac:dyDescent="0.25">
      <c r="A709" s="10" t="b">
        <f t="array" ref="A709">A708</f>
        <v>1</v>
      </c>
      <c r="B709" s="5" t="b">
        <f t="array" ref="B709">A709</f>
        <v>1</v>
      </c>
      <c r="C709" s="10" t="s">
        <v>83</v>
      </c>
      <c r="D709" s="10" t="s">
        <v>84</v>
      </c>
      <c r="E709" s="10" t="s">
        <v>73</v>
      </c>
      <c r="F709" s="10" t="s">
        <v>74</v>
      </c>
      <c r="G709" s="10" t="s">
        <v>647</v>
      </c>
      <c r="H709" s="10" t="s">
        <v>73</v>
      </c>
      <c r="I709" s="10" t="s">
        <v>73</v>
      </c>
      <c r="J709" s="10" t="s">
        <v>73</v>
      </c>
      <c r="K709" s="12" t="s">
        <v>73</v>
      </c>
      <c r="L709" s="10" t="s">
        <v>452</v>
      </c>
      <c r="M709" s="5" t="str">
        <f t="array" ref="M709">Y460</f>
        <v>1ВО::1.1</v>
      </c>
      <c r="AB709" s="403" t="str">
        <f>AB708&amp;".1"</f>
        <v>3.1.3.9.1</v>
      </c>
      <c r="AC709" s="426" t="s">
        <v>648</v>
      </c>
      <c r="AD709" s="32" t="s">
        <v>111</v>
      </c>
      <c r="AE709" s="95"/>
      <c r="AF709" s="178"/>
      <c r="AG709" s="96"/>
      <c r="AH709" s="95"/>
      <c r="AI709" s="178"/>
      <c r="AJ709" s="96"/>
      <c r="AK709" s="95"/>
      <c r="AL709" s="178"/>
      <c r="AM709" s="181"/>
      <c r="AN709" s="95"/>
      <c r="AO709" s="178"/>
      <c r="AP709" s="181"/>
      <c r="AQ709" s="95"/>
      <c r="AR709" s="178"/>
      <c r="AS709" s="181"/>
      <c r="AT709" s="95"/>
      <c r="AU709" s="178"/>
      <c r="AV709" s="181"/>
      <c r="AW709" s="95"/>
      <c r="AX709" s="178"/>
      <c r="AY709" s="181"/>
      <c r="AZ709" s="95"/>
      <c r="BA709" s="178"/>
      <c r="BB709" s="181"/>
      <c r="BC709" s="95"/>
      <c r="BD709" s="178"/>
      <c r="BE709" s="181"/>
      <c r="BF709" s="95"/>
      <c r="BG709" s="178"/>
      <c r="BH709" s="181"/>
      <c r="BI709" s="185"/>
      <c r="BJ709" s="183"/>
      <c r="BK709" s="186"/>
      <c r="BN709" s="125">
        <f t="shared" si="157"/>
        <v>0</v>
      </c>
      <c r="BO709" s="126">
        <f t="shared" si="158"/>
        <v>0</v>
      </c>
      <c r="BP709" s="127">
        <f t="shared" si="159"/>
        <v>0</v>
      </c>
    </row>
    <row r="710" spans="1:68" ht="14.25" hidden="1" customHeight="1" outlineLevel="4" x14ac:dyDescent="0.25">
      <c r="A710" s="10" t="b">
        <f t="array" ref="A710">A708</f>
        <v>1</v>
      </c>
      <c r="B710" s="5" t="b">
        <f t="array" ref="B710">A710</f>
        <v>1</v>
      </c>
      <c r="C710" s="10" t="s">
        <v>83</v>
      </c>
      <c r="D710" s="10" t="s">
        <v>84</v>
      </c>
      <c r="E710" s="10" t="s">
        <v>73</v>
      </c>
      <c r="F710" s="10" t="s">
        <v>74</v>
      </c>
      <c r="G710" s="10" t="s">
        <v>649</v>
      </c>
      <c r="H710" s="10" t="s">
        <v>73</v>
      </c>
      <c r="I710" s="10" t="s">
        <v>73</v>
      </c>
      <c r="J710" s="10" t="s">
        <v>73</v>
      </c>
      <c r="K710" s="12" t="s">
        <v>73</v>
      </c>
      <c r="L710" s="10" t="s">
        <v>452</v>
      </c>
      <c r="M710" s="5" t="str">
        <f t="array" ref="M710">Y460</f>
        <v>1ВО::1.1</v>
      </c>
      <c r="AB710" s="403" t="str">
        <f>AB708&amp;".2"</f>
        <v>3.1.3.9.2</v>
      </c>
      <c r="AC710" s="426" t="s">
        <v>650</v>
      </c>
      <c r="AD710" s="32" t="s">
        <v>111</v>
      </c>
      <c r="AE710" s="95"/>
      <c r="AF710" s="178"/>
      <c r="AG710" s="96"/>
      <c r="AH710" s="95"/>
      <c r="AI710" s="178"/>
      <c r="AJ710" s="96"/>
      <c r="AK710" s="95"/>
      <c r="AL710" s="178"/>
      <c r="AM710" s="181"/>
      <c r="AN710" s="95"/>
      <c r="AO710" s="178"/>
      <c r="AP710" s="181"/>
      <c r="AQ710" s="95"/>
      <c r="AR710" s="178"/>
      <c r="AS710" s="181"/>
      <c r="AT710" s="95"/>
      <c r="AU710" s="178"/>
      <c r="AV710" s="181"/>
      <c r="AW710" s="95"/>
      <c r="AX710" s="178"/>
      <c r="AY710" s="181"/>
      <c r="AZ710" s="95"/>
      <c r="BA710" s="178"/>
      <c r="BB710" s="181"/>
      <c r="BC710" s="95"/>
      <c r="BD710" s="178"/>
      <c r="BE710" s="181"/>
      <c r="BF710" s="95"/>
      <c r="BG710" s="178"/>
      <c r="BH710" s="181"/>
      <c r="BI710" s="185"/>
      <c r="BJ710" s="183"/>
      <c r="BK710" s="186"/>
      <c r="BN710" s="125">
        <f t="shared" si="157"/>
        <v>0</v>
      </c>
      <c r="BO710" s="126">
        <f t="shared" si="158"/>
        <v>0</v>
      </c>
      <c r="BP710" s="127">
        <f t="shared" si="159"/>
        <v>0</v>
      </c>
    </row>
    <row r="711" spans="1:68" ht="50.25" hidden="1" customHeight="1" outlineLevel="3" x14ac:dyDescent="0.25">
      <c r="A711" s="10" t="b">
        <f>REGULATION_METHODS="Метод индексации"</f>
        <v>1</v>
      </c>
      <c r="B711" s="5" t="b">
        <f t="array" ref="B711">A711</f>
        <v>1</v>
      </c>
      <c r="C711" s="10" t="s">
        <v>83</v>
      </c>
      <c r="D711" s="10" t="s">
        <v>84</v>
      </c>
      <c r="E711" s="10" t="s">
        <v>73</v>
      </c>
      <c r="F711" s="10" t="s">
        <v>74</v>
      </c>
      <c r="G711" s="10" t="s">
        <v>651</v>
      </c>
      <c r="H711" s="10" t="s">
        <v>73</v>
      </c>
      <c r="I711" s="10" t="s">
        <v>73</v>
      </c>
      <c r="J711" s="10" t="s">
        <v>73</v>
      </c>
      <c r="K711" s="12" t="s">
        <v>73</v>
      </c>
      <c r="L711" s="10" t="s">
        <v>452</v>
      </c>
      <c r="M711" s="5" t="str">
        <f t="array" ref="M711">Y460</f>
        <v>1ВО::1.1</v>
      </c>
      <c r="Y711" s="10">
        <f>COUNT($Y698:Y710)+1</f>
        <v>10</v>
      </c>
      <c r="AB711" s="403" t="str">
        <f>AB672&amp;"."&amp;Y711</f>
        <v>3.1.3.10</v>
      </c>
      <c r="AC711" s="414" t="s">
        <v>651</v>
      </c>
      <c r="AD711" s="32" t="s">
        <v>111</v>
      </c>
      <c r="AE711" s="95"/>
      <c r="AF711" s="178"/>
      <c r="AG711" s="96"/>
      <c r="AH711" s="95"/>
      <c r="AI711" s="178"/>
      <c r="AJ711" s="96"/>
      <c r="AK711" s="95"/>
      <c r="AL711" s="178"/>
      <c r="AM711" s="181"/>
      <c r="AN711" s="95"/>
      <c r="AO711" s="178"/>
      <c r="AP711" s="181"/>
      <c r="AQ711" s="95"/>
      <c r="AR711" s="178"/>
      <c r="AS711" s="181"/>
      <c r="AT711" s="95"/>
      <c r="AU711" s="178"/>
      <c r="AV711" s="181"/>
      <c r="AW711" s="95"/>
      <c r="AX711" s="178"/>
      <c r="AY711" s="181"/>
      <c r="AZ711" s="95"/>
      <c r="BA711" s="178"/>
      <c r="BB711" s="181"/>
      <c r="BC711" s="95"/>
      <c r="BD711" s="178"/>
      <c r="BE711" s="181"/>
      <c r="BF711" s="95"/>
      <c r="BG711" s="178"/>
      <c r="BH711" s="181"/>
      <c r="BI711" s="185"/>
      <c r="BJ711" s="183"/>
      <c r="BK711" s="186"/>
      <c r="BN711" s="125">
        <f t="shared" si="157"/>
        <v>0</v>
      </c>
      <c r="BO711" s="126">
        <f t="shared" si="158"/>
        <v>0</v>
      </c>
      <c r="BP711" s="127">
        <f t="shared" si="159"/>
        <v>0</v>
      </c>
    </row>
    <row r="712" spans="1:68" ht="14.25" hidden="1" customHeight="1" outlineLevel="3" x14ac:dyDescent="0.25">
      <c r="A712" s="10" t="b">
        <f>$AD$50="да"</f>
        <v>1</v>
      </c>
      <c r="B712" s="5" t="b">
        <f t="array" ref="B712">A712</f>
        <v>1</v>
      </c>
      <c r="C712" s="10" t="s">
        <v>83</v>
      </c>
      <c r="D712" s="10" t="s">
        <v>84</v>
      </c>
      <c r="E712" s="10" t="s">
        <v>73</v>
      </c>
      <c r="F712" s="10" t="s">
        <v>74</v>
      </c>
      <c r="G712" s="10" t="s">
        <v>652</v>
      </c>
      <c r="H712" s="10" t="s">
        <v>73</v>
      </c>
      <c r="I712" s="10" t="s">
        <v>73</v>
      </c>
      <c r="J712" s="10" t="s">
        <v>73</v>
      </c>
      <c r="K712" s="12" t="s">
        <v>73</v>
      </c>
      <c r="L712" s="10" t="s">
        <v>452</v>
      </c>
      <c r="M712" s="5" t="str">
        <f t="array" ref="M712">Y460</f>
        <v>1ВО::1.1</v>
      </c>
      <c r="Y712" s="10">
        <f>COUNT($Y698:Y711)+1</f>
        <v>11</v>
      </c>
      <c r="AB712" s="403" t="str">
        <f>AB672&amp;"."&amp;Y712</f>
        <v>3.1.3.11</v>
      </c>
      <c r="AC712" s="414" t="s">
        <v>653</v>
      </c>
      <c r="AD712" s="32" t="s">
        <v>111</v>
      </c>
      <c r="AE712" s="72"/>
      <c r="AF712" s="178"/>
      <c r="AG712" s="74"/>
      <c r="AH712" s="72"/>
      <c r="AI712" s="178"/>
      <c r="AJ712" s="74"/>
      <c r="AK712" s="72"/>
      <c r="AL712" s="178"/>
      <c r="AM712" s="138"/>
      <c r="AN712" s="72"/>
      <c r="AO712" s="178"/>
      <c r="AP712" s="138"/>
      <c r="AQ712" s="72"/>
      <c r="AR712" s="178"/>
      <c r="AS712" s="138"/>
      <c r="AT712" s="72"/>
      <c r="AU712" s="178"/>
      <c r="AV712" s="138"/>
      <c r="AW712" s="72"/>
      <c r="AX712" s="178"/>
      <c r="AY712" s="138"/>
      <c r="AZ712" s="72"/>
      <c r="BA712" s="178"/>
      <c r="BB712" s="138"/>
      <c r="BC712" s="72"/>
      <c r="BD712" s="178"/>
      <c r="BE712" s="138"/>
      <c r="BF712" s="72"/>
      <c r="BG712" s="178"/>
      <c r="BH712" s="138"/>
      <c r="BI712" s="142"/>
      <c r="BJ712" s="183"/>
      <c r="BK712" s="143"/>
      <c r="BN712" s="125">
        <f t="shared" si="157"/>
        <v>0</v>
      </c>
      <c r="BO712" s="126">
        <f t="shared" si="158"/>
        <v>0</v>
      </c>
      <c r="BP712" s="127">
        <f t="shared" si="159"/>
        <v>0</v>
      </c>
    </row>
    <row r="713" spans="1:68" ht="14.25" hidden="1" customHeight="1" outlineLevel="3" x14ac:dyDescent="0.25">
      <c r="A713" s="10" t="b">
        <f>$AD$49="да"</f>
        <v>1</v>
      </c>
      <c r="B713" s="5" t="b">
        <f t="array" ref="B713">A713</f>
        <v>1</v>
      </c>
      <c r="C713" s="10" t="s">
        <v>83</v>
      </c>
      <c r="D713" s="10" t="s">
        <v>84</v>
      </c>
      <c r="E713" s="10" t="s">
        <v>73</v>
      </c>
      <c r="F713" s="10" t="s">
        <v>74</v>
      </c>
      <c r="G713" s="10" t="s">
        <v>654</v>
      </c>
      <c r="H713" s="10" t="s">
        <v>73</v>
      </c>
      <c r="I713" s="10" t="s">
        <v>73</v>
      </c>
      <c r="J713" s="10" t="s">
        <v>73</v>
      </c>
      <c r="K713" s="12" t="s">
        <v>73</v>
      </c>
      <c r="L713" s="10" t="s">
        <v>452</v>
      </c>
      <c r="M713" s="5" t="str">
        <f t="array" ref="M713">Y460</f>
        <v>1ВО::1.1</v>
      </c>
      <c r="Y713" s="10">
        <f>COUNT($Y698:Y712)+1</f>
        <v>12</v>
      </c>
      <c r="AB713" s="403" t="str">
        <f>AB672&amp;"."&amp;Y713</f>
        <v>3.1.3.12</v>
      </c>
      <c r="AC713" s="414" t="s">
        <v>655</v>
      </c>
      <c r="AD713" s="32" t="s">
        <v>111</v>
      </c>
      <c r="AE713" s="72"/>
      <c r="AF713" s="178"/>
      <c r="AG713" s="74"/>
      <c r="AH713" s="72"/>
      <c r="AI713" s="178"/>
      <c r="AJ713" s="74"/>
      <c r="AK713" s="72"/>
      <c r="AL713" s="178"/>
      <c r="AM713" s="138"/>
      <c r="AN713" s="72"/>
      <c r="AO713" s="178"/>
      <c r="AP713" s="138"/>
      <c r="AQ713" s="72"/>
      <c r="AR713" s="178"/>
      <c r="AS713" s="138"/>
      <c r="AT713" s="72"/>
      <c r="AU713" s="178"/>
      <c r="AV713" s="138"/>
      <c r="AW713" s="72"/>
      <c r="AX713" s="178"/>
      <c r="AY713" s="138"/>
      <c r="AZ713" s="72"/>
      <c r="BA713" s="178"/>
      <c r="BB713" s="138"/>
      <c r="BC713" s="72"/>
      <c r="BD713" s="178"/>
      <c r="BE713" s="138"/>
      <c r="BF713" s="72"/>
      <c r="BG713" s="178"/>
      <c r="BH713" s="138"/>
      <c r="BI713" s="142"/>
      <c r="BJ713" s="183"/>
      <c r="BK713" s="143"/>
      <c r="BN713" s="125">
        <f t="shared" si="157"/>
        <v>0</v>
      </c>
      <c r="BO713" s="126">
        <f t="shared" si="158"/>
        <v>0</v>
      </c>
      <c r="BP713" s="127">
        <f t="shared" si="159"/>
        <v>0</v>
      </c>
    </row>
    <row r="714" spans="1:68" ht="14.25" hidden="1" customHeight="1" outlineLevel="3" x14ac:dyDescent="0.25">
      <c r="A714" s="10" t="b">
        <f>$AD$48="да"</f>
        <v>1</v>
      </c>
      <c r="B714" s="5" t="b">
        <f t="array" ref="B714">A714</f>
        <v>1</v>
      </c>
      <c r="C714" s="10" t="s">
        <v>83</v>
      </c>
      <c r="D714" s="10" t="s">
        <v>84</v>
      </c>
      <c r="E714" s="10" t="s">
        <v>73</v>
      </c>
      <c r="F714" s="10" t="s">
        <v>74</v>
      </c>
      <c r="G714" s="10" t="s">
        <v>656</v>
      </c>
      <c r="H714" s="10" t="s">
        <v>73</v>
      </c>
      <c r="I714" s="10" t="s">
        <v>73</v>
      </c>
      <c r="J714" s="10" t="s">
        <v>73</v>
      </c>
      <c r="K714" s="12" t="s">
        <v>73</v>
      </c>
      <c r="L714" s="10" t="s">
        <v>452</v>
      </c>
      <c r="M714" s="5" t="str">
        <f t="array" ref="M714">Y460</f>
        <v>1ВО::1.1</v>
      </c>
      <c r="Y714" s="10">
        <f>COUNT($Y698:Y713)+1</f>
        <v>13</v>
      </c>
      <c r="AB714" s="403" t="str">
        <f>AB672&amp;"."&amp;Y714</f>
        <v>3.1.3.13</v>
      </c>
      <c r="AC714" s="414" t="s">
        <v>657</v>
      </c>
      <c r="AD714" s="32" t="s">
        <v>111</v>
      </c>
      <c r="AE714" s="72"/>
      <c r="AF714" s="178"/>
      <c r="AG714" s="74"/>
      <c r="AH714" s="72"/>
      <c r="AI714" s="178"/>
      <c r="AJ714" s="74"/>
      <c r="AK714" s="72"/>
      <c r="AL714" s="178"/>
      <c r="AM714" s="138"/>
      <c r="AN714" s="72"/>
      <c r="AO714" s="178"/>
      <c r="AP714" s="138"/>
      <c r="AQ714" s="72"/>
      <c r="AR714" s="178"/>
      <c r="AS714" s="138"/>
      <c r="AT714" s="72"/>
      <c r="AU714" s="178"/>
      <c r="AV714" s="138"/>
      <c r="AW714" s="72"/>
      <c r="AX714" s="178"/>
      <c r="AY714" s="138"/>
      <c r="AZ714" s="72"/>
      <c r="BA714" s="178"/>
      <c r="BB714" s="138"/>
      <c r="BC714" s="72"/>
      <c r="BD714" s="178"/>
      <c r="BE714" s="138"/>
      <c r="BF714" s="72"/>
      <c r="BG714" s="178"/>
      <c r="BH714" s="138"/>
      <c r="BI714" s="142"/>
      <c r="BJ714" s="183"/>
      <c r="BK714" s="143"/>
      <c r="BN714" s="125">
        <f t="shared" si="157"/>
        <v>0</v>
      </c>
      <c r="BO714" s="126">
        <f t="shared" si="158"/>
        <v>0</v>
      </c>
      <c r="BP714" s="127">
        <f t="shared" si="159"/>
        <v>0</v>
      </c>
    </row>
    <row r="715" spans="1:68" ht="14.25" hidden="1" customHeight="1" outlineLevel="3" x14ac:dyDescent="0.25">
      <c r="C715" s="10" t="s">
        <v>83</v>
      </c>
      <c r="D715" s="10" t="s">
        <v>84</v>
      </c>
      <c r="E715" s="10" t="s">
        <v>73</v>
      </c>
      <c r="F715" s="10" t="s">
        <v>74</v>
      </c>
      <c r="G715" s="10" t="s">
        <v>658</v>
      </c>
      <c r="H715" s="10" t="s">
        <v>73</v>
      </c>
      <c r="I715" s="10" t="s">
        <v>73</v>
      </c>
      <c r="J715" s="10" t="s">
        <v>73</v>
      </c>
      <c r="K715" s="12" t="s">
        <v>73</v>
      </c>
      <c r="L715" s="10" t="s">
        <v>452</v>
      </c>
      <c r="M715" s="5" t="str">
        <f t="array" ref="M715">Y460</f>
        <v>1ВО::1.1</v>
      </c>
      <c r="Y715" s="10">
        <f>COUNT($Y698:Y714)+1</f>
        <v>14</v>
      </c>
      <c r="AB715" s="403" t="str">
        <f>AB672&amp;"."&amp;Y715</f>
        <v>3.1.3.14</v>
      </c>
      <c r="AC715" s="414" t="s">
        <v>658</v>
      </c>
      <c r="AD715" s="32" t="s">
        <v>111</v>
      </c>
      <c r="AE715" s="72"/>
      <c r="AF715" s="178"/>
      <c r="AG715" s="74"/>
      <c r="AH715" s="72"/>
      <c r="AI715" s="178"/>
      <c r="AJ715" s="74"/>
      <c r="AK715" s="72"/>
      <c r="AL715" s="178"/>
      <c r="AM715" s="138"/>
      <c r="AN715" s="72"/>
      <c r="AO715" s="178"/>
      <c r="AP715" s="138"/>
      <c r="AQ715" s="72"/>
      <c r="AR715" s="178"/>
      <c r="AS715" s="138"/>
      <c r="AT715" s="72"/>
      <c r="AU715" s="178"/>
      <c r="AV715" s="138"/>
      <c r="AW715" s="72"/>
      <c r="AX715" s="178"/>
      <c r="AY715" s="138"/>
      <c r="AZ715" s="72"/>
      <c r="BA715" s="178"/>
      <c r="BB715" s="138"/>
      <c r="BC715" s="72"/>
      <c r="BD715" s="178"/>
      <c r="BE715" s="138"/>
      <c r="BF715" s="72"/>
      <c r="BG715" s="178"/>
      <c r="BH715" s="138"/>
      <c r="BI715" s="142"/>
      <c r="BJ715" s="183"/>
      <c r="BK715" s="143"/>
      <c r="BN715" s="125">
        <f t="shared" si="157"/>
        <v>0</v>
      </c>
      <c r="BO715" s="126">
        <f t="shared" si="158"/>
        <v>0</v>
      </c>
      <c r="BP715" s="127">
        <f t="shared" si="159"/>
        <v>0</v>
      </c>
    </row>
    <row r="716" spans="1:68" s="171" customFormat="1" ht="20.25" customHeight="1" outlineLevel="1" collapsed="1" x14ac:dyDescent="0.25">
      <c r="A716" s="166"/>
      <c r="B716" s="166"/>
      <c r="C716" s="167" t="s">
        <v>83</v>
      </c>
      <c r="D716" s="167" t="s">
        <v>84</v>
      </c>
      <c r="E716" s="167" t="s">
        <v>73</v>
      </c>
      <c r="F716" s="167" t="s">
        <v>74</v>
      </c>
      <c r="G716" s="167" t="s">
        <v>497</v>
      </c>
      <c r="H716" s="167" t="s">
        <v>73</v>
      </c>
      <c r="I716" s="167" t="s">
        <v>73</v>
      </c>
      <c r="J716" s="167" t="s">
        <v>73</v>
      </c>
      <c r="K716" s="168" t="s">
        <v>73</v>
      </c>
      <c r="L716" s="167" t="s">
        <v>133</v>
      </c>
      <c r="M716" s="166" t="str">
        <f t="array" ref="M716">Y460</f>
        <v>1ВО::1.1</v>
      </c>
      <c r="N716" s="166"/>
      <c r="O716" s="166"/>
      <c r="P716" s="166"/>
      <c r="Q716" s="166"/>
      <c r="R716" s="166"/>
      <c r="S716" s="166"/>
      <c r="T716" s="166"/>
      <c r="U716" s="166"/>
      <c r="V716" s="166"/>
      <c r="W716" s="166"/>
      <c r="X716" s="166"/>
      <c r="Y716" s="166"/>
      <c r="Z716" s="166"/>
      <c r="AA716" s="166"/>
      <c r="AB716" s="429" t="str">
        <f>AB509&amp;".2"</f>
        <v>3.2</v>
      </c>
      <c r="AC716" s="502" t="s">
        <v>497</v>
      </c>
      <c r="AD716" s="431" t="s">
        <v>111</v>
      </c>
      <c r="AE716" s="476">
        <f>AE717+AE719+AE720+AE721+AE722</f>
        <v>239952.02</v>
      </c>
      <c r="AF716" s="489">
        <v>12519.58</v>
      </c>
      <c r="AG716" s="490">
        <f>AG717+AG719+AG720+AG721+AG722</f>
        <v>216997.6</v>
      </c>
      <c r="AH716" s="476">
        <f>AH717+AH719+AH720+AH721+AH722</f>
        <v>21059.46</v>
      </c>
      <c r="AI716" s="433">
        <f>AI717+AI719+AI720+AI721+AI722</f>
        <v>0</v>
      </c>
      <c r="AJ716" s="490">
        <f>AJ717+AJ719+AJ720+AJ721+AJ722</f>
        <v>11149.73</v>
      </c>
      <c r="AK716" s="476"/>
      <c r="AL716" s="489"/>
      <c r="AM716" s="477"/>
      <c r="AN716" s="476">
        <f t="shared" ref="AN716:AV716" si="161">AN717+AN719+AN720+AN721+AN722</f>
        <v>350</v>
      </c>
      <c r="AO716" s="433">
        <f t="shared" si="161"/>
        <v>0</v>
      </c>
      <c r="AP716" s="477">
        <f t="shared" si="161"/>
        <v>384.34</v>
      </c>
      <c r="AQ716" s="476">
        <f t="shared" si="161"/>
        <v>206.21</v>
      </c>
      <c r="AR716" s="433">
        <f t="shared" si="161"/>
        <v>1.48</v>
      </c>
      <c r="AS716" s="477">
        <f t="shared" si="161"/>
        <v>216.51</v>
      </c>
      <c r="AT716" s="476">
        <f t="shared" si="161"/>
        <v>54.23</v>
      </c>
      <c r="AU716" s="433">
        <f t="shared" si="161"/>
        <v>0</v>
      </c>
      <c r="AV716" s="477">
        <f t="shared" si="161"/>
        <v>35.229999999999997</v>
      </c>
      <c r="AW716" s="476">
        <v>168.9</v>
      </c>
      <c r="AX716" s="433">
        <f>AX717+AX719+AX720+AX721+AX722</f>
        <v>0</v>
      </c>
      <c r="AY716" s="477">
        <v>145.83000000000001</v>
      </c>
      <c r="AZ716" s="476">
        <v>16485.84</v>
      </c>
      <c r="BA716" s="433">
        <f>BA717+BA719+BA720+BA721+BA722</f>
        <v>0</v>
      </c>
      <c r="BB716" s="477">
        <v>15090.433999999999</v>
      </c>
      <c r="BC716" s="476">
        <f t="shared" ref="BC716:BK716" si="162">BC717+BC719+BC720+BC721+BC722</f>
        <v>46897.56</v>
      </c>
      <c r="BD716" s="433">
        <f t="shared" si="162"/>
        <v>0</v>
      </c>
      <c r="BE716" s="477">
        <f t="shared" si="162"/>
        <v>49625.97</v>
      </c>
      <c r="BF716" s="476">
        <f t="shared" si="162"/>
        <v>0</v>
      </c>
      <c r="BG716" s="433">
        <f t="shared" si="162"/>
        <v>0</v>
      </c>
      <c r="BH716" s="477">
        <f t="shared" si="162"/>
        <v>0</v>
      </c>
      <c r="BI716" s="476">
        <f t="shared" si="162"/>
        <v>15733.37</v>
      </c>
      <c r="BJ716" s="433">
        <f t="shared" si="162"/>
        <v>0</v>
      </c>
      <c r="BK716" s="490">
        <f t="shared" si="162"/>
        <v>15733.37</v>
      </c>
      <c r="BL716" s="170"/>
      <c r="BM716" s="166"/>
      <c r="BN716" s="436">
        <f t="shared" si="157"/>
        <v>340907.58999999997</v>
      </c>
      <c r="BO716" s="437">
        <f t="shared" si="158"/>
        <v>12521.06</v>
      </c>
      <c r="BP716" s="438">
        <f t="shared" si="159"/>
        <v>309379.01400000002</v>
      </c>
    </row>
    <row r="717" spans="1:68" ht="14.25" hidden="1" customHeight="1" outlineLevel="2" x14ac:dyDescent="0.25">
      <c r="C717" s="10" t="s">
        <v>83</v>
      </c>
      <c r="D717" s="10" t="s">
        <v>84</v>
      </c>
      <c r="E717" s="10" t="s">
        <v>73</v>
      </c>
      <c r="F717" s="10" t="s">
        <v>74</v>
      </c>
      <c r="G717" s="10" t="s">
        <v>659</v>
      </c>
      <c r="H717" s="10" t="s">
        <v>73</v>
      </c>
      <c r="I717" s="10" t="s">
        <v>73</v>
      </c>
      <c r="J717" s="10" t="s">
        <v>73</v>
      </c>
      <c r="K717" s="12" t="s">
        <v>73</v>
      </c>
      <c r="L717" s="10" t="s">
        <v>407</v>
      </c>
      <c r="M717" s="5" t="str">
        <f t="array" ref="M717">Y460</f>
        <v>1ВО::1.1</v>
      </c>
      <c r="Y717" s="10">
        <v>1</v>
      </c>
      <c r="AB717" s="503" t="str">
        <f>AB$351&amp;"."&amp;Y717</f>
        <v>3.1.3.1.11.1</v>
      </c>
      <c r="AC717" s="504" t="s">
        <v>191</v>
      </c>
      <c r="AD717" s="505" t="s">
        <v>111</v>
      </c>
      <c r="AE717" s="506">
        <v>239952.02</v>
      </c>
      <c r="AF717" s="507">
        <f>AF716-AF719-AF720-AF721-AF722</f>
        <v>12519.58</v>
      </c>
      <c r="AG717" s="508">
        <v>216997.6</v>
      </c>
      <c r="AH717" s="506">
        <v>21059.46</v>
      </c>
      <c r="AI717" s="507"/>
      <c r="AJ717" s="508">
        <v>11149.73</v>
      </c>
      <c r="AK717" s="506"/>
      <c r="AL717" s="507"/>
      <c r="AM717" s="509"/>
      <c r="AN717" s="506">
        <v>350</v>
      </c>
      <c r="AO717" s="507"/>
      <c r="AP717" s="509">
        <v>384.34</v>
      </c>
      <c r="AQ717" s="506">
        <v>206.21</v>
      </c>
      <c r="AR717" s="507">
        <v>1.48</v>
      </c>
      <c r="AS717" s="509">
        <v>216.51</v>
      </c>
      <c r="AT717" s="506">
        <v>54.23</v>
      </c>
      <c r="AU717" s="507"/>
      <c r="AV717" s="509">
        <v>35.229999999999997</v>
      </c>
      <c r="AW717" s="506">
        <v>168.9</v>
      </c>
      <c r="AX717" s="507">
        <f>AX718+AX720+AX721+AX722+AX723</f>
        <v>0</v>
      </c>
      <c r="AY717" s="509">
        <v>145.83000000000001</v>
      </c>
      <c r="AZ717" s="506">
        <v>16485.84</v>
      </c>
      <c r="BA717" s="507">
        <f>BA718+BA720+BA721+BA722+BA723</f>
        <v>0</v>
      </c>
      <c r="BB717" s="509">
        <v>15090.433999999999</v>
      </c>
      <c r="BC717" s="506">
        <v>46897.56</v>
      </c>
      <c r="BD717" s="507"/>
      <c r="BE717" s="509">
        <v>49625.97</v>
      </c>
      <c r="BF717" s="506"/>
      <c r="BG717" s="507"/>
      <c r="BH717" s="509"/>
      <c r="BI717" s="510">
        <v>15733.37</v>
      </c>
      <c r="BJ717" s="511">
        <f>BJ718+BJ720+BJ721+BJ722+BJ723</f>
        <v>0</v>
      </c>
      <c r="BK717" s="512">
        <v>15733.37</v>
      </c>
      <c r="BN717" s="513">
        <f t="shared" si="157"/>
        <v>340907.58999999997</v>
      </c>
      <c r="BO717" s="514">
        <f t="shared" si="158"/>
        <v>12521.06</v>
      </c>
      <c r="BP717" s="515">
        <f t="shared" si="159"/>
        <v>309379.01400000002</v>
      </c>
    </row>
    <row r="718" spans="1:68" ht="14.25" hidden="1" customHeight="1" outlineLevel="2" x14ac:dyDescent="0.25">
      <c r="C718" s="77" t="s">
        <v>83</v>
      </c>
      <c r="D718" s="77" t="s">
        <v>84</v>
      </c>
      <c r="E718" s="77" t="s">
        <v>73</v>
      </c>
      <c r="F718" s="77" t="s">
        <v>74</v>
      </c>
      <c r="G718" s="77" t="s">
        <v>660</v>
      </c>
      <c r="H718" s="77" t="s">
        <v>73</v>
      </c>
      <c r="I718" s="77" t="s">
        <v>73</v>
      </c>
      <c r="J718" s="77" t="s">
        <v>73</v>
      </c>
      <c r="K718" s="516" t="s">
        <v>73</v>
      </c>
      <c r="AB718" s="503" t="str">
        <f>AB$352&amp;".1"</f>
        <v>.1</v>
      </c>
      <c r="AC718" s="517" t="s">
        <v>661</v>
      </c>
      <c r="AD718" s="505" t="s">
        <v>111</v>
      </c>
      <c r="AE718" s="518"/>
      <c r="AF718" s="519"/>
      <c r="AG718" s="520"/>
      <c r="AH718" s="518"/>
      <c r="AI718" s="519"/>
      <c r="AJ718" s="520"/>
      <c r="AK718" s="518"/>
      <c r="AL718" s="519"/>
      <c r="AM718" s="521"/>
      <c r="AN718" s="518"/>
      <c r="AO718" s="519"/>
      <c r="AP718" s="521"/>
      <c r="AQ718" s="518"/>
      <c r="AR718" s="519"/>
      <c r="AS718" s="521"/>
      <c r="AT718" s="518"/>
      <c r="AU718" s="519"/>
      <c r="AV718" s="521"/>
      <c r="AW718" s="518"/>
      <c r="AX718" s="519"/>
      <c r="AY718" s="521"/>
      <c r="AZ718" s="518"/>
      <c r="BA718" s="519"/>
      <c r="BB718" s="521"/>
      <c r="BC718" s="518"/>
      <c r="BD718" s="519"/>
      <c r="BE718" s="521"/>
      <c r="BF718" s="518"/>
      <c r="BG718" s="519"/>
      <c r="BH718" s="521"/>
      <c r="BI718" s="518"/>
      <c r="BJ718" s="519"/>
      <c r="BK718" s="520"/>
      <c r="BN718" s="513">
        <f t="shared" si="157"/>
        <v>0</v>
      </c>
      <c r="BO718" s="514">
        <f t="shared" si="158"/>
        <v>0</v>
      </c>
      <c r="BP718" s="515">
        <f t="shared" si="159"/>
        <v>0</v>
      </c>
    </row>
    <row r="719" spans="1:68" ht="14.25" hidden="1" customHeight="1" outlineLevel="2" x14ac:dyDescent="0.25">
      <c r="A719" s="10" t="b">
        <f>$AD$50="да"</f>
        <v>1</v>
      </c>
      <c r="B719" s="5" t="b">
        <f t="array" ref="B719">A719</f>
        <v>1</v>
      </c>
      <c r="C719" s="10" t="s">
        <v>83</v>
      </c>
      <c r="D719" s="10" t="s">
        <v>84</v>
      </c>
      <c r="E719" s="10" t="s">
        <v>73</v>
      </c>
      <c r="F719" s="10" t="s">
        <v>74</v>
      </c>
      <c r="G719" s="10" t="s">
        <v>662</v>
      </c>
      <c r="H719" s="10" t="s">
        <v>73</v>
      </c>
      <c r="I719" s="10" t="s">
        <v>73</v>
      </c>
      <c r="J719" s="10" t="s">
        <v>73</v>
      </c>
      <c r="K719" s="12" t="s">
        <v>73</v>
      </c>
      <c r="L719" s="10" t="s">
        <v>447</v>
      </c>
      <c r="M719" s="5" t="str">
        <f t="array" ref="M719">Y460</f>
        <v>1ВО::1.1</v>
      </c>
      <c r="Y719" s="10">
        <f>COUNT($Y717:Y717)+1</f>
        <v>2</v>
      </c>
      <c r="AB719" s="503" t="str">
        <f>AB$351&amp;"."&amp;Y719</f>
        <v>3.1.3.1.11.2</v>
      </c>
      <c r="AC719" s="504" t="s">
        <v>653</v>
      </c>
      <c r="AD719" s="505" t="s">
        <v>111</v>
      </c>
      <c r="AE719" s="506"/>
      <c r="AF719" s="519"/>
      <c r="AG719" s="508"/>
      <c r="AH719" s="506"/>
      <c r="AI719" s="519"/>
      <c r="AJ719" s="508"/>
      <c r="AK719" s="506"/>
      <c r="AL719" s="519"/>
      <c r="AM719" s="509"/>
      <c r="AN719" s="506"/>
      <c r="AO719" s="519"/>
      <c r="AP719" s="509"/>
      <c r="AQ719" s="506"/>
      <c r="AR719" s="519"/>
      <c r="AS719" s="509"/>
      <c r="AT719" s="506"/>
      <c r="AU719" s="519"/>
      <c r="AV719" s="509"/>
      <c r="AW719" s="506"/>
      <c r="AX719" s="519"/>
      <c r="AY719" s="509"/>
      <c r="AZ719" s="506"/>
      <c r="BA719" s="519"/>
      <c r="BB719" s="509"/>
      <c r="BC719" s="506"/>
      <c r="BD719" s="519"/>
      <c r="BE719" s="509"/>
      <c r="BF719" s="506"/>
      <c r="BG719" s="519"/>
      <c r="BH719" s="509"/>
      <c r="BI719" s="506"/>
      <c r="BJ719" s="519"/>
      <c r="BK719" s="508"/>
      <c r="BN719" s="513">
        <f t="shared" si="157"/>
        <v>0</v>
      </c>
      <c r="BO719" s="514">
        <f t="shared" si="158"/>
        <v>0</v>
      </c>
      <c r="BP719" s="515">
        <f t="shared" si="159"/>
        <v>0</v>
      </c>
    </row>
    <row r="720" spans="1:68" ht="14.25" hidden="1" customHeight="1" outlineLevel="2" x14ac:dyDescent="0.25">
      <c r="A720" s="10" t="b">
        <f>$AD$49="да"</f>
        <v>1</v>
      </c>
      <c r="B720" s="5" t="b">
        <f t="array" ref="B720">A720</f>
        <v>1</v>
      </c>
      <c r="C720" s="10" t="s">
        <v>83</v>
      </c>
      <c r="D720" s="10" t="s">
        <v>84</v>
      </c>
      <c r="E720" s="10" t="s">
        <v>73</v>
      </c>
      <c r="F720" s="10" t="s">
        <v>74</v>
      </c>
      <c r="G720" s="10" t="s">
        <v>663</v>
      </c>
      <c r="H720" s="10" t="s">
        <v>73</v>
      </c>
      <c r="I720" s="10" t="s">
        <v>73</v>
      </c>
      <c r="J720" s="10" t="s">
        <v>73</v>
      </c>
      <c r="K720" s="12" t="s">
        <v>73</v>
      </c>
      <c r="L720" s="10" t="s">
        <v>224</v>
      </c>
      <c r="M720" s="5" t="str">
        <f t="array" ref="M720">Y460</f>
        <v>1ВО::1.1</v>
      </c>
      <c r="Y720" s="10">
        <f>COUNT($Y717:Y719)+1</f>
        <v>3</v>
      </c>
      <c r="AB720" s="503" t="str">
        <f>AB$351&amp;"."&amp;Y720</f>
        <v>3.1.3.1.11.3</v>
      </c>
      <c r="AC720" s="504" t="s">
        <v>664</v>
      </c>
      <c r="AD720" s="505" t="s">
        <v>111</v>
      </c>
      <c r="AE720" s="506"/>
      <c r="AF720" s="519"/>
      <c r="AG720" s="508"/>
      <c r="AH720" s="506"/>
      <c r="AI720" s="519"/>
      <c r="AJ720" s="508"/>
      <c r="AK720" s="506"/>
      <c r="AL720" s="519"/>
      <c r="AM720" s="509"/>
      <c r="AN720" s="506"/>
      <c r="AO720" s="519"/>
      <c r="AP720" s="509"/>
      <c r="AQ720" s="506"/>
      <c r="AR720" s="519"/>
      <c r="AS720" s="509"/>
      <c r="AT720" s="506"/>
      <c r="AU720" s="519"/>
      <c r="AV720" s="509"/>
      <c r="AW720" s="506"/>
      <c r="AX720" s="519"/>
      <c r="AY720" s="509"/>
      <c r="AZ720" s="506"/>
      <c r="BA720" s="519"/>
      <c r="BB720" s="509"/>
      <c r="BC720" s="506"/>
      <c r="BD720" s="519"/>
      <c r="BE720" s="509"/>
      <c r="BF720" s="506"/>
      <c r="BG720" s="519"/>
      <c r="BH720" s="509"/>
      <c r="BI720" s="506"/>
      <c r="BJ720" s="519"/>
      <c r="BK720" s="508"/>
      <c r="BN720" s="513">
        <f t="shared" si="157"/>
        <v>0</v>
      </c>
      <c r="BO720" s="514">
        <f t="shared" si="158"/>
        <v>0</v>
      </c>
      <c r="BP720" s="515">
        <f t="shared" si="159"/>
        <v>0</v>
      </c>
    </row>
    <row r="721" spans="1:68" ht="14.25" hidden="1" customHeight="1" outlineLevel="2" x14ac:dyDescent="0.25">
      <c r="A721" s="10" t="b">
        <f>$AD$48="да"</f>
        <v>1</v>
      </c>
      <c r="B721" s="5" t="b">
        <f t="array" ref="B721">A721</f>
        <v>1</v>
      </c>
      <c r="C721" s="10" t="s">
        <v>83</v>
      </c>
      <c r="D721" s="10" t="s">
        <v>84</v>
      </c>
      <c r="E721" s="10" t="s">
        <v>73</v>
      </c>
      <c r="F721" s="10" t="s">
        <v>74</v>
      </c>
      <c r="G721" s="10" t="s">
        <v>665</v>
      </c>
      <c r="H721" s="10" t="s">
        <v>73</v>
      </c>
      <c r="I721" s="10" t="s">
        <v>73</v>
      </c>
      <c r="J721" s="10" t="s">
        <v>73</v>
      </c>
      <c r="K721" s="12" t="s">
        <v>73</v>
      </c>
      <c r="L721" s="10" t="s">
        <v>442</v>
      </c>
      <c r="M721" s="5" t="str">
        <f t="array" ref="M721">Y460</f>
        <v>1ВО::1.1</v>
      </c>
      <c r="Y721" s="10">
        <f>COUNT($Y717:Y720)+1</f>
        <v>4</v>
      </c>
      <c r="AB721" s="503" t="str">
        <f>AB$351&amp;"."&amp;Y721</f>
        <v>3.1.3.1.11.4</v>
      </c>
      <c r="AC721" s="504" t="s">
        <v>657</v>
      </c>
      <c r="AD721" s="505" t="s">
        <v>111</v>
      </c>
      <c r="AE721" s="506"/>
      <c r="AF721" s="519"/>
      <c r="AG721" s="508"/>
      <c r="AH721" s="506"/>
      <c r="AI721" s="519"/>
      <c r="AJ721" s="508"/>
      <c r="AK721" s="506"/>
      <c r="AL721" s="519"/>
      <c r="AM721" s="509"/>
      <c r="AN721" s="506"/>
      <c r="AO721" s="519"/>
      <c r="AP721" s="509"/>
      <c r="AQ721" s="506"/>
      <c r="AR721" s="519"/>
      <c r="AS721" s="509"/>
      <c r="AT721" s="506"/>
      <c r="AU721" s="519"/>
      <c r="AV721" s="509"/>
      <c r="AW721" s="506"/>
      <c r="AX721" s="519"/>
      <c r="AY721" s="509"/>
      <c r="AZ721" s="506"/>
      <c r="BA721" s="519"/>
      <c r="BB721" s="509"/>
      <c r="BC721" s="506"/>
      <c r="BD721" s="519"/>
      <c r="BE721" s="509"/>
      <c r="BF721" s="506"/>
      <c r="BG721" s="519"/>
      <c r="BH721" s="509"/>
      <c r="BI721" s="506"/>
      <c r="BJ721" s="519"/>
      <c r="BK721" s="508"/>
      <c r="BN721" s="513">
        <f t="shared" si="157"/>
        <v>0</v>
      </c>
      <c r="BO721" s="514">
        <f t="shared" si="158"/>
        <v>0</v>
      </c>
      <c r="BP721" s="515">
        <f t="shared" si="159"/>
        <v>0</v>
      </c>
    </row>
    <row r="722" spans="1:68" ht="14.25" hidden="1" customHeight="1" outlineLevel="2" x14ac:dyDescent="0.25">
      <c r="A722" s="10" t="b">
        <f>$AD$47="да"</f>
        <v>0</v>
      </c>
      <c r="B722" s="5" t="b">
        <f t="array" ref="B722">A722</f>
        <v>0</v>
      </c>
      <c r="C722" s="10" t="s">
        <v>83</v>
      </c>
      <c r="D722" s="10" t="s">
        <v>84</v>
      </c>
      <c r="E722" s="10" t="s">
        <v>73</v>
      </c>
      <c r="F722" s="10" t="s">
        <v>74</v>
      </c>
      <c r="G722" s="10" t="s">
        <v>666</v>
      </c>
      <c r="H722" s="10" t="s">
        <v>73</v>
      </c>
      <c r="I722" s="10" t="s">
        <v>73</v>
      </c>
      <c r="J722" s="10" t="s">
        <v>73</v>
      </c>
      <c r="K722" s="12" t="s">
        <v>73</v>
      </c>
      <c r="L722" s="10" t="s">
        <v>667</v>
      </c>
      <c r="M722" s="5" t="str">
        <f t="array" ref="M722">Y460</f>
        <v>1ВО::1.1</v>
      </c>
      <c r="Y722" s="10">
        <f>COUNT($Y717:Y721)+1</f>
        <v>5</v>
      </c>
      <c r="Z722" s="6"/>
      <c r="AA722" s="6"/>
      <c r="AB722" s="503"/>
      <c r="AC722" s="504"/>
      <c r="AD722" s="505"/>
      <c r="AE722" s="506"/>
      <c r="AF722" s="507"/>
      <c r="AG722" s="508"/>
      <c r="AH722" s="506"/>
      <c r="AI722" s="507"/>
      <c r="AJ722" s="508"/>
      <c r="AK722" s="506"/>
      <c r="AL722" s="507"/>
      <c r="AM722" s="509"/>
      <c r="AN722" s="506"/>
      <c r="AO722" s="507"/>
      <c r="AP722" s="509"/>
      <c r="AQ722" s="506"/>
      <c r="AR722" s="507"/>
      <c r="AS722" s="509"/>
      <c r="AT722" s="506"/>
      <c r="AU722" s="507"/>
      <c r="AV722" s="509"/>
      <c r="AW722" s="506"/>
      <c r="AX722" s="507"/>
      <c r="AY722" s="509"/>
      <c r="AZ722" s="506"/>
      <c r="BA722" s="507"/>
      <c r="BB722" s="509"/>
      <c r="BC722" s="506"/>
      <c r="BD722" s="507"/>
      <c r="BE722" s="509"/>
      <c r="BF722" s="506"/>
      <c r="BG722" s="507"/>
      <c r="BH722" s="509"/>
      <c r="BI722" s="506"/>
      <c r="BJ722" s="507"/>
      <c r="BK722" s="508"/>
      <c r="BN722" s="513">
        <f t="shared" ref="BN722:BN742" si="163">AE722+AH722+AK722+AN722+AQ722+AT722+AW722+AZ722+BC722+BF722+BI722</f>
        <v>0</v>
      </c>
      <c r="BO722" s="514">
        <f t="shared" ref="BO722:BO742" si="164">AF722+AI722+AL722+AO722+AR722+AU722+AX722+BA722+BD722+BG722+BJ722</f>
        <v>0</v>
      </c>
      <c r="BP722" s="515">
        <f t="shared" ref="BP722:BP742" si="165">AG722+AJ722+AM722+AP722+AS722+AV722+AY722+BB722+BE722+BH722+BK722</f>
        <v>0</v>
      </c>
    </row>
    <row r="723" spans="1:68" s="171" customFormat="1" ht="20.25" customHeight="1" outlineLevel="1" x14ac:dyDescent="0.25">
      <c r="A723" s="166"/>
      <c r="B723" s="166"/>
      <c r="C723" s="167" t="s">
        <v>83</v>
      </c>
      <c r="D723" s="167" t="s">
        <v>84</v>
      </c>
      <c r="E723" s="167" t="s">
        <v>73</v>
      </c>
      <c r="F723" s="167" t="s">
        <v>74</v>
      </c>
      <c r="G723" s="167" t="s">
        <v>498</v>
      </c>
      <c r="H723" s="167" t="s">
        <v>73</v>
      </c>
      <c r="I723" s="167" t="s">
        <v>73</v>
      </c>
      <c r="J723" s="167" t="s">
        <v>73</v>
      </c>
      <c r="K723" s="168" t="s">
        <v>73</v>
      </c>
      <c r="L723" s="167" t="s">
        <v>133</v>
      </c>
      <c r="M723" s="166" t="str">
        <f t="array" ref="M723">Y460</f>
        <v>1ВО::1.1</v>
      </c>
      <c r="N723" s="166"/>
      <c r="O723" s="166"/>
      <c r="P723" s="166"/>
      <c r="Q723" s="166"/>
      <c r="R723" s="166"/>
      <c r="S723" s="166"/>
      <c r="T723" s="166"/>
      <c r="U723" s="166"/>
      <c r="V723" s="166"/>
      <c r="W723" s="166"/>
      <c r="X723" s="166"/>
      <c r="Y723" s="166"/>
      <c r="Z723" s="166"/>
      <c r="AA723" s="166"/>
      <c r="AB723" s="429" t="str">
        <f>AB509&amp;".3"</f>
        <v>3.3</v>
      </c>
      <c r="AC723" s="439" t="s">
        <v>498</v>
      </c>
      <c r="AD723" s="431" t="s">
        <v>111</v>
      </c>
      <c r="AE723" s="476"/>
      <c r="AF723" s="433">
        <f>AF724+AF727+AF728+AF729</f>
        <v>9995.5439999999999</v>
      </c>
      <c r="AG723" s="490">
        <f>AG724+AG727+AG728+AG729</f>
        <v>7116.29</v>
      </c>
      <c r="AH723" s="476"/>
      <c r="AI723" s="433">
        <f>AI724+AI727+AI728+AI729</f>
        <v>0</v>
      </c>
      <c r="AJ723" s="490">
        <f>AJ724+AJ727+AJ728+AJ729</f>
        <v>0</v>
      </c>
      <c r="AK723" s="476"/>
      <c r="AL723" s="433"/>
      <c r="AM723" s="477"/>
      <c r="AN723" s="476"/>
      <c r="AO723" s="433">
        <f>AO724+AO727+AO728+AO729</f>
        <v>0</v>
      </c>
      <c r="AP723" s="477">
        <f>AP724+AP727+AP728+AP729</f>
        <v>377.16</v>
      </c>
      <c r="AQ723" s="476"/>
      <c r="AR723" s="433">
        <f>AR724+AR727+AR728+AR729</f>
        <v>0</v>
      </c>
      <c r="AS723" s="477">
        <f>AS724+AS727+AS728+AS729</f>
        <v>225.09</v>
      </c>
      <c r="AT723" s="476"/>
      <c r="AU723" s="433">
        <f>AU724+AU727+AU728+AU729</f>
        <v>51.2</v>
      </c>
      <c r="AV723" s="477">
        <f>AV724+AV727+AV728+AV729</f>
        <v>116.48</v>
      </c>
      <c r="AW723" s="476">
        <f t="shared" ref="AW723:BK723" si="166">SUM(AW724:AW730)</f>
        <v>185.04</v>
      </c>
      <c r="AX723" s="433">
        <f t="shared" si="166"/>
        <v>0</v>
      </c>
      <c r="AY723" s="477">
        <f t="shared" si="166"/>
        <v>339.32</v>
      </c>
      <c r="AZ723" s="476">
        <f t="shared" si="166"/>
        <v>786.31500000000005</v>
      </c>
      <c r="BA723" s="433">
        <f t="shared" si="166"/>
        <v>0</v>
      </c>
      <c r="BB723" s="477">
        <f t="shared" si="166"/>
        <v>1395.174</v>
      </c>
      <c r="BC723" s="476">
        <f t="shared" si="166"/>
        <v>0</v>
      </c>
      <c r="BD723" s="433">
        <f t="shared" si="166"/>
        <v>0</v>
      </c>
      <c r="BE723" s="477">
        <f t="shared" si="166"/>
        <v>0</v>
      </c>
      <c r="BF723" s="476">
        <f t="shared" si="166"/>
        <v>19.494</v>
      </c>
      <c r="BG723" s="433">
        <f t="shared" si="166"/>
        <v>0</v>
      </c>
      <c r="BH723" s="477">
        <f t="shared" si="166"/>
        <v>37.619999999999997</v>
      </c>
      <c r="BI723" s="476">
        <f t="shared" si="166"/>
        <v>188.244</v>
      </c>
      <c r="BJ723" s="433">
        <f t="shared" si="166"/>
        <v>0</v>
      </c>
      <c r="BK723" s="490">
        <f t="shared" si="166"/>
        <v>363.61500000000001</v>
      </c>
      <c r="BL723" s="170"/>
      <c r="BM723" s="166"/>
      <c r="BN723" s="436">
        <f t="shared" si="163"/>
        <v>1179.0930000000001</v>
      </c>
      <c r="BO723" s="437">
        <f t="shared" si="164"/>
        <v>10046.744000000001</v>
      </c>
      <c r="BP723" s="438">
        <f t="shared" si="165"/>
        <v>9970.7489999999998</v>
      </c>
    </row>
    <row r="724" spans="1:68" ht="52.5" hidden="1" customHeight="1" outlineLevel="3" x14ac:dyDescent="0.25">
      <c r="C724" s="10" t="s">
        <v>83</v>
      </c>
      <c r="D724" s="10" t="s">
        <v>84</v>
      </c>
      <c r="E724" s="10" t="s">
        <v>73</v>
      </c>
      <c r="F724" s="10" t="s">
        <v>74</v>
      </c>
      <c r="G724" s="10" t="s">
        <v>668</v>
      </c>
      <c r="H724" s="10" t="s">
        <v>73</v>
      </c>
      <c r="I724" s="10" t="s">
        <v>73</v>
      </c>
      <c r="J724" s="10" t="s">
        <v>73</v>
      </c>
      <c r="K724" s="12" t="s">
        <v>73</v>
      </c>
      <c r="L724" s="10" t="s">
        <v>133</v>
      </c>
      <c r="M724" s="5" t="str">
        <f t="array" ref="M724">Y460</f>
        <v>1ВО::1.1</v>
      </c>
      <c r="AB724" s="403" t="str">
        <f>AB723&amp;".1"</f>
        <v>3.3.1</v>
      </c>
      <c r="AC724" s="522" t="s">
        <v>668</v>
      </c>
      <c r="AD724" s="32" t="s">
        <v>111</v>
      </c>
      <c r="AE724" s="72"/>
      <c r="AF724" s="73"/>
      <c r="AG724" s="74"/>
      <c r="AH724" s="72"/>
      <c r="AI724" s="73"/>
      <c r="AJ724" s="74"/>
      <c r="AK724" s="72"/>
      <c r="AL724" s="73"/>
      <c r="AM724" s="138"/>
      <c r="AN724" s="72"/>
      <c r="AO724" s="73"/>
      <c r="AP724" s="138"/>
      <c r="AQ724" s="72"/>
      <c r="AR724" s="73"/>
      <c r="AS724" s="138"/>
      <c r="AT724" s="72"/>
      <c r="AU724" s="73"/>
      <c r="AV724" s="138"/>
      <c r="AW724" s="72"/>
      <c r="AX724" s="73"/>
      <c r="AY724" s="138"/>
      <c r="AZ724" s="72"/>
      <c r="BA724" s="73"/>
      <c r="BB724" s="138"/>
      <c r="BC724" s="72"/>
      <c r="BD724" s="73"/>
      <c r="BE724" s="138"/>
      <c r="BF724" s="72"/>
      <c r="BG724" s="73"/>
      <c r="BH724" s="138"/>
      <c r="BI724" s="72"/>
      <c r="BJ724" s="73"/>
      <c r="BK724" s="74"/>
      <c r="BN724" s="125">
        <f t="shared" si="163"/>
        <v>0</v>
      </c>
      <c r="BO724" s="126">
        <f t="shared" si="164"/>
        <v>0</v>
      </c>
      <c r="BP724" s="127">
        <f t="shared" si="165"/>
        <v>0</v>
      </c>
    </row>
    <row r="725" spans="1:68" ht="14.25" hidden="1" customHeight="1" outlineLevel="4" x14ac:dyDescent="0.25">
      <c r="C725" s="10" t="s">
        <v>83</v>
      </c>
      <c r="D725" s="10" t="s">
        <v>84</v>
      </c>
      <c r="E725" s="10" t="s">
        <v>73</v>
      </c>
      <c r="F725" s="10" t="s">
        <v>74</v>
      </c>
      <c r="G725" s="10" t="s">
        <v>669</v>
      </c>
      <c r="H725" s="10" t="s">
        <v>73</v>
      </c>
      <c r="I725" s="10" t="s">
        <v>73</v>
      </c>
      <c r="J725" s="10" t="s">
        <v>73</v>
      </c>
      <c r="K725" s="12" t="s">
        <v>73</v>
      </c>
      <c r="L725" s="10" t="s">
        <v>133</v>
      </c>
      <c r="M725" s="5" t="str">
        <f t="array" ref="M725">Y460</f>
        <v>1ВО::1.1</v>
      </c>
      <c r="AB725" s="403" t="str">
        <f>AB724&amp;".1"</f>
        <v>3.3.1.1</v>
      </c>
      <c r="AC725" s="414" t="s">
        <v>670</v>
      </c>
      <c r="AD725" s="32" t="s">
        <v>111</v>
      </c>
      <c r="AE725" s="95"/>
      <c r="AF725" s="178"/>
      <c r="AG725" s="96"/>
      <c r="AH725" s="95"/>
      <c r="AI725" s="178"/>
      <c r="AJ725" s="96"/>
      <c r="AK725" s="95"/>
      <c r="AL725" s="178"/>
      <c r="AM725" s="181"/>
      <c r="AN725" s="95"/>
      <c r="AO725" s="178"/>
      <c r="AP725" s="181"/>
      <c r="AQ725" s="95"/>
      <c r="AR725" s="178"/>
      <c r="AS725" s="181"/>
      <c r="AT725" s="95"/>
      <c r="AU725" s="178"/>
      <c r="AV725" s="181"/>
      <c r="AW725" s="95"/>
      <c r="AX725" s="178"/>
      <c r="AY725" s="181"/>
      <c r="AZ725" s="95"/>
      <c r="BA725" s="178"/>
      <c r="BB725" s="181"/>
      <c r="BC725" s="95"/>
      <c r="BD725" s="178"/>
      <c r="BE725" s="181"/>
      <c r="BF725" s="95"/>
      <c r="BG725" s="178"/>
      <c r="BH725" s="181"/>
      <c r="BI725" s="95"/>
      <c r="BJ725" s="178"/>
      <c r="BK725" s="96"/>
      <c r="BN725" s="125">
        <f t="shared" si="163"/>
        <v>0</v>
      </c>
      <c r="BO725" s="126">
        <f t="shared" si="164"/>
        <v>0</v>
      </c>
      <c r="BP725" s="127">
        <f t="shared" si="165"/>
        <v>0</v>
      </c>
    </row>
    <row r="726" spans="1:68" ht="14.25" hidden="1" customHeight="1" outlineLevel="4" x14ac:dyDescent="0.25">
      <c r="C726" s="10" t="s">
        <v>83</v>
      </c>
      <c r="D726" s="10" t="s">
        <v>84</v>
      </c>
      <c r="E726" s="10" t="s">
        <v>73</v>
      </c>
      <c r="F726" s="10" t="s">
        <v>74</v>
      </c>
      <c r="G726" s="10" t="s">
        <v>671</v>
      </c>
      <c r="H726" s="10" t="s">
        <v>73</v>
      </c>
      <c r="I726" s="10" t="s">
        <v>73</v>
      </c>
      <c r="J726" s="10" t="s">
        <v>73</v>
      </c>
      <c r="K726" s="12" t="s">
        <v>73</v>
      </c>
      <c r="L726" s="10" t="s">
        <v>133</v>
      </c>
      <c r="M726" s="5" t="str">
        <f t="array" ref="M726">Y460</f>
        <v>1ВО::1.1</v>
      </c>
      <c r="AB726" s="403" t="str">
        <f>AB724&amp;".2"</f>
        <v>3.3.1.2</v>
      </c>
      <c r="AC726" s="414" t="s">
        <v>672</v>
      </c>
      <c r="AD726" s="32" t="s">
        <v>111</v>
      </c>
      <c r="AE726" s="95"/>
      <c r="AF726" s="178"/>
      <c r="AG726" s="96"/>
      <c r="AH726" s="95"/>
      <c r="AI726" s="178"/>
      <c r="AJ726" s="96"/>
      <c r="AK726" s="95"/>
      <c r="AL726" s="178"/>
      <c r="AM726" s="181"/>
      <c r="AN726" s="95"/>
      <c r="AO726" s="178"/>
      <c r="AP726" s="181"/>
      <c r="AQ726" s="95"/>
      <c r="AR726" s="178"/>
      <c r="AS726" s="181"/>
      <c r="AT726" s="95"/>
      <c r="AU726" s="178"/>
      <c r="AV726" s="181"/>
      <c r="AW726" s="95"/>
      <c r="AX726" s="178"/>
      <c r="AY726" s="181"/>
      <c r="AZ726" s="95"/>
      <c r="BA726" s="178"/>
      <c r="BB726" s="181"/>
      <c r="BC726" s="95"/>
      <c r="BD726" s="178"/>
      <c r="BE726" s="181"/>
      <c r="BF726" s="95"/>
      <c r="BG726" s="178"/>
      <c r="BH726" s="181"/>
      <c r="BI726" s="95"/>
      <c r="BJ726" s="178"/>
      <c r="BK726" s="96"/>
      <c r="BN726" s="125">
        <f t="shared" si="163"/>
        <v>0</v>
      </c>
      <c r="BO726" s="126">
        <f t="shared" si="164"/>
        <v>0</v>
      </c>
      <c r="BP726" s="127">
        <f t="shared" si="165"/>
        <v>0</v>
      </c>
    </row>
    <row r="727" spans="1:68" ht="21.75" hidden="1" customHeight="1" outlineLevel="3" x14ac:dyDescent="0.25">
      <c r="C727" s="10" t="s">
        <v>83</v>
      </c>
      <c r="D727" s="10" t="s">
        <v>84</v>
      </c>
      <c r="E727" s="10" t="s">
        <v>73</v>
      </c>
      <c r="F727" s="10" t="s">
        <v>74</v>
      </c>
      <c r="G727" s="10" t="s">
        <v>673</v>
      </c>
      <c r="H727" s="10" t="s">
        <v>73</v>
      </c>
      <c r="I727" s="10" t="s">
        <v>73</v>
      </c>
      <c r="J727" s="10" t="s">
        <v>73</v>
      </c>
      <c r="K727" s="12" t="s">
        <v>73</v>
      </c>
      <c r="L727" s="10" t="s">
        <v>133</v>
      </c>
      <c r="M727" s="5" t="str">
        <f t="array" ref="M727">Y460</f>
        <v>1ВО::1.1</v>
      </c>
      <c r="AB727" s="403" t="str">
        <f>AB723&amp;".2"</f>
        <v>3.3.2</v>
      </c>
      <c r="AC727" s="413" t="s">
        <v>673</v>
      </c>
      <c r="AD727" s="32" t="s">
        <v>111</v>
      </c>
      <c r="AE727" s="95"/>
      <c r="AF727" s="178"/>
      <c r="AG727" s="96"/>
      <c r="AH727" s="95"/>
      <c r="AI727" s="178"/>
      <c r="AJ727" s="96"/>
      <c r="AK727" s="95"/>
      <c r="AL727" s="178"/>
      <c r="AM727" s="181"/>
      <c r="AN727" s="95"/>
      <c r="AO727" s="178"/>
      <c r="AP727" s="181"/>
      <c r="AQ727" s="95"/>
      <c r="AR727" s="178"/>
      <c r="AS727" s="181"/>
      <c r="AT727" s="95"/>
      <c r="AU727" s="178"/>
      <c r="AV727" s="181"/>
      <c r="AW727" s="95"/>
      <c r="AX727" s="178"/>
      <c r="AY727" s="181"/>
      <c r="AZ727" s="95"/>
      <c r="BA727" s="178"/>
      <c r="BB727" s="181"/>
      <c r="BC727" s="95"/>
      <c r="BD727" s="178"/>
      <c r="BE727" s="181"/>
      <c r="BF727" s="95"/>
      <c r="BG727" s="178"/>
      <c r="BH727" s="181"/>
      <c r="BI727" s="95"/>
      <c r="BJ727" s="178"/>
      <c r="BK727" s="96"/>
      <c r="BN727" s="125">
        <f t="shared" si="163"/>
        <v>0</v>
      </c>
      <c r="BO727" s="126">
        <f t="shared" si="164"/>
        <v>0</v>
      </c>
      <c r="BP727" s="127">
        <f t="shared" si="165"/>
        <v>0</v>
      </c>
    </row>
    <row r="728" spans="1:68" ht="37.5" hidden="1" customHeight="1" outlineLevel="3" x14ac:dyDescent="0.25">
      <c r="C728" s="10" t="s">
        <v>83</v>
      </c>
      <c r="D728" s="10" t="s">
        <v>84</v>
      </c>
      <c r="E728" s="10" t="s">
        <v>73</v>
      </c>
      <c r="F728" s="10" t="s">
        <v>74</v>
      </c>
      <c r="G728" s="10" t="s">
        <v>499</v>
      </c>
      <c r="H728" s="10" t="s">
        <v>73</v>
      </c>
      <c r="I728" s="10" t="s">
        <v>73</v>
      </c>
      <c r="J728" s="10" t="s">
        <v>73</v>
      </c>
      <c r="K728" s="12" t="s">
        <v>73</v>
      </c>
      <c r="L728" s="10" t="s">
        <v>133</v>
      </c>
      <c r="M728" s="5" t="str">
        <f t="array" ref="M728">Y460</f>
        <v>1ВО::1.1</v>
      </c>
      <c r="AB728" s="403" t="str">
        <f>AB723&amp;".3"</f>
        <v>3.3.3</v>
      </c>
      <c r="AC728" s="413" t="s">
        <v>500</v>
      </c>
      <c r="AD728" s="32" t="s">
        <v>111</v>
      </c>
      <c r="AE728" s="95"/>
      <c r="AF728" s="178">
        <v>9995.5439999999999</v>
      </c>
      <c r="AG728" s="96">
        <f>14946.57-7830.28</f>
        <v>7116.29</v>
      </c>
      <c r="AH728" s="95"/>
      <c r="AI728" s="178"/>
      <c r="AJ728" s="96"/>
      <c r="AK728" s="95"/>
      <c r="AL728" s="178"/>
      <c r="AM728" s="181"/>
      <c r="AN728" s="95"/>
      <c r="AO728" s="178"/>
      <c r="AP728" s="181">
        <v>377.16</v>
      </c>
      <c r="AQ728" s="95"/>
      <c r="AR728" s="178"/>
      <c r="AS728" s="181">
        <v>225.09</v>
      </c>
      <c r="AT728" s="95"/>
      <c r="AU728" s="178">
        <v>51.2</v>
      </c>
      <c r="AV728" s="181">
        <v>116.48</v>
      </c>
      <c r="AW728" s="95">
        <v>185.04</v>
      </c>
      <c r="AX728" s="178"/>
      <c r="AY728" s="181">
        <v>339.32</v>
      </c>
      <c r="AZ728" s="95">
        <v>786.31500000000005</v>
      </c>
      <c r="BA728" s="178"/>
      <c r="BB728" s="181">
        <v>1395.174</v>
      </c>
      <c r="BC728" s="95"/>
      <c r="BD728" s="178"/>
      <c r="BE728" s="181"/>
      <c r="BF728" s="185">
        <v>19.494</v>
      </c>
      <c r="BG728" s="183"/>
      <c r="BH728" s="184">
        <v>37.619999999999997</v>
      </c>
      <c r="BI728" s="185">
        <v>188.244</v>
      </c>
      <c r="BJ728" s="183"/>
      <c r="BK728" s="186">
        <v>363.61500000000001</v>
      </c>
      <c r="BN728" s="125">
        <f t="shared" si="163"/>
        <v>1179.0930000000001</v>
      </c>
      <c r="BO728" s="126">
        <f t="shared" si="164"/>
        <v>10046.744000000001</v>
      </c>
      <c r="BP728" s="127">
        <f t="shared" si="165"/>
        <v>9970.7489999999998</v>
      </c>
    </row>
    <row r="729" spans="1:68" ht="45" hidden="1" customHeight="1" outlineLevel="3" x14ac:dyDescent="0.25">
      <c r="A729" s="10" t="b">
        <f>[4]Титульный!$AD$40="да"</f>
        <v>0</v>
      </c>
      <c r="B729" s="5" t="b">
        <f t="array" ref="B729">A729</f>
        <v>0</v>
      </c>
      <c r="C729" s="10" t="s">
        <v>674</v>
      </c>
      <c r="D729" s="297" t="s">
        <v>675</v>
      </c>
      <c r="E729" s="297" t="s">
        <v>73</v>
      </c>
      <c r="F729" s="10" t="s">
        <v>74</v>
      </c>
      <c r="G729" s="297" t="s">
        <v>73</v>
      </c>
      <c r="H729" s="297" t="s">
        <v>73</v>
      </c>
      <c r="I729" s="297" t="s">
        <v>73</v>
      </c>
      <c r="J729" s="297" t="s">
        <v>73</v>
      </c>
      <c r="K729" s="298" t="s">
        <v>73</v>
      </c>
      <c r="L729" s="10" t="s">
        <v>133</v>
      </c>
      <c r="M729" s="5" t="str">
        <f t="array" ref="M729">Y460</f>
        <v>1ВО::1.1</v>
      </c>
      <c r="Z729" s="6"/>
      <c r="AA729" s="6"/>
      <c r="AB729" s="403"/>
      <c r="AC729" s="413"/>
      <c r="AD729" s="32"/>
      <c r="AE729" s="72"/>
      <c r="AF729" s="73"/>
      <c r="AG729" s="74"/>
      <c r="AH729" s="72"/>
      <c r="AI729" s="73"/>
      <c r="AJ729" s="74"/>
      <c r="AK729" s="72"/>
      <c r="AL729" s="73"/>
      <c r="AM729" s="138"/>
      <c r="AN729" s="72"/>
      <c r="AO729" s="73"/>
      <c r="AP729" s="138"/>
      <c r="AQ729" s="72"/>
      <c r="AR729" s="73"/>
      <c r="AS729" s="138"/>
      <c r="AT729" s="72"/>
      <c r="AU729" s="73"/>
      <c r="AV729" s="138"/>
      <c r="AW729" s="72"/>
      <c r="AX729" s="73"/>
      <c r="AY729" s="138"/>
      <c r="AZ729" s="72"/>
      <c r="BA729" s="73"/>
      <c r="BB729" s="138"/>
      <c r="BC729" s="72"/>
      <c r="BD729" s="73"/>
      <c r="BE729" s="138"/>
      <c r="BF729" s="72"/>
      <c r="BG729" s="73"/>
      <c r="BH729" s="138"/>
      <c r="BI729" s="72"/>
      <c r="BJ729" s="73"/>
      <c r="BK729" s="74"/>
      <c r="BN729" s="125">
        <f t="shared" si="163"/>
        <v>0</v>
      </c>
      <c r="BO729" s="126">
        <f t="shared" si="164"/>
        <v>0</v>
      </c>
      <c r="BP729" s="127">
        <f t="shared" si="165"/>
        <v>0</v>
      </c>
    </row>
    <row r="730" spans="1:68" ht="21.75" hidden="1" customHeight="1" outlineLevel="3" x14ac:dyDescent="0.25">
      <c r="A730" s="10" t="b">
        <f t="array" ref="A730">A729</f>
        <v>0</v>
      </c>
      <c r="B730" s="5" t="b">
        <f t="array" ref="B730">A730</f>
        <v>0</v>
      </c>
      <c r="C730" s="10" t="s">
        <v>83</v>
      </c>
      <c r="D730" s="297" t="s">
        <v>84</v>
      </c>
      <c r="E730" s="297" t="s">
        <v>73</v>
      </c>
      <c r="F730" s="10" t="s">
        <v>74</v>
      </c>
      <c r="G730" s="297" t="s">
        <v>676</v>
      </c>
      <c r="H730" s="297" t="s">
        <v>73</v>
      </c>
      <c r="I730" s="297" t="s">
        <v>73</v>
      </c>
      <c r="J730" s="297" t="s">
        <v>73</v>
      </c>
      <c r="K730" s="298" t="s">
        <v>73</v>
      </c>
      <c r="L730" s="10" t="s">
        <v>133</v>
      </c>
      <c r="M730" s="5" t="str">
        <f t="array" ref="M730">Y460</f>
        <v>1ВО::1.1</v>
      </c>
      <c r="Z730" s="6"/>
      <c r="AA730" s="6"/>
      <c r="AB730" s="403"/>
      <c r="AC730" s="497"/>
      <c r="AD730" s="32"/>
      <c r="AE730" s="72"/>
      <c r="AF730" s="73"/>
      <c r="AG730" s="74"/>
      <c r="AH730" s="72"/>
      <c r="AI730" s="73"/>
      <c r="AJ730" s="74"/>
      <c r="AK730" s="72"/>
      <c r="AL730" s="73"/>
      <c r="AM730" s="138"/>
      <c r="AN730" s="72"/>
      <c r="AO730" s="73"/>
      <c r="AP730" s="138"/>
      <c r="AQ730" s="72"/>
      <c r="AR730" s="73"/>
      <c r="AS730" s="138"/>
      <c r="AT730" s="72"/>
      <c r="AU730" s="73"/>
      <c r="AV730" s="138"/>
      <c r="AW730" s="72"/>
      <c r="AX730" s="73"/>
      <c r="AY730" s="138"/>
      <c r="AZ730" s="72"/>
      <c r="BA730" s="73"/>
      <c r="BB730" s="138"/>
      <c r="BC730" s="72"/>
      <c r="BD730" s="73"/>
      <c r="BE730" s="138"/>
      <c r="BF730" s="72"/>
      <c r="BG730" s="73"/>
      <c r="BH730" s="138"/>
      <c r="BI730" s="72"/>
      <c r="BJ730" s="73"/>
      <c r="BK730" s="74"/>
      <c r="BN730" s="125">
        <f t="shared" si="163"/>
        <v>0</v>
      </c>
      <c r="BO730" s="126">
        <f t="shared" si="164"/>
        <v>0</v>
      </c>
      <c r="BP730" s="127">
        <f t="shared" si="165"/>
        <v>0</v>
      </c>
    </row>
    <row r="731" spans="1:68" ht="3.75" hidden="1" customHeight="1" outlineLevel="3" x14ac:dyDescent="0.25">
      <c r="C731" s="10" t="s">
        <v>83</v>
      </c>
      <c r="D731" s="297" t="s">
        <v>84</v>
      </c>
      <c r="E731" s="297" t="s">
        <v>73</v>
      </c>
      <c r="F731" s="10" t="s">
        <v>74</v>
      </c>
      <c r="G731" s="297" t="s">
        <v>501</v>
      </c>
      <c r="H731" s="297" t="s">
        <v>73</v>
      </c>
      <c r="I731" s="297" t="s">
        <v>73</v>
      </c>
      <c r="J731" s="297" t="s">
        <v>73</v>
      </c>
      <c r="K731" s="298" t="s">
        <v>73</v>
      </c>
      <c r="L731" s="10" t="s">
        <v>133</v>
      </c>
      <c r="M731" s="5" t="str">
        <f t="array" ref="M731">Y460</f>
        <v>1ВО::1.1</v>
      </c>
      <c r="AB731" s="403" t="str">
        <f>IF(AB729="",AB723&amp;".4",AB723&amp;".5")</f>
        <v>3.3.4</v>
      </c>
      <c r="AC731" s="497" t="s">
        <v>503</v>
      </c>
      <c r="AD731" s="32" t="s">
        <v>119</v>
      </c>
      <c r="AE731" s="72"/>
      <c r="AF731" s="73">
        <v>0.91</v>
      </c>
      <c r="AG731" s="74">
        <v>0.97</v>
      </c>
      <c r="AH731" s="72"/>
      <c r="AI731" s="73"/>
      <c r="AJ731" s="74"/>
      <c r="AK731" s="72"/>
      <c r="AL731" s="73"/>
      <c r="AM731" s="138"/>
      <c r="AN731" s="72"/>
      <c r="AO731" s="73"/>
      <c r="AP731" s="138">
        <v>1.71</v>
      </c>
      <c r="AQ731" s="72"/>
      <c r="AR731" s="73"/>
      <c r="AS731" s="138">
        <v>0.83</v>
      </c>
      <c r="AT731" s="72"/>
      <c r="AU731" s="73">
        <v>0.15</v>
      </c>
      <c r="AV731" s="138">
        <v>0.33</v>
      </c>
      <c r="AW731" s="72"/>
      <c r="AX731" s="73"/>
      <c r="AY731" s="138"/>
      <c r="AZ731" s="72"/>
      <c r="BA731" s="73"/>
      <c r="BB731" s="138"/>
      <c r="BC731" s="72"/>
      <c r="BD731" s="73"/>
      <c r="BE731" s="138"/>
      <c r="BF731" s="142">
        <v>0.26</v>
      </c>
      <c r="BG731" s="140"/>
      <c r="BH731" s="141">
        <v>0.37</v>
      </c>
      <c r="BI731" s="142">
        <v>0.46</v>
      </c>
      <c r="BJ731" s="140"/>
      <c r="BK731" s="143">
        <v>0.67</v>
      </c>
      <c r="BN731" s="125">
        <f t="shared" si="163"/>
        <v>0.72</v>
      </c>
      <c r="BO731" s="126">
        <f t="shared" si="164"/>
        <v>1.06</v>
      </c>
      <c r="BP731" s="127">
        <f t="shared" si="165"/>
        <v>4.88</v>
      </c>
    </row>
    <row r="732" spans="1:68" ht="38.25" hidden="1" customHeight="1" outlineLevel="1" collapsed="1" x14ac:dyDescent="0.25">
      <c r="B732" s="10" t="b">
        <f>S460="да"</f>
        <v>1</v>
      </c>
      <c r="C732" s="10" t="s">
        <v>83</v>
      </c>
      <c r="D732" s="10" t="s">
        <v>84</v>
      </c>
      <c r="E732" s="10" t="s">
        <v>73</v>
      </c>
      <c r="F732" s="10" t="s">
        <v>74</v>
      </c>
      <c r="G732" s="10" t="s">
        <v>677</v>
      </c>
      <c r="H732" s="10" t="s">
        <v>73</v>
      </c>
      <c r="I732" s="10" t="s">
        <v>73</v>
      </c>
      <c r="J732" s="10" t="s">
        <v>73</v>
      </c>
      <c r="K732" s="12" t="s">
        <v>73</v>
      </c>
      <c r="L732" s="10" t="s">
        <v>133</v>
      </c>
      <c r="M732" s="5" t="str">
        <f t="array" ref="M732">Y460</f>
        <v>1ВО::1.1</v>
      </c>
      <c r="AB732" s="403" t="str">
        <f>AB509&amp;".4"</f>
        <v>3.4</v>
      </c>
      <c r="AC732" s="305" t="s">
        <v>677</v>
      </c>
      <c r="AD732" s="32" t="s">
        <v>111</v>
      </c>
      <c r="AE732" s="72"/>
      <c r="AF732" s="178"/>
      <c r="AG732" s="96"/>
      <c r="AH732" s="72"/>
      <c r="AI732" s="178"/>
      <c r="AJ732" s="96"/>
      <c r="AK732" s="72"/>
      <c r="AL732" s="178"/>
      <c r="AM732" s="181"/>
      <c r="AN732" s="72"/>
      <c r="AO732" s="178"/>
      <c r="AP732" s="181"/>
      <c r="AQ732" s="72"/>
      <c r="AR732" s="178"/>
      <c r="AS732" s="181"/>
      <c r="AT732" s="72"/>
      <c r="AU732" s="178"/>
      <c r="AV732" s="181"/>
      <c r="AW732" s="72"/>
      <c r="AX732" s="178"/>
      <c r="AY732" s="181"/>
      <c r="AZ732" s="72"/>
      <c r="BA732" s="178"/>
      <c r="BB732" s="181"/>
      <c r="BC732" s="72"/>
      <c r="BD732" s="178"/>
      <c r="BE732" s="181"/>
      <c r="BF732" s="72"/>
      <c r="BG732" s="178"/>
      <c r="BH732" s="181"/>
      <c r="BI732" s="72"/>
      <c r="BJ732" s="178"/>
      <c r="BK732" s="96"/>
      <c r="BN732" s="125">
        <f t="shared" si="163"/>
        <v>0</v>
      </c>
      <c r="BO732" s="126">
        <f t="shared" si="164"/>
        <v>0</v>
      </c>
      <c r="BP732" s="127">
        <f t="shared" si="165"/>
        <v>0</v>
      </c>
    </row>
    <row r="733" spans="1:68" ht="35.25" hidden="1" customHeight="1" outlineLevel="2" x14ac:dyDescent="0.25">
      <c r="B733" s="10" t="b">
        <f t="array" ref="B733">B732</f>
        <v>1</v>
      </c>
      <c r="C733" s="10" t="s">
        <v>678</v>
      </c>
      <c r="D733" s="10" t="s">
        <v>679</v>
      </c>
      <c r="E733" s="10" t="s">
        <v>73</v>
      </c>
      <c r="F733" s="10" t="s">
        <v>74</v>
      </c>
      <c r="G733" s="10" t="s">
        <v>73</v>
      </c>
      <c r="H733" s="10" t="s">
        <v>73</v>
      </c>
      <c r="I733" s="10" t="s">
        <v>73</v>
      </c>
      <c r="J733" s="10" t="s">
        <v>73</v>
      </c>
      <c r="K733" s="12" t="s">
        <v>73</v>
      </c>
      <c r="L733" s="10" t="s">
        <v>133</v>
      </c>
      <c r="M733" s="5" t="str">
        <f t="array" ref="M733">Y460</f>
        <v>1ВО::1.1</v>
      </c>
      <c r="AB733" s="403" t="str">
        <f>AB732&amp;".1"</f>
        <v>3.4.1</v>
      </c>
      <c r="AC733" s="305" t="s">
        <v>679</v>
      </c>
      <c r="AD733" s="32" t="s">
        <v>119</v>
      </c>
      <c r="AE733" s="95"/>
      <c r="AF733" s="178"/>
      <c r="AG733" s="74"/>
      <c r="AH733" s="95"/>
      <c r="AI733" s="178"/>
      <c r="AJ733" s="74"/>
      <c r="AK733" s="95"/>
      <c r="AL733" s="178"/>
      <c r="AM733" s="138"/>
      <c r="AN733" s="95"/>
      <c r="AO733" s="178"/>
      <c r="AP733" s="138"/>
      <c r="AQ733" s="95"/>
      <c r="AR733" s="178"/>
      <c r="AS733" s="138"/>
      <c r="AT733" s="95"/>
      <c r="AU733" s="178"/>
      <c r="AV733" s="138"/>
      <c r="AW733" s="95"/>
      <c r="AX733" s="178"/>
      <c r="AY733" s="138"/>
      <c r="AZ733" s="95"/>
      <c r="BA733" s="178"/>
      <c r="BB733" s="138"/>
      <c r="BC733" s="95"/>
      <c r="BD733" s="178"/>
      <c r="BE733" s="138"/>
      <c r="BF733" s="95"/>
      <c r="BG733" s="178"/>
      <c r="BH733" s="138"/>
      <c r="BI733" s="95"/>
      <c r="BJ733" s="178"/>
      <c r="BK733" s="74"/>
      <c r="BN733" s="125">
        <f t="shared" si="163"/>
        <v>0</v>
      </c>
      <c r="BO733" s="126">
        <f t="shared" si="164"/>
        <v>0</v>
      </c>
      <c r="BP733" s="127">
        <f t="shared" si="165"/>
        <v>0</v>
      </c>
    </row>
    <row r="734" spans="1:68" s="171" customFormat="1" ht="21" customHeight="1" x14ac:dyDescent="0.25">
      <c r="A734" s="167" t="b">
        <f>REGULATION_METHODS="Метод индексации"</f>
        <v>1</v>
      </c>
      <c r="B734" s="166" t="b">
        <f t="array" ref="B734">A734</f>
        <v>1</v>
      </c>
      <c r="C734" s="167" t="s">
        <v>83</v>
      </c>
      <c r="D734" s="167" t="s">
        <v>84</v>
      </c>
      <c r="E734" s="167" t="s">
        <v>73</v>
      </c>
      <c r="F734" s="167" t="s">
        <v>74</v>
      </c>
      <c r="G734" s="167" t="s">
        <v>504</v>
      </c>
      <c r="H734" s="167" t="s">
        <v>73</v>
      </c>
      <c r="I734" s="167" t="s">
        <v>73</v>
      </c>
      <c r="J734" s="167" t="s">
        <v>73</v>
      </c>
      <c r="K734" s="168" t="s">
        <v>73</v>
      </c>
      <c r="L734" s="167" t="s">
        <v>133</v>
      </c>
      <c r="M734" s="166" t="str">
        <f t="array" ref="M734">Y460</f>
        <v>1ВО::1.1</v>
      </c>
      <c r="N734" s="166"/>
      <c r="O734" s="166"/>
      <c r="P734" s="166"/>
      <c r="Q734" s="166"/>
      <c r="R734" s="166"/>
      <c r="S734" s="166"/>
      <c r="T734" s="166"/>
      <c r="U734" s="166"/>
      <c r="V734" s="166"/>
      <c r="W734" s="166"/>
      <c r="X734" s="166"/>
      <c r="Y734" s="166"/>
      <c r="Z734" s="166"/>
      <c r="AA734" s="166"/>
      <c r="AB734" s="429">
        <f>AB509+1</f>
        <v>4</v>
      </c>
      <c r="AC734" s="430" t="s">
        <v>504</v>
      </c>
      <c r="AD734" s="431" t="s">
        <v>111</v>
      </c>
      <c r="AE734" s="476"/>
      <c r="AF734" s="433">
        <f>AF738-AF741+AF754</f>
        <v>-212158.32399999999</v>
      </c>
      <c r="AG734" s="490">
        <f>AG738-AG741+AG742</f>
        <v>321979.78999999998</v>
      </c>
      <c r="AH734" s="476"/>
      <c r="AI734" s="433">
        <f>AI738-AI741+AI742</f>
        <v>-431.65</v>
      </c>
      <c r="AJ734" s="490">
        <f>AJ738-AJ741+AJ742</f>
        <v>0</v>
      </c>
      <c r="AK734" s="476"/>
      <c r="AL734" s="433"/>
      <c r="AM734" s="477"/>
      <c r="AN734" s="476"/>
      <c r="AO734" s="433">
        <f>AO744+AO748</f>
        <v>583.30999999999995</v>
      </c>
      <c r="AP734" s="477">
        <f>AP738-AP741+AP742</f>
        <v>13684.71</v>
      </c>
      <c r="AQ734" s="476"/>
      <c r="AR734" s="433">
        <f>AR738-AR741+AR742</f>
        <v>0</v>
      </c>
      <c r="AS734" s="477">
        <f>AS738-AS741+AS742</f>
        <v>12826.46</v>
      </c>
      <c r="AT734" s="476"/>
      <c r="AU734" s="433">
        <f>AU738-AU741+AU742</f>
        <v>0</v>
      </c>
      <c r="AV734" s="477">
        <f>AV738-AV741+AV742</f>
        <v>2883.16</v>
      </c>
      <c r="AW734" s="476"/>
      <c r="AX734" s="433">
        <f>AX738-AX741+AX742</f>
        <v>129.13</v>
      </c>
      <c r="AY734" s="477">
        <f>AY738-AY741+AY742</f>
        <v>0</v>
      </c>
      <c r="AZ734" s="476"/>
      <c r="BA734" s="433">
        <f>BA738-BA741+BA742</f>
        <v>0</v>
      </c>
      <c r="BB734" s="477">
        <f>BB738-BB741+BB742</f>
        <v>0</v>
      </c>
      <c r="BC734" s="476">
        <f>BC738-BC741+BC742</f>
        <v>66174.77</v>
      </c>
      <c r="BD734" s="433">
        <f>BD738-BD741+BD742</f>
        <v>10961.23</v>
      </c>
      <c r="BE734" s="477">
        <f>BE738-BE741+BE742</f>
        <v>0</v>
      </c>
      <c r="BF734" s="476"/>
      <c r="BG734" s="433">
        <f>BG738-BG741+BG742</f>
        <v>2618.9299999999998</v>
      </c>
      <c r="BH734" s="477">
        <f>BH738-BH741+BH742</f>
        <v>3007.6</v>
      </c>
      <c r="BI734" s="476"/>
      <c r="BJ734" s="433">
        <f>BJ738-BJ741+BJ742</f>
        <v>925.09</v>
      </c>
      <c r="BK734" s="490">
        <f>BK738-BK741+BK742</f>
        <v>0</v>
      </c>
      <c r="BL734" s="170"/>
      <c r="BM734" s="166"/>
      <c r="BN734" s="436">
        <f t="shared" si="163"/>
        <v>66174.77</v>
      </c>
      <c r="BO734" s="437">
        <f t="shared" si="164"/>
        <v>-197372.28399999999</v>
      </c>
      <c r="BP734" s="438">
        <f t="shared" si="165"/>
        <v>354381.72</v>
      </c>
    </row>
    <row r="735" spans="1:68" ht="45" hidden="1" customHeight="1" outlineLevel="1" x14ac:dyDescent="0.25">
      <c r="A735" s="10" t="b">
        <f t="array" ref="A735">A734</f>
        <v>1</v>
      </c>
      <c r="B735" s="5" t="b">
        <f t="array" ref="B735">A735</f>
        <v>1</v>
      </c>
      <c r="C735" s="10" t="s">
        <v>83</v>
      </c>
      <c r="D735" s="10" t="s">
        <v>84</v>
      </c>
      <c r="E735" s="10" t="s">
        <v>73</v>
      </c>
      <c r="F735" s="10" t="s">
        <v>74</v>
      </c>
      <c r="G735" s="10" t="s">
        <v>680</v>
      </c>
      <c r="H735" s="10" t="s">
        <v>73</v>
      </c>
      <c r="I735" s="10" t="s">
        <v>73</v>
      </c>
      <c r="J735" s="10" t="s">
        <v>73</v>
      </c>
      <c r="K735" s="12" t="s">
        <v>73</v>
      </c>
      <c r="L735" s="10" t="s">
        <v>133</v>
      </c>
      <c r="M735" s="5" t="str">
        <f t="array" ref="M735">Y460</f>
        <v>1ВО::1.1</v>
      </c>
      <c r="AB735" s="403" t="str">
        <f>AB734&amp;".1"</f>
        <v>4.1</v>
      </c>
      <c r="AC735" s="305" t="s">
        <v>680</v>
      </c>
      <c r="AD735" s="32" t="s">
        <v>111</v>
      </c>
      <c r="AE735" s="95"/>
      <c r="AF735" s="178"/>
      <c r="AG735" s="96"/>
      <c r="AH735" s="95"/>
      <c r="AI735" s="178"/>
      <c r="AJ735" s="96"/>
      <c r="AK735" s="95"/>
      <c r="AL735" s="178"/>
      <c r="AM735" s="181"/>
      <c r="AN735" s="95"/>
      <c r="AO735" s="178"/>
      <c r="AP735" s="181"/>
      <c r="AQ735" s="95"/>
      <c r="AR735" s="178"/>
      <c r="AS735" s="181"/>
      <c r="AT735" s="95"/>
      <c r="AU735" s="178"/>
      <c r="AV735" s="181"/>
      <c r="AW735" s="95"/>
      <c r="AX735" s="178"/>
      <c r="AY735" s="181"/>
      <c r="AZ735" s="95"/>
      <c r="BA735" s="178"/>
      <c r="BB735" s="181"/>
      <c r="BC735" s="95"/>
      <c r="BD735" s="178"/>
      <c r="BE735" s="181"/>
      <c r="BF735" s="95"/>
      <c r="BG735" s="178"/>
      <c r="BH735" s="181"/>
      <c r="BI735" s="95"/>
      <c r="BJ735" s="178"/>
      <c r="BK735" s="96"/>
      <c r="BN735" s="125">
        <f t="shared" si="163"/>
        <v>0</v>
      </c>
      <c r="BO735" s="126">
        <f t="shared" si="164"/>
        <v>0</v>
      </c>
      <c r="BP735" s="127">
        <f t="shared" si="165"/>
        <v>0</v>
      </c>
    </row>
    <row r="736" spans="1:68" ht="49.5" hidden="1" customHeight="1" outlineLevel="1" x14ac:dyDescent="0.25">
      <c r="A736" s="10" t="b">
        <f t="array" ref="A736">A735</f>
        <v>1</v>
      </c>
      <c r="B736" s="5" t="b">
        <f t="array" ref="B736">A736</f>
        <v>1</v>
      </c>
      <c r="C736" s="10" t="s">
        <v>83</v>
      </c>
      <c r="D736" s="10" t="s">
        <v>84</v>
      </c>
      <c r="E736" s="10" t="s">
        <v>73</v>
      </c>
      <c r="F736" s="10" t="s">
        <v>74</v>
      </c>
      <c r="G736" s="10" t="s">
        <v>681</v>
      </c>
      <c r="H736" s="10" t="s">
        <v>73</v>
      </c>
      <c r="I736" s="10" t="s">
        <v>73</v>
      </c>
      <c r="J736" s="10" t="s">
        <v>73</v>
      </c>
      <c r="K736" s="12" t="s">
        <v>73</v>
      </c>
      <c r="L736" s="10" t="s">
        <v>133</v>
      </c>
      <c r="M736" s="5" t="str">
        <f t="array" ref="M736">Y460</f>
        <v>1ВО::1.1</v>
      </c>
      <c r="AB736" s="403" t="str">
        <f>AB734&amp;".2"</f>
        <v>4.2</v>
      </c>
      <c r="AC736" s="305" t="s">
        <v>682</v>
      </c>
      <c r="AD736" s="32" t="s">
        <v>111</v>
      </c>
      <c r="AE736" s="95"/>
      <c r="AF736" s="178"/>
      <c r="AG736" s="96"/>
      <c r="AH736" s="95"/>
      <c r="AI736" s="178"/>
      <c r="AJ736" s="96"/>
      <c r="AK736" s="95"/>
      <c r="AL736" s="178"/>
      <c r="AM736" s="181"/>
      <c r="AN736" s="95"/>
      <c r="AO736" s="178"/>
      <c r="AP736" s="181"/>
      <c r="AQ736" s="95"/>
      <c r="AR736" s="178"/>
      <c r="AS736" s="181"/>
      <c r="AT736" s="95"/>
      <c r="AU736" s="178"/>
      <c r="AV736" s="181"/>
      <c r="AW736" s="95"/>
      <c r="AX736" s="178"/>
      <c r="AY736" s="181"/>
      <c r="AZ736" s="95"/>
      <c r="BA736" s="178"/>
      <c r="BB736" s="181"/>
      <c r="BC736" s="95"/>
      <c r="BD736" s="178"/>
      <c r="BE736" s="181"/>
      <c r="BF736" s="95"/>
      <c r="BG736" s="178"/>
      <c r="BH736" s="181"/>
      <c r="BI736" s="95"/>
      <c r="BJ736" s="178"/>
      <c r="BK736" s="96"/>
      <c r="BN736" s="125">
        <f t="shared" si="163"/>
        <v>0</v>
      </c>
      <c r="BO736" s="126">
        <f t="shared" si="164"/>
        <v>0</v>
      </c>
      <c r="BP736" s="127">
        <f t="shared" si="165"/>
        <v>0</v>
      </c>
    </row>
    <row r="737" spans="1:68" ht="38.25" hidden="1" customHeight="1" outlineLevel="1" x14ac:dyDescent="0.25">
      <c r="A737" s="10" t="b">
        <f t="array" ref="A737">A736</f>
        <v>1</v>
      </c>
      <c r="B737" s="5" t="b">
        <f t="array" ref="B737">A737</f>
        <v>1</v>
      </c>
      <c r="C737" s="10" t="s">
        <v>83</v>
      </c>
      <c r="D737" s="10" t="s">
        <v>84</v>
      </c>
      <c r="E737" s="10" t="s">
        <v>73</v>
      </c>
      <c r="F737" s="10" t="s">
        <v>74</v>
      </c>
      <c r="G737" s="10" t="s">
        <v>683</v>
      </c>
      <c r="H737" s="10" t="s">
        <v>73</v>
      </c>
      <c r="I737" s="10" t="s">
        <v>73</v>
      </c>
      <c r="J737" s="10" t="s">
        <v>73</v>
      </c>
      <c r="K737" s="12" t="s">
        <v>73</v>
      </c>
      <c r="L737" s="10" t="s">
        <v>133</v>
      </c>
      <c r="M737" s="5" t="str">
        <f t="array" ref="M737">Y460</f>
        <v>1ВО::1.1</v>
      </c>
      <c r="AB737" s="403" t="str">
        <f>AB734&amp;".3"</f>
        <v>4.3</v>
      </c>
      <c r="AC737" s="305" t="s">
        <v>683</v>
      </c>
      <c r="AD737" s="32" t="s">
        <v>111</v>
      </c>
      <c r="AE737" s="95"/>
      <c r="AF737" s="178"/>
      <c r="AG737" s="96"/>
      <c r="AH737" s="95"/>
      <c r="AI737" s="178"/>
      <c r="AJ737" s="96"/>
      <c r="AK737" s="95"/>
      <c r="AL737" s="178"/>
      <c r="AM737" s="181"/>
      <c r="AN737" s="95"/>
      <c r="AO737" s="178"/>
      <c r="AP737" s="181"/>
      <c r="AQ737" s="95"/>
      <c r="AR737" s="178"/>
      <c r="AS737" s="181"/>
      <c r="AT737" s="95"/>
      <c r="AU737" s="178"/>
      <c r="AV737" s="181"/>
      <c r="AW737" s="95"/>
      <c r="AX737" s="178"/>
      <c r="AY737" s="181"/>
      <c r="AZ737" s="95"/>
      <c r="BA737" s="178"/>
      <c r="BB737" s="181"/>
      <c r="BC737" s="95"/>
      <c r="BD737" s="178"/>
      <c r="BE737" s="181"/>
      <c r="BF737" s="95"/>
      <c r="BG737" s="178"/>
      <c r="BH737" s="181"/>
      <c r="BI737" s="95"/>
      <c r="BJ737" s="178"/>
      <c r="BK737" s="96"/>
      <c r="BN737" s="125">
        <f t="shared" si="163"/>
        <v>0</v>
      </c>
      <c r="BO737" s="126">
        <f t="shared" si="164"/>
        <v>0</v>
      </c>
      <c r="BP737" s="127">
        <f t="shared" si="165"/>
        <v>0</v>
      </c>
    </row>
    <row r="738" spans="1:68" ht="53.25" hidden="1" customHeight="1" outlineLevel="1" x14ac:dyDescent="0.25">
      <c r="A738" s="10" t="b">
        <f t="array" ref="A738">A737</f>
        <v>1</v>
      </c>
      <c r="B738" s="5" t="b">
        <f t="array" ref="B738">A738</f>
        <v>1</v>
      </c>
      <c r="C738" s="10" t="s">
        <v>83</v>
      </c>
      <c r="D738" s="10" t="s">
        <v>84</v>
      </c>
      <c r="E738" s="10" t="s">
        <v>73</v>
      </c>
      <c r="F738" s="10" t="s">
        <v>74</v>
      </c>
      <c r="G738" s="10" t="s">
        <v>505</v>
      </c>
      <c r="H738" s="10" t="s">
        <v>73</v>
      </c>
      <c r="I738" s="10" t="s">
        <v>73</v>
      </c>
      <c r="J738" s="10" t="s">
        <v>73</v>
      </c>
      <c r="K738" s="12" t="s">
        <v>73</v>
      </c>
      <c r="L738" s="10" t="s">
        <v>133</v>
      </c>
      <c r="M738" s="5" t="str">
        <f t="array" ref="M738">Y460</f>
        <v>1ВО::1.1</v>
      </c>
      <c r="AB738" s="403" t="str">
        <f>AB734&amp;".4"</f>
        <v>4.4</v>
      </c>
      <c r="AC738" s="305" t="s">
        <v>505</v>
      </c>
      <c r="AD738" s="32" t="s">
        <v>111</v>
      </c>
      <c r="AE738" s="95"/>
      <c r="AF738" s="178"/>
      <c r="AG738" s="96"/>
      <c r="AH738" s="95"/>
      <c r="AI738" s="178"/>
      <c r="AJ738" s="96"/>
      <c r="AK738" s="95"/>
      <c r="AL738" s="178"/>
      <c r="AM738" s="181"/>
      <c r="AN738" s="95"/>
      <c r="AO738" s="178"/>
      <c r="AP738" s="181"/>
      <c r="AQ738" s="95"/>
      <c r="AR738" s="178"/>
      <c r="AS738" s="181"/>
      <c r="AT738" s="95"/>
      <c r="AU738" s="178"/>
      <c r="AV738" s="181"/>
      <c r="AW738" s="95"/>
      <c r="AX738" s="178"/>
      <c r="AY738" s="181"/>
      <c r="AZ738" s="95"/>
      <c r="BA738" s="178"/>
      <c r="BB738" s="181"/>
      <c r="BC738" s="95"/>
      <c r="BD738" s="178"/>
      <c r="BE738" s="181"/>
      <c r="BF738" s="95"/>
      <c r="BG738" s="178"/>
      <c r="BH738" s="181"/>
      <c r="BI738" s="95"/>
      <c r="BJ738" s="178"/>
      <c r="BK738" s="96"/>
      <c r="BN738" s="125">
        <f t="shared" si="163"/>
        <v>0</v>
      </c>
      <c r="BO738" s="126">
        <f t="shared" si="164"/>
        <v>0</v>
      </c>
      <c r="BP738" s="127">
        <f t="shared" si="165"/>
        <v>0</v>
      </c>
    </row>
    <row r="739" spans="1:68" ht="129.75" hidden="1" customHeight="1" outlineLevel="2" x14ac:dyDescent="0.25">
      <c r="A739" s="10" t="b">
        <f t="array" ref="A739">A738</f>
        <v>1</v>
      </c>
      <c r="B739" s="5" t="b">
        <f t="array" ref="B739">A739</f>
        <v>1</v>
      </c>
      <c r="C739" s="10" t="s">
        <v>83</v>
      </c>
      <c r="D739" s="10" t="s">
        <v>84</v>
      </c>
      <c r="E739" s="10" t="s">
        <v>73</v>
      </c>
      <c r="F739" s="10" t="s">
        <v>74</v>
      </c>
      <c r="G739" s="10" t="s">
        <v>684</v>
      </c>
      <c r="H739" s="10" t="s">
        <v>73</v>
      </c>
      <c r="I739" s="10" t="s">
        <v>73</v>
      </c>
      <c r="J739" s="10" t="s">
        <v>73</v>
      </c>
      <c r="K739" s="12" t="s">
        <v>73</v>
      </c>
      <c r="L739" s="10" t="s">
        <v>133</v>
      </c>
      <c r="M739" s="5" t="str">
        <f t="array" ref="M739">Y460</f>
        <v>1ВО::1.1</v>
      </c>
      <c r="AB739" s="403" t="str">
        <f>AB738&amp;".1"</f>
        <v>4.4.1</v>
      </c>
      <c r="AC739" s="413" t="s">
        <v>685</v>
      </c>
      <c r="AD739" s="32" t="s">
        <v>111</v>
      </c>
      <c r="AE739" s="95"/>
      <c r="AF739" s="178"/>
      <c r="AG739" s="96"/>
      <c r="AH739" s="95"/>
      <c r="AI739" s="178"/>
      <c r="AJ739" s="96"/>
      <c r="AK739" s="95"/>
      <c r="AL739" s="178"/>
      <c r="AM739" s="181"/>
      <c r="AN739" s="95"/>
      <c r="AO739" s="178"/>
      <c r="AP739" s="181"/>
      <c r="AQ739" s="95"/>
      <c r="AR739" s="178"/>
      <c r="AS739" s="181"/>
      <c r="AT739" s="95"/>
      <c r="AU739" s="178"/>
      <c r="AV739" s="181"/>
      <c r="AW739" s="95"/>
      <c r="AX739" s="178"/>
      <c r="AY739" s="181"/>
      <c r="AZ739" s="95"/>
      <c r="BA739" s="178"/>
      <c r="BB739" s="181"/>
      <c r="BC739" s="95"/>
      <c r="BD739" s="178"/>
      <c r="BE739" s="181"/>
      <c r="BF739" s="95"/>
      <c r="BG739" s="178"/>
      <c r="BH739" s="181"/>
      <c r="BI739" s="95"/>
      <c r="BJ739" s="178"/>
      <c r="BK739" s="96"/>
      <c r="BN739" s="125">
        <f t="shared" si="163"/>
        <v>0</v>
      </c>
      <c r="BO739" s="126">
        <f t="shared" si="164"/>
        <v>0</v>
      </c>
      <c r="BP739" s="127">
        <f t="shared" si="165"/>
        <v>0</v>
      </c>
    </row>
    <row r="740" spans="1:68" ht="91.5" hidden="1" customHeight="1" outlineLevel="2" x14ac:dyDescent="0.25">
      <c r="A740" s="10" t="b">
        <f t="array" ref="A740">A739</f>
        <v>1</v>
      </c>
      <c r="B740" s="5" t="b">
        <f t="array" ref="B740">A740</f>
        <v>1</v>
      </c>
      <c r="C740" s="10" t="s">
        <v>83</v>
      </c>
      <c r="D740" s="10" t="s">
        <v>84</v>
      </c>
      <c r="E740" s="10" t="s">
        <v>73</v>
      </c>
      <c r="F740" s="10" t="s">
        <v>74</v>
      </c>
      <c r="G740" s="10" t="s">
        <v>686</v>
      </c>
      <c r="H740" s="10" t="s">
        <v>73</v>
      </c>
      <c r="I740" s="10" t="s">
        <v>73</v>
      </c>
      <c r="J740" s="10" t="s">
        <v>73</v>
      </c>
      <c r="K740" s="12" t="s">
        <v>73</v>
      </c>
      <c r="L740" s="10" t="s">
        <v>133</v>
      </c>
      <c r="M740" s="5" t="str">
        <f t="array" ref="M740">Y460</f>
        <v>1ВО::1.1</v>
      </c>
      <c r="AB740" s="403" t="str">
        <f>AB738&amp;".2"</f>
        <v>4.4.2</v>
      </c>
      <c r="AC740" s="413" t="s">
        <v>687</v>
      </c>
      <c r="AD740" s="32" t="s">
        <v>111</v>
      </c>
      <c r="AE740" s="95"/>
      <c r="AF740" s="178"/>
      <c r="AG740" s="96"/>
      <c r="AH740" s="95"/>
      <c r="AI740" s="178"/>
      <c r="AJ740" s="96"/>
      <c r="AK740" s="95"/>
      <c r="AL740" s="178"/>
      <c r="AM740" s="181"/>
      <c r="AN740" s="95"/>
      <c r="AO740" s="178"/>
      <c r="AP740" s="181"/>
      <c r="AQ740" s="95"/>
      <c r="AR740" s="178"/>
      <c r="AS740" s="181"/>
      <c r="AT740" s="95"/>
      <c r="AU740" s="178"/>
      <c r="AV740" s="181"/>
      <c r="AW740" s="95"/>
      <c r="AX740" s="178"/>
      <c r="AY740" s="181"/>
      <c r="AZ740" s="95"/>
      <c r="BA740" s="178"/>
      <c r="BB740" s="181"/>
      <c r="BC740" s="95"/>
      <c r="BD740" s="178"/>
      <c r="BE740" s="181"/>
      <c r="BF740" s="95"/>
      <c r="BG740" s="178"/>
      <c r="BH740" s="181"/>
      <c r="BI740" s="95"/>
      <c r="BJ740" s="178"/>
      <c r="BK740" s="96"/>
      <c r="BN740" s="125">
        <f t="shared" si="163"/>
        <v>0</v>
      </c>
      <c r="BO740" s="126">
        <f t="shared" si="164"/>
        <v>0</v>
      </c>
      <c r="BP740" s="127">
        <f t="shared" si="165"/>
        <v>0</v>
      </c>
    </row>
    <row r="741" spans="1:68" ht="189.75" hidden="1" customHeight="1" outlineLevel="1" x14ac:dyDescent="0.25">
      <c r="A741" s="10" t="b">
        <f t="array" ref="A741">A740</f>
        <v>1</v>
      </c>
      <c r="B741" s="5" t="b">
        <f t="array" ref="B741">A741</f>
        <v>1</v>
      </c>
      <c r="C741" s="10" t="s">
        <v>83</v>
      </c>
      <c r="D741" s="10" t="s">
        <v>84</v>
      </c>
      <c r="E741" s="10" t="s">
        <v>73</v>
      </c>
      <c r="F741" s="10" t="s">
        <v>74</v>
      </c>
      <c r="G741" s="10" t="s">
        <v>688</v>
      </c>
      <c r="H741" s="10" t="s">
        <v>73</v>
      </c>
      <c r="I741" s="10" t="s">
        <v>73</v>
      </c>
      <c r="J741" s="10" t="s">
        <v>73</v>
      </c>
      <c r="K741" s="12" t="s">
        <v>73</v>
      </c>
      <c r="L741" s="10" t="s">
        <v>133</v>
      </c>
      <c r="M741" s="5" t="str">
        <f t="array" ref="M741">Y460</f>
        <v>1ВО::1.1</v>
      </c>
      <c r="AB741" s="403" t="str">
        <f>AB734&amp;".5"</f>
        <v>4.5</v>
      </c>
      <c r="AC741" s="305" t="s">
        <v>689</v>
      </c>
      <c r="AD741" s="32" t="s">
        <v>111</v>
      </c>
      <c r="AE741" s="95"/>
      <c r="AF741" s="178"/>
      <c r="AG741" s="96"/>
      <c r="AH741" s="95"/>
      <c r="AI741" s="178"/>
      <c r="AJ741" s="96"/>
      <c r="AK741" s="95"/>
      <c r="AL741" s="178"/>
      <c r="AM741" s="181"/>
      <c r="AN741" s="95"/>
      <c r="AO741" s="178"/>
      <c r="AP741" s="181"/>
      <c r="AQ741" s="95"/>
      <c r="AR741" s="178"/>
      <c r="AS741" s="181"/>
      <c r="AT741" s="95"/>
      <c r="AU741" s="178"/>
      <c r="AV741" s="181"/>
      <c r="AW741" s="95"/>
      <c r="AX741" s="178"/>
      <c r="AY741" s="181"/>
      <c r="AZ741" s="95"/>
      <c r="BA741" s="178"/>
      <c r="BB741" s="181"/>
      <c r="BC741" s="95"/>
      <c r="BD741" s="178"/>
      <c r="BE741" s="181"/>
      <c r="BF741" s="95"/>
      <c r="BG741" s="178"/>
      <c r="BH741" s="181"/>
      <c r="BI741" s="95"/>
      <c r="BJ741" s="178"/>
      <c r="BK741" s="96"/>
      <c r="BN741" s="125">
        <f t="shared" si="163"/>
        <v>0</v>
      </c>
      <c r="BO741" s="126">
        <f t="shared" si="164"/>
        <v>0</v>
      </c>
      <c r="BP741" s="127">
        <f t="shared" si="165"/>
        <v>0</v>
      </c>
    </row>
    <row r="742" spans="1:68" ht="52.5" customHeight="1" outlineLevel="1" x14ac:dyDescent="0.25">
      <c r="A742" s="10" t="b">
        <f t="array" ref="A742">A741</f>
        <v>1</v>
      </c>
      <c r="B742" s="5" t="b">
        <f t="array" ref="B742">A742</f>
        <v>1</v>
      </c>
      <c r="C742" s="10" t="s">
        <v>83</v>
      </c>
      <c r="D742" s="10" t="s">
        <v>84</v>
      </c>
      <c r="E742" s="10" t="s">
        <v>73</v>
      </c>
      <c r="F742" s="10" t="s">
        <v>74</v>
      </c>
      <c r="G742" s="10" t="s">
        <v>513</v>
      </c>
      <c r="H742" s="10" t="s">
        <v>73</v>
      </c>
      <c r="I742" s="10" t="s">
        <v>73</v>
      </c>
      <c r="J742" s="10" t="s">
        <v>73</v>
      </c>
      <c r="K742" s="12" t="s">
        <v>73</v>
      </c>
      <c r="L742" s="10" t="s">
        <v>133</v>
      </c>
      <c r="M742" s="5" t="str">
        <f t="array" ref="M742">Y460</f>
        <v>1ВО::1.1</v>
      </c>
      <c r="AB742" s="403" t="str">
        <f>AB734&amp;".6"</f>
        <v>4.6</v>
      </c>
      <c r="AC742" s="305" t="s">
        <v>513</v>
      </c>
      <c r="AD742" s="32" t="s">
        <v>111</v>
      </c>
      <c r="AE742" s="95"/>
      <c r="AF742" s="178">
        <v>0</v>
      </c>
      <c r="AG742" s="96">
        <v>321979.78999999998</v>
      </c>
      <c r="AH742" s="95"/>
      <c r="AI742" s="178">
        <v>-431.65</v>
      </c>
      <c r="AJ742" s="96"/>
      <c r="AK742" s="95"/>
      <c r="AL742" s="178"/>
      <c r="AM742" s="181"/>
      <c r="AN742" s="95"/>
      <c r="AO742" s="178"/>
      <c r="AP742" s="181">
        <v>13684.71</v>
      </c>
      <c r="AQ742" s="95"/>
      <c r="AR742" s="178"/>
      <c r="AS742" s="181">
        <v>12826.46</v>
      </c>
      <c r="AT742" s="95"/>
      <c r="AU742" s="178"/>
      <c r="AV742" s="181">
        <v>2883.16</v>
      </c>
      <c r="AW742" s="95"/>
      <c r="AX742" s="178">
        <v>129.13</v>
      </c>
      <c r="AY742" s="181"/>
      <c r="AZ742" s="95"/>
      <c r="BA742" s="178"/>
      <c r="BB742" s="181"/>
      <c r="BC742" s="95">
        <v>66174.77</v>
      </c>
      <c r="BD742" s="178">
        <v>10961.23</v>
      </c>
      <c r="BE742" s="181"/>
      <c r="BF742" s="185"/>
      <c r="BG742" s="183">
        <v>2618.9299999999998</v>
      </c>
      <c r="BH742" s="184">
        <v>3007.6</v>
      </c>
      <c r="BI742" s="185"/>
      <c r="BJ742" s="183">
        <v>925.09</v>
      </c>
      <c r="BK742" s="186"/>
      <c r="BN742" s="125">
        <f t="shared" si="163"/>
        <v>66174.77</v>
      </c>
      <c r="BO742" s="126">
        <f t="shared" si="164"/>
        <v>14202.73</v>
      </c>
      <c r="BP742" s="127">
        <f t="shared" si="165"/>
        <v>354381.72</v>
      </c>
    </row>
    <row r="743" spans="1:68" ht="52.5" hidden="1" customHeight="1" outlineLevel="1" x14ac:dyDescent="0.25">
      <c r="A743" s="10"/>
      <c r="C743" s="10"/>
      <c r="D743" s="10"/>
      <c r="E743" s="10"/>
      <c r="F743" s="10"/>
      <c r="G743" s="10"/>
      <c r="H743" s="10"/>
      <c r="I743" s="10"/>
      <c r="J743" s="10"/>
      <c r="K743" s="12"/>
      <c r="L743" s="10"/>
      <c r="AB743" s="403"/>
      <c r="AC743" s="305"/>
      <c r="AD743" s="370" t="s">
        <v>111</v>
      </c>
      <c r="AE743" s="95"/>
      <c r="AF743" s="178"/>
      <c r="AG743" s="96"/>
      <c r="AH743" s="95"/>
      <c r="AI743" s="178"/>
      <c r="AJ743" s="96"/>
      <c r="AK743" s="95"/>
      <c r="AL743" s="178"/>
      <c r="AM743" s="181"/>
      <c r="AN743" s="95"/>
      <c r="AO743" s="178"/>
      <c r="AP743" s="181"/>
      <c r="AQ743" s="95"/>
      <c r="AR743" s="178"/>
      <c r="AS743" s="181"/>
      <c r="AT743" s="95"/>
      <c r="AU743" s="178"/>
      <c r="AV743" s="181"/>
      <c r="AW743" s="95"/>
      <c r="AX743" s="178"/>
      <c r="AY743" s="181"/>
      <c r="AZ743" s="95"/>
      <c r="BA743" s="178"/>
      <c r="BB743" s="181"/>
      <c r="BC743" s="95"/>
      <c r="BD743" s="178"/>
      <c r="BE743" s="181"/>
      <c r="BF743" s="185"/>
      <c r="BG743" s="183"/>
      <c r="BH743" s="184"/>
      <c r="BI743" s="185"/>
      <c r="BJ743" s="183"/>
      <c r="BK743" s="186"/>
      <c r="BN743" s="125"/>
      <c r="BO743" s="126"/>
      <c r="BP743" s="127"/>
    </row>
    <row r="744" spans="1:68" ht="52.5" customHeight="1" outlineLevel="1" x14ac:dyDescent="0.25">
      <c r="A744" s="10"/>
      <c r="C744" s="10"/>
      <c r="D744" s="10"/>
      <c r="E744" s="10"/>
      <c r="F744" s="10"/>
      <c r="G744" s="10"/>
      <c r="H744" s="10"/>
      <c r="I744" s="10"/>
      <c r="J744" s="10"/>
      <c r="K744" s="12"/>
      <c r="L744" s="10"/>
      <c r="AB744" s="403"/>
      <c r="AC744" s="80" t="s">
        <v>690</v>
      </c>
      <c r="AD744" s="370"/>
      <c r="AE744" s="95"/>
      <c r="AF744" s="178"/>
      <c r="AG744" s="96"/>
      <c r="AH744" s="95"/>
      <c r="AI744" s="178"/>
      <c r="AJ744" s="96"/>
      <c r="AK744" s="95"/>
      <c r="AL744" s="178"/>
      <c r="AM744" s="181"/>
      <c r="AN744" s="95"/>
      <c r="AO744" s="178">
        <v>-145.21</v>
      </c>
      <c r="AP744" s="181"/>
      <c r="AQ744" s="95"/>
      <c r="AR744" s="178"/>
      <c r="AS744" s="181"/>
      <c r="AT744" s="95"/>
      <c r="AU744" s="178"/>
      <c r="AV744" s="181"/>
      <c r="AW744" s="95"/>
      <c r="AX744" s="178"/>
      <c r="AY744" s="181"/>
      <c r="AZ744" s="95"/>
      <c r="BA744" s="178"/>
      <c r="BB744" s="181"/>
      <c r="BC744" s="95"/>
      <c r="BD744" s="178"/>
      <c r="BE744" s="181"/>
      <c r="BF744" s="185"/>
      <c r="BG744" s="183"/>
      <c r="BH744" s="184"/>
      <c r="BI744" s="185"/>
      <c r="BJ744" s="183"/>
      <c r="BK744" s="186"/>
      <c r="BN744" s="125"/>
      <c r="BO744" s="126"/>
      <c r="BP744" s="127"/>
    </row>
    <row r="745" spans="1:68" ht="52.5" customHeight="1" outlineLevel="1" x14ac:dyDescent="0.25">
      <c r="A745" s="10"/>
      <c r="C745" s="10"/>
      <c r="D745" s="10"/>
      <c r="E745" s="10"/>
      <c r="F745" s="10"/>
      <c r="G745" s="10"/>
      <c r="H745" s="10"/>
      <c r="I745" s="10"/>
      <c r="J745" s="10"/>
      <c r="K745" s="12"/>
      <c r="L745" s="10"/>
      <c r="AB745" s="403"/>
      <c r="AC745" s="80" t="s">
        <v>691</v>
      </c>
      <c r="AD745" s="370" t="s">
        <v>111</v>
      </c>
      <c r="AE745" s="95"/>
      <c r="AF745" s="178">
        <v>-96059.02</v>
      </c>
      <c r="AG745" s="96"/>
      <c r="AH745" s="95"/>
      <c r="AI745" s="178"/>
      <c r="AJ745" s="96"/>
      <c r="AK745" s="95"/>
      <c r="AL745" s="178"/>
      <c r="AM745" s="181"/>
      <c r="AN745" s="95"/>
      <c r="AO745" s="178"/>
      <c r="AP745" s="181"/>
      <c r="AQ745" s="95"/>
      <c r="AR745" s="178"/>
      <c r="AS745" s="181"/>
      <c r="AT745" s="95"/>
      <c r="AU745" s="178"/>
      <c r="AV745" s="181"/>
      <c r="AW745" s="95"/>
      <c r="AX745" s="178"/>
      <c r="AY745" s="181"/>
      <c r="AZ745" s="95"/>
      <c r="BA745" s="178"/>
      <c r="BB745" s="181"/>
      <c r="BC745" s="95"/>
      <c r="BD745" s="178"/>
      <c r="BE745" s="181"/>
      <c r="BF745" s="185"/>
      <c r="BG745" s="183"/>
      <c r="BH745" s="184"/>
      <c r="BI745" s="185"/>
      <c r="BJ745" s="183"/>
      <c r="BK745" s="186"/>
      <c r="BN745" s="125"/>
      <c r="BO745" s="126"/>
      <c r="BP745" s="127"/>
    </row>
    <row r="746" spans="1:68" ht="52.5" customHeight="1" outlineLevel="1" x14ac:dyDescent="0.25">
      <c r="A746" s="10"/>
      <c r="C746" s="10"/>
      <c r="D746" s="10"/>
      <c r="E746" s="10"/>
      <c r="F746" s="10"/>
      <c r="G746" s="10"/>
      <c r="H746" s="10"/>
      <c r="I746" s="10"/>
      <c r="J746" s="10"/>
      <c r="K746" s="12"/>
      <c r="L746" s="10"/>
      <c r="AB746" s="403"/>
      <c r="AC746" s="80" t="s">
        <v>692</v>
      </c>
      <c r="AD746" s="370" t="s">
        <v>111</v>
      </c>
      <c r="AE746" s="95"/>
      <c r="AF746" s="178">
        <v>-111142.52</v>
      </c>
      <c r="AG746" s="96"/>
      <c r="AH746" s="95"/>
      <c r="AI746" s="178"/>
      <c r="AJ746" s="96"/>
      <c r="AK746" s="95"/>
      <c r="AL746" s="178"/>
      <c r="AM746" s="181"/>
      <c r="AN746" s="95"/>
      <c r="AO746" s="181">
        <f>-(3861.2-3538.38)</f>
        <v>-322.81999999999971</v>
      </c>
      <c r="AP746" s="181"/>
      <c r="AQ746" s="95"/>
      <c r="AR746" s="178"/>
      <c r="AS746" s="181"/>
      <c r="AT746" s="95"/>
      <c r="AU746" s="178"/>
      <c r="AV746" s="181"/>
      <c r="AW746" s="95"/>
      <c r="AX746" s="178"/>
      <c r="AY746" s="181"/>
      <c r="AZ746" s="95"/>
      <c r="BA746" s="178"/>
      <c r="BB746" s="181"/>
      <c r="BC746" s="95"/>
      <c r="BD746" s="178"/>
      <c r="BE746" s="181"/>
      <c r="BF746" s="185"/>
      <c r="BG746" s="183"/>
      <c r="BH746" s="184"/>
      <c r="BI746" s="185"/>
      <c r="BJ746" s="183"/>
      <c r="BK746" s="186"/>
      <c r="BN746" s="125"/>
      <c r="BO746" s="126"/>
      <c r="BP746" s="127"/>
    </row>
    <row r="747" spans="1:68" ht="52.5" customHeight="1" outlineLevel="1" x14ac:dyDescent="0.25">
      <c r="A747" s="10"/>
      <c r="C747" s="10"/>
      <c r="D747" s="10"/>
      <c r="E747" s="10"/>
      <c r="F747" s="10"/>
      <c r="G747" s="10"/>
      <c r="H747" s="10"/>
      <c r="I747" s="10"/>
      <c r="J747" s="10"/>
      <c r="K747" s="12"/>
      <c r="L747" s="10"/>
      <c r="AB747" s="523"/>
      <c r="AC747" s="524">
        <v>2026</v>
      </c>
      <c r="AD747" s="525"/>
      <c r="AE747" s="526"/>
      <c r="AF747" s="527"/>
      <c r="AG747" s="96"/>
      <c r="AH747" s="95"/>
      <c r="AI747" s="178"/>
      <c r="AJ747" s="96"/>
      <c r="AK747" s="95"/>
      <c r="AL747" s="178"/>
      <c r="AM747" s="181"/>
      <c r="AN747" s="95"/>
      <c r="AO747" s="528">
        <f>AO746</f>
        <v>-322.81999999999971</v>
      </c>
      <c r="AP747" s="181"/>
      <c r="AQ747" s="95"/>
      <c r="AR747" s="178"/>
      <c r="AS747" s="181"/>
      <c r="AT747" s="95"/>
      <c r="AU747" s="178"/>
      <c r="AV747" s="181"/>
      <c r="AW747" s="95"/>
      <c r="AX747" s="178"/>
      <c r="AY747" s="181"/>
      <c r="AZ747" s="95"/>
      <c r="BA747" s="178"/>
      <c r="BB747" s="181"/>
      <c r="BC747" s="95"/>
      <c r="BD747" s="178"/>
      <c r="BE747" s="181"/>
      <c r="BF747" s="185"/>
      <c r="BG747" s="183"/>
      <c r="BH747" s="184"/>
      <c r="BI747" s="185"/>
      <c r="BJ747" s="183"/>
      <c r="BK747" s="186"/>
      <c r="BN747" s="125"/>
      <c r="BO747" s="126"/>
      <c r="BP747" s="127"/>
    </row>
    <row r="748" spans="1:68" ht="52.5" customHeight="1" outlineLevel="1" x14ac:dyDescent="0.25">
      <c r="A748" s="10"/>
      <c r="C748" s="10"/>
      <c r="D748" s="10"/>
      <c r="E748" s="10"/>
      <c r="F748" s="10"/>
      <c r="G748" s="10"/>
      <c r="H748" s="10"/>
      <c r="I748" s="10"/>
      <c r="J748" s="10"/>
      <c r="K748" s="12"/>
      <c r="L748" s="10"/>
      <c r="AB748" s="523"/>
      <c r="AC748" s="529" t="s">
        <v>693</v>
      </c>
      <c r="AD748" s="525"/>
      <c r="AE748" s="526"/>
      <c r="AF748" s="527"/>
      <c r="AG748" s="96"/>
      <c r="AH748" s="95"/>
      <c r="AI748" s="178"/>
      <c r="AJ748" s="96"/>
      <c r="AK748" s="95"/>
      <c r="AL748" s="178"/>
      <c r="AM748" s="181"/>
      <c r="AN748" s="95"/>
      <c r="AO748" s="528">
        <f>191.72+536.8</f>
        <v>728.52</v>
      </c>
      <c r="AP748" s="181"/>
      <c r="AQ748" s="95"/>
      <c r="AR748" s="178"/>
      <c r="AS748" s="181"/>
      <c r="AT748" s="95"/>
      <c r="AU748" s="178"/>
      <c r="AV748" s="181"/>
      <c r="AW748" s="95"/>
      <c r="AX748" s="178"/>
      <c r="AY748" s="181"/>
      <c r="AZ748" s="95"/>
      <c r="BA748" s="178"/>
      <c r="BB748" s="181"/>
      <c r="BC748" s="95"/>
      <c r="BD748" s="178"/>
      <c r="BE748" s="181"/>
      <c r="BF748" s="185"/>
      <c r="BG748" s="183"/>
      <c r="BH748" s="184"/>
      <c r="BI748" s="185"/>
      <c r="BJ748" s="183"/>
      <c r="BK748" s="186"/>
      <c r="BN748" s="125"/>
      <c r="BO748" s="126"/>
      <c r="BP748" s="127"/>
    </row>
    <row r="749" spans="1:68" ht="52.5" customHeight="1" outlineLevel="1" x14ac:dyDescent="0.25">
      <c r="A749" s="10"/>
      <c r="C749" s="10"/>
      <c r="D749" s="10"/>
      <c r="E749" s="10"/>
      <c r="F749" s="10"/>
      <c r="G749" s="10"/>
      <c r="H749" s="10"/>
      <c r="I749" s="10"/>
      <c r="J749" s="10"/>
      <c r="K749" s="12"/>
      <c r="L749" s="10"/>
      <c r="AB749" s="1103" t="s">
        <v>694</v>
      </c>
      <c r="AC749" s="80" t="s">
        <v>695</v>
      </c>
      <c r="AD749" s="370" t="s">
        <v>111</v>
      </c>
      <c r="AE749" s="95"/>
      <c r="AF749" s="178">
        <v>-114347.91</v>
      </c>
      <c r="AG749" s="96"/>
      <c r="AH749" s="95"/>
      <c r="AI749" s="178"/>
      <c r="AJ749" s="96"/>
      <c r="AK749" s="95"/>
      <c r="AL749" s="178"/>
      <c r="AM749" s="181"/>
      <c r="AN749" s="95"/>
      <c r="AO749" s="178"/>
      <c r="AP749" s="181"/>
      <c r="AQ749" s="95"/>
      <c r="AR749" s="178"/>
      <c r="AS749" s="181"/>
      <c r="AT749" s="95"/>
      <c r="AU749" s="178"/>
      <c r="AV749" s="181"/>
      <c r="AW749" s="95"/>
      <c r="AX749" s="178"/>
      <c r="AY749" s="181"/>
      <c r="AZ749" s="95"/>
      <c r="BA749" s="178"/>
      <c r="BB749" s="181"/>
      <c r="BC749" s="95"/>
      <c r="BD749" s="178"/>
      <c r="BE749" s="181"/>
      <c r="BF749" s="185"/>
      <c r="BG749" s="183"/>
      <c r="BH749" s="184"/>
      <c r="BI749" s="185"/>
      <c r="BJ749" s="183"/>
      <c r="BK749" s="186"/>
      <c r="BN749" s="125"/>
      <c r="BO749" s="126"/>
      <c r="BP749" s="127"/>
    </row>
    <row r="750" spans="1:68" ht="81.75" customHeight="1" outlineLevel="1" x14ac:dyDescent="0.25">
      <c r="A750" s="10"/>
      <c r="C750" s="10"/>
      <c r="D750" s="10"/>
      <c r="E750" s="10"/>
      <c r="F750" s="10"/>
      <c r="G750" s="10"/>
      <c r="H750" s="10"/>
      <c r="I750" s="10"/>
      <c r="J750" s="10"/>
      <c r="K750" s="12"/>
      <c r="L750" s="10"/>
      <c r="AB750" s="1103"/>
      <c r="AC750" s="80" t="s">
        <v>696</v>
      </c>
      <c r="AD750" s="370" t="s">
        <v>111</v>
      </c>
      <c r="AE750" s="95"/>
      <c r="AF750" s="178">
        <f>-(225582.49-50442.38)</f>
        <v>-175140.11</v>
      </c>
      <c r="AG750" s="96"/>
      <c r="AH750" s="95"/>
      <c r="AI750" s="178"/>
      <c r="AJ750" s="96"/>
      <c r="AK750" s="95"/>
      <c r="AL750" s="178"/>
      <c r="AM750" s="181"/>
      <c r="AN750" s="95"/>
      <c r="AO750" s="178"/>
      <c r="AP750" s="181"/>
      <c r="AQ750" s="95"/>
      <c r="AR750" s="178"/>
      <c r="AS750" s="181"/>
      <c r="AT750" s="95"/>
      <c r="AU750" s="178"/>
      <c r="AV750" s="181"/>
      <c r="AW750" s="95"/>
      <c r="AX750" s="178"/>
      <c r="AY750" s="181"/>
      <c r="AZ750" s="95"/>
      <c r="BA750" s="178"/>
      <c r="BB750" s="181"/>
      <c r="BC750" s="95"/>
      <c r="BD750" s="178"/>
      <c r="BE750" s="181"/>
      <c r="BF750" s="185"/>
      <c r="BG750" s="183"/>
      <c r="BH750" s="184"/>
      <c r="BI750" s="185"/>
      <c r="BJ750" s="183"/>
      <c r="BK750" s="186"/>
      <c r="BN750" s="125"/>
      <c r="BO750" s="126"/>
      <c r="BP750" s="127"/>
    </row>
    <row r="751" spans="1:68" ht="81.75" customHeight="1" outlineLevel="1" x14ac:dyDescent="0.25">
      <c r="A751" s="10"/>
      <c r="C751" s="10"/>
      <c r="D751" s="10"/>
      <c r="E751" s="10"/>
      <c r="F751" s="10"/>
      <c r="G751" s="10"/>
      <c r="H751" s="10"/>
      <c r="I751" s="10"/>
      <c r="J751" s="10"/>
      <c r="K751" s="12"/>
      <c r="L751" s="10"/>
      <c r="AB751" s="530"/>
      <c r="AC751" s="80" t="s">
        <v>697</v>
      </c>
      <c r="AD751" s="370" t="s">
        <v>111</v>
      </c>
      <c r="AE751" s="95"/>
      <c r="AF751" s="178">
        <f>-88430.1</f>
        <v>-88430.1</v>
      </c>
      <c r="AG751" s="96"/>
      <c r="AH751" s="95"/>
      <c r="AI751" s="178"/>
      <c r="AJ751" s="96"/>
      <c r="AK751" s="95"/>
      <c r="AL751" s="178"/>
      <c r="AM751" s="181"/>
      <c r="AN751" s="95"/>
      <c r="AO751" s="178"/>
      <c r="AP751" s="181"/>
      <c r="AQ751" s="95"/>
      <c r="AR751" s="178"/>
      <c r="AS751" s="181"/>
      <c r="AT751" s="95"/>
      <c r="AU751" s="178"/>
      <c r="AV751" s="181"/>
      <c r="AW751" s="95"/>
      <c r="AX751" s="178"/>
      <c r="AY751" s="181"/>
      <c r="AZ751" s="95"/>
      <c r="BA751" s="178"/>
      <c r="BB751" s="181"/>
      <c r="BC751" s="95"/>
      <c r="BD751" s="178"/>
      <c r="BE751" s="181"/>
      <c r="BF751" s="185"/>
      <c r="BG751" s="183"/>
      <c r="BH751" s="184"/>
      <c r="BI751" s="185"/>
      <c r="BJ751" s="183"/>
      <c r="BK751" s="186"/>
      <c r="BN751" s="125"/>
      <c r="BO751" s="126"/>
      <c r="BP751" s="127"/>
    </row>
    <row r="752" spans="1:68" ht="81.75" customHeight="1" outlineLevel="1" x14ac:dyDescent="0.25">
      <c r="A752" s="10"/>
      <c r="C752" s="10"/>
      <c r="D752" s="10"/>
      <c r="E752" s="10"/>
      <c r="F752" s="10"/>
      <c r="G752" s="10"/>
      <c r="H752" s="10"/>
      <c r="I752" s="10"/>
      <c r="J752" s="10"/>
      <c r="K752" s="12"/>
      <c r="L752" s="10"/>
      <c r="AB752" s="530"/>
      <c r="AC752" s="80" t="s">
        <v>698</v>
      </c>
      <c r="AD752" s="370" t="s">
        <v>111</v>
      </c>
      <c r="AE752" s="95"/>
      <c r="AF752" s="178">
        <v>-71219.47</v>
      </c>
      <c r="AG752" s="96"/>
      <c r="AH752" s="95"/>
      <c r="AI752" s="178"/>
      <c r="AJ752" s="96"/>
      <c r="AK752" s="95"/>
      <c r="AL752" s="178"/>
      <c r="AM752" s="181"/>
      <c r="AN752" s="95"/>
      <c r="AO752" s="178"/>
      <c r="AP752" s="181"/>
      <c r="AQ752" s="95"/>
      <c r="AR752" s="178"/>
      <c r="AS752" s="181"/>
      <c r="AT752" s="95"/>
      <c r="AU752" s="178"/>
      <c r="AV752" s="181"/>
      <c r="AW752" s="95"/>
      <c r="AX752" s="178"/>
      <c r="AY752" s="181"/>
      <c r="AZ752" s="95"/>
      <c r="BA752" s="178"/>
      <c r="BB752" s="181"/>
      <c r="BC752" s="95"/>
      <c r="BD752" s="178"/>
      <c r="BE752" s="181"/>
      <c r="BF752" s="185"/>
      <c r="BG752" s="183"/>
      <c r="BH752" s="184"/>
      <c r="BI752" s="185"/>
      <c r="BJ752" s="183"/>
      <c r="BK752" s="186"/>
      <c r="BN752" s="125"/>
      <c r="BO752" s="126"/>
      <c r="BP752" s="127"/>
    </row>
    <row r="753" spans="1:68" ht="52.5" customHeight="1" outlineLevel="1" x14ac:dyDescent="0.25">
      <c r="A753" s="10"/>
      <c r="C753" s="10"/>
      <c r="D753" s="10"/>
      <c r="E753" s="10"/>
      <c r="F753" s="10"/>
      <c r="G753" s="10"/>
      <c r="H753" s="10"/>
      <c r="I753" s="10"/>
      <c r="J753" s="10"/>
      <c r="K753" s="12"/>
      <c r="L753" s="10"/>
      <c r="AB753" s="403"/>
      <c r="AC753" s="301" t="s">
        <v>699</v>
      </c>
      <c r="AD753" s="531" t="s">
        <v>111</v>
      </c>
      <c r="AE753" s="532"/>
      <c r="AF753" s="533">
        <f>SUM(AF745:AF752)</f>
        <v>-656339.13</v>
      </c>
      <c r="AG753" s="96"/>
      <c r="AH753" s="95"/>
      <c r="AI753" s="533">
        <f>AI754+AI755+AI756</f>
        <v>4316.4490000000005</v>
      </c>
      <c r="AJ753" s="96"/>
      <c r="AK753" s="95"/>
      <c r="AL753" s="178"/>
      <c r="AM753" s="181"/>
      <c r="AN753" s="95"/>
      <c r="AO753" s="178"/>
      <c r="AP753" s="181"/>
      <c r="AQ753" s="95"/>
      <c r="AR753" s="178"/>
      <c r="AS753" s="181"/>
      <c r="AT753" s="95"/>
      <c r="AU753" s="178"/>
      <c r="AV753" s="181"/>
      <c r="AW753" s="95"/>
      <c r="AX753" s="178"/>
      <c r="AY753" s="181"/>
      <c r="AZ753" s="95"/>
      <c r="BA753" s="178"/>
      <c r="BB753" s="181"/>
      <c r="BC753" s="95"/>
      <c r="BD753" s="178"/>
      <c r="BE753" s="181"/>
      <c r="BF753" s="185"/>
      <c r="BG753" s="183"/>
      <c r="BH753" s="184"/>
      <c r="BI753" s="185"/>
      <c r="BJ753" s="183"/>
      <c r="BK753" s="186"/>
      <c r="BN753" s="125"/>
      <c r="BO753" s="126"/>
      <c r="BP753" s="127"/>
    </row>
    <row r="754" spans="1:68" ht="15.75" customHeight="1" outlineLevel="1" x14ac:dyDescent="0.25">
      <c r="A754" s="10"/>
      <c r="C754" s="10"/>
      <c r="D754" s="10"/>
      <c r="E754" s="10"/>
      <c r="F754" s="10"/>
      <c r="G754" s="10"/>
      <c r="H754" s="10"/>
      <c r="I754" s="10"/>
      <c r="J754" s="10"/>
      <c r="K754" s="12"/>
      <c r="L754" s="10"/>
      <c r="AB754" s="403"/>
      <c r="AC754" s="301" t="s">
        <v>510</v>
      </c>
      <c r="AD754" s="534"/>
      <c r="AE754" s="532"/>
      <c r="AF754" s="533">
        <v>-212158.32399999999</v>
      </c>
      <c r="AG754" s="96"/>
      <c r="AH754" s="95"/>
      <c r="AI754" s="533">
        <v>431.64499999999998</v>
      </c>
      <c r="AJ754" s="96"/>
      <c r="AK754" s="95"/>
      <c r="AL754" s="178"/>
      <c r="AM754" s="181"/>
      <c r="AN754" s="95"/>
      <c r="AO754" s="178"/>
      <c r="AP754" s="181"/>
      <c r="AQ754" s="95"/>
      <c r="AR754" s="178"/>
      <c r="AS754" s="181"/>
      <c r="AT754" s="95"/>
      <c r="AU754" s="178"/>
      <c r="AV754" s="181"/>
      <c r="AW754" s="95"/>
      <c r="AX754" s="178"/>
      <c r="AY754" s="181"/>
      <c r="AZ754" s="95"/>
      <c r="BA754" s="178"/>
      <c r="BB754" s="181"/>
      <c r="BC754" s="95"/>
      <c r="BD754" s="178"/>
      <c r="BE754" s="181"/>
      <c r="BF754" s="185"/>
      <c r="BG754" s="183"/>
      <c r="BH754" s="184"/>
      <c r="BI754" s="185"/>
      <c r="BJ754" s="183"/>
      <c r="BK754" s="186"/>
      <c r="BN754" s="125"/>
      <c r="BO754" s="126"/>
      <c r="BP754" s="127"/>
    </row>
    <row r="755" spans="1:68" ht="15.75" customHeight="1" outlineLevel="1" x14ac:dyDescent="0.25">
      <c r="A755" s="10"/>
      <c r="C755" s="10"/>
      <c r="D755" s="10"/>
      <c r="E755" s="10"/>
      <c r="F755" s="10"/>
      <c r="G755" s="10"/>
      <c r="H755" s="10"/>
      <c r="I755" s="10"/>
      <c r="J755" s="10"/>
      <c r="K755" s="12"/>
      <c r="L755" s="10"/>
      <c r="AB755" s="403"/>
      <c r="AC755" s="301" t="s">
        <v>511</v>
      </c>
      <c r="AD755" s="534"/>
      <c r="AE755" s="532"/>
      <c r="AF755" s="533">
        <v>-94843.744000000006</v>
      </c>
      <c r="AG755" s="96"/>
      <c r="AH755" s="95"/>
      <c r="AI755" s="533">
        <v>863.29</v>
      </c>
      <c r="AJ755" s="96"/>
      <c r="AK755" s="95"/>
      <c r="AL755" s="178"/>
      <c r="AM755" s="181"/>
      <c r="AN755" s="95"/>
      <c r="AO755" s="178"/>
      <c r="AP755" s="181"/>
      <c r="AQ755" s="95"/>
      <c r="AR755" s="178"/>
      <c r="AS755" s="181"/>
      <c r="AT755" s="95"/>
      <c r="AU755" s="178"/>
      <c r="AV755" s="181"/>
      <c r="AW755" s="95"/>
      <c r="AX755" s="178"/>
      <c r="AY755" s="181"/>
      <c r="AZ755" s="95"/>
      <c r="BA755" s="178"/>
      <c r="BB755" s="181"/>
      <c r="BC755" s="95"/>
      <c r="BD755" s="178"/>
      <c r="BE755" s="181"/>
      <c r="BF755" s="185"/>
      <c r="BG755" s="183"/>
      <c r="BH755" s="184"/>
      <c r="BI755" s="185"/>
      <c r="BJ755" s="183"/>
      <c r="BK755" s="186"/>
      <c r="BN755" s="125"/>
      <c r="BO755" s="126"/>
      <c r="BP755" s="127"/>
    </row>
    <row r="756" spans="1:68" ht="15.75" customHeight="1" outlineLevel="1" x14ac:dyDescent="0.25">
      <c r="A756" s="10"/>
      <c r="C756" s="10"/>
      <c r="D756" s="10"/>
      <c r="E756" s="10"/>
      <c r="F756" s="10"/>
      <c r="G756" s="10"/>
      <c r="H756" s="10"/>
      <c r="I756" s="10"/>
      <c r="J756" s="10"/>
      <c r="K756" s="12"/>
      <c r="L756" s="10"/>
      <c r="AB756" s="403"/>
      <c r="AC756" s="301" t="s">
        <v>700</v>
      </c>
      <c r="AD756" s="534"/>
      <c r="AE756" s="532"/>
      <c r="AF756" s="533">
        <v>-174668.524</v>
      </c>
      <c r="AG756" s="96"/>
      <c r="AH756" s="95"/>
      <c r="AI756" s="533">
        <v>3021.5140000000001</v>
      </c>
      <c r="AJ756" s="96"/>
      <c r="AK756" s="95"/>
      <c r="AL756" s="178"/>
      <c r="AM756" s="181"/>
      <c r="AN756" s="95"/>
      <c r="AO756" s="178"/>
      <c r="AP756" s="181"/>
      <c r="AQ756" s="95"/>
      <c r="AR756" s="178"/>
      <c r="AS756" s="181"/>
      <c r="AT756" s="95"/>
      <c r="AU756" s="178"/>
      <c r="AV756" s="181"/>
      <c r="AW756" s="95"/>
      <c r="AX756" s="178"/>
      <c r="AY756" s="181"/>
      <c r="AZ756" s="95"/>
      <c r="BA756" s="178"/>
      <c r="BB756" s="181"/>
      <c r="BC756" s="95"/>
      <c r="BD756" s="178"/>
      <c r="BE756" s="181"/>
      <c r="BF756" s="185"/>
      <c r="BG756" s="183"/>
      <c r="BH756" s="184"/>
      <c r="BI756" s="185"/>
      <c r="BJ756" s="183"/>
      <c r="BK756" s="186"/>
      <c r="BN756" s="125"/>
      <c r="BO756" s="126"/>
      <c r="BP756" s="127"/>
    </row>
    <row r="757" spans="1:68" ht="15.75" customHeight="1" outlineLevel="1" x14ac:dyDescent="0.25">
      <c r="A757" s="10"/>
      <c r="C757" s="10"/>
      <c r="D757" s="10"/>
      <c r="E757" s="10"/>
      <c r="F757" s="10"/>
      <c r="G757" s="10"/>
      <c r="H757" s="10"/>
      <c r="I757" s="10"/>
      <c r="J757" s="10"/>
      <c r="K757" s="12"/>
      <c r="L757" s="10"/>
      <c r="AB757" s="403"/>
      <c r="AC757" s="301" t="s">
        <v>701</v>
      </c>
      <c r="AD757" s="534"/>
      <c r="AE757" s="532"/>
      <c r="AF757" s="533">
        <v>-174668.524</v>
      </c>
      <c r="AG757" s="96"/>
      <c r="AH757" s="95"/>
      <c r="AI757" s="178"/>
      <c r="AJ757" s="96"/>
      <c r="AK757" s="95"/>
      <c r="AL757" s="178"/>
      <c r="AM757" s="181"/>
      <c r="AN757" s="95"/>
      <c r="AO757" s="178"/>
      <c r="AP757" s="181"/>
      <c r="AQ757" s="95"/>
      <c r="AR757" s="178"/>
      <c r="AS757" s="181"/>
      <c r="AT757" s="95"/>
      <c r="AU757" s="178"/>
      <c r="AV757" s="181"/>
      <c r="AW757" s="95"/>
      <c r="AX757" s="178"/>
      <c r="AY757" s="181"/>
      <c r="AZ757" s="95"/>
      <c r="BA757" s="178"/>
      <c r="BB757" s="181"/>
      <c r="BC757" s="95"/>
      <c r="BD757" s="178"/>
      <c r="BE757" s="181"/>
      <c r="BF757" s="185"/>
      <c r="BG757" s="183"/>
      <c r="BH757" s="184"/>
      <c r="BI757" s="185"/>
      <c r="BJ757" s="183"/>
      <c r="BK757" s="186"/>
      <c r="BN757" s="125"/>
      <c r="BO757" s="126"/>
      <c r="BP757" s="127"/>
    </row>
    <row r="758" spans="1:68" s="171" customFormat="1" ht="21.75" customHeight="1" x14ac:dyDescent="0.25">
      <c r="A758" s="167" t="b">
        <f>REGULATION_METHODS="Метод индексации"</f>
        <v>1</v>
      </c>
      <c r="B758" s="166" t="b">
        <f t="array" ref="B758">A758</f>
        <v>1</v>
      </c>
      <c r="C758" s="167" t="s">
        <v>83</v>
      </c>
      <c r="D758" s="167" t="s">
        <v>84</v>
      </c>
      <c r="E758" s="167" t="s">
        <v>73</v>
      </c>
      <c r="F758" s="167" t="s">
        <v>74</v>
      </c>
      <c r="G758" s="167" t="s">
        <v>514</v>
      </c>
      <c r="H758" s="167" t="s">
        <v>73</v>
      </c>
      <c r="I758" s="167" t="s">
        <v>73</v>
      </c>
      <c r="J758" s="167" t="s">
        <v>73</v>
      </c>
      <c r="K758" s="168" t="s">
        <v>73</v>
      </c>
      <c r="L758" s="167" t="s">
        <v>133</v>
      </c>
      <c r="M758" s="166" t="str">
        <f t="array" ref="M758">Y460</f>
        <v>1ВО::1.1</v>
      </c>
      <c r="N758" s="166"/>
      <c r="O758" s="166"/>
      <c r="P758" s="166"/>
      <c r="Q758" s="166"/>
      <c r="R758" s="166"/>
      <c r="S758" s="166"/>
      <c r="T758" s="166"/>
      <c r="U758" s="166"/>
      <c r="V758" s="166"/>
      <c r="W758" s="166"/>
      <c r="X758" s="166"/>
      <c r="Y758" s="166"/>
      <c r="Z758" s="166"/>
      <c r="AA758" s="166"/>
      <c r="AB758" s="429">
        <f>COUNT(AB734,AB509,AB463)+2</f>
        <v>5</v>
      </c>
      <c r="AC758" s="430" t="s">
        <v>515</v>
      </c>
      <c r="AD758" s="431" t="s">
        <v>111</v>
      </c>
      <c r="AE758" s="535"/>
      <c r="AF758" s="489">
        <v>11000</v>
      </c>
      <c r="AG758" s="536"/>
      <c r="AH758" s="535"/>
      <c r="AI758" s="489"/>
      <c r="AJ758" s="536"/>
      <c r="AK758" s="535"/>
      <c r="AL758" s="489"/>
      <c r="AM758" s="537"/>
      <c r="AN758" s="535"/>
      <c r="AO758" s="489"/>
      <c r="AP758" s="537"/>
      <c r="AQ758" s="535"/>
      <c r="AR758" s="489">
        <v>350</v>
      </c>
      <c r="AS758" s="537"/>
      <c r="AT758" s="535"/>
      <c r="AU758" s="489"/>
      <c r="AV758" s="537"/>
      <c r="AW758" s="535"/>
      <c r="AX758" s="489">
        <v>400</v>
      </c>
      <c r="AY758" s="537"/>
      <c r="AZ758" s="535"/>
      <c r="BA758" s="489"/>
      <c r="BB758" s="537"/>
      <c r="BC758" s="535"/>
      <c r="BD758" s="489">
        <v>-17000</v>
      </c>
      <c r="BE758" s="537"/>
      <c r="BF758" s="538"/>
      <c r="BG758" s="539">
        <v>-1500</v>
      </c>
      <c r="BH758" s="540"/>
      <c r="BI758" s="538"/>
      <c r="BJ758" s="539"/>
      <c r="BK758" s="541"/>
      <c r="BL758" s="170"/>
      <c r="BM758" s="166"/>
      <c r="BN758" s="436">
        <f t="shared" ref="BN758:BN774" si="167">AE758+AH758+AK758+AN758+AQ758+AT758+AW758+AZ758+BC758+BF758+BI758</f>
        <v>0</v>
      </c>
      <c r="BO758" s="437">
        <f t="shared" ref="BO758:BO774" si="168">AF758+AI758+AL758+AO758+AR758+AU758+AX758+BA758+BD758+BG758+BJ758</f>
        <v>-6750</v>
      </c>
      <c r="BP758" s="438">
        <f t="shared" ref="BP758:BP774" si="169">AG758+AJ758+AM758+AP758+AS758+AV758+AY758+BB758+BE758+BH758+BK758</f>
        <v>0</v>
      </c>
    </row>
    <row r="759" spans="1:68" s="171" customFormat="1" ht="14.25" hidden="1" customHeight="1" x14ac:dyDescent="0.25">
      <c r="A759" s="167" t="b">
        <f>REGULATION_METHODS="МЭОР"</f>
        <v>0</v>
      </c>
      <c r="B759" s="166" t="b">
        <f t="array" ref="B759">A759</f>
        <v>0</v>
      </c>
      <c r="C759" s="167" t="s">
        <v>83</v>
      </c>
      <c r="D759" s="167" t="s">
        <v>84</v>
      </c>
      <c r="E759" s="167" t="s">
        <v>73</v>
      </c>
      <c r="F759" s="167" t="s">
        <v>74</v>
      </c>
      <c r="G759" s="167" t="s">
        <v>702</v>
      </c>
      <c r="H759" s="167" t="s">
        <v>73</v>
      </c>
      <c r="I759" s="167" t="s">
        <v>73</v>
      </c>
      <c r="J759" s="167" t="s">
        <v>73</v>
      </c>
      <c r="K759" s="168" t="s">
        <v>73</v>
      </c>
      <c r="L759" s="167" t="s">
        <v>703</v>
      </c>
      <c r="M759" s="166" t="str">
        <f t="array" ref="M759">Y460</f>
        <v>1ВО::1.1</v>
      </c>
      <c r="N759" s="166"/>
      <c r="O759" s="166"/>
      <c r="P759" s="166"/>
      <c r="Q759" s="166"/>
      <c r="R759" s="166"/>
      <c r="S759" s="166"/>
      <c r="T759" s="166"/>
      <c r="U759" s="166"/>
      <c r="V759" s="166"/>
      <c r="W759" s="166"/>
      <c r="X759" s="166"/>
      <c r="Y759" s="166"/>
      <c r="Z759" s="170"/>
      <c r="AA759" s="170"/>
      <c r="AB759" s="429"/>
      <c r="AC759" s="430"/>
      <c r="AD759" s="431"/>
      <c r="AE759" s="542"/>
      <c r="AF759" s="543"/>
      <c r="AG759" s="544"/>
      <c r="AH759" s="542"/>
      <c r="AI759" s="543"/>
      <c r="AJ759" s="544"/>
      <c r="AK759" s="542"/>
      <c r="AL759" s="543"/>
      <c r="AM759" s="545"/>
      <c r="AN759" s="542"/>
      <c r="AO759" s="543"/>
      <c r="AP759" s="545"/>
      <c r="AQ759" s="542"/>
      <c r="AR759" s="543"/>
      <c r="AS759" s="545"/>
      <c r="AT759" s="542"/>
      <c r="AU759" s="543"/>
      <c r="AV759" s="545"/>
      <c r="AW759" s="542"/>
      <c r="AX759" s="543"/>
      <c r="AY759" s="545"/>
      <c r="AZ759" s="542"/>
      <c r="BA759" s="543"/>
      <c r="BB759" s="545"/>
      <c r="BC759" s="542"/>
      <c r="BD759" s="543"/>
      <c r="BE759" s="545"/>
      <c r="BF759" s="546"/>
      <c r="BG759" s="547"/>
      <c r="BH759" s="548"/>
      <c r="BI759" s="546"/>
      <c r="BJ759" s="547"/>
      <c r="BK759" s="549"/>
      <c r="BL759" s="170"/>
      <c r="BM759" s="166"/>
      <c r="BN759" s="436">
        <f t="shared" si="167"/>
        <v>0</v>
      </c>
      <c r="BO759" s="437">
        <f t="shared" si="168"/>
        <v>0</v>
      </c>
      <c r="BP759" s="438">
        <f t="shared" si="169"/>
        <v>0</v>
      </c>
    </row>
    <row r="760" spans="1:68" s="171" customFormat="1" ht="27" hidden="1" customHeight="1" outlineLevel="4" x14ac:dyDescent="0.25">
      <c r="A760" s="167" t="b">
        <f t="array" ref="A760">A759</f>
        <v>0</v>
      </c>
      <c r="B760" s="166" t="b">
        <f t="array" ref="B760">A760</f>
        <v>0</v>
      </c>
      <c r="C760" s="167" t="s">
        <v>83</v>
      </c>
      <c r="D760" s="167" t="s">
        <v>84</v>
      </c>
      <c r="E760" s="167" t="s">
        <v>73</v>
      </c>
      <c r="F760" s="167" t="s">
        <v>74</v>
      </c>
      <c r="G760" s="167" t="s">
        <v>704</v>
      </c>
      <c r="H760" s="167" t="s">
        <v>73</v>
      </c>
      <c r="I760" s="167" t="s">
        <v>73</v>
      </c>
      <c r="J760" s="167" t="s">
        <v>73</v>
      </c>
      <c r="K760" s="168" t="s">
        <v>73</v>
      </c>
      <c r="L760" s="167" t="s">
        <v>703</v>
      </c>
      <c r="M760" s="166" t="str">
        <f t="array" ref="M760">Y460</f>
        <v>1ВО::1.1</v>
      </c>
      <c r="N760" s="166"/>
      <c r="O760" s="166"/>
      <c r="P760" s="166"/>
      <c r="Q760" s="166"/>
      <c r="R760" s="166"/>
      <c r="S760" s="166"/>
      <c r="T760" s="166"/>
      <c r="U760" s="166"/>
      <c r="V760" s="166"/>
      <c r="W760" s="166"/>
      <c r="X760" s="166"/>
      <c r="Y760" s="166"/>
      <c r="Z760" s="170"/>
      <c r="AA760" s="170"/>
      <c r="AB760" s="429"/>
      <c r="AC760" s="439"/>
      <c r="AD760" s="431"/>
      <c r="AE760" s="550"/>
      <c r="AF760" s="551"/>
      <c r="AG760" s="552"/>
      <c r="AH760" s="550"/>
      <c r="AI760" s="551"/>
      <c r="AJ760" s="552"/>
      <c r="AK760" s="550"/>
      <c r="AL760" s="551"/>
      <c r="AM760" s="553"/>
      <c r="AN760" s="550"/>
      <c r="AO760" s="551"/>
      <c r="AP760" s="553"/>
      <c r="AQ760" s="550"/>
      <c r="AR760" s="551"/>
      <c r="AS760" s="553"/>
      <c r="AT760" s="550"/>
      <c r="AU760" s="551"/>
      <c r="AV760" s="553"/>
      <c r="AW760" s="550"/>
      <c r="AX760" s="551"/>
      <c r="AY760" s="553"/>
      <c r="AZ760" s="550"/>
      <c r="BA760" s="551"/>
      <c r="BB760" s="553"/>
      <c r="BC760" s="550"/>
      <c r="BD760" s="551"/>
      <c r="BE760" s="553"/>
      <c r="BF760" s="554"/>
      <c r="BG760" s="555"/>
      <c r="BH760" s="556"/>
      <c r="BI760" s="554"/>
      <c r="BJ760" s="555"/>
      <c r="BK760" s="557"/>
      <c r="BL760" s="170"/>
      <c r="BM760" s="166"/>
      <c r="BN760" s="436">
        <f t="shared" si="167"/>
        <v>0</v>
      </c>
      <c r="BO760" s="437">
        <f t="shared" si="168"/>
        <v>0</v>
      </c>
      <c r="BP760" s="438">
        <f t="shared" si="169"/>
        <v>0</v>
      </c>
    </row>
    <row r="761" spans="1:68" s="171" customFormat="1" ht="14.25" hidden="1" customHeight="1" outlineLevel="4" x14ac:dyDescent="0.25">
      <c r="A761" s="167" t="b">
        <f t="array" ref="A761">A760</f>
        <v>0</v>
      </c>
      <c r="B761" s="166" t="b">
        <f t="array" ref="B761">A761</f>
        <v>0</v>
      </c>
      <c r="C761" s="167" t="s">
        <v>83</v>
      </c>
      <c r="D761" s="167" t="s">
        <v>84</v>
      </c>
      <c r="E761" s="167" t="s">
        <v>73</v>
      </c>
      <c r="F761" s="167" t="s">
        <v>74</v>
      </c>
      <c r="G761" s="167" t="s">
        <v>705</v>
      </c>
      <c r="H761" s="167" t="s">
        <v>73</v>
      </c>
      <c r="I761" s="167" t="s">
        <v>73</v>
      </c>
      <c r="J761" s="167" t="s">
        <v>73</v>
      </c>
      <c r="K761" s="168" t="s">
        <v>73</v>
      </c>
      <c r="L761" s="167" t="s">
        <v>703</v>
      </c>
      <c r="M761" s="166" t="str">
        <f t="array" ref="M761">Y460</f>
        <v>1ВО::1.1</v>
      </c>
      <c r="N761" s="166"/>
      <c r="O761" s="166"/>
      <c r="P761" s="166"/>
      <c r="Q761" s="166"/>
      <c r="R761" s="166"/>
      <c r="S761" s="166"/>
      <c r="T761" s="166"/>
      <c r="U761" s="166"/>
      <c r="V761" s="166"/>
      <c r="W761" s="166"/>
      <c r="X761" s="166"/>
      <c r="Y761" s="166"/>
      <c r="Z761" s="170"/>
      <c r="AA761" s="170"/>
      <c r="AB761" s="429"/>
      <c r="AC761" s="439"/>
      <c r="AD761" s="431"/>
      <c r="AE761" s="476"/>
      <c r="AF761" s="433"/>
      <c r="AG761" s="490"/>
      <c r="AH761" s="476"/>
      <c r="AI761" s="433"/>
      <c r="AJ761" s="490"/>
      <c r="AK761" s="476"/>
      <c r="AL761" s="433"/>
      <c r="AM761" s="477"/>
      <c r="AN761" s="476"/>
      <c r="AO761" s="433"/>
      <c r="AP761" s="477"/>
      <c r="AQ761" s="476"/>
      <c r="AR761" s="433"/>
      <c r="AS761" s="477"/>
      <c r="AT761" s="476"/>
      <c r="AU761" s="433"/>
      <c r="AV761" s="477"/>
      <c r="AW761" s="476"/>
      <c r="AX761" s="433"/>
      <c r="AY761" s="477"/>
      <c r="AZ761" s="476"/>
      <c r="BA761" s="433"/>
      <c r="BB761" s="477"/>
      <c r="BC761" s="476"/>
      <c r="BD761" s="433"/>
      <c r="BE761" s="477"/>
      <c r="BF761" s="491"/>
      <c r="BG761" s="492"/>
      <c r="BH761" s="493"/>
      <c r="BI761" s="491"/>
      <c r="BJ761" s="492"/>
      <c r="BK761" s="494"/>
      <c r="BL761" s="170"/>
      <c r="BM761" s="166"/>
      <c r="BN761" s="436">
        <f t="shared" si="167"/>
        <v>0</v>
      </c>
      <c r="BO761" s="437">
        <f t="shared" si="168"/>
        <v>0</v>
      </c>
      <c r="BP761" s="438">
        <f t="shared" si="169"/>
        <v>0</v>
      </c>
    </row>
    <row r="762" spans="1:68" s="171" customFormat="1" ht="28.5" hidden="1" customHeight="1" outlineLevel="4" x14ac:dyDescent="0.25">
      <c r="A762" s="167" t="b">
        <f t="array" ref="A762">A761</f>
        <v>0</v>
      </c>
      <c r="B762" s="166" t="b">
        <f t="array" ref="B762">A762</f>
        <v>0</v>
      </c>
      <c r="C762" s="167" t="s">
        <v>83</v>
      </c>
      <c r="D762" s="167" t="s">
        <v>84</v>
      </c>
      <c r="E762" s="167" t="s">
        <v>73</v>
      </c>
      <c r="F762" s="167" t="s">
        <v>74</v>
      </c>
      <c r="G762" s="167" t="s">
        <v>706</v>
      </c>
      <c r="H762" s="167" t="s">
        <v>73</v>
      </c>
      <c r="I762" s="167" t="s">
        <v>73</v>
      </c>
      <c r="J762" s="167" t="s">
        <v>73</v>
      </c>
      <c r="K762" s="168" t="s">
        <v>73</v>
      </c>
      <c r="L762" s="167" t="s">
        <v>703</v>
      </c>
      <c r="M762" s="166" t="str">
        <f t="array" ref="M762">Y460</f>
        <v>1ВО::1.1</v>
      </c>
      <c r="N762" s="166"/>
      <c r="O762" s="166"/>
      <c r="P762" s="166"/>
      <c r="Q762" s="166"/>
      <c r="R762" s="166"/>
      <c r="S762" s="166"/>
      <c r="T762" s="166"/>
      <c r="U762" s="166"/>
      <c r="V762" s="166"/>
      <c r="W762" s="166"/>
      <c r="X762" s="166"/>
      <c r="Y762" s="166"/>
      <c r="Z762" s="170"/>
      <c r="AA762" s="170"/>
      <c r="AB762" s="429"/>
      <c r="AC762" s="439"/>
      <c r="AD762" s="431"/>
      <c r="AE762" s="476"/>
      <c r="AF762" s="433"/>
      <c r="AG762" s="490"/>
      <c r="AH762" s="476"/>
      <c r="AI762" s="433"/>
      <c r="AJ762" s="490"/>
      <c r="AK762" s="476"/>
      <c r="AL762" s="433"/>
      <c r="AM762" s="477"/>
      <c r="AN762" s="476"/>
      <c r="AO762" s="433"/>
      <c r="AP762" s="477"/>
      <c r="AQ762" s="476"/>
      <c r="AR762" s="433"/>
      <c r="AS762" s="477"/>
      <c r="AT762" s="476"/>
      <c r="AU762" s="433"/>
      <c r="AV762" s="477"/>
      <c r="AW762" s="476"/>
      <c r="AX762" s="433"/>
      <c r="AY762" s="477"/>
      <c r="AZ762" s="476"/>
      <c r="BA762" s="433"/>
      <c r="BB762" s="477"/>
      <c r="BC762" s="476"/>
      <c r="BD762" s="433"/>
      <c r="BE762" s="477"/>
      <c r="BF762" s="491"/>
      <c r="BG762" s="492"/>
      <c r="BH762" s="493"/>
      <c r="BI762" s="491"/>
      <c r="BJ762" s="492"/>
      <c r="BK762" s="494"/>
      <c r="BL762" s="170"/>
      <c r="BM762" s="166"/>
      <c r="BN762" s="436">
        <f t="shared" si="167"/>
        <v>0</v>
      </c>
      <c r="BO762" s="437">
        <f t="shared" si="168"/>
        <v>0</v>
      </c>
      <c r="BP762" s="438">
        <f t="shared" si="169"/>
        <v>0</v>
      </c>
    </row>
    <row r="763" spans="1:68" s="171" customFormat="1" ht="33.75" customHeight="1" x14ac:dyDescent="0.25">
      <c r="A763" s="166"/>
      <c r="B763" s="166"/>
      <c r="C763" s="167" t="s">
        <v>83</v>
      </c>
      <c r="D763" s="167" t="s">
        <v>84</v>
      </c>
      <c r="E763" s="167" t="s">
        <v>73</v>
      </c>
      <c r="F763" s="167" t="s">
        <v>74</v>
      </c>
      <c r="G763" s="314" t="s">
        <v>516</v>
      </c>
      <c r="H763" s="167" t="s">
        <v>73</v>
      </c>
      <c r="I763" s="167" t="s">
        <v>73</v>
      </c>
      <c r="J763" s="167" t="s">
        <v>73</v>
      </c>
      <c r="K763" s="168" t="s">
        <v>73</v>
      </c>
      <c r="L763" s="315" t="s">
        <v>73</v>
      </c>
      <c r="M763" s="166" t="str">
        <f t="array" ref="M763">Y460</f>
        <v>1ВО::1.1</v>
      </c>
      <c r="N763" s="166"/>
      <c r="O763" s="166"/>
      <c r="P763" s="166"/>
      <c r="Q763" s="166"/>
      <c r="R763" s="166"/>
      <c r="S763" s="166"/>
      <c r="T763" s="166"/>
      <c r="U763" s="166"/>
      <c r="V763" s="166"/>
      <c r="W763" s="166"/>
      <c r="X763" s="166"/>
      <c r="Y763" s="166"/>
      <c r="Z763" s="166"/>
      <c r="AA763" s="166"/>
      <c r="AB763" s="429">
        <f>COUNT(AB734,AB509,AB463,AB758,AB759)+2</f>
        <v>6</v>
      </c>
      <c r="AC763" s="430" t="s">
        <v>517</v>
      </c>
      <c r="AD763" s="431" t="s">
        <v>111</v>
      </c>
      <c r="AE763" s="535"/>
      <c r="AF763" s="489"/>
      <c r="AG763" s="536"/>
      <c r="AH763" s="535"/>
      <c r="AI763" s="489"/>
      <c r="AJ763" s="536"/>
      <c r="AK763" s="535"/>
      <c r="AL763" s="489"/>
      <c r="AM763" s="537"/>
      <c r="AN763" s="535"/>
      <c r="AO763" s="489"/>
      <c r="AP763" s="537"/>
      <c r="AQ763" s="535"/>
      <c r="AR763" s="489"/>
      <c r="AS763" s="537"/>
      <c r="AT763" s="535"/>
      <c r="AU763" s="489">
        <f>AU765</f>
        <v>-28473.88</v>
      </c>
      <c r="AV763" s="537"/>
      <c r="AW763" s="535"/>
      <c r="AX763" s="489">
        <f>AX765</f>
        <v>843.61</v>
      </c>
      <c r="AY763" s="537"/>
      <c r="AZ763" s="535"/>
      <c r="BA763" s="489">
        <f>BA765</f>
        <v>48349.2</v>
      </c>
      <c r="BB763" s="537"/>
      <c r="BC763" s="535"/>
      <c r="BD763" s="489">
        <v>-23373.68</v>
      </c>
      <c r="BE763" s="537"/>
      <c r="BF763" s="538"/>
      <c r="BG763" s="539">
        <f>BG765</f>
        <v>-3842.49</v>
      </c>
      <c r="BH763" s="540"/>
      <c r="BI763" s="538"/>
      <c r="BJ763" s="539">
        <f>BJ764+BJ765</f>
        <v>-20117.52</v>
      </c>
      <c r="BK763" s="541"/>
      <c r="BL763" s="170"/>
      <c r="BM763" s="166"/>
      <c r="BN763" s="436">
        <f t="shared" si="167"/>
        <v>0</v>
      </c>
      <c r="BO763" s="437">
        <f t="shared" si="168"/>
        <v>-26614.760000000002</v>
      </c>
      <c r="BP763" s="438">
        <f t="shared" si="169"/>
        <v>0</v>
      </c>
    </row>
    <row r="764" spans="1:68" ht="42.75" hidden="1" customHeight="1" x14ac:dyDescent="0.25">
      <c r="C764" s="316" t="s">
        <v>83</v>
      </c>
      <c r="D764" s="316" t="s">
        <v>84</v>
      </c>
      <c r="E764" s="316" t="s">
        <v>73</v>
      </c>
      <c r="F764" s="316" t="s">
        <v>74</v>
      </c>
      <c r="G764" s="316" t="s">
        <v>518</v>
      </c>
      <c r="H764" s="316" t="s">
        <v>73</v>
      </c>
      <c r="I764" s="316" t="s">
        <v>73</v>
      </c>
      <c r="J764" s="316" t="s">
        <v>73</v>
      </c>
      <c r="K764" s="317" t="s">
        <v>73</v>
      </c>
      <c r="L764" s="316" t="s">
        <v>73</v>
      </c>
      <c r="M764" s="5" t="str">
        <f t="array" ref="M764">Y460</f>
        <v>1ВО::1.1</v>
      </c>
      <c r="AB764" s="403" t="str">
        <f>AB763&amp;".1"</f>
        <v>6.1</v>
      </c>
      <c r="AC764" s="558" t="s">
        <v>518</v>
      </c>
      <c r="AD764" s="32" t="s">
        <v>111</v>
      </c>
      <c r="AE764" s="95"/>
      <c r="AF764" s="178"/>
      <c r="AG764" s="96"/>
      <c r="AH764" s="95"/>
      <c r="AI764" s="178"/>
      <c r="AJ764" s="96"/>
      <c r="AK764" s="95"/>
      <c r="AL764" s="178"/>
      <c r="AM764" s="181"/>
      <c r="AN764" s="95"/>
      <c r="AO764" s="178"/>
      <c r="AP764" s="181"/>
      <c r="AQ764" s="95"/>
      <c r="AR764" s="178"/>
      <c r="AS764" s="181"/>
      <c r="AT764" s="95"/>
      <c r="AU764" s="178"/>
      <c r="AV764" s="181"/>
      <c r="AW764" s="95"/>
      <c r="AX764" s="178"/>
      <c r="AY764" s="181"/>
      <c r="AZ764" s="95"/>
      <c r="BA764" s="178"/>
      <c r="BB764" s="181"/>
      <c r="BC764" s="95"/>
      <c r="BD764" s="178"/>
      <c r="BE764" s="181"/>
      <c r="BF764" s="185"/>
      <c r="BG764" s="183"/>
      <c r="BH764" s="184"/>
      <c r="BI764" s="185"/>
      <c r="BJ764" s="183"/>
      <c r="BK764" s="186"/>
      <c r="BN764" s="125">
        <f t="shared" si="167"/>
        <v>0</v>
      </c>
      <c r="BO764" s="126">
        <f t="shared" si="168"/>
        <v>0</v>
      </c>
      <c r="BP764" s="127">
        <f t="shared" si="169"/>
        <v>0</v>
      </c>
    </row>
    <row r="765" spans="1:68" ht="42.75" customHeight="1" x14ac:dyDescent="0.25">
      <c r="C765" s="316" t="s">
        <v>83</v>
      </c>
      <c r="D765" s="316" t="s">
        <v>84</v>
      </c>
      <c r="E765" s="316" t="s">
        <v>73</v>
      </c>
      <c r="F765" s="316" t="s">
        <v>74</v>
      </c>
      <c r="G765" s="316" t="s">
        <v>519</v>
      </c>
      <c r="H765" s="316" t="s">
        <v>73</v>
      </c>
      <c r="I765" s="316" t="s">
        <v>73</v>
      </c>
      <c r="J765" s="316" t="s">
        <v>73</v>
      </c>
      <c r="K765" s="317" t="s">
        <v>73</v>
      </c>
      <c r="L765" s="316" t="s">
        <v>73</v>
      </c>
      <c r="M765" s="5" t="str">
        <f t="array" ref="M765">Y460</f>
        <v>1ВО::1.1</v>
      </c>
      <c r="AB765" s="403" t="str">
        <f>AB763&amp;".2"</f>
        <v>6.2</v>
      </c>
      <c r="AC765" s="80" t="s">
        <v>519</v>
      </c>
      <c r="AD765" s="32" t="s">
        <v>111</v>
      </c>
      <c r="AE765" s="95"/>
      <c r="AF765" s="178"/>
      <c r="AG765" s="96"/>
      <c r="AH765" s="95"/>
      <c r="AI765" s="178"/>
      <c r="AJ765" s="96"/>
      <c r="AK765" s="95"/>
      <c r="AL765" s="178"/>
      <c r="AM765" s="181"/>
      <c r="AN765" s="95"/>
      <c r="AO765" s="178"/>
      <c r="AP765" s="181"/>
      <c r="AQ765" s="95"/>
      <c r="AR765" s="178"/>
      <c r="AS765" s="181"/>
      <c r="AT765" s="95"/>
      <c r="AU765" s="330">
        <v>-28473.88</v>
      </c>
      <c r="AV765" s="181"/>
      <c r="AW765" s="95"/>
      <c r="AX765" s="178">
        <v>843.61</v>
      </c>
      <c r="AY765" s="181"/>
      <c r="AZ765" s="95"/>
      <c r="BA765" s="178">
        <v>48349.2</v>
      </c>
      <c r="BB765" s="181"/>
      <c r="BC765" s="95"/>
      <c r="BD765" s="178">
        <v>-23373.68</v>
      </c>
      <c r="BE765" s="181"/>
      <c r="BF765" s="185"/>
      <c r="BG765" s="183">
        <v>-3842.49</v>
      </c>
      <c r="BH765" s="184"/>
      <c r="BI765" s="185"/>
      <c r="BJ765" s="183">
        <v>-20117.52</v>
      </c>
      <c r="BK765" s="186"/>
      <c r="BN765" s="125">
        <f t="shared" si="167"/>
        <v>0</v>
      </c>
      <c r="BO765" s="126">
        <f t="shared" si="168"/>
        <v>-26614.760000000002</v>
      </c>
      <c r="BP765" s="127">
        <f t="shared" si="169"/>
        <v>0</v>
      </c>
    </row>
    <row r="766" spans="1:68" s="171" customFormat="1" ht="42.75" hidden="1" customHeight="1" x14ac:dyDescent="0.25">
      <c r="A766" s="167" t="b">
        <f>$U460="Водоотведение"</f>
        <v>1</v>
      </c>
      <c r="B766" s="166"/>
      <c r="C766" s="315" t="s">
        <v>83</v>
      </c>
      <c r="D766" s="315" t="s">
        <v>84</v>
      </c>
      <c r="E766" s="315" t="s">
        <v>73</v>
      </c>
      <c r="F766" s="315" t="s">
        <v>74</v>
      </c>
      <c r="G766" s="315" t="s">
        <v>707</v>
      </c>
      <c r="H766" s="315" t="s">
        <v>73</v>
      </c>
      <c r="I766" s="315" t="s">
        <v>73</v>
      </c>
      <c r="J766" s="315" t="s">
        <v>73</v>
      </c>
      <c r="K766" s="322" t="s">
        <v>73</v>
      </c>
      <c r="L766" s="315" t="s">
        <v>73</v>
      </c>
      <c r="M766" s="166" t="str">
        <f t="array" ref="M766">Y460</f>
        <v>1ВО::1.1</v>
      </c>
      <c r="N766" s="166"/>
      <c r="O766" s="166"/>
      <c r="P766" s="166"/>
      <c r="Q766" s="166"/>
      <c r="R766" s="166"/>
      <c r="S766" s="166"/>
      <c r="T766" s="166"/>
      <c r="U766" s="166"/>
      <c r="V766" s="166"/>
      <c r="W766" s="166"/>
      <c r="X766" s="166"/>
      <c r="Y766" s="166"/>
      <c r="Z766" s="166"/>
      <c r="AA766" s="166"/>
      <c r="AB766" s="559">
        <f>COUNT(AB734,AB509,AB463,AB758,AB759,AB763)+2</f>
        <v>7</v>
      </c>
      <c r="AC766" s="560" t="s">
        <v>708</v>
      </c>
      <c r="AD766" s="561" t="s">
        <v>111</v>
      </c>
      <c r="AE766" s="329"/>
      <c r="AF766" s="330"/>
      <c r="AG766" s="331"/>
      <c r="AH766" s="329"/>
      <c r="AI766" s="330"/>
      <c r="AJ766" s="331"/>
      <c r="AK766" s="329"/>
      <c r="AL766" s="330"/>
      <c r="AM766" s="332"/>
      <c r="AN766" s="329"/>
      <c r="AO766" s="330"/>
      <c r="AP766" s="332"/>
      <c r="AQ766" s="329"/>
      <c r="AR766" s="330"/>
      <c r="AS766" s="332"/>
      <c r="AT766" s="329"/>
      <c r="AU766" s="330"/>
      <c r="AV766" s="332"/>
      <c r="AW766" s="329"/>
      <c r="AX766" s="330"/>
      <c r="AY766" s="332"/>
      <c r="AZ766" s="329"/>
      <c r="BA766" s="330"/>
      <c r="BB766" s="332"/>
      <c r="BC766" s="329"/>
      <c r="BD766" s="330"/>
      <c r="BE766" s="332"/>
      <c r="BF766" s="336"/>
      <c r="BG766" s="334"/>
      <c r="BH766" s="335"/>
      <c r="BI766" s="336"/>
      <c r="BJ766" s="334"/>
      <c r="BK766" s="337"/>
      <c r="BL766" s="170"/>
      <c r="BM766" s="166"/>
      <c r="BN766" s="562">
        <f t="shared" si="167"/>
        <v>0</v>
      </c>
      <c r="BO766" s="563">
        <f t="shared" si="168"/>
        <v>0</v>
      </c>
      <c r="BP766" s="564">
        <f t="shared" si="169"/>
        <v>0</v>
      </c>
    </row>
    <row r="767" spans="1:68" s="171" customFormat="1" ht="42.75" hidden="1" customHeight="1" x14ac:dyDescent="0.25">
      <c r="A767" s="166"/>
      <c r="B767" s="166"/>
      <c r="C767" s="321" t="s">
        <v>83</v>
      </c>
      <c r="D767" s="315" t="s">
        <v>84</v>
      </c>
      <c r="E767" s="315" t="s">
        <v>73</v>
      </c>
      <c r="F767" s="315" t="s">
        <v>74</v>
      </c>
      <c r="G767" s="315" t="s">
        <v>520</v>
      </c>
      <c r="H767" s="315" t="s">
        <v>73</v>
      </c>
      <c r="I767" s="315" t="s">
        <v>73</v>
      </c>
      <c r="J767" s="315" t="s">
        <v>73</v>
      </c>
      <c r="K767" s="322" t="s">
        <v>73</v>
      </c>
      <c r="L767" s="315" t="s">
        <v>73</v>
      </c>
      <c r="M767" s="166" t="str">
        <f t="array" ref="M767">Y460</f>
        <v>1ВО::1.1</v>
      </c>
      <c r="N767" s="166"/>
      <c r="O767" s="166"/>
      <c r="P767" s="166"/>
      <c r="Q767" s="166"/>
      <c r="R767" s="166"/>
      <c r="S767" s="166"/>
      <c r="T767" s="166"/>
      <c r="U767" s="166"/>
      <c r="V767" s="166"/>
      <c r="W767" s="166"/>
      <c r="X767" s="166"/>
      <c r="Y767" s="166"/>
      <c r="Z767" s="166"/>
      <c r="AA767" s="166"/>
      <c r="AB767" s="559">
        <f>COUNT(AB734,AB509,AB463,AB758,AB759,AB763,AB766)+2</f>
        <v>8</v>
      </c>
      <c r="AC767" s="560" t="s">
        <v>520</v>
      </c>
      <c r="AD767" s="561" t="s">
        <v>111</v>
      </c>
      <c r="AE767" s="329"/>
      <c r="AF767" s="330"/>
      <c r="AG767" s="331"/>
      <c r="AH767" s="329"/>
      <c r="AI767" s="330"/>
      <c r="AJ767" s="331"/>
      <c r="AK767" s="329"/>
      <c r="AL767" s="330"/>
      <c r="AM767" s="332"/>
      <c r="AN767" s="329"/>
      <c r="AO767" s="330"/>
      <c r="AP767" s="332"/>
      <c r="AQ767" s="329"/>
      <c r="AR767" s="330"/>
      <c r="AS767" s="332"/>
      <c r="AT767" s="329"/>
      <c r="AU767" s="330"/>
      <c r="AV767" s="332"/>
      <c r="AW767" s="329"/>
      <c r="AX767" s="330"/>
      <c r="AY767" s="332"/>
      <c r="AZ767" s="329"/>
      <c r="BA767" s="330"/>
      <c r="BB767" s="332"/>
      <c r="BC767" s="329"/>
      <c r="BD767" s="330"/>
      <c r="BE767" s="332"/>
      <c r="BF767" s="336"/>
      <c r="BG767" s="334"/>
      <c r="BH767" s="335"/>
      <c r="BI767" s="336"/>
      <c r="BJ767" s="334"/>
      <c r="BK767" s="337"/>
      <c r="BL767" s="170"/>
      <c r="BM767" s="166"/>
      <c r="BN767" s="562">
        <f t="shared" si="167"/>
        <v>0</v>
      </c>
      <c r="BO767" s="563">
        <f t="shared" si="168"/>
        <v>0</v>
      </c>
      <c r="BP767" s="564">
        <f t="shared" si="169"/>
        <v>0</v>
      </c>
    </row>
    <row r="768" spans="1:68" s="171" customFormat="1" ht="24.75" hidden="1" customHeight="1" x14ac:dyDescent="0.25">
      <c r="A768" s="166"/>
      <c r="B768" s="166"/>
      <c r="C768" s="321" t="s">
        <v>83</v>
      </c>
      <c r="D768" s="315" t="s">
        <v>84</v>
      </c>
      <c r="E768" s="315" t="s">
        <v>73</v>
      </c>
      <c r="F768" s="315" t="s">
        <v>74</v>
      </c>
      <c r="G768" s="315" t="s">
        <v>521</v>
      </c>
      <c r="H768" s="315" t="s">
        <v>73</v>
      </c>
      <c r="I768" s="315" t="s">
        <v>73</v>
      </c>
      <c r="J768" s="315" t="s">
        <v>73</v>
      </c>
      <c r="K768" s="322" t="s">
        <v>73</v>
      </c>
      <c r="L768" s="315" t="s">
        <v>73</v>
      </c>
      <c r="M768" s="166" t="str">
        <f t="array" ref="M768">Y460</f>
        <v>1ВО::1.1</v>
      </c>
      <c r="N768" s="166"/>
      <c r="O768" s="166"/>
      <c r="P768" s="166"/>
      <c r="Q768" s="166"/>
      <c r="R768" s="166"/>
      <c r="S768" s="166"/>
      <c r="T768" s="166"/>
      <c r="U768" s="166"/>
      <c r="V768" s="166"/>
      <c r="W768" s="166"/>
      <c r="X768" s="166"/>
      <c r="Y768" s="166"/>
      <c r="Z768" s="166"/>
      <c r="AA768" s="166"/>
      <c r="AB768" s="565">
        <f>COUNT(AB734,AB509,AB463,AB758,AB759,AB763,AB767,AB766)+2</f>
        <v>9</v>
      </c>
      <c r="AC768" s="566" t="s">
        <v>521</v>
      </c>
      <c r="AD768" s="567" t="s">
        <v>111</v>
      </c>
      <c r="AE768" s="341"/>
      <c r="AF768" s="342"/>
      <c r="AG768" s="343"/>
      <c r="AH768" s="341"/>
      <c r="AI768" s="342"/>
      <c r="AJ768" s="343"/>
      <c r="AK768" s="341"/>
      <c r="AL768" s="342"/>
      <c r="AM768" s="344"/>
      <c r="AN768" s="341"/>
      <c r="AO768" s="342"/>
      <c r="AP768" s="344"/>
      <c r="AQ768" s="341"/>
      <c r="AR768" s="342"/>
      <c r="AS768" s="344"/>
      <c r="AT768" s="341"/>
      <c r="AU768" s="342"/>
      <c r="AV768" s="344"/>
      <c r="AW768" s="341"/>
      <c r="AX768" s="342"/>
      <c r="AY768" s="344"/>
      <c r="AZ768" s="341"/>
      <c r="BA768" s="342"/>
      <c r="BB768" s="344"/>
      <c r="BC768" s="341"/>
      <c r="BD768" s="342"/>
      <c r="BE768" s="344"/>
      <c r="BF768" s="348"/>
      <c r="BG768" s="346"/>
      <c r="BH768" s="347"/>
      <c r="BI768" s="348"/>
      <c r="BJ768" s="346"/>
      <c r="BK768" s="349"/>
      <c r="BL768" s="170"/>
      <c r="BM768" s="166"/>
      <c r="BN768" s="562">
        <f t="shared" si="167"/>
        <v>0</v>
      </c>
      <c r="BO768" s="563">
        <f t="shared" si="168"/>
        <v>0</v>
      </c>
      <c r="BP768" s="564">
        <f t="shared" si="169"/>
        <v>0</v>
      </c>
    </row>
    <row r="769" spans="1:68" s="171" customFormat="1" ht="22.5" customHeight="1" x14ac:dyDescent="0.25">
      <c r="A769" s="166"/>
      <c r="B769" s="166"/>
      <c r="C769" s="167" t="s">
        <v>83</v>
      </c>
      <c r="D769" s="167" t="s">
        <v>84</v>
      </c>
      <c r="E769" s="167" t="s">
        <v>73</v>
      </c>
      <c r="F769" s="167" t="s">
        <v>74</v>
      </c>
      <c r="G769" s="167" t="s">
        <v>85</v>
      </c>
      <c r="H769" s="167" t="s">
        <v>73</v>
      </c>
      <c r="I769" s="167" t="s">
        <v>73</v>
      </c>
      <c r="J769" s="167" t="s">
        <v>73</v>
      </c>
      <c r="K769" s="168" t="s">
        <v>73</v>
      </c>
      <c r="L769" s="167" t="s">
        <v>133</v>
      </c>
      <c r="M769" s="166" t="str">
        <f t="array" ref="M769">Y460</f>
        <v>1ВО::1.1</v>
      </c>
      <c r="N769" s="166"/>
      <c r="O769" s="166"/>
      <c r="P769" s="166"/>
      <c r="Q769" s="166"/>
      <c r="R769" s="166"/>
      <c r="S769" s="166"/>
      <c r="T769" s="166"/>
      <c r="U769" s="166"/>
      <c r="V769" s="166"/>
      <c r="W769" s="166"/>
      <c r="X769" s="166"/>
      <c r="Y769" s="166"/>
      <c r="Z769" s="166"/>
      <c r="AA769" s="166"/>
      <c r="AB769" s="568">
        <f>COUNT(AB734,AB509,AB463,AB758,AB759,AB763,AB767,AB768,AB766)+2</f>
        <v>10</v>
      </c>
      <c r="AC769" s="569" t="s">
        <v>522</v>
      </c>
      <c r="AD769" s="570" t="s">
        <v>111</v>
      </c>
      <c r="AE769" s="571">
        <f t="shared" ref="AE769:AJ769" si="170">AE509+AE758+AE759+AE763+AE734+AE767+AE768+AE766</f>
        <v>1311006.5431379999</v>
      </c>
      <c r="AF769" s="572">
        <f t="shared" si="170"/>
        <v>902343.15699999989</v>
      </c>
      <c r="AG769" s="573">
        <f t="shared" si="170"/>
        <v>1877287.8910000001</v>
      </c>
      <c r="AH769" s="571">
        <f t="shared" si="170"/>
        <v>39392.546533999994</v>
      </c>
      <c r="AI769" s="572">
        <f t="shared" si="170"/>
        <v>11616.45</v>
      </c>
      <c r="AJ769" s="574">
        <f t="shared" si="170"/>
        <v>33177.109735999999</v>
      </c>
      <c r="AK769" s="571"/>
      <c r="AL769" s="572"/>
      <c r="AM769" s="575"/>
      <c r="AN769" s="571">
        <f t="shared" ref="AN769:AW769" si="171">AN509+AN758+AN759+AN763+AN734+AN767+AN768+AN766</f>
        <v>18577.570000000003</v>
      </c>
      <c r="AO769" s="572">
        <f t="shared" si="171"/>
        <v>5063.82</v>
      </c>
      <c r="AP769" s="575">
        <f t="shared" si="171"/>
        <v>36111.069999999992</v>
      </c>
      <c r="AQ769" s="571">
        <f t="shared" si="171"/>
        <v>17474.435000000001</v>
      </c>
      <c r="AR769" s="572">
        <f t="shared" si="171"/>
        <v>3580.64</v>
      </c>
      <c r="AS769" s="575">
        <f t="shared" si="171"/>
        <v>40067.25</v>
      </c>
      <c r="AT769" s="571">
        <f t="shared" si="171"/>
        <v>13173.109999999999</v>
      </c>
      <c r="AU769" s="572">
        <f t="shared" si="171"/>
        <v>5308.77</v>
      </c>
      <c r="AV769" s="575">
        <f t="shared" si="171"/>
        <v>34887.619999999995</v>
      </c>
      <c r="AW769" s="571">
        <f t="shared" si="171"/>
        <v>31776.933135650001</v>
      </c>
      <c r="AX769" s="572">
        <f>AX509+AX758+AX759-AX763+AX734+AX767+AX768+AX766</f>
        <v>4627.5289226000004</v>
      </c>
      <c r="AY769" s="575">
        <f>AY509+AY758+AY759+AY763+AY734+AY767+AY768+AY766</f>
        <v>46772.987237000001</v>
      </c>
      <c r="AZ769" s="571">
        <f>AZ509+AZ758+AZ759+AZ763+AZ734+AZ767+AZ768+AZ766</f>
        <v>116763.590214</v>
      </c>
      <c r="BA769" s="572">
        <f>BA509+BA758+BA759-BA763+BA734+BA767+BA768+BA766</f>
        <v>54731.002234</v>
      </c>
      <c r="BB769" s="575">
        <f t="shared" ref="BB769:BK769" si="172">BB509+BB758+BB759+BB763+BB734+BB767+BB768+BB766</f>
        <v>191178.28456</v>
      </c>
      <c r="BC769" s="571">
        <f t="shared" si="172"/>
        <v>207592.23606000002</v>
      </c>
      <c r="BD769" s="572">
        <f t="shared" si="172"/>
        <v>55138.350000000006</v>
      </c>
      <c r="BE769" s="575">
        <f t="shared" si="172"/>
        <v>168947.4044</v>
      </c>
      <c r="BF769" s="571">
        <f t="shared" si="172"/>
        <v>7592.1489999999994</v>
      </c>
      <c r="BG769" s="572">
        <f t="shared" si="172"/>
        <v>1055.5500000000002</v>
      </c>
      <c r="BH769" s="575">
        <f t="shared" si="172"/>
        <v>13236.130000000003</v>
      </c>
      <c r="BI769" s="571">
        <f t="shared" si="172"/>
        <v>41187.152000000002</v>
      </c>
      <c r="BJ769" s="572">
        <f t="shared" si="172"/>
        <v>4703.1000000000058</v>
      </c>
      <c r="BK769" s="574">
        <f t="shared" si="172"/>
        <v>54894.993000000002</v>
      </c>
      <c r="BL769" s="170"/>
      <c r="BM769" s="166"/>
      <c r="BN769" s="576">
        <f t="shared" si="167"/>
        <v>1804536.2650816501</v>
      </c>
      <c r="BO769" s="577">
        <f t="shared" si="168"/>
        <v>1048168.3681565998</v>
      </c>
      <c r="BP769" s="578">
        <f t="shared" si="169"/>
        <v>2496560.7399329995</v>
      </c>
    </row>
    <row r="770" spans="1:68" ht="14.25" hidden="1" customHeight="1" x14ac:dyDescent="0.25">
      <c r="A770" s="10" t="b">
        <f>$W460&lt;&gt;"одноставочный"</f>
        <v>0</v>
      </c>
      <c r="B770" s="5" t="b">
        <f t="array" ref="B770">A770</f>
        <v>0</v>
      </c>
      <c r="C770" s="10" t="s">
        <v>83</v>
      </c>
      <c r="D770" s="10" t="s">
        <v>84</v>
      </c>
      <c r="E770" s="10" t="s">
        <v>73</v>
      </c>
      <c r="F770" s="10" t="s">
        <v>74</v>
      </c>
      <c r="G770" s="5">
        <f>AC770</f>
        <v>0</v>
      </c>
      <c r="H770" s="10" t="s">
        <v>73</v>
      </c>
      <c r="I770" s="10" t="s">
        <v>73</v>
      </c>
      <c r="K770" s="12" t="s">
        <v>73</v>
      </c>
      <c r="L770" s="579"/>
      <c r="M770" s="5" t="str">
        <f t="array" ref="M770">Y460</f>
        <v>1ВО::1.1</v>
      </c>
      <c r="Z770" s="6"/>
      <c r="AA770" s="6"/>
      <c r="AB770" s="530"/>
      <c r="AC770" s="580"/>
      <c r="AD770" s="27"/>
      <c r="AE770" s="581"/>
      <c r="AF770" s="582"/>
      <c r="AG770" s="583"/>
      <c r="AH770" s="581"/>
      <c r="AI770" s="582"/>
      <c r="AJ770" s="583"/>
      <c r="AK770" s="581"/>
      <c r="AL770" s="582"/>
      <c r="AM770" s="584"/>
      <c r="AN770" s="581"/>
      <c r="AO770" s="582"/>
      <c r="AP770" s="584"/>
      <c r="AQ770" s="581"/>
      <c r="AR770" s="582"/>
      <c r="AS770" s="584"/>
      <c r="AT770" s="581"/>
      <c r="AU770" s="582"/>
      <c r="AV770" s="584"/>
      <c r="AW770" s="581"/>
      <c r="AX770" s="582"/>
      <c r="AY770" s="584"/>
      <c r="AZ770" s="581"/>
      <c r="BA770" s="582"/>
      <c r="BB770" s="584"/>
      <c r="BC770" s="581"/>
      <c r="BD770" s="582"/>
      <c r="BE770" s="584"/>
      <c r="BF770" s="581"/>
      <c r="BG770" s="582"/>
      <c r="BH770" s="584"/>
      <c r="BI770" s="581"/>
      <c r="BJ770" s="582"/>
      <c r="BK770" s="583"/>
      <c r="BN770" s="383">
        <f t="shared" si="167"/>
        <v>0</v>
      </c>
      <c r="BO770" s="585">
        <f t="shared" si="168"/>
        <v>0</v>
      </c>
      <c r="BP770" s="586">
        <f t="shared" si="169"/>
        <v>0</v>
      </c>
    </row>
    <row r="771" spans="1:68" ht="14.25" hidden="1" customHeight="1" x14ac:dyDescent="0.25">
      <c r="A771" s="10" t="b">
        <f>$W460&lt;&gt;"одноставочный"</f>
        <v>0</v>
      </c>
      <c r="B771" s="5" t="b">
        <f t="array" ref="B771">A771</f>
        <v>0</v>
      </c>
      <c r="C771" s="10" t="s">
        <v>83</v>
      </c>
      <c r="D771" s="10" t="s">
        <v>84</v>
      </c>
      <c r="E771" s="10" t="s">
        <v>73</v>
      </c>
      <c r="F771" s="10" t="s">
        <v>74</v>
      </c>
      <c r="G771" s="5">
        <f>AC771</f>
        <v>0</v>
      </c>
      <c r="H771" s="10" t="s">
        <v>73</v>
      </c>
      <c r="I771" s="10" t="s">
        <v>73</v>
      </c>
      <c r="K771" s="12" t="s">
        <v>73</v>
      </c>
      <c r="L771" s="579"/>
      <c r="M771" s="5" t="str">
        <f t="array" ref="M771">Y460</f>
        <v>1ВО::1.1</v>
      </c>
      <c r="Z771" s="6"/>
      <c r="AA771" s="6"/>
      <c r="AB771" s="403"/>
      <c r="AC771" s="305"/>
      <c r="AD771" s="422"/>
      <c r="AE771" s="72"/>
      <c r="AF771" s="73"/>
      <c r="AG771" s="74"/>
      <c r="AH771" s="72"/>
      <c r="AI771" s="73"/>
      <c r="AJ771" s="74"/>
      <c r="AK771" s="72"/>
      <c r="AL771" s="73"/>
      <c r="AM771" s="138"/>
      <c r="AN771" s="72"/>
      <c r="AO771" s="73"/>
      <c r="AP771" s="138"/>
      <c r="AQ771" s="72"/>
      <c r="AR771" s="73"/>
      <c r="AS771" s="138"/>
      <c r="AT771" s="72"/>
      <c r="AU771" s="73"/>
      <c r="AV771" s="138"/>
      <c r="AW771" s="72"/>
      <c r="AX771" s="73"/>
      <c r="AY771" s="138"/>
      <c r="AZ771" s="72"/>
      <c r="BA771" s="73"/>
      <c r="BB771" s="138"/>
      <c r="BC771" s="72"/>
      <c r="BD771" s="73"/>
      <c r="BE771" s="138"/>
      <c r="BF771" s="72"/>
      <c r="BG771" s="73"/>
      <c r="BH771" s="138"/>
      <c r="BI771" s="72"/>
      <c r="BJ771" s="73"/>
      <c r="BK771" s="74"/>
      <c r="BN771" s="125">
        <f t="shared" si="167"/>
        <v>0</v>
      </c>
      <c r="BO771" s="126">
        <f t="shared" si="168"/>
        <v>0</v>
      </c>
      <c r="BP771" s="127">
        <f t="shared" si="169"/>
        <v>0</v>
      </c>
    </row>
    <row r="772" spans="1:68" ht="27.75" hidden="1" customHeight="1" x14ac:dyDescent="0.25">
      <c r="A772" s="10" t="b">
        <f>$W460&lt;&gt;"одноставочный"</f>
        <v>0</v>
      </c>
      <c r="B772" s="5" t="b">
        <f t="array" ref="B772">A772</f>
        <v>0</v>
      </c>
      <c r="C772" s="10" t="s">
        <v>83</v>
      </c>
      <c r="D772" s="10" t="s">
        <v>84</v>
      </c>
      <c r="E772" s="10" t="s">
        <v>73</v>
      </c>
      <c r="F772" s="10" t="s">
        <v>74</v>
      </c>
      <c r="G772" s="5">
        <f>AC772</f>
        <v>0</v>
      </c>
      <c r="H772" s="10" t="s">
        <v>73</v>
      </c>
      <c r="I772" s="10" t="s">
        <v>73</v>
      </c>
      <c r="K772" s="12" t="s">
        <v>73</v>
      </c>
      <c r="L772" s="579"/>
      <c r="M772" s="5" t="str">
        <f t="array" ref="M772">Y460</f>
        <v>1ВО::1.1</v>
      </c>
      <c r="Z772" s="6"/>
      <c r="AA772" s="6"/>
      <c r="AB772" s="403"/>
      <c r="AC772" s="409"/>
      <c r="AD772" s="32"/>
      <c r="AE772" s="66"/>
      <c r="AF772" s="67"/>
      <c r="AG772" s="68"/>
      <c r="AH772" s="66"/>
      <c r="AI772" s="67"/>
      <c r="AJ772" s="68"/>
      <c r="AK772" s="66"/>
      <c r="AL772" s="67"/>
      <c r="AM772" s="119"/>
      <c r="AN772" s="66"/>
      <c r="AO772" s="67"/>
      <c r="AP772" s="119"/>
      <c r="AQ772" s="66"/>
      <c r="AR772" s="67"/>
      <c r="AS772" s="119"/>
      <c r="AT772" s="66"/>
      <c r="AU772" s="67"/>
      <c r="AV772" s="119"/>
      <c r="AW772" s="66"/>
      <c r="AX772" s="67"/>
      <c r="AY772" s="119"/>
      <c r="AZ772" s="66"/>
      <c r="BA772" s="67"/>
      <c r="BB772" s="119"/>
      <c r="BC772" s="66"/>
      <c r="BD772" s="67"/>
      <c r="BE772" s="119"/>
      <c r="BF772" s="66"/>
      <c r="BG772" s="67"/>
      <c r="BH772" s="119"/>
      <c r="BI772" s="66"/>
      <c r="BJ772" s="67"/>
      <c r="BK772" s="68"/>
      <c r="BN772" s="125">
        <f t="shared" si="167"/>
        <v>0</v>
      </c>
      <c r="BO772" s="126">
        <f t="shared" si="168"/>
        <v>0</v>
      </c>
      <c r="BP772" s="127">
        <f t="shared" si="169"/>
        <v>0</v>
      </c>
    </row>
    <row r="773" spans="1:68" ht="14.25" hidden="1" customHeight="1" x14ac:dyDescent="0.25">
      <c r="A773" s="10" t="b">
        <f>region_name="Белгородская область"</f>
        <v>0</v>
      </c>
      <c r="B773" s="5" t="b">
        <f t="array" ref="B773">A773</f>
        <v>0</v>
      </c>
      <c r="C773" s="10" t="s">
        <v>83</v>
      </c>
      <c r="D773" s="10" t="s">
        <v>84</v>
      </c>
      <c r="E773" s="10" t="s">
        <v>73</v>
      </c>
      <c r="F773" s="10" t="s">
        <v>74</v>
      </c>
      <c r="G773" s="5">
        <f>AC773</f>
        <v>0</v>
      </c>
      <c r="H773" s="10" t="s">
        <v>73</v>
      </c>
      <c r="I773" s="10" t="s">
        <v>73</v>
      </c>
      <c r="K773" s="12" t="s">
        <v>73</v>
      </c>
      <c r="L773" s="579"/>
      <c r="M773" s="5" t="str">
        <f t="array" ref="M773">Y460</f>
        <v>1ВО::1.1</v>
      </c>
      <c r="Z773" s="6"/>
      <c r="AA773" s="6"/>
      <c r="AB773" s="403"/>
      <c r="AC773" s="409"/>
      <c r="AD773" s="32"/>
      <c r="AE773" s="72"/>
      <c r="AF773" s="73"/>
      <c r="AG773" s="74"/>
      <c r="AH773" s="72"/>
      <c r="AI773" s="73"/>
      <c r="AJ773" s="74"/>
      <c r="AK773" s="72"/>
      <c r="AL773" s="73"/>
      <c r="AM773" s="138"/>
      <c r="AN773" s="72"/>
      <c r="AO773" s="73"/>
      <c r="AP773" s="138"/>
      <c r="AQ773" s="72"/>
      <c r="AR773" s="73"/>
      <c r="AS773" s="138"/>
      <c r="AT773" s="72"/>
      <c r="AU773" s="73"/>
      <c r="AV773" s="138"/>
      <c r="AW773" s="72"/>
      <c r="AX773" s="73"/>
      <c r="AY773" s="138"/>
      <c r="AZ773" s="72"/>
      <c r="BA773" s="73"/>
      <c r="BB773" s="138"/>
      <c r="BC773" s="72"/>
      <c r="BD773" s="73"/>
      <c r="BE773" s="138"/>
      <c r="BF773" s="72"/>
      <c r="BG773" s="73"/>
      <c r="BH773" s="138"/>
      <c r="BI773" s="72"/>
      <c r="BJ773" s="73"/>
      <c r="BK773" s="74"/>
      <c r="BN773" s="125">
        <f t="shared" si="167"/>
        <v>0</v>
      </c>
      <c r="BO773" s="126">
        <f t="shared" si="168"/>
        <v>0</v>
      </c>
      <c r="BP773" s="127">
        <f t="shared" si="169"/>
        <v>0</v>
      </c>
    </row>
    <row r="774" spans="1:68" ht="31.5" hidden="1" customHeight="1" x14ac:dyDescent="0.25">
      <c r="A774" s="10" t="b">
        <f>region_name="Белгородская область"</f>
        <v>0</v>
      </c>
      <c r="B774" s="5" t="b">
        <f t="array" ref="B774">A774</f>
        <v>0</v>
      </c>
      <c r="C774" s="10" t="s">
        <v>83</v>
      </c>
      <c r="D774" s="10" t="s">
        <v>84</v>
      </c>
      <c r="E774" s="10" t="s">
        <v>73</v>
      </c>
      <c r="F774" s="10" t="s">
        <v>74</v>
      </c>
      <c r="G774" s="5">
        <f>AC774</f>
        <v>0</v>
      </c>
      <c r="H774" s="10" t="s">
        <v>73</v>
      </c>
      <c r="I774" s="10" t="s">
        <v>73</v>
      </c>
      <c r="K774" s="12" t="s">
        <v>73</v>
      </c>
      <c r="L774" s="579"/>
      <c r="M774" s="5" t="str">
        <f t="array" ref="M774">Y460</f>
        <v>1ВО::1.1</v>
      </c>
      <c r="Z774" s="6"/>
      <c r="AA774" s="6"/>
      <c r="AB774" s="403"/>
      <c r="AC774" s="409"/>
      <c r="AD774" s="32"/>
      <c r="AE774" s="72"/>
      <c r="AF774" s="73"/>
      <c r="AG774" s="74"/>
      <c r="AH774" s="72"/>
      <c r="AI774" s="73"/>
      <c r="AJ774" s="74"/>
      <c r="AK774" s="72"/>
      <c r="AL774" s="73"/>
      <c r="AM774" s="138"/>
      <c r="AN774" s="72"/>
      <c r="AO774" s="73"/>
      <c r="AP774" s="138"/>
      <c r="AQ774" s="72"/>
      <c r="AR774" s="73"/>
      <c r="AS774" s="138"/>
      <c r="AT774" s="72"/>
      <c r="AU774" s="73"/>
      <c r="AV774" s="138"/>
      <c r="AW774" s="72"/>
      <c r="AX774" s="73"/>
      <c r="AY774" s="138"/>
      <c r="AZ774" s="72"/>
      <c r="BA774" s="73"/>
      <c r="BB774" s="138"/>
      <c r="BC774" s="72"/>
      <c r="BD774" s="73"/>
      <c r="BE774" s="138"/>
      <c r="BF774" s="72"/>
      <c r="BG774" s="73"/>
      <c r="BH774" s="138"/>
      <c r="BI774" s="72"/>
      <c r="BJ774" s="73"/>
      <c r="BK774" s="74"/>
      <c r="BN774" s="587">
        <f t="shared" si="167"/>
        <v>0</v>
      </c>
      <c r="BO774" s="588">
        <f t="shared" si="168"/>
        <v>0</v>
      </c>
      <c r="BP774" s="589">
        <f t="shared" si="169"/>
        <v>0</v>
      </c>
    </row>
    <row r="775" spans="1:68" ht="17.25" customHeight="1" x14ac:dyDescent="0.25">
      <c r="A775" s="10" t="b">
        <f>$W460="одноставочный"</f>
        <v>1</v>
      </c>
      <c r="B775" s="5" t="b">
        <f t="array" ref="B775">A775</f>
        <v>1</v>
      </c>
      <c r="C775" s="10" t="s">
        <v>90</v>
      </c>
      <c r="D775" s="10" t="s">
        <v>91</v>
      </c>
      <c r="E775" s="10" t="s">
        <v>73</v>
      </c>
      <c r="F775" s="10" t="s">
        <v>74</v>
      </c>
      <c r="G775" s="10" t="s">
        <v>73</v>
      </c>
      <c r="H775" s="10" t="s">
        <v>73</v>
      </c>
      <c r="I775" s="10" t="s">
        <v>73</v>
      </c>
      <c r="J775" s="10" t="s">
        <v>73</v>
      </c>
      <c r="K775" s="12" t="s">
        <v>73</v>
      </c>
      <c r="L775" s="10" t="s">
        <v>133</v>
      </c>
      <c r="M775" s="5" t="str">
        <f t="array" ref="M775">Y460</f>
        <v>1ВО::1.1</v>
      </c>
      <c r="AB775" s="403">
        <f>COUNT(AB734,AB509,AB463,AB758,AB759,AB763,AB769,AB767,AB768,AB772,AB773,AB774,AB766)+2</f>
        <v>11</v>
      </c>
      <c r="AC775" s="411" t="s">
        <v>523</v>
      </c>
      <c r="AD775" s="32" t="s">
        <v>524</v>
      </c>
      <c r="AE775" s="72">
        <f t="shared" ref="AE775:AJ775" si="173">AE769/AE491</f>
        <v>33.607091156664936</v>
      </c>
      <c r="AF775" s="73">
        <f t="shared" si="173"/>
        <v>23.991201528684638</v>
      </c>
      <c r="AG775" s="74">
        <f t="shared" si="173"/>
        <v>47.393058034768138</v>
      </c>
      <c r="AH775" s="72">
        <f t="shared" si="173"/>
        <v>910.5576842032267</v>
      </c>
      <c r="AI775" s="73">
        <f t="shared" si="173"/>
        <v>93.893064985451019</v>
      </c>
      <c r="AJ775" s="74">
        <f t="shared" si="173"/>
        <v>698.92160643788577</v>
      </c>
      <c r="AK775" s="72"/>
      <c r="AL775" s="73"/>
      <c r="AM775" s="138"/>
      <c r="AN775" s="72">
        <f t="shared" ref="AN775:BK775" si="174">AN769/AN491</f>
        <v>91.528649554121316</v>
      </c>
      <c r="AO775" s="73">
        <f t="shared" si="174"/>
        <v>21.385278094514128</v>
      </c>
      <c r="AP775" s="138">
        <f t="shared" si="174"/>
        <v>181.46266331658288</v>
      </c>
      <c r="AQ775" s="72">
        <f t="shared" si="174"/>
        <v>34.797847342533409</v>
      </c>
      <c r="AR775" s="73">
        <f t="shared" si="174"/>
        <v>8.1572844287504278</v>
      </c>
      <c r="AS775" s="138">
        <f t="shared" si="174"/>
        <v>83.078813137596427</v>
      </c>
      <c r="AT775" s="72">
        <f t="shared" si="174"/>
        <v>47.940570638328843</v>
      </c>
      <c r="AU775" s="73">
        <f t="shared" si="174"/>
        <v>16.603396509664105</v>
      </c>
      <c r="AV775" s="138">
        <f t="shared" si="174"/>
        <v>139.55047999999999</v>
      </c>
      <c r="AW775" s="72">
        <f t="shared" si="174"/>
        <v>117.91507341886526</v>
      </c>
      <c r="AX775" s="73">
        <f t="shared" si="174"/>
        <v>14.739230865715379</v>
      </c>
      <c r="AY775" s="138">
        <f t="shared" si="174"/>
        <v>173.56112374114068</v>
      </c>
      <c r="AZ775" s="72">
        <f t="shared" si="174"/>
        <v>47.068029356551129</v>
      </c>
      <c r="BA775" s="73">
        <f t="shared" si="174"/>
        <v>25.970003005499489</v>
      </c>
      <c r="BB775" s="138">
        <f t="shared" si="174"/>
        <v>75.173222615869165</v>
      </c>
      <c r="BC775" s="72">
        <f t="shared" si="174"/>
        <v>78.747039216809426</v>
      </c>
      <c r="BD775" s="73">
        <f t="shared" si="174"/>
        <v>138.10966445911694</v>
      </c>
      <c r="BE775" s="138">
        <f t="shared" si="174"/>
        <v>63.937830205459498</v>
      </c>
      <c r="BF775" s="72">
        <f t="shared" si="174"/>
        <v>94.878142964258927</v>
      </c>
      <c r="BG775" s="73">
        <f t="shared" si="174"/>
        <v>11.814976494291473</v>
      </c>
      <c r="BH775" s="138">
        <f t="shared" si="174"/>
        <v>162.32285202717622</v>
      </c>
      <c r="BI775" s="72">
        <f t="shared" si="174"/>
        <v>168.94520694039954</v>
      </c>
      <c r="BJ775" s="73">
        <f t="shared" si="174"/>
        <v>15.664990174199799</v>
      </c>
      <c r="BK775" s="74">
        <f t="shared" si="174"/>
        <v>217.36287071866957</v>
      </c>
      <c r="BN775" s="371"/>
      <c r="BO775" s="371"/>
      <c r="BP775" s="371"/>
    </row>
    <row r="776" spans="1:68" ht="17.25" customHeight="1" outlineLevel="1" x14ac:dyDescent="0.25">
      <c r="B776" s="10" t="b">
        <f>AND(OR(isFIRST_PERIOD="да",$AD$56="нет"),$W460="одноставочный")</f>
        <v>1</v>
      </c>
      <c r="C776" s="10" t="s">
        <v>92</v>
      </c>
      <c r="D776" s="10" t="s">
        <v>93</v>
      </c>
      <c r="E776" s="10" t="s">
        <v>73</v>
      </c>
      <c r="F776" s="10" t="s">
        <v>74</v>
      </c>
      <c r="G776" s="10" t="s">
        <v>73</v>
      </c>
      <c r="H776" s="10" t="s">
        <v>73</v>
      </c>
      <c r="I776" s="10" t="s">
        <v>73</v>
      </c>
      <c r="J776" s="10" t="s">
        <v>73</v>
      </c>
      <c r="K776" s="12" t="s">
        <v>73</v>
      </c>
      <c r="L776" s="10" t="s">
        <v>133</v>
      </c>
      <c r="M776" s="5" t="str">
        <f t="array" ref="M776">Y460</f>
        <v>1ВО::1.1</v>
      </c>
      <c r="AB776" s="403" t="str">
        <f>AB775&amp;".1"</f>
        <v>11.1</v>
      </c>
      <c r="AC776" s="305" t="s">
        <v>525</v>
      </c>
      <c r="AD776" s="32" t="s">
        <v>524</v>
      </c>
      <c r="AE776" s="95">
        <f>AE775</f>
        <v>33.607091156664936</v>
      </c>
      <c r="AF776" s="178">
        <v>23.99</v>
      </c>
      <c r="AG776" s="96">
        <v>23.99</v>
      </c>
      <c r="AH776" s="95">
        <f>AH775</f>
        <v>910.5576842032267</v>
      </c>
      <c r="AI776" s="178">
        <v>91.53</v>
      </c>
      <c r="AJ776" s="96">
        <v>96.25</v>
      </c>
      <c r="AK776" s="95"/>
      <c r="AL776" s="178"/>
      <c r="AM776" s="181"/>
      <c r="AN776" s="95">
        <f>AN775</f>
        <v>91.528649554121316</v>
      </c>
      <c r="AO776" s="178">
        <v>21.21</v>
      </c>
      <c r="AP776" s="181">
        <v>21.56</v>
      </c>
      <c r="AQ776" s="95">
        <f>AQ775</f>
        <v>34.797847342533409</v>
      </c>
      <c r="AR776" s="178">
        <v>8.16</v>
      </c>
      <c r="AS776" s="181">
        <v>83.08</v>
      </c>
      <c r="AT776" s="95">
        <f>AT775</f>
        <v>47.940570638328843</v>
      </c>
      <c r="AU776" s="178">
        <v>14.76</v>
      </c>
      <c r="AV776" s="181">
        <v>18.45</v>
      </c>
      <c r="AW776" s="95">
        <f>AW775</f>
        <v>117.91507341886526</v>
      </c>
      <c r="AX776" s="178">
        <v>13.56</v>
      </c>
      <c r="AY776" s="181">
        <v>15.92</v>
      </c>
      <c r="AZ776" s="95">
        <f>AZ775</f>
        <v>47.068029356551129</v>
      </c>
      <c r="BA776" s="178">
        <v>23.89</v>
      </c>
      <c r="BB776" s="181">
        <v>28.05</v>
      </c>
      <c r="BC776" s="180">
        <f>BC775</f>
        <v>78.747039216809426</v>
      </c>
      <c r="BD776" s="178">
        <v>22.45</v>
      </c>
      <c r="BE776" s="181">
        <v>26.36</v>
      </c>
      <c r="BF776" s="185">
        <f>BF775</f>
        <v>94.878142964258927</v>
      </c>
      <c r="BG776" s="183">
        <v>10.87</v>
      </c>
      <c r="BH776" s="184">
        <v>12.76</v>
      </c>
      <c r="BI776" s="185">
        <f>BI775</f>
        <v>168.94520694039954</v>
      </c>
      <c r="BJ776" s="183">
        <v>14.41</v>
      </c>
      <c r="BK776" s="186">
        <v>16.920000000000002</v>
      </c>
      <c r="BN776" s="371"/>
      <c r="BO776" s="371"/>
      <c r="BP776" s="371"/>
    </row>
    <row r="777" spans="1:68" ht="17.25" customHeight="1" outlineLevel="1" x14ac:dyDescent="0.25">
      <c r="B777" s="10" t="b">
        <f>AND(OR(isFIRST_PERIOD="да",$AD$56="нет"),$W460="одноставочный")</f>
        <v>1</v>
      </c>
      <c r="C777" s="10" t="s">
        <v>94</v>
      </c>
      <c r="D777" s="10" t="s">
        <v>95</v>
      </c>
      <c r="E777" s="10" t="s">
        <v>73</v>
      </c>
      <c r="F777" s="10" t="s">
        <v>74</v>
      </c>
      <c r="G777" s="10" t="s">
        <v>73</v>
      </c>
      <c r="H777" s="10" t="s">
        <v>73</v>
      </c>
      <c r="I777" s="10" t="s">
        <v>73</v>
      </c>
      <c r="J777" s="10" t="s">
        <v>73</v>
      </c>
      <c r="K777" s="12" t="s">
        <v>73</v>
      </c>
      <c r="L777" s="10" t="s">
        <v>133</v>
      </c>
      <c r="M777" s="5" t="str">
        <f t="array" ref="M777">Y460</f>
        <v>1ВО::1.1</v>
      </c>
      <c r="AB777" s="403" t="str">
        <f>AB775&amp;".2"</f>
        <v>11.2</v>
      </c>
      <c r="AC777" s="305" t="s">
        <v>526</v>
      </c>
      <c r="AD777" s="32" t="s">
        <v>524</v>
      </c>
      <c r="AE777" s="95">
        <f>AE776</f>
        <v>33.607091156664936</v>
      </c>
      <c r="AF777" s="178">
        <v>48.43</v>
      </c>
      <c r="AG777" s="74">
        <v>70.8</v>
      </c>
      <c r="AH777" s="95">
        <f>AH776</f>
        <v>910.5576842032267</v>
      </c>
      <c r="AI777" s="178">
        <v>96.25</v>
      </c>
      <c r="AJ777" s="74">
        <v>1301.5899999999999</v>
      </c>
      <c r="AK777" s="95"/>
      <c r="AL777" s="178"/>
      <c r="AM777" s="138"/>
      <c r="AN777" s="95">
        <f>AN776</f>
        <v>91.528649554121316</v>
      </c>
      <c r="AO777" s="178">
        <v>21.56</v>
      </c>
      <c r="AP777" s="138">
        <v>341.37</v>
      </c>
      <c r="AQ777" s="95">
        <f>AQ776</f>
        <v>34.797847342533409</v>
      </c>
      <c r="AR777" s="178">
        <v>8.16</v>
      </c>
      <c r="AS777" s="138">
        <v>83.08</v>
      </c>
      <c r="AT777" s="95">
        <f>AT776</f>
        <v>47.940570638328843</v>
      </c>
      <c r="AU777" s="178">
        <v>18.45</v>
      </c>
      <c r="AV777" s="138">
        <v>260.64999999999998</v>
      </c>
      <c r="AW777" s="95">
        <f>AW776</f>
        <v>117.91507341886526</v>
      </c>
      <c r="AX777" s="178">
        <v>15.92</v>
      </c>
      <c r="AY777" s="138">
        <v>331.2</v>
      </c>
      <c r="AZ777" s="95">
        <f>AZ776</f>
        <v>47.068029356551129</v>
      </c>
      <c r="BA777" s="178">
        <v>28.05</v>
      </c>
      <c r="BB777" s="138">
        <v>122.3</v>
      </c>
      <c r="BC777" s="180">
        <f>BC776</f>
        <v>78.747039216809426</v>
      </c>
      <c r="BD777" s="178">
        <v>26.36</v>
      </c>
      <c r="BE777" s="138">
        <v>101.52</v>
      </c>
      <c r="BF777" s="185">
        <f>BF776</f>
        <v>94.878142964258927</v>
      </c>
      <c r="BG777" s="183">
        <v>12.76</v>
      </c>
      <c r="BH777" s="141">
        <v>311.89</v>
      </c>
      <c r="BI777" s="185">
        <f>BI776</f>
        <v>168.94520694039954</v>
      </c>
      <c r="BJ777" s="183">
        <v>16.920000000000002</v>
      </c>
      <c r="BK777" s="143">
        <v>417.81</v>
      </c>
      <c r="BN777" s="371">
        <f>BN769-BN780</f>
        <v>0</v>
      </c>
      <c r="BO777" s="371">
        <f>BO769-BO780</f>
        <v>0</v>
      </c>
      <c r="BP777" s="371">
        <f>BP769-BP780</f>
        <v>0</v>
      </c>
    </row>
    <row r="778" spans="1:68" ht="17.25" customHeight="1" outlineLevel="1" x14ac:dyDescent="0.25">
      <c r="A778" s="10" t="b">
        <f>$W460="одноставочный"</f>
        <v>1</v>
      </c>
      <c r="B778" s="5" t="b">
        <f t="array" ref="B778">A778</f>
        <v>1</v>
      </c>
      <c r="C778" s="10" t="s">
        <v>96</v>
      </c>
      <c r="D778" s="10" t="s">
        <v>97</v>
      </c>
      <c r="E778" s="10" t="s">
        <v>73</v>
      </c>
      <c r="F778" s="10" t="s">
        <v>74</v>
      </c>
      <c r="G778" s="10" t="s">
        <v>73</v>
      </c>
      <c r="H778" s="10" t="s">
        <v>73</v>
      </c>
      <c r="I778" s="10" t="s">
        <v>73</v>
      </c>
      <c r="J778" s="10" t="s">
        <v>73</v>
      </c>
      <c r="K778" s="12" t="s">
        <v>73</v>
      </c>
      <c r="L778" s="10" t="s">
        <v>133</v>
      </c>
      <c r="M778" s="5" t="str">
        <f t="array" ref="M778">Y460</f>
        <v>1ВО::1.1</v>
      </c>
      <c r="AB778" s="590" t="str">
        <f>AB775&amp;".3"</f>
        <v>11.3</v>
      </c>
      <c r="AC778" s="591" t="s">
        <v>97</v>
      </c>
      <c r="AD778" s="592" t="s">
        <v>119</v>
      </c>
      <c r="AE778" s="375">
        <f t="shared" ref="AE778:AJ778" si="175">AE777/AE776*100</f>
        <v>100</v>
      </c>
      <c r="AF778" s="376">
        <f t="shared" si="175"/>
        <v>201.87578157565653</v>
      </c>
      <c r="AG778" s="377">
        <f t="shared" si="175"/>
        <v>295.12296790329304</v>
      </c>
      <c r="AH778" s="375">
        <f t="shared" si="175"/>
        <v>100</v>
      </c>
      <c r="AI778" s="376">
        <f t="shared" si="175"/>
        <v>105.15677919807713</v>
      </c>
      <c r="AJ778" s="377">
        <f t="shared" si="175"/>
        <v>1352.3012987012987</v>
      </c>
      <c r="AK778" s="375"/>
      <c r="AL778" s="376"/>
      <c r="AM778" s="378"/>
      <c r="AN778" s="375">
        <f t="shared" ref="AN778:BK778" si="176">AN777/AN776*100</f>
        <v>100</v>
      </c>
      <c r="AO778" s="376">
        <f t="shared" si="176"/>
        <v>101.65016501650163</v>
      </c>
      <c r="AP778" s="378">
        <f t="shared" si="176"/>
        <v>1583.34879406308</v>
      </c>
      <c r="AQ778" s="375">
        <f t="shared" si="176"/>
        <v>100</v>
      </c>
      <c r="AR778" s="376">
        <f t="shared" si="176"/>
        <v>100</v>
      </c>
      <c r="AS778" s="378">
        <f t="shared" si="176"/>
        <v>100</v>
      </c>
      <c r="AT778" s="375">
        <f t="shared" si="176"/>
        <v>100</v>
      </c>
      <c r="AU778" s="376">
        <f t="shared" si="176"/>
        <v>125</v>
      </c>
      <c r="AV778" s="378">
        <f t="shared" si="176"/>
        <v>1412.7371273712736</v>
      </c>
      <c r="AW778" s="375">
        <f t="shared" si="176"/>
        <v>100</v>
      </c>
      <c r="AX778" s="376">
        <f t="shared" si="176"/>
        <v>117.40412979351032</v>
      </c>
      <c r="AY778" s="378">
        <f t="shared" si="176"/>
        <v>2080.4020100502512</v>
      </c>
      <c r="AZ778" s="375">
        <f t="shared" si="176"/>
        <v>100</v>
      </c>
      <c r="BA778" s="376">
        <f t="shared" si="176"/>
        <v>117.41314357471747</v>
      </c>
      <c r="BB778" s="378">
        <f t="shared" si="176"/>
        <v>436.00713012477712</v>
      </c>
      <c r="BC778" s="375">
        <f t="shared" si="176"/>
        <v>100</v>
      </c>
      <c r="BD778" s="376">
        <f t="shared" si="176"/>
        <v>117.41648106904232</v>
      </c>
      <c r="BE778" s="378">
        <f t="shared" si="176"/>
        <v>385.12898330804245</v>
      </c>
      <c r="BF778" s="375">
        <f t="shared" si="176"/>
        <v>100</v>
      </c>
      <c r="BG778" s="376">
        <f t="shared" si="176"/>
        <v>117.38730450781969</v>
      </c>
      <c r="BH778" s="378">
        <f t="shared" si="176"/>
        <v>2444.2789968652037</v>
      </c>
      <c r="BI778" s="375">
        <f t="shared" si="176"/>
        <v>100</v>
      </c>
      <c r="BJ778" s="376">
        <f t="shared" si="176"/>
        <v>117.41845940319224</v>
      </c>
      <c r="BK778" s="377">
        <f t="shared" si="176"/>
        <v>2469.3262411347514</v>
      </c>
      <c r="BN778" s="371"/>
      <c r="BO778" s="371"/>
      <c r="BP778" s="371"/>
    </row>
    <row r="779" spans="1:68" ht="14.25" customHeight="1" x14ac:dyDescent="0.25">
      <c r="AB779" s="6"/>
      <c r="AC779" s="6"/>
      <c r="AD779" s="6"/>
      <c r="BN779" s="398"/>
      <c r="BO779" s="398"/>
      <c r="BP779" s="398"/>
    </row>
    <row r="780" spans="1:68" ht="15" customHeight="1" x14ac:dyDescent="0.25">
      <c r="AB780" s="6"/>
      <c r="AC780" s="6"/>
      <c r="AD780" s="6"/>
      <c r="AE780" s="6"/>
      <c r="AF780" s="6"/>
      <c r="AG780" s="6"/>
      <c r="BM780" s="5" t="s">
        <v>580</v>
      </c>
      <c r="BN780" s="7">
        <f>AE769+AH769+AK769+AN769+AQ769+AT769+AW769+AZ769+BC769+BF769+BI769</f>
        <v>1804536.2650816501</v>
      </c>
      <c r="BO780" s="7">
        <f>AF769+AI769+AL769+AO769+AR769+AU769+AX769+BA769+BD769+BG769+BJ769</f>
        <v>1048168.3681565998</v>
      </c>
      <c r="BP780" s="7">
        <f>AG769+AJ769+AM769+AP769+AS769+AV769+AY769+BB769+BE769+BH769+BK769</f>
        <v>2496560.7399329995</v>
      </c>
    </row>
    <row r="781" spans="1:68" ht="29.25" customHeight="1" x14ac:dyDescent="0.25">
      <c r="AB781" s="6" t="s">
        <v>49</v>
      </c>
      <c r="AC781" s="6"/>
      <c r="AD781" s="6"/>
      <c r="AE781" s="6"/>
      <c r="AF781" s="6"/>
      <c r="AG781" s="6"/>
      <c r="BN781" s="20"/>
    </row>
    <row r="782" spans="1:68" ht="16.5" customHeight="1" x14ac:dyDescent="0.25">
      <c r="AB782" s="6"/>
      <c r="AC782" s="6"/>
      <c r="AD782" s="6"/>
      <c r="AE782" s="6"/>
      <c r="AF782" s="6"/>
      <c r="AG782" s="6"/>
      <c r="BN782" s="20"/>
    </row>
    <row r="783" spans="1:68" ht="35.25" customHeight="1" x14ac:dyDescent="0.25">
      <c r="AB783" s="1104" t="s">
        <v>709</v>
      </c>
      <c r="AC783" s="1104"/>
      <c r="AD783" s="1104"/>
      <c r="AE783" s="1098" t="s">
        <v>51</v>
      </c>
      <c r="AF783" s="1098"/>
      <c r="AG783" s="1098"/>
      <c r="AH783" s="1097" t="s">
        <v>52</v>
      </c>
      <c r="AI783" s="1097"/>
      <c r="AJ783" s="1097"/>
      <c r="AK783" s="1097" t="s">
        <v>53</v>
      </c>
      <c r="AL783" s="1097"/>
      <c r="AM783" s="1097"/>
      <c r="AN783" s="1097" t="s">
        <v>54</v>
      </c>
      <c r="AO783" s="1097"/>
      <c r="AP783" s="1097"/>
      <c r="AQ783" s="1097" t="s">
        <v>55</v>
      </c>
      <c r="AR783" s="1097"/>
      <c r="AS783" s="1097"/>
      <c r="AT783" s="1097" t="s">
        <v>56</v>
      </c>
      <c r="AU783" s="1097"/>
      <c r="AV783" s="1097"/>
      <c r="AW783" s="1097" t="s">
        <v>57</v>
      </c>
      <c r="AX783" s="1097"/>
      <c r="AY783" s="1097"/>
      <c r="AZ783" s="1097" t="s">
        <v>58</v>
      </c>
      <c r="BA783" s="1097"/>
      <c r="BB783" s="1097"/>
      <c r="BC783" s="1097" t="s">
        <v>59</v>
      </c>
      <c r="BD783" s="1097"/>
      <c r="BE783" s="1097"/>
      <c r="BF783" s="1097" t="s">
        <v>60</v>
      </c>
      <c r="BG783" s="1097"/>
      <c r="BH783" s="1097"/>
      <c r="BI783" s="1098" t="s">
        <v>61</v>
      </c>
      <c r="BJ783" s="1098"/>
      <c r="BK783" s="1098"/>
      <c r="BN783" s="1099" t="s">
        <v>710</v>
      </c>
      <c r="BO783" s="1099"/>
      <c r="BP783" s="1099"/>
    </row>
    <row r="784" spans="1:68" ht="30.75" customHeight="1" x14ac:dyDescent="0.25">
      <c r="AB784" s="1100" t="s">
        <v>63</v>
      </c>
      <c r="AC784" s="1101" t="s">
        <v>64</v>
      </c>
      <c r="AD784" s="1102" t="s">
        <v>65</v>
      </c>
      <c r="AE784" s="594">
        <f>god-2</f>
        <v>2024</v>
      </c>
      <c r="AF784" s="25">
        <v>2025</v>
      </c>
      <c r="AG784" s="595">
        <f>god</f>
        <v>2026</v>
      </c>
      <c r="AH784" s="28">
        <f>god-2</f>
        <v>2024</v>
      </c>
      <c r="AI784" s="25">
        <f>god-1</f>
        <v>2025</v>
      </c>
      <c r="AJ784" s="26">
        <f>god</f>
        <v>2026</v>
      </c>
      <c r="AK784" s="28">
        <f>god-2</f>
        <v>2024</v>
      </c>
      <c r="AL784" s="25">
        <f>god-1</f>
        <v>2025</v>
      </c>
      <c r="AM784" s="26">
        <f>god</f>
        <v>2026</v>
      </c>
      <c r="AN784" s="28">
        <f>god-2</f>
        <v>2024</v>
      </c>
      <c r="AO784" s="25">
        <f>god-1</f>
        <v>2025</v>
      </c>
      <c r="AP784" s="26">
        <f>god</f>
        <v>2026</v>
      </c>
      <c r="AQ784" s="28">
        <f>god-2</f>
        <v>2024</v>
      </c>
      <c r="AR784" s="25">
        <f>god-1</f>
        <v>2025</v>
      </c>
      <c r="AS784" s="26">
        <f>god</f>
        <v>2026</v>
      </c>
      <c r="AT784" s="28">
        <f>god-2</f>
        <v>2024</v>
      </c>
      <c r="AU784" s="25">
        <f>god-1</f>
        <v>2025</v>
      </c>
      <c r="AV784" s="26">
        <f>god</f>
        <v>2026</v>
      </c>
      <c r="AW784" s="28">
        <f>god-2</f>
        <v>2024</v>
      </c>
      <c r="AX784" s="25">
        <f>god-1</f>
        <v>2025</v>
      </c>
      <c r="AY784" s="26">
        <f>god</f>
        <v>2026</v>
      </c>
      <c r="AZ784" s="28">
        <f>god-2</f>
        <v>2024</v>
      </c>
      <c r="BA784" s="25">
        <f>god-1</f>
        <v>2025</v>
      </c>
      <c r="BB784" s="26">
        <f>god</f>
        <v>2026</v>
      </c>
      <c r="BC784" s="28">
        <f>god-2</f>
        <v>2024</v>
      </c>
      <c r="BD784" s="25">
        <f>god-1</f>
        <v>2025</v>
      </c>
      <c r="BE784" s="26">
        <f>god</f>
        <v>2026</v>
      </c>
      <c r="BF784" s="28">
        <f>god-2</f>
        <v>2024</v>
      </c>
      <c r="BG784" s="25">
        <f>god-1</f>
        <v>2025</v>
      </c>
      <c r="BH784" s="26">
        <f>god</f>
        <v>2026</v>
      </c>
      <c r="BI784" s="24">
        <f>god-2</f>
        <v>2024</v>
      </c>
      <c r="BJ784" s="25">
        <f>god-1</f>
        <v>2025</v>
      </c>
      <c r="BK784" s="26">
        <f>god</f>
        <v>2026</v>
      </c>
      <c r="BN784" s="29">
        <v>2024</v>
      </c>
      <c r="BO784" s="30">
        <v>2025</v>
      </c>
      <c r="BP784" s="31">
        <v>2026</v>
      </c>
    </row>
    <row r="785" spans="1:68" ht="60" customHeight="1" x14ac:dyDescent="0.25">
      <c r="AB785" s="1100"/>
      <c r="AC785" s="1101"/>
      <c r="AD785" s="1102"/>
      <c r="AE785" s="596" t="s">
        <v>66</v>
      </c>
      <c r="AF785" s="30" t="s">
        <v>67</v>
      </c>
      <c r="AG785" s="597" t="str">
        <f>"план организации"&amp;IF(TYPE="Корректировка"," (корректировка)","")</f>
        <v>план организации (корректировка)</v>
      </c>
      <c r="AH785" s="33" t="s">
        <v>66</v>
      </c>
      <c r="AI785" s="30" t="s">
        <v>67</v>
      </c>
      <c r="AJ785" s="31" t="str">
        <f>"план организации"&amp;IF(TYPE="Корректировка"," (корректировка)","")</f>
        <v>план организации (корректировка)</v>
      </c>
      <c r="AK785" s="33" t="s">
        <v>66</v>
      </c>
      <c r="AL785" s="30" t="s">
        <v>67</v>
      </c>
      <c r="AM785" s="31" t="str">
        <f>"план организации"&amp;IF(TYPE="Корректировка"," (корректировка)","")</f>
        <v>план организации (корректировка)</v>
      </c>
      <c r="AN785" s="33" t="s">
        <v>66</v>
      </c>
      <c r="AO785" s="30" t="s">
        <v>67</v>
      </c>
      <c r="AP785" s="31" t="str">
        <f>"план организации"&amp;IF(TYPE="Корректировка"," (корректировка)","")</f>
        <v>план организации (корректировка)</v>
      </c>
      <c r="AQ785" s="33" t="s">
        <v>66</v>
      </c>
      <c r="AR785" s="30" t="s">
        <v>67</v>
      </c>
      <c r="AS785" s="31" t="str">
        <f>"план организации"&amp;IF(TYPE="Корректировка"," (корректировка)","")</f>
        <v>план организации (корректировка)</v>
      </c>
      <c r="AT785" s="33" t="s">
        <v>66</v>
      </c>
      <c r="AU785" s="30" t="s">
        <v>67</v>
      </c>
      <c r="AV785" s="31" t="str">
        <f>"план организации"&amp;IF(TYPE="Корректировка"," (корректировка)","")</f>
        <v>план организации (корректировка)</v>
      </c>
      <c r="AW785" s="33" t="s">
        <v>66</v>
      </c>
      <c r="AX785" s="30" t="s">
        <v>67</v>
      </c>
      <c r="AY785" s="31" t="str">
        <f>"план организации"&amp;IF(TYPE="Корректировка"," (корректировка)","")</f>
        <v>план организации (корректировка)</v>
      </c>
      <c r="AZ785" s="33" t="s">
        <v>66</v>
      </c>
      <c r="BA785" s="30" t="s">
        <v>67</v>
      </c>
      <c r="BB785" s="31" t="str">
        <f>"план организации"&amp;IF(TYPE="Корректировка"," (корректировка)","")</f>
        <v>план организации (корректировка)</v>
      </c>
      <c r="BC785" s="33" t="s">
        <v>66</v>
      </c>
      <c r="BD785" s="30" t="s">
        <v>67</v>
      </c>
      <c r="BE785" s="31" t="str">
        <f>"план организации"&amp;IF(TYPE="Корректировка"," (корректировка)","")</f>
        <v>план организации (корректировка)</v>
      </c>
      <c r="BF785" s="33" t="s">
        <v>66</v>
      </c>
      <c r="BG785" s="30" t="s">
        <v>67</v>
      </c>
      <c r="BH785" s="31" t="str">
        <f>"план организации"&amp;IF(TYPE="Корректировка"," (корректировка)","")</f>
        <v>план организации (корректировка)</v>
      </c>
      <c r="BI785" s="29" t="s">
        <v>66</v>
      </c>
      <c r="BJ785" s="30" t="s">
        <v>67</v>
      </c>
      <c r="BK785" s="31" t="str">
        <f>"план организации"&amp;IF(TYPE="Корректировка"," (корректировка)","")</f>
        <v>план организации (корректировка)</v>
      </c>
      <c r="BN785" s="34" t="s">
        <v>66</v>
      </c>
      <c r="BO785" s="35" t="s">
        <v>67</v>
      </c>
      <c r="BP785" s="36" t="str">
        <f>"план организации"&amp;IF(TYPE="Корректировка"," (корректировка)","")</f>
        <v>план организации (корректировка)</v>
      </c>
    </row>
    <row r="786" spans="1:68" ht="19.5" hidden="1" customHeight="1" x14ac:dyDescent="0.25">
      <c r="B786" s="5" t="b">
        <f>$AD$56="да"</f>
        <v>0</v>
      </c>
      <c r="AB786" s="1100"/>
      <c r="AC786" s="1101"/>
      <c r="AD786" s="1102"/>
      <c r="AE786" s="598" t="s">
        <v>68</v>
      </c>
      <c r="AF786" s="38" t="s">
        <v>68</v>
      </c>
      <c r="AG786" s="599" t="s">
        <v>68</v>
      </c>
      <c r="AH786" s="44"/>
      <c r="AI786" s="41"/>
      <c r="AJ786" s="42"/>
      <c r="AK786" s="44"/>
      <c r="AL786" s="41"/>
      <c r="AM786" s="42"/>
      <c r="AN786" s="44"/>
      <c r="AO786" s="41"/>
      <c r="AP786" s="42"/>
      <c r="AQ786" s="44"/>
      <c r="AR786" s="41"/>
      <c r="AS786" s="42"/>
      <c r="AT786" s="44"/>
      <c r="AU786" s="41"/>
      <c r="AV786" s="42"/>
      <c r="AW786" s="44"/>
      <c r="AX786" s="41"/>
      <c r="AY786" s="42"/>
      <c r="AZ786" s="44"/>
      <c r="BA786" s="41"/>
      <c r="BB786" s="42"/>
      <c r="BC786" s="44"/>
      <c r="BD786" s="41"/>
      <c r="BE786" s="42"/>
      <c r="BF786" s="44"/>
      <c r="BG786" s="41"/>
      <c r="BH786" s="42"/>
      <c r="BI786" s="40"/>
      <c r="BJ786" s="41"/>
      <c r="BK786" s="42"/>
      <c r="BN786" s="45"/>
      <c r="BO786" s="46"/>
      <c r="BP786" s="47"/>
    </row>
    <row r="787" spans="1:68" ht="12" hidden="1" customHeight="1" x14ac:dyDescent="0.25">
      <c r="B787" s="10" t="b">
        <f>FALSE()</f>
        <v>0</v>
      </c>
      <c r="AB787" s="1100"/>
      <c r="AC787" s="1101"/>
      <c r="AD787" s="1102"/>
      <c r="AE787" s="600" t="b">
        <f>OR(AE$74&lt;god_reagenty,AND(FIRST_PERIOD_IN_LT&lt;god_reagenty,AE$74&gt;=FIRST_PERIOD_IN_LT),AND(FIRST_PERIOD_IN_LT-PREVIOUS_PERIOD_LENGTH&lt;god_reagenty,AE$74&lt;FIRST_PERIOD_IN_LT))</f>
        <v>0</v>
      </c>
      <c r="AF787" s="49" t="b">
        <f>OR(AF$74&lt;god_reagenty,AND(FIRST_PERIOD_IN_LT&lt;god_reagenty,AF$74&gt;=FIRST_PERIOD_IN_LT),AND(FIRST_PERIOD_IN_LT-PREVIOUS_PERIOD_LENGTH&lt;god_reagenty,AF$74&lt;FIRST_PERIOD_IN_LT))</f>
        <v>0</v>
      </c>
      <c r="AG787" s="601" t="b">
        <f>OR(AG$74&lt;god_reagenty,AND(FIRST_PERIOD_IN_LT&lt;god_reagenty,AG$74&gt;=FIRST_PERIOD_IN_LT),AND(FIRST_PERIOD_IN_LT-PREVIOUS_PERIOD_LENGTH&lt;god_reagenty,AG$74&lt;FIRST_PERIOD_IN_LT))</f>
        <v>0</v>
      </c>
      <c r="AH787" s="44"/>
      <c r="AI787" s="41"/>
      <c r="AJ787" s="42"/>
      <c r="AK787" s="44"/>
      <c r="AL787" s="41"/>
      <c r="AM787" s="42"/>
      <c r="AN787" s="44"/>
      <c r="AO787" s="41"/>
      <c r="AP787" s="42"/>
      <c r="AQ787" s="44"/>
      <c r="AR787" s="41"/>
      <c r="AS787" s="42"/>
      <c r="AT787" s="44"/>
      <c r="AU787" s="41"/>
      <c r="AV787" s="42"/>
      <c r="AW787" s="44"/>
      <c r="AX787" s="41"/>
      <c r="AY787" s="42"/>
      <c r="AZ787" s="44"/>
      <c r="BA787" s="41"/>
      <c r="BB787" s="42"/>
      <c r="BC787" s="44"/>
      <c r="BD787" s="41"/>
      <c r="BE787" s="42"/>
      <c r="BF787" s="44"/>
      <c r="BG787" s="41"/>
      <c r="BH787" s="42"/>
      <c r="BI787" s="40"/>
      <c r="BJ787" s="41"/>
      <c r="BK787" s="42"/>
      <c r="BN787" s="45"/>
      <c r="BO787" s="46"/>
      <c r="BP787" s="47"/>
    </row>
    <row r="788" spans="1:68" ht="12" hidden="1" customHeight="1" x14ac:dyDescent="0.25">
      <c r="B788" s="10" t="b">
        <f>FALSE()</f>
        <v>0</v>
      </c>
      <c r="AB788" s="29"/>
      <c r="AC788" s="38" t="s">
        <v>69</v>
      </c>
      <c r="AD788" s="370"/>
      <c r="AE788" s="600" t="b">
        <f>FALSE()</f>
        <v>0</v>
      </c>
      <c r="AF788" s="49" t="b">
        <f>OR(AND(PREVIOUS_REGULATION_METHODS="Метод индексации",TYPE="Базовый"),AND(AF784&gt;FIRST_PERIOD_IN_LT,TYPE="Корректировка",AF784&lt;&gt;[1]Титульный!$AD$93))</f>
        <v>1</v>
      </c>
      <c r="AG788" s="601" t="b">
        <f>AND(TYPE="Корректировка",AG784&lt;&gt;[1]Титульный!$AD$93)</f>
        <v>1</v>
      </c>
      <c r="AH788" s="44"/>
      <c r="AI788" s="41"/>
      <c r="AJ788" s="42"/>
      <c r="AK788" s="44"/>
      <c r="AL788" s="41"/>
      <c r="AM788" s="42"/>
      <c r="AN788" s="44"/>
      <c r="AO788" s="41"/>
      <c r="AP788" s="42"/>
      <c r="AQ788" s="44"/>
      <c r="AR788" s="41"/>
      <c r="AS788" s="42"/>
      <c r="AT788" s="44"/>
      <c r="AU788" s="41"/>
      <c r="AV788" s="42"/>
      <c r="AW788" s="44"/>
      <c r="AX788" s="41"/>
      <c r="AY788" s="42"/>
      <c r="AZ788" s="44"/>
      <c r="BA788" s="41"/>
      <c r="BB788" s="42"/>
      <c r="BC788" s="44"/>
      <c r="BD788" s="41"/>
      <c r="BE788" s="42"/>
      <c r="BF788" s="44"/>
      <c r="BG788" s="41"/>
      <c r="BH788" s="42"/>
      <c r="BI788" s="40"/>
      <c r="BJ788" s="41"/>
      <c r="BK788" s="42"/>
      <c r="BN788" s="45"/>
      <c r="BO788" s="46"/>
      <c r="BP788" s="47"/>
    </row>
    <row r="789" spans="1:68" ht="12" hidden="1" customHeight="1" x14ac:dyDescent="0.25">
      <c r="B789" s="10" t="b">
        <f>FALSE()</f>
        <v>0</v>
      </c>
      <c r="AB789" s="29"/>
      <c r="AC789" s="52" t="s">
        <v>70</v>
      </c>
      <c r="AD789" s="370"/>
      <c r="AE789" s="602">
        <f t="array" ref="AE789">[1]Индексы!$AH$92</f>
        <v>12</v>
      </c>
      <c r="AF789" s="54">
        <f t="array" ref="AF789">[1]Индексы!$AI$92</f>
        <v>12</v>
      </c>
      <c r="AG789" s="603">
        <f t="array" ref="AG789">[1]Индексы!$AK$92</f>
        <v>12</v>
      </c>
      <c r="AH789" s="44"/>
      <c r="AI789" s="41"/>
      <c r="AJ789" s="42"/>
      <c r="AK789" s="44"/>
      <c r="AL789" s="41"/>
      <c r="AM789" s="42"/>
      <c r="AN789" s="44"/>
      <c r="AO789" s="41"/>
      <c r="AP789" s="42"/>
      <c r="AQ789" s="44"/>
      <c r="AR789" s="41"/>
      <c r="AS789" s="42"/>
      <c r="AT789" s="44"/>
      <c r="AU789" s="41"/>
      <c r="AV789" s="42"/>
      <c r="AW789" s="44"/>
      <c r="AX789" s="41"/>
      <c r="AY789" s="42"/>
      <c r="AZ789" s="44"/>
      <c r="BA789" s="41"/>
      <c r="BB789" s="42"/>
      <c r="BC789" s="44"/>
      <c r="BD789" s="41"/>
      <c r="BE789" s="42"/>
      <c r="BF789" s="44"/>
      <c r="BG789" s="41"/>
      <c r="BH789" s="42"/>
      <c r="BI789" s="40"/>
      <c r="BJ789" s="41"/>
      <c r="BK789" s="42"/>
      <c r="BN789" s="45"/>
      <c r="BO789" s="46"/>
      <c r="BP789" s="47"/>
    </row>
    <row r="790" spans="1:68" ht="6.75" hidden="1" customHeight="1" x14ac:dyDescent="0.25">
      <c r="A790" s="5" t="b">
        <f>$AD$56="да"</f>
        <v>0</v>
      </c>
      <c r="B790" s="5" t="b">
        <f t="array" ref="B790">A790</f>
        <v>0</v>
      </c>
      <c r="C790" s="5" t="s">
        <v>71</v>
      </c>
      <c r="D790" s="5" t="s">
        <v>72</v>
      </c>
      <c r="E790" s="5" t="s">
        <v>73</v>
      </c>
      <c r="F790" s="5" t="s">
        <v>74</v>
      </c>
      <c r="G790" s="5" t="s">
        <v>73</v>
      </c>
      <c r="H790" s="5" t="s">
        <v>73</v>
      </c>
      <c r="I790" s="5" t="s">
        <v>73</v>
      </c>
      <c r="J790" s="5" t="s">
        <v>73</v>
      </c>
      <c r="K790" s="5" t="s">
        <v>73</v>
      </c>
      <c r="M790" s="5">
        <f t="shared" ref="M790:M805" si="177">$AC$81</f>
        <v>0</v>
      </c>
      <c r="Z790" s="6"/>
      <c r="AA790" s="6"/>
      <c r="AB790" s="56"/>
      <c r="AC790" s="52"/>
      <c r="AD790" s="98"/>
      <c r="AE790" s="604"/>
      <c r="AF790" s="59"/>
      <c r="AG790" s="605"/>
      <c r="AH790" s="44"/>
      <c r="AI790" s="41"/>
      <c r="AJ790" s="42"/>
      <c r="AK790" s="44"/>
      <c r="AL790" s="41"/>
      <c r="AM790" s="42"/>
      <c r="AN790" s="44"/>
      <c r="AO790" s="41"/>
      <c r="AP790" s="42"/>
      <c r="AQ790" s="44"/>
      <c r="AR790" s="41"/>
      <c r="AS790" s="42"/>
      <c r="AT790" s="44"/>
      <c r="AU790" s="41"/>
      <c r="AV790" s="42"/>
      <c r="AW790" s="44"/>
      <c r="AX790" s="41"/>
      <c r="AY790" s="42"/>
      <c r="AZ790" s="44"/>
      <c r="BA790" s="41"/>
      <c r="BB790" s="42"/>
      <c r="BC790" s="44"/>
      <c r="BD790" s="41"/>
      <c r="BE790" s="42"/>
      <c r="BF790" s="44"/>
      <c r="BG790" s="41"/>
      <c r="BH790" s="42"/>
      <c r="BI790" s="40"/>
      <c r="BJ790" s="41"/>
      <c r="BK790" s="42"/>
      <c r="BN790" s="45"/>
      <c r="BO790" s="46"/>
      <c r="BP790" s="47"/>
    </row>
    <row r="791" spans="1:68" ht="13.5" hidden="1" customHeight="1" x14ac:dyDescent="0.25">
      <c r="A791" s="10" t="e">
        <f>COUNTIF([1]Тарифы!$AK$87:$AK$90,"с дифференциацией (несколько смет)")&gt;0</f>
        <v>#VALUE!</v>
      </c>
      <c r="B791" s="10" t="e">
        <f t="array" ref="B791">A791</f>
        <v>#VALUE!</v>
      </c>
      <c r="M791" s="5">
        <f t="shared" si="177"/>
        <v>0</v>
      </c>
      <c r="Z791" s="6"/>
      <c r="AA791" s="6"/>
      <c r="AB791" s="61"/>
      <c r="AC791" s="62"/>
      <c r="AD791" s="64"/>
      <c r="AE791" s="606"/>
      <c r="AF791" s="62"/>
      <c r="AG791" s="607"/>
      <c r="AH791" s="44"/>
      <c r="AI791" s="41"/>
      <c r="AJ791" s="42"/>
      <c r="AK791" s="44"/>
      <c r="AL791" s="41"/>
      <c r="AM791" s="42"/>
      <c r="AN791" s="44"/>
      <c r="AO791" s="41"/>
      <c r="AP791" s="42"/>
      <c r="AQ791" s="44"/>
      <c r="AR791" s="41"/>
      <c r="AS791" s="42"/>
      <c r="AT791" s="44"/>
      <c r="AU791" s="41"/>
      <c r="AV791" s="42"/>
      <c r="AW791" s="44"/>
      <c r="AX791" s="41"/>
      <c r="AY791" s="42"/>
      <c r="AZ791" s="44"/>
      <c r="BA791" s="41"/>
      <c r="BB791" s="42"/>
      <c r="BC791" s="44"/>
      <c r="BD791" s="41"/>
      <c r="BE791" s="42"/>
      <c r="BF791" s="44"/>
      <c r="BG791" s="41"/>
      <c r="BH791" s="42"/>
      <c r="BI791" s="40"/>
      <c r="BJ791" s="41"/>
      <c r="BK791" s="42"/>
      <c r="BN791" s="45"/>
      <c r="BO791" s="46"/>
      <c r="BP791" s="47"/>
    </row>
    <row r="792" spans="1:68" ht="14.25" hidden="1" customHeight="1" outlineLevel="1" x14ac:dyDescent="0.25">
      <c r="A792" s="10" t="e">
        <f>COUNTIF([1]Тарифы!$AK$87:$AK$90,"с дифференциацией (несколько смет)")&gt;0</f>
        <v>#VALUE!</v>
      </c>
      <c r="B792" s="10" t="e">
        <f t="array" ref="B792">A792</f>
        <v>#VALUE!</v>
      </c>
      <c r="C792" s="5" t="s">
        <v>75</v>
      </c>
      <c r="D792" s="10" t="s">
        <v>76</v>
      </c>
      <c r="E792" s="5" t="s">
        <v>73</v>
      </c>
      <c r="F792" s="5" t="s">
        <v>73</v>
      </c>
      <c r="G792" s="5" t="s">
        <v>73</v>
      </c>
      <c r="H792" s="5" t="s">
        <v>73</v>
      </c>
      <c r="I792" s="5" t="s">
        <v>73</v>
      </c>
      <c r="J792" s="5" t="s">
        <v>73</v>
      </c>
      <c r="K792" s="5" t="s">
        <v>77</v>
      </c>
      <c r="M792" s="5">
        <f t="shared" si="177"/>
        <v>0</v>
      </c>
      <c r="Z792" s="6"/>
      <c r="AA792" s="6"/>
      <c r="AB792" s="65"/>
      <c r="AC792" s="62"/>
      <c r="AD792" s="370"/>
      <c r="AE792" s="427"/>
      <c r="AF792" s="67"/>
      <c r="AG792" s="428"/>
      <c r="AH792" s="44"/>
      <c r="AI792" s="41"/>
      <c r="AJ792" s="42"/>
      <c r="AK792" s="44"/>
      <c r="AL792" s="41"/>
      <c r="AM792" s="42"/>
      <c r="AN792" s="44"/>
      <c r="AO792" s="41"/>
      <c r="AP792" s="42"/>
      <c r="AQ792" s="44"/>
      <c r="AR792" s="41"/>
      <c r="AS792" s="42"/>
      <c r="AT792" s="44"/>
      <c r="AU792" s="41"/>
      <c r="AV792" s="42"/>
      <c r="AW792" s="44"/>
      <c r="AX792" s="41"/>
      <c r="AY792" s="42"/>
      <c r="AZ792" s="44"/>
      <c r="BA792" s="41"/>
      <c r="BB792" s="42"/>
      <c r="BC792" s="44"/>
      <c r="BD792" s="41"/>
      <c r="BE792" s="42"/>
      <c r="BF792" s="44"/>
      <c r="BG792" s="41"/>
      <c r="BH792" s="42"/>
      <c r="BI792" s="40"/>
      <c r="BJ792" s="41"/>
      <c r="BK792" s="42"/>
      <c r="BN792" s="45"/>
      <c r="BO792" s="46"/>
      <c r="BP792" s="47"/>
    </row>
    <row r="793" spans="1:68" ht="14.25" hidden="1" customHeight="1" outlineLevel="1" x14ac:dyDescent="0.25">
      <c r="A793" s="10" t="e">
        <f>COUNTIF([1]Тарифы!$AK$87:$AK$90,"с дифференциацией (несколько смет)")&gt;0</f>
        <v>#VALUE!</v>
      </c>
      <c r="B793" s="10" t="e">
        <f t="array" ref="B793">A793</f>
        <v>#VALUE!</v>
      </c>
      <c r="C793" s="69" t="s">
        <v>78</v>
      </c>
      <c r="D793" s="70" t="s">
        <v>79</v>
      </c>
      <c r="E793" s="70" t="s">
        <v>80</v>
      </c>
      <c r="F793" s="70" t="s">
        <v>80</v>
      </c>
      <c r="G793" s="70" t="s">
        <v>80</v>
      </c>
      <c r="H793" s="70" t="s">
        <v>80</v>
      </c>
      <c r="I793" s="70" t="s">
        <v>80</v>
      </c>
      <c r="J793" s="70" t="s">
        <v>80</v>
      </c>
      <c r="K793" s="5" t="s">
        <v>77</v>
      </c>
      <c r="M793" s="5">
        <f t="shared" si="177"/>
        <v>0</v>
      </c>
      <c r="Z793" s="6"/>
      <c r="AA793" s="6"/>
      <c r="AB793" s="29"/>
      <c r="AC793" s="71"/>
      <c r="AD793" s="370"/>
      <c r="AE793" s="427"/>
      <c r="AF793" s="67"/>
      <c r="AG793" s="428"/>
      <c r="AH793" s="44"/>
      <c r="AI793" s="41"/>
      <c r="AJ793" s="42"/>
      <c r="AK793" s="44"/>
      <c r="AL793" s="41"/>
      <c r="AM793" s="42"/>
      <c r="AN793" s="44"/>
      <c r="AO793" s="41"/>
      <c r="AP793" s="42"/>
      <c r="AQ793" s="44"/>
      <c r="AR793" s="41"/>
      <c r="AS793" s="42"/>
      <c r="AT793" s="44"/>
      <c r="AU793" s="41"/>
      <c r="AV793" s="42"/>
      <c r="AW793" s="44"/>
      <c r="AX793" s="41"/>
      <c r="AY793" s="42"/>
      <c r="AZ793" s="44"/>
      <c r="BA793" s="41"/>
      <c r="BB793" s="42"/>
      <c r="BC793" s="44"/>
      <c r="BD793" s="41"/>
      <c r="BE793" s="42"/>
      <c r="BF793" s="44"/>
      <c r="BG793" s="41"/>
      <c r="BH793" s="42"/>
      <c r="BI793" s="40"/>
      <c r="BJ793" s="41"/>
      <c r="BK793" s="42"/>
      <c r="BN793" s="45"/>
      <c r="BO793" s="46"/>
      <c r="BP793" s="47"/>
    </row>
    <row r="794" spans="1:68" ht="14.25" hidden="1" customHeight="1" outlineLevel="1" x14ac:dyDescent="0.25">
      <c r="A794" s="10" t="e">
        <f>COUNTIF([1]Тарифы!$AK$87:$AK$90,"с дифференциацией (несколько смет)")&gt;0</f>
        <v>#VALUE!</v>
      </c>
      <c r="B794" s="10" t="e">
        <f t="array" ref="B794">A794</f>
        <v>#VALUE!</v>
      </c>
      <c r="C794" s="69" t="s">
        <v>81</v>
      </c>
      <c r="D794" s="70" t="s">
        <v>82</v>
      </c>
      <c r="E794" s="70" t="s">
        <v>73</v>
      </c>
      <c r="F794" s="70" t="s">
        <v>73</v>
      </c>
      <c r="G794" s="70" t="s">
        <v>73</v>
      </c>
      <c r="H794" s="70" t="s">
        <v>73</v>
      </c>
      <c r="I794" s="70" t="s">
        <v>73</v>
      </c>
      <c r="J794" s="70" t="s">
        <v>73</v>
      </c>
      <c r="K794" s="5" t="s">
        <v>77</v>
      </c>
      <c r="M794" s="5">
        <f t="shared" si="177"/>
        <v>0</v>
      </c>
      <c r="Z794" s="6"/>
      <c r="AA794" s="6"/>
      <c r="AB794" s="29"/>
      <c r="AC794" s="71"/>
      <c r="AD794" s="370"/>
      <c r="AE794" s="427"/>
      <c r="AF794" s="67"/>
      <c r="AG794" s="428"/>
      <c r="AH794" s="44"/>
      <c r="AI794" s="41"/>
      <c r="AJ794" s="42"/>
      <c r="AK794" s="44"/>
      <c r="AL794" s="41"/>
      <c r="AM794" s="42"/>
      <c r="AN794" s="44"/>
      <c r="AO794" s="41"/>
      <c r="AP794" s="42"/>
      <c r="AQ794" s="44"/>
      <c r="AR794" s="41"/>
      <c r="AS794" s="42"/>
      <c r="AT794" s="44"/>
      <c r="AU794" s="41"/>
      <c r="AV794" s="42"/>
      <c r="AW794" s="44"/>
      <c r="AX794" s="41"/>
      <c r="AY794" s="42"/>
      <c r="AZ794" s="44"/>
      <c r="BA794" s="41"/>
      <c r="BB794" s="42"/>
      <c r="BC794" s="44"/>
      <c r="BD794" s="41"/>
      <c r="BE794" s="42"/>
      <c r="BF794" s="44"/>
      <c r="BG794" s="41"/>
      <c r="BH794" s="42"/>
      <c r="BI794" s="40"/>
      <c r="BJ794" s="41"/>
      <c r="BK794" s="42"/>
      <c r="BN794" s="45"/>
      <c r="BO794" s="46"/>
      <c r="BP794" s="47"/>
    </row>
    <row r="795" spans="1:68" ht="14.25" hidden="1" customHeight="1" outlineLevel="1" x14ac:dyDescent="0.25">
      <c r="A795" s="10" t="e">
        <f>COUNTIF([1]Тарифы!$AK$87:$AK$90,"с дифференциацией (несколько смет)")&gt;0</f>
        <v>#VALUE!</v>
      </c>
      <c r="B795" s="10" t="e">
        <f t="array" ref="B795">A795</f>
        <v>#VALUE!</v>
      </c>
      <c r="C795" s="10" t="s">
        <v>83</v>
      </c>
      <c r="D795" s="10" t="s">
        <v>84</v>
      </c>
      <c r="E795" s="10" t="s">
        <v>73</v>
      </c>
      <c r="F795" s="10" t="s">
        <v>74</v>
      </c>
      <c r="G795" s="10" t="s">
        <v>85</v>
      </c>
      <c r="H795" s="10" t="s">
        <v>73</v>
      </c>
      <c r="I795" s="10" t="s">
        <v>73</v>
      </c>
      <c r="J795" s="10" t="s">
        <v>73</v>
      </c>
      <c r="K795" s="5" t="s">
        <v>77</v>
      </c>
      <c r="M795" s="5">
        <f t="shared" si="177"/>
        <v>0</v>
      </c>
      <c r="Z795" s="6"/>
      <c r="AA795" s="6"/>
      <c r="AB795" s="65"/>
      <c r="AC795" s="62"/>
      <c r="AD795" s="370"/>
      <c r="AE795" s="175"/>
      <c r="AF795" s="73"/>
      <c r="AG795" s="176"/>
      <c r="AH795" s="44"/>
      <c r="AI795" s="41"/>
      <c r="AJ795" s="42"/>
      <c r="AK795" s="44"/>
      <c r="AL795" s="41"/>
      <c r="AM795" s="42"/>
      <c r="AN795" s="44"/>
      <c r="AO795" s="41"/>
      <c r="AP795" s="42"/>
      <c r="AQ795" s="44"/>
      <c r="AR795" s="41"/>
      <c r="AS795" s="42"/>
      <c r="AT795" s="44"/>
      <c r="AU795" s="41"/>
      <c r="AV795" s="42"/>
      <c r="AW795" s="44"/>
      <c r="AX795" s="41"/>
      <c r="AY795" s="42"/>
      <c r="AZ795" s="44"/>
      <c r="BA795" s="41"/>
      <c r="BB795" s="42"/>
      <c r="BC795" s="44"/>
      <c r="BD795" s="41"/>
      <c r="BE795" s="42"/>
      <c r="BF795" s="44"/>
      <c r="BG795" s="41"/>
      <c r="BH795" s="42"/>
      <c r="BI795" s="40"/>
      <c r="BJ795" s="41"/>
      <c r="BK795" s="42"/>
      <c r="BN795" s="45"/>
      <c r="BO795" s="46"/>
      <c r="BP795" s="47"/>
    </row>
    <row r="796" spans="1:68" ht="14.25" hidden="1" customHeight="1" outlineLevel="1" x14ac:dyDescent="0.25">
      <c r="A796" s="10" t="e">
        <f>COUNTIF([1]Тарифы!$AK$87:$AK$90,"с дифференциацией (несколько смет)")&gt;0</f>
        <v>#VALUE!</v>
      </c>
      <c r="B796" s="10" t="e">
        <f t="array" ref="B796">A796</f>
        <v>#VALUE!</v>
      </c>
      <c r="C796" s="75" t="s">
        <v>86</v>
      </c>
      <c r="D796" s="5" t="s">
        <v>87</v>
      </c>
      <c r="E796" s="10" t="s">
        <v>73</v>
      </c>
      <c r="F796" s="10" t="s">
        <v>74</v>
      </c>
      <c r="G796" s="10" t="s">
        <v>73</v>
      </c>
      <c r="H796" s="10" t="s">
        <v>73</v>
      </c>
      <c r="I796" s="10" t="s">
        <v>73</v>
      </c>
      <c r="J796" s="10" t="s">
        <v>73</v>
      </c>
      <c r="K796" s="5" t="s">
        <v>77</v>
      </c>
      <c r="M796" s="5">
        <f t="shared" si="177"/>
        <v>0</v>
      </c>
      <c r="Z796" s="6"/>
      <c r="AA796" s="6"/>
      <c r="AB796" s="29"/>
      <c r="AC796" s="71"/>
      <c r="AD796" s="370"/>
      <c r="AE796" s="608"/>
      <c r="AF796" s="73"/>
      <c r="AG796" s="176"/>
      <c r="AH796" s="44"/>
      <c r="AI796" s="41"/>
      <c r="AJ796" s="42"/>
      <c r="AK796" s="44"/>
      <c r="AL796" s="41"/>
      <c r="AM796" s="42"/>
      <c r="AN796" s="44"/>
      <c r="AO796" s="41"/>
      <c r="AP796" s="42"/>
      <c r="AQ796" s="44"/>
      <c r="AR796" s="41"/>
      <c r="AS796" s="42"/>
      <c r="AT796" s="44"/>
      <c r="AU796" s="41"/>
      <c r="AV796" s="42"/>
      <c r="AW796" s="44"/>
      <c r="AX796" s="41"/>
      <c r="AY796" s="42"/>
      <c r="AZ796" s="44"/>
      <c r="BA796" s="41"/>
      <c r="BB796" s="42"/>
      <c r="BC796" s="44"/>
      <c r="BD796" s="41"/>
      <c r="BE796" s="42"/>
      <c r="BF796" s="44"/>
      <c r="BG796" s="41"/>
      <c r="BH796" s="42"/>
      <c r="BI796" s="40"/>
      <c r="BJ796" s="41"/>
      <c r="BK796" s="42"/>
      <c r="BN796" s="45"/>
      <c r="BO796" s="46"/>
      <c r="BP796" s="47"/>
    </row>
    <row r="797" spans="1:68" ht="14.25" hidden="1" customHeight="1" outlineLevel="1" x14ac:dyDescent="0.25">
      <c r="A797" s="10" t="e">
        <f>COUNTIF([1]Тарифы!$AK$87:$AK$90,"с дифференциацией (несколько смет)")&gt;0</f>
        <v>#VALUE!</v>
      </c>
      <c r="B797" s="10" t="e">
        <f t="array" ref="B797">A797</f>
        <v>#VALUE!</v>
      </c>
      <c r="C797" s="75" t="s">
        <v>88</v>
      </c>
      <c r="D797" s="5" t="s">
        <v>89</v>
      </c>
      <c r="E797" s="10" t="s">
        <v>73</v>
      </c>
      <c r="F797" s="10" t="s">
        <v>74</v>
      </c>
      <c r="G797" s="10" t="s">
        <v>73</v>
      </c>
      <c r="H797" s="10" t="s">
        <v>73</v>
      </c>
      <c r="I797" s="10" t="s">
        <v>73</v>
      </c>
      <c r="J797" s="10" t="s">
        <v>73</v>
      </c>
      <c r="K797" s="5" t="s">
        <v>77</v>
      </c>
      <c r="M797" s="5">
        <f t="shared" si="177"/>
        <v>0</v>
      </c>
      <c r="Z797" s="6"/>
      <c r="AA797" s="6"/>
      <c r="AB797" s="29"/>
      <c r="AC797" s="71"/>
      <c r="AD797" s="370"/>
      <c r="AE797" s="608"/>
      <c r="AF797" s="73"/>
      <c r="AG797" s="176"/>
      <c r="AH797" s="44"/>
      <c r="AI797" s="41"/>
      <c r="AJ797" s="42"/>
      <c r="AK797" s="44"/>
      <c r="AL797" s="41"/>
      <c r="AM797" s="42"/>
      <c r="AN797" s="44"/>
      <c r="AO797" s="41"/>
      <c r="AP797" s="42"/>
      <c r="AQ797" s="44"/>
      <c r="AR797" s="41"/>
      <c r="AS797" s="42"/>
      <c r="AT797" s="44"/>
      <c r="AU797" s="41"/>
      <c r="AV797" s="42"/>
      <c r="AW797" s="44"/>
      <c r="AX797" s="41"/>
      <c r="AY797" s="42"/>
      <c r="AZ797" s="44"/>
      <c r="BA797" s="41"/>
      <c r="BB797" s="42"/>
      <c r="BC797" s="44"/>
      <c r="BD797" s="41"/>
      <c r="BE797" s="42"/>
      <c r="BF797" s="44"/>
      <c r="BG797" s="41"/>
      <c r="BH797" s="42"/>
      <c r="BI797" s="40"/>
      <c r="BJ797" s="41"/>
      <c r="BK797" s="42"/>
      <c r="BN797" s="45"/>
      <c r="BO797" s="46"/>
      <c r="BP797" s="47"/>
    </row>
    <row r="798" spans="1:68" ht="14.25" hidden="1" customHeight="1" outlineLevel="1" x14ac:dyDescent="0.25">
      <c r="A798" s="10" t="e">
        <f>COUNTIF([1]Тарифы!$AK$87:$AK$90,"с дифференциацией (несколько смет)")&gt;0</f>
        <v>#VALUE!</v>
      </c>
      <c r="B798" s="10" t="e">
        <f t="array" ref="B798">A798</f>
        <v>#VALUE!</v>
      </c>
      <c r="C798" s="10" t="s">
        <v>90</v>
      </c>
      <c r="D798" s="10" t="s">
        <v>91</v>
      </c>
      <c r="E798" s="10" t="s">
        <v>73</v>
      </c>
      <c r="F798" s="10" t="s">
        <v>74</v>
      </c>
      <c r="G798" s="10" t="s">
        <v>73</v>
      </c>
      <c r="H798" s="10" t="s">
        <v>73</v>
      </c>
      <c r="I798" s="10" t="s">
        <v>73</v>
      </c>
      <c r="J798" s="10" t="s">
        <v>73</v>
      </c>
      <c r="K798" s="5" t="s">
        <v>77</v>
      </c>
      <c r="M798" s="5">
        <f t="shared" si="177"/>
        <v>0</v>
      </c>
      <c r="Z798" s="6"/>
      <c r="AA798" s="6"/>
      <c r="AB798" s="65"/>
      <c r="AC798" s="62"/>
      <c r="AD798" s="370"/>
      <c r="AE798" s="175"/>
      <c r="AF798" s="73"/>
      <c r="AG798" s="176"/>
      <c r="AH798" s="44"/>
      <c r="AI798" s="41"/>
      <c r="AJ798" s="42"/>
      <c r="AK798" s="44"/>
      <c r="AL798" s="41"/>
      <c r="AM798" s="42"/>
      <c r="AN798" s="44"/>
      <c r="AO798" s="41"/>
      <c r="AP798" s="42"/>
      <c r="AQ798" s="44"/>
      <c r="AR798" s="41"/>
      <c r="AS798" s="42"/>
      <c r="AT798" s="44"/>
      <c r="AU798" s="41"/>
      <c r="AV798" s="42"/>
      <c r="AW798" s="44"/>
      <c r="AX798" s="41"/>
      <c r="AY798" s="42"/>
      <c r="AZ798" s="44"/>
      <c r="BA798" s="41"/>
      <c r="BB798" s="42"/>
      <c r="BC798" s="44"/>
      <c r="BD798" s="41"/>
      <c r="BE798" s="42"/>
      <c r="BF798" s="44"/>
      <c r="BG798" s="41"/>
      <c r="BH798" s="42"/>
      <c r="BI798" s="40"/>
      <c r="BJ798" s="41"/>
      <c r="BK798" s="42"/>
      <c r="BN798" s="45"/>
      <c r="BO798" s="46"/>
      <c r="BP798" s="47"/>
    </row>
    <row r="799" spans="1:68" ht="14.25" hidden="1" customHeight="1" outlineLevel="1" x14ac:dyDescent="0.25">
      <c r="A799" s="10" t="e">
        <f>COUNTIF([1]Тарифы!$AK$87:$AK$90,"с дифференциацией (несколько смет)")&gt;0</f>
        <v>#VALUE!</v>
      </c>
      <c r="B799" s="10" t="e">
        <f t="array" ref="B799">A799</f>
        <v>#VALUE!</v>
      </c>
      <c r="C799" s="10" t="s">
        <v>92</v>
      </c>
      <c r="D799" s="10" t="s">
        <v>93</v>
      </c>
      <c r="E799" s="10" t="s">
        <v>73</v>
      </c>
      <c r="F799" s="10" t="s">
        <v>74</v>
      </c>
      <c r="G799" s="10" t="s">
        <v>73</v>
      </c>
      <c r="H799" s="10" t="s">
        <v>73</v>
      </c>
      <c r="I799" s="10" t="s">
        <v>73</v>
      </c>
      <c r="J799" s="10" t="s">
        <v>73</v>
      </c>
      <c r="K799" s="5" t="s">
        <v>77</v>
      </c>
      <c r="M799" s="5">
        <f t="shared" si="177"/>
        <v>0</v>
      </c>
      <c r="Z799" s="6"/>
      <c r="AA799" s="6"/>
      <c r="AB799" s="29"/>
      <c r="AC799" s="71"/>
      <c r="AD799" s="370"/>
      <c r="AE799" s="608"/>
      <c r="AF799" s="73"/>
      <c r="AG799" s="176"/>
      <c r="AH799" s="44"/>
      <c r="AI799" s="41"/>
      <c r="AJ799" s="42"/>
      <c r="AK799" s="44"/>
      <c r="AL799" s="41"/>
      <c r="AM799" s="42"/>
      <c r="AN799" s="44"/>
      <c r="AO799" s="41"/>
      <c r="AP799" s="42"/>
      <c r="AQ799" s="44"/>
      <c r="AR799" s="41"/>
      <c r="AS799" s="42"/>
      <c r="AT799" s="44"/>
      <c r="AU799" s="41"/>
      <c r="AV799" s="42"/>
      <c r="AW799" s="44"/>
      <c r="AX799" s="41"/>
      <c r="AY799" s="42"/>
      <c r="AZ799" s="44"/>
      <c r="BA799" s="41"/>
      <c r="BB799" s="42"/>
      <c r="BC799" s="44"/>
      <c r="BD799" s="41"/>
      <c r="BE799" s="42"/>
      <c r="BF799" s="44"/>
      <c r="BG799" s="41"/>
      <c r="BH799" s="42"/>
      <c r="BI799" s="40"/>
      <c r="BJ799" s="41"/>
      <c r="BK799" s="42"/>
      <c r="BN799" s="45"/>
      <c r="BO799" s="46"/>
      <c r="BP799" s="47"/>
    </row>
    <row r="800" spans="1:68" ht="14.25" hidden="1" customHeight="1" outlineLevel="1" x14ac:dyDescent="0.25">
      <c r="A800" s="10" t="e">
        <f>COUNTIF([1]Тарифы!$AK$87:$AK$90,"с дифференциацией (несколько смет)")&gt;0</f>
        <v>#VALUE!</v>
      </c>
      <c r="B800" s="10" t="e">
        <f t="array" ref="B800">A800</f>
        <v>#VALUE!</v>
      </c>
      <c r="C800" s="10" t="s">
        <v>94</v>
      </c>
      <c r="D800" s="10" t="s">
        <v>95</v>
      </c>
      <c r="E800" s="10" t="s">
        <v>73</v>
      </c>
      <c r="F800" s="10" t="s">
        <v>74</v>
      </c>
      <c r="G800" s="10" t="s">
        <v>73</v>
      </c>
      <c r="H800" s="10" t="s">
        <v>73</v>
      </c>
      <c r="I800" s="10" t="s">
        <v>73</v>
      </c>
      <c r="J800" s="10" t="s">
        <v>73</v>
      </c>
      <c r="K800" s="5" t="s">
        <v>77</v>
      </c>
      <c r="M800" s="5">
        <f t="shared" si="177"/>
        <v>0</v>
      </c>
      <c r="Z800" s="6"/>
      <c r="AA800" s="6"/>
      <c r="AB800" s="29"/>
      <c r="AC800" s="71"/>
      <c r="AD800" s="370"/>
      <c r="AE800" s="608"/>
      <c r="AF800" s="73"/>
      <c r="AG800" s="176"/>
      <c r="AH800" s="44"/>
      <c r="AI800" s="41"/>
      <c r="AJ800" s="42"/>
      <c r="AK800" s="44"/>
      <c r="AL800" s="41"/>
      <c r="AM800" s="42"/>
      <c r="AN800" s="44"/>
      <c r="AO800" s="41"/>
      <c r="AP800" s="42"/>
      <c r="AQ800" s="44"/>
      <c r="AR800" s="41"/>
      <c r="AS800" s="42"/>
      <c r="AT800" s="44"/>
      <c r="AU800" s="41"/>
      <c r="AV800" s="42"/>
      <c r="AW800" s="44"/>
      <c r="AX800" s="41"/>
      <c r="AY800" s="42"/>
      <c r="AZ800" s="44"/>
      <c r="BA800" s="41"/>
      <c r="BB800" s="42"/>
      <c r="BC800" s="44"/>
      <c r="BD800" s="41"/>
      <c r="BE800" s="42"/>
      <c r="BF800" s="44"/>
      <c r="BG800" s="41"/>
      <c r="BH800" s="42"/>
      <c r="BI800" s="40"/>
      <c r="BJ800" s="41"/>
      <c r="BK800" s="42"/>
      <c r="BN800" s="45"/>
      <c r="BO800" s="46"/>
      <c r="BP800" s="47"/>
    </row>
    <row r="801" spans="1:68" ht="14.25" hidden="1" customHeight="1" outlineLevel="1" x14ac:dyDescent="0.25">
      <c r="A801" s="10" t="e">
        <f>COUNTIF([1]Тарифы!$AK$87:$AK$90,"с дифференциацией (несколько смет)")&gt;0</f>
        <v>#VALUE!</v>
      </c>
      <c r="B801" s="10" t="e">
        <f t="array" ref="B801">A801</f>
        <v>#VALUE!</v>
      </c>
      <c r="C801" s="10" t="s">
        <v>96</v>
      </c>
      <c r="D801" s="10" t="s">
        <v>97</v>
      </c>
      <c r="E801" s="10" t="s">
        <v>73</v>
      </c>
      <c r="F801" s="10" t="s">
        <v>74</v>
      </c>
      <c r="G801" s="10" t="s">
        <v>73</v>
      </c>
      <c r="H801" s="10" t="s">
        <v>73</v>
      </c>
      <c r="I801" s="10" t="s">
        <v>73</v>
      </c>
      <c r="J801" s="10" t="s">
        <v>73</v>
      </c>
      <c r="K801" s="5" t="s">
        <v>77</v>
      </c>
      <c r="M801" s="5">
        <f t="shared" si="177"/>
        <v>0</v>
      </c>
      <c r="Z801" s="6"/>
      <c r="AA801" s="6"/>
      <c r="AB801" s="29"/>
      <c r="AC801" s="71"/>
      <c r="AD801" s="370"/>
      <c r="AE801" s="175"/>
      <c r="AF801" s="73"/>
      <c r="AG801" s="176"/>
      <c r="AH801" s="44"/>
      <c r="AI801" s="41"/>
      <c r="AJ801" s="42"/>
      <c r="AK801" s="44"/>
      <c r="AL801" s="41"/>
      <c r="AM801" s="42"/>
      <c r="AN801" s="44"/>
      <c r="AO801" s="41"/>
      <c r="AP801" s="42"/>
      <c r="AQ801" s="44"/>
      <c r="AR801" s="41"/>
      <c r="AS801" s="42"/>
      <c r="AT801" s="44"/>
      <c r="AU801" s="41"/>
      <c r="AV801" s="42"/>
      <c r="AW801" s="44"/>
      <c r="AX801" s="41"/>
      <c r="AY801" s="42"/>
      <c r="AZ801" s="44"/>
      <c r="BA801" s="41"/>
      <c r="BB801" s="42"/>
      <c r="BC801" s="44"/>
      <c r="BD801" s="41"/>
      <c r="BE801" s="42"/>
      <c r="BF801" s="44"/>
      <c r="BG801" s="41"/>
      <c r="BH801" s="42"/>
      <c r="BI801" s="40"/>
      <c r="BJ801" s="41"/>
      <c r="BK801" s="42"/>
      <c r="BN801" s="45"/>
      <c r="BO801" s="46"/>
      <c r="BP801" s="47"/>
    </row>
    <row r="802" spans="1:68" ht="14.25" hidden="1" customHeight="1" outlineLevel="1" x14ac:dyDescent="0.25">
      <c r="A802" s="10" t="e">
        <f>COUNTIF([1]Тарифы!$AK$87:$AK$90,"с дифференциацией (несколько смет)")&gt;0</f>
        <v>#VALUE!</v>
      </c>
      <c r="B802" s="76" t="e">
        <f>AND(NOT(NDS="нет"),A802)</f>
        <v>#VALUE!</v>
      </c>
      <c r="C802" s="10" t="s">
        <v>98</v>
      </c>
      <c r="D802" s="10" t="s">
        <v>99</v>
      </c>
      <c r="E802" s="10" t="s">
        <v>73</v>
      </c>
      <c r="F802" s="10" t="s">
        <v>74</v>
      </c>
      <c r="G802" s="10" t="s">
        <v>73</v>
      </c>
      <c r="H802" s="10" t="s">
        <v>73</v>
      </c>
      <c r="I802" s="10" t="s">
        <v>73</v>
      </c>
      <c r="J802" s="10" t="s">
        <v>73</v>
      </c>
      <c r="K802" s="5" t="s">
        <v>77</v>
      </c>
      <c r="M802" s="5">
        <f t="shared" si="177"/>
        <v>0</v>
      </c>
      <c r="Z802" s="6"/>
      <c r="AA802" s="6"/>
      <c r="AB802" s="65"/>
      <c r="AC802" s="62"/>
      <c r="AD802" s="370"/>
      <c r="AE802" s="175"/>
      <c r="AF802" s="73"/>
      <c r="AG802" s="176"/>
      <c r="AH802" s="44"/>
      <c r="AI802" s="41"/>
      <c r="AJ802" s="42"/>
      <c r="AK802" s="44"/>
      <c r="AL802" s="41"/>
      <c r="AM802" s="42"/>
      <c r="AN802" s="44"/>
      <c r="AO802" s="41"/>
      <c r="AP802" s="42"/>
      <c r="AQ802" s="44"/>
      <c r="AR802" s="41"/>
      <c r="AS802" s="42"/>
      <c r="AT802" s="44"/>
      <c r="AU802" s="41"/>
      <c r="AV802" s="42"/>
      <c r="AW802" s="44"/>
      <c r="AX802" s="41"/>
      <c r="AY802" s="42"/>
      <c r="AZ802" s="44"/>
      <c r="BA802" s="41"/>
      <c r="BB802" s="42"/>
      <c r="BC802" s="44"/>
      <c r="BD802" s="41"/>
      <c r="BE802" s="42"/>
      <c r="BF802" s="44"/>
      <c r="BG802" s="41"/>
      <c r="BH802" s="42"/>
      <c r="BI802" s="40"/>
      <c r="BJ802" s="41"/>
      <c r="BK802" s="42"/>
      <c r="BN802" s="45"/>
      <c r="BO802" s="46"/>
      <c r="BP802" s="47"/>
    </row>
    <row r="803" spans="1:68" ht="14.25" hidden="1" customHeight="1" outlineLevel="1" x14ac:dyDescent="0.25">
      <c r="A803" s="10" t="e">
        <f>COUNTIF([1]Тарифы!$AK$87:$AK$90,"с дифференциацией (несколько смет)")&gt;0</f>
        <v>#VALUE!</v>
      </c>
      <c r="B803" s="76" t="e">
        <f>AND(NOT(NDS="нет"),A803)</f>
        <v>#VALUE!</v>
      </c>
      <c r="C803" s="10" t="s">
        <v>100</v>
      </c>
      <c r="D803" s="10" t="s">
        <v>101</v>
      </c>
      <c r="E803" s="10" t="s">
        <v>73</v>
      </c>
      <c r="F803" s="10" t="s">
        <v>74</v>
      </c>
      <c r="G803" s="10" t="s">
        <v>73</v>
      </c>
      <c r="H803" s="10" t="s">
        <v>73</v>
      </c>
      <c r="I803" s="10" t="s">
        <v>73</v>
      </c>
      <c r="J803" s="10" t="s">
        <v>73</v>
      </c>
      <c r="K803" s="5" t="s">
        <v>77</v>
      </c>
      <c r="M803" s="5">
        <f t="shared" si="177"/>
        <v>0</v>
      </c>
      <c r="Z803" s="6"/>
      <c r="AA803" s="6"/>
      <c r="AB803" s="29"/>
      <c r="AC803" s="71"/>
      <c r="AD803" s="370"/>
      <c r="AE803" s="175"/>
      <c r="AF803" s="73"/>
      <c r="AG803" s="176"/>
      <c r="AH803" s="44"/>
      <c r="AI803" s="41"/>
      <c r="AJ803" s="42"/>
      <c r="AK803" s="44"/>
      <c r="AL803" s="41"/>
      <c r="AM803" s="42"/>
      <c r="AN803" s="44"/>
      <c r="AO803" s="41"/>
      <c r="AP803" s="42"/>
      <c r="AQ803" s="44"/>
      <c r="AR803" s="41"/>
      <c r="AS803" s="42"/>
      <c r="AT803" s="44"/>
      <c r="AU803" s="41"/>
      <c r="AV803" s="42"/>
      <c r="AW803" s="44"/>
      <c r="AX803" s="41"/>
      <c r="AY803" s="42"/>
      <c r="AZ803" s="44"/>
      <c r="BA803" s="41"/>
      <c r="BB803" s="42"/>
      <c r="BC803" s="44"/>
      <c r="BD803" s="41"/>
      <c r="BE803" s="42"/>
      <c r="BF803" s="44"/>
      <c r="BG803" s="41"/>
      <c r="BH803" s="42"/>
      <c r="BI803" s="40"/>
      <c r="BJ803" s="41"/>
      <c r="BK803" s="42"/>
      <c r="BN803" s="45"/>
      <c r="BO803" s="46"/>
      <c r="BP803" s="47"/>
    </row>
    <row r="804" spans="1:68" ht="14.25" hidden="1" customHeight="1" outlineLevel="1" x14ac:dyDescent="0.25">
      <c r="A804" s="10" t="e">
        <f>COUNTIF([1]Тарифы!$AK$87:$AK$90,"с дифференциацией (несколько смет)")&gt;0</f>
        <v>#VALUE!</v>
      </c>
      <c r="B804" s="76" t="e">
        <f>AND(NOT(NDS="нет"),A804)</f>
        <v>#VALUE!</v>
      </c>
      <c r="C804" s="10" t="s">
        <v>102</v>
      </c>
      <c r="D804" s="10" t="s">
        <v>103</v>
      </c>
      <c r="E804" s="10" t="s">
        <v>73</v>
      </c>
      <c r="F804" s="10" t="s">
        <v>74</v>
      </c>
      <c r="G804" s="10" t="s">
        <v>73</v>
      </c>
      <c r="H804" s="10" t="s">
        <v>73</v>
      </c>
      <c r="I804" s="10" t="s">
        <v>73</v>
      </c>
      <c r="J804" s="10" t="s">
        <v>73</v>
      </c>
      <c r="K804" s="5" t="s">
        <v>77</v>
      </c>
      <c r="M804" s="5">
        <f t="shared" si="177"/>
        <v>0</v>
      </c>
      <c r="Z804" s="6"/>
      <c r="AA804" s="6"/>
      <c r="AB804" s="29"/>
      <c r="AC804" s="71"/>
      <c r="AD804" s="370"/>
      <c r="AE804" s="175"/>
      <c r="AF804" s="73"/>
      <c r="AG804" s="176"/>
      <c r="AH804" s="44"/>
      <c r="AI804" s="41"/>
      <c r="AJ804" s="42"/>
      <c r="AK804" s="44"/>
      <c r="AL804" s="41"/>
      <c r="AM804" s="42"/>
      <c r="AN804" s="44"/>
      <c r="AO804" s="41"/>
      <c r="AP804" s="42"/>
      <c r="AQ804" s="44"/>
      <c r="AR804" s="41"/>
      <c r="AS804" s="42"/>
      <c r="AT804" s="44"/>
      <c r="AU804" s="41"/>
      <c r="AV804" s="42"/>
      <c r="AW804" s="44"/>
      <c r="AX804" s="41"/>
      <c r="AY804" s="42"/>
      <c r="AZ804" s="44"/>
      <c r="BA804" s="41"/>
      <c r="BB804" s="42"/>
      <c r="BC804" s="44"/>
      <c r="BD804" s="41"/>
      <c r="BE804" s="42"/>
      <c r="BF804" s="44"/>
      <c r="BG804" s="41"/>
      <c r="BH804" s="42"/>
      <c r="BI804" s="40"/>
      <c r="BJ804" s="41"/>
      <c r="BK804" s="42"/>
      <c r="BN804" s="45"/>
      <c r="BO804" s="46"/>
      <c r="BP804" s="47"/>
    </row>
    <row r="805" spans="1:68" ht="14.25" hidden="1" customHeight="1" outlineLevel="1" x14ac:dyDescent="0.25">
      <c r="A805" s="10" t="e">
        <f>COUNTIF([1]Тарифы!$AK$87:$AK$90,"с дифференциацией (несколько смет)")&gt;0</f>
        <v>#VALUE!</v>
      </c>
      <c r="B805" s="76" t="e">
        <f>AND(NOT(NDS="нет"),A805)</f>
        <v>#VALUE!</v>
      </c>
      <c r="C805" s="10" t="s">
        <v>104</v>
      </c>
      <c r="D805" s="10" t="s">
        <v>105</v>
      </c>
      <c r="E805" s="10" t="s">
        <v>73</v>
      </c>
      <c r="F805" s="10" t="s">
        <v>74</v>
      </c>
      <c r="G805" s="10" t="s">
        <v>73</v>
      </c>
      <c r="H805" s="10" t="s">
        <v>73</v>
      </c>
      <c r="I805" s="10" t="s">
        <v>73</v>
      </c>
      <c r="J805" s="10" t="s">
        <v>73</v>
      </c>
      <c r="K805" s="5" t="s">
        <v>77</v>
      </c>
      <c r="M805" s="5">
        <f t="shared" si="177"/>
        <v>0</v>
      </c>
      <c r="Z805" s="6"/>
      <c r="AA805" s="6"/>
      <c r="AB805" s="29"/>
      <c r="AC805" s="71"/>
      <c r="AD805" s="370"/>
      <c r="AE805" s="175"/>
      <c r="AF805" s="73"/>
      <c r="AG805" s="176"/>
      <c r="AH805" s="44"/>
      <c r="AI805" s="41"/>
      <c r="AJ805" s="42"/>
      <c r="AK805" s="44"/>
      <c r="AL805" s="41"/>
      <c r="AM805" s="42"/>
      <c r="AN805" s="44"/>
      <c r="AO805" s="41"/>
      <c r="AP805" s="42"/>
      <c r="AQ805" s="44"/>
      <c r="AR805" s="41"/>
      <c r="AS805" s="42"/>
      <c r="AT805" s="44"/>
      <c r="AU805" s="41"/>
      <c r="AV805" s="42"/>
      <c r="AW805" s="44"/>
      <c r="AX805" s="41"/>
      <c r="AY805" s="42"/>
      <c r="AZ805" s="44"/>
      <c r="BA805" s="41"/>
      <c r="BB805" s="42"/>
      <c r="BC805" s="44"/>
      <c r="BD805" s="41"/>
      <c r="BE805" s="42"/>
      <c r="BF805" s="44"/>
      <c r="BG805" s="41"/>
      <c r="BH805" s="42"/>
      <c r="BI805" s="40"/>
      <c r="BJ805" s="41"/>
      <c r="BK805" s="42"/>
      <c r="BN805" s="45"/>
      <c r="BO805" s="46"/>
      <c r="BP805" s="47"/>
    </row>
    <row r="806" spans="1:68" ht="13.5" hidden="1" customHeight="1" x14ac:dyDescent="0.25">
      <c r="B806" s="10" t="b">
        <f>SETTING_BASE="да"</f>
        <v>0</v>
      </c>
      <c r="M806" s="5" t="str">
        <f t="array" ref="M806">Y806</f>
        <v>1ХВС::1.1</v>
      </c>
      <c r="S806" s="10" t="str">
        <f t="array" ref="S806">INDEX([1]Тарифы!$AM$86:$AM$99,MATCH($X806,[1]Тарифы!$Y$86:$Y$99,0))</f>
        <v>да</v>
      </c>
      <c r="T806" s="10" t="str">
        <f t="array" ref="T806">INDEX([1]Тарифы!$AC$86:$AC$99,MATCH($X806,[1]Тарифы!$Y$86:$Y$99,0))</f>
        <v>Тариф на питьевую воду</v>
      </c>
      <c r="U806" s="10" t="str">
        <f t="array" ref="U806">INDEX([1]Тарифы!$AB$86:$AB$99,MATCH($X806,[1]Тарифы!$Y$86:$Y$99,0))</f>
        <v>Водоснабжение</v>
      </c>
      <c r="V806" s="10" t="str">
        <f t="array" ref="V806">INDEX([1]Тарифы!$AK$86:$AK$99,MATCH($X806,[1]Тарифы!$Y$86:$Y$99,0))</f>
        <v>без дифференциации</v>
      </c>
      <c r="W806" s="10" t="str">
        <f t="array" ref="W806">INDEX([1]Тарифы!$AD$86:$AD$99,MATCH($X806,[1]Тарифы!$Y$86:$Y$99,0))</f>
        <v>одноставочный</v>
      </c>
      <c r="X806" s="10" t="str">
        <f t="array" ref="X806">INDEX([1]Тарифы!$Y$86:$Y$99,MATCH($Y806,[1]Тарифы!$X$86:$X$99,0))</f>
        <v>1ХВС</v>
      </c>
      <c r="Y806" s="77" t="str">
        <f t="array" ref="Y806">[1]Тарифы!$X$87</f>
        <v>1ХВС::1.1</v>
      </c>
      <c r="AB806" s="61"/>
      <c r="AC806" s="62" t="str">
        <f t="array" ref="AC806">INDEX([1]Тарифы!$U$86:$U$99,MATCH($Y806,[1]Тарифы!$X$86:$X$99,0))</f>
        <v>1ХВС - Тариф на питьевую воду</v>
      </c>
      <c r="AD806" s="64"/>
      <c r="AE806" s="606"/>
      <c r="AF806" s="62"/>
      <c r="AG806" s="607"/>
      <c r="AH806" s="44"/>
      <c r="AI806" s="41"/>
      <c r="AJ806" s="42"/>
      <c r="AK806" s="44"/>
      <c r="AL806" s="41"/>
      <c r="AM806" s="42"/>
      <c r="AN806" s="44"/>
      <c r="AO806" s="41"/>
      <c r="AP806" s="42"/>
      <c r="AQ806" s="44"/>
      <c r="AR806" s="41"/>
      <c r="AS806" s="42"/>
      <c r="AT806" s="44"/>
      <c r="AU806" s="41"/>
      <c r="AV806" s="42"/>
      <c r="AW806" s="44"/>
      <c r="AX806" s="41"/>
      <c r="AY806" s="42"/>
      <c r="AZ806" s="44"/>
      <c r="BA806" s="41"/>
      <c r="BB806" s="42"/>
      <c r="BC806" s="44"/>
      <c r="BD806" s="41"/>
      <c r="BE806" s="42"/>
      <c r="BF806" s="44"/>
      <c r="BG806" s="41"/>
      <c r="BH806" s="42"/>
      <c r="BI806" s="40"/>
      <c r="BJ806" s="41"/>
      <c r="BK806" s="42"/>
      <c r="BN806" s="45"/>
      <c r="BO806" s="46"/>
      <c r="BP806" s="47"/>
    </row>
    <row r="807" spans="1:68" ht="14.25" hidden="1" customHeight="1" x14ac:dyDescent="0.25">
      <c r="A807" s="10" t="b">
        <f>REGULATION_METHODS="Метод индексации"</f>
        <v>1</v>
      </c>
      <c r="B807" s="5" t="b">
        <f t="array" ref="B807">A807</f>
        <v>1</v>
      </c>
      <c r="M807" s="5" t="str">
        <f t="array" ref="M807">Y806</f>
        <v>1ХВС::1.1</v>
      </c>
      <c r="AB807" s="29">
        <v>0</v>
      </c>
      <c r="AC807" s="78" t="s">
        <v>106</v>
      </c>
      <c r="AD807" s="64"/>
      <c r="AE807" s="606"/>
      <c r="AF807" s="62"/>
      <c r="AG807" s="607"/>
      <c r="AH807" s="44"/>
      <c r="AI807" s="41"/>
      <c r="AJ807" s="42"/>
      <c r="AK807" s="44"/>
      <c r="AL807" s="41"/>
      <c r="AM807" s="42"/>
      <c r="AN807" s="44"/>
      <c r="AO807" s="41"/>
      <c r="AP807" s="42"/>
      <c r="AQ807" s="44"/>
      <c r="AR807" s="41"/>
      <c r="AS807" s="42"/>
      <c r="AT807" s="44"/>
      <c r="AU807" s="41"/>
      <c r="AV807" s="42"/>
      <c r="AW807" s="44"/>
      <c r="AX807" s="41"/>
      <c r="AY807" s="42"/>
      <c r="AZ807" s="44"/>
      <c r="BA807" s="41"/>
      <c r="BB807" s="42"/>
      <c r="BC807" s="44"/>
      <c r="BD807" s="41"/>
      <c r="BE807" s="42"/>
      <c r="BF807" s="44"/>
      <c r="BG807" s="41"/>
      <c r="BH807" s="42"/>
      <c r="BI807" s="40"/>
      <c r="BJ807" s="41"/>
      <c r="BK807" s="42"/>
      <c r="BN807" s="45"/>
      <c r="BO807" s="46"/>
      <c r="BP807" s="47"/>
    </row>
    <row r="808" spans="1:68" ht="14.25" hidden="1" customHeight="1" outlineLevel="1" x14ac:dyDescent="0.25">
      <c r="A808" s="10" t="b">
        <f t="array" ref="A808">A807</f>
        <v>1</v>
      </c>
      <c r="C808" s="79" t="s">
        <v>107</v>
      </c>
      <c r="D808" s="79" t="s">
        <v>108</v>
      </c>
      <c r="E808" s="10" t="s">
        <v>73</v>
      </c>
      <c r="F808" s="11" t="s">
        <v>74</v>
      </c>
      <c r="G808" s="79" t="s">
        <v>109</v>
      </c>
      <c r="H808" s="10" t="s">
        <v>73</v>
      </c>
      <c r="I808" s="10" t="s">
        <v>73</v>
      </c>
      <c r="K808" s="12" t="s">
        <v>73</v>
      </c>
      <c r="M808" s="5" t="str">
        <f t="array" ref="M808">Y806</f>
        <v>1ХВС::1.1</v>
      </c>
      <c r="AB808" s="29" t="str">
        <f>AB807&amp;".1"</f>
        <v>0.1</v>
      </c>
      <c r="AC808" s="80" t="s">
        <v>110</v>
      </c>
      <c r="AD808" s="370" t="s">
        <v>111</v>
      </c>
      <c r="AE808" s="175">
        <f>AE858+AE1032+AE973+AE982-AE857</f>
        <v>0</v>
      </c>
      <c r="AF808" s="73">
        <f>AF858+AF1032+AF973+AF982-AF857</f>
        <v>0</v>
      </c>
      <c r="AG808" s="176">
        <f>AG858+AG1032+AG973+AG982-AG857</f>
        <v>0</v>
      </c>
      <c r="AH808" s="44"/>
      <c r="AI808" s="41"/>
      <c r="AJ808" s="42"/>
      <c r="AK808" s="44"/>
      <c r="AL808" s="41"/>
      <c r="AM808" s="42"/>
      <c r="AN808" s="44"/>
      <c r="AO808" s="41"/>
      <c r="AP808" s="42"/>
      <c r="AQ808" s="44"/>
      <c r="AR808" s="41"/>
      <c r="AS808" s="42"/>
      <c r="AT808" s="44"/>
      <c r="AU808" s="41"/>
      <c r="AV808" s="42"/>
      <c r="AW808" s="44"/>
      <c r="AX808" s="41"/>
      <c r="AY808" s="42"/>
      <c r="AZ808" s="44"/>
      <c r="BA808" s="41"/>
      <c r="BB808" s="42"/>
      <c r="BC808" s="44"/>
      <c r="BD808" s="41"/>
      <c r="BE808" s="42"/>
      <c r="BF808" s="44"/>
      <c r="BG808" s="41"/>
      <c r="BH808" s="42"/>
      <c r="BI808" s="40"/>
      <c r="BJ808" s="41"/>
      <c r="BK808" s="42"/>
      <c r="BN808" s="45"/>
      <c r="BO808" s="46"/>
      <c r="BP808" s="47"/>
    </row>
    <row r="809" spans="1:68" ht="12" hidden="1" customHeight="1" x14ac:dyDescent="0.25">
      <c r="A809" s="10" t="b">
        <f t="array" ref="A809">A808</f>
        <v>1</v>
      </c>
      <c r="M809" s="5" t="str">
        <f t="array" ref="M809">Y806</f>
        <v>1ХВС::1.1</v>
      </c>
      <c r="AB809" s="29">
        <v>1</v>
      </c>
      <c r="AC809" s="78" t="s">
        <v>112</v>
      </c>
      <c r="AD809" s="64"/>
      <c r="AE809" s="606"/>
      <c r="AF809" s="62"/>
      <c r="AG809" s="607"/>
      <c r="AH809" s="44"/>
      <c r="AI809" s="41"/>
      <c r="AJ809" s="42"/>
      <c r="AK809" s="44"/>
      <c r="AL809" s="41"/>
      <c r="AM809" s="42"/>
      <c r="AN809" s="44"/>
      <c r="AO809" s="41"/>
      <c r="AP809" s="42"/>
      <c r="AQ809" s="44"/>
      <c r="AR809" s="41"/>
      <c r="AS809" s="42"/>
      <c r="AT809" s="44"/>
      <c r="AU809" s="41"/>
      <c r="AV809" s="42"/>
      <c r="AW809" s="44"/>
      <c r="AX809" s="41"/>
      <c r="AY809" s="42"/>
      <c r="AZ809" s="44"/>
      <c r="BA809" s="41"/>
      <c r="BB809" s="42"/>
      <c r="BC809" s="44"/>
      <c r="BD809" s="41"/>
      <c r="BE809" s="42"/>
      <c r="BF809" s="44"/>
      <c r="BG809" s="41"/>
      <c r="BH809" s="42"/>
      <c r="BI809" s="40"/>
      <c r="BJ809" s="41"/>
      <c r="BK809" s="42"/>
      <c r="BN809" s="45"/>
      <c r="BO809" s="46"/>
      <c r="BP809" s="47"/>
    </row>
    <row r="810" spans="1:68" ht="14.25" hidden="1" customHeight="1" outlineLevel="1" x14ac:dyDescent="0.25">
      <c r="A810" s="10" t="b">
        <f t="array" ref="A810">A809</f>
        <v>1</v>
      </c>
      <c r="C810" s="10" t="s">
        <v>113</v>
      </c>
      <c r="D810" s="10" t="s">
        <v>114</v>
      </c>
      <c r="E810" s="5" t="str">
        <f t="array" ref="E810">AC810</f>
        <v>Коэффициент операционных расходов</v>
      </c>
      <c r="F810" s="11" t="s">
        <v>74</v>
      </c>
      <c r="G810" s="10" t="s">
        <v>73</v>
      </c>
      <c r="H810" s="10" t="s">
        <v>73</v>
      </c>
      <c r="I810" s="10" t="s">
        <v>73</v>
      </c>
      <c r="K810" s="12" t="s">
        <v>73</v>
      </c>
      <c r="L810" s="10" t="s">
        <v>115</v>
      </c>
      <c r="M810" s="5" t="str">
        <f t="array" ref="M810">Y806</f>
        <v>1ХВС::1.1</v>
      </c>
      <c r="AB810" s="29" t="str">
        <f>AB809&amp;".1"</f>
        <v>1.1</v>
      </c>
      <c r="AC810" s="80" t="s">
        <v>116</v>
      </c>
      <c r="AD810" s="370"/>
      <c r="AE810" s="609" t="e">
        <f>(1-AE812)*(1+AE813)*(1+AE814)*AE818</f>
        <v>#REF!</v>
      </c>
      <c r="AF810" s="82" t="e">
        <f>(1-AF812)*(1+AF813)*(1+AF814)*AF818</f>
        <v>#REF!</v>
      </c>
      <c r="AG810" s="610" t="e">
        <f>(1-AG812)*(1+AG813)*(1+AG814)*AG818</f>
        <v>#REF!</v>
      </c>
      <c r="AH810" s="44"/>
      <c r="AI810" s="41"/>
      <c r="AJ810" s="42"/>
      <c r="AK810" s="44"/>
      <c r="AL810" s="41"/>
      <c r="AM810" s="42"/>
      <c r="AN810" s="44"/>
      <c r="AO810" s="41"/>
      <c r="AP810" s="42"/>
      <c r="AQ810" s="44"/>
      <c r="AR810" s="41"/>
      <c r="AS810" s="42"/>
      <c r="AT810" s="44"/>
      <c r="AU810" s="41"/>
      <c r="AV810" s="42"/>
      <c r="AW810" s="44"/>
      <c r="AX810" s="41"/>
      <c r="AY810" s="42"/>
      <c r="AZ810" s="44"/>
      <c r="BA810" s="41"/>
      <c r="BB810" s="42"/>
      <c r="BC810" s="44"/>
      <c r="BD810" s="41"/>
      <c r="BE810" s="42"/>
      <c r="BF810" s="44"/>
      <c r="BG810" s="41"/>
      <c r="BH810" s="42"/>
      <c r="BI810" s="40"/>
      <c r="BJ810" s="41"/>
      <c r="BK810" s="42"/>
      <c r="BN810" s="45"/>
      <c r="BO810" s="46"/>
      <c r="BP810" s="47"/>
    </row>
    <row r="811" spans="1:68" ht="14.25" hidden="1" customHeight="1" outlineLevel="1" x14ac:dyDescent="0.25">
      <c r="A811" s="10" t="b">
        <f t="array" ref="A811">A810</f>
        <v>1</v>
      </c>
      <c r="C811" s="84" t="s">
        <v>113</v>
      </c>
      <c r="D811" s="84" t="s">
        <v>114</v>
      </c>
      <c r="E811" s="85" t="str">
        <f t="array" ref="E811">AC811</f>
        <v>Коэффициент роста ОР к значению прошлого года</v>
      </c>
      <c r="F811" s="84" t="s">
        <v>74</v>
      </c>
      <c r="G811" s="84" t="s">
        <v>73</v>
      </c>
      <c r="H811" s="84" t="s">
        <v>73</v>
      </c>
      <c r="I811" s="84" t="s">
        <v>73</v>
      </c>
      <c r="J811" s="85"/>
      <c r="K811" s="86" t="s">
        <v>73</v>
      </c>
      <c r="L811" s="84" t="s">
        <v>115</v>
      </c>
      <c r="M811" s="5" t="str">
        <f t="array" ref="M811">Y806</f>
        <v>1ХВС::1.1</v>
      </c>
      <c r="AB811" s="29" t="str">
        <f>AB809&amp;".1*"</f>
        <v>1.1*</v>
      </c>
      <c r="AC811" s="80" t="s">
        <v>117</v>
      </c>
      <c r="AD811" s="370"/>
      <c r="AE811" s="609" t="e">
        <f>IF(#REF!=0,0,AE857/#REF!)</f>
        <v>#REF!</v>
      </c>
      <c r="AF811" s="82" t="e">
        <f>IF(#REF!=0,0,AF857/#REF!)</f>
        <v>#REF!</v>
      </c>
      <c r="AG811" s="610">
        <f>IF(ИТОГ!AF857=0,0,ИТОГ!AG857/ИТОГ!AF857)</f>
        <v>1.3134749817784459</v>
      </c>
      <c r="AH811" s="44"/>
      <c r="AI811" s="41"/>
      <c r="AJ811" s="42"/>
      <c r="AK811" s="44"/>
      <c r="AL811" s="41"/>
      <c r="AM811" s="42"/>
      <c r="AN811" s="44"/>
      <c r="AO811" s="41"/>
      <c r="AP811" s="42"/>
      <c r="AQ811" s="44"/>
      <c r="AR811" s="41"/>
      <c r="AS811" s="42"/>
      <c r="AT811" s="44"/>
      <c r="AU811" s="41"/>
      <c r="AV811" s="42"/>
      <c r="AW811" s="44"/>
      <c r="AX811" s="41"/>
      <c r="AY811" s="42"/>
      <c r="AZ811" s="44"/>
      <c r="BA811" s="41"/>
      <c r="BB811" s="42"/>
      <c r="BC811" s="44"/>
      <c r="BD811" s="41"/>
      <c r="BE811" s="42"/>
      <c r="BF811" s="44"/>
      <c r="BG811" s="41"/>
      <c r="BH811" s="42"/>
      <c r="BI811" s="40"/>
      <c r="BJ811" s="41"/>
      <c r="BK811" s="42"/>
      <c r="BN811" s="45"/>
      <c r="BO811" s="46"/>
      <c r="BP811" s="47"/>
    </row>
    <row r="812" spans="1:68" ht="14.25" hidden="1" customHeight="1" outlineLevel="2" x14ac:dyDescent="0.25">
      <c r="A812" s="10" t="b">
        <f t="array" ref="A812">A810</f>
        <v>1</v>
      </c>
      <c r="C812" s="10" t="s">
        <v>113</v>
      </c>
      <c r="D812" s="10" t="s">
        <v>114</v>
      </c>
      <c r="E812" s="10" t="s">
        <v>118</v>
      </c>
      <c r="F812" s="11" t="s">
        <v>74</v>
      </c>
      <c r="G812" s="10" t="s">
        <v>73</v>
      </c>
      <c r="H812" s="10" t="s">
        <v>73</v>
      </c>
      <c r="I812" s="10" t="s">
        <v>73</v>
      </c>
      <c r="K812" s="12" t="s">
        <v>73</v>
      </c>
      <c r="L812" s="10" t="s">
        <v>115</v>
      </c>
      <c r="M812" s="5" t="str">
        <f t="array" ref="M812">Y806</f>
        <v>1ХВС::1.1</v>
      </c>
      <c r="AB812" s="29" t="str">
        <f>AB810&amp;".1"</f>
        <v>1.1.1</v>
      </c>
      <c r="AC812" s="87" t="s">
        <v>118</v>
      </c>
      <c r="AD812" s="370" t="s">
        <v>119</v>
      </c>
      <c r="AE812" s="611" t="e">
        <f t="array" ref="AE812">#REF!</f>
        <v>#REF!</v>
      </c>
      <c r="AF812" s="89">
        <v>0.01</v>
      </c>
      <c r="AG812" s="612" t="e">
        <f t="array" ref="AG812">ИТОГ!#REF!</f>
        <v>#REF!</v>
      </c>
      <c r="AH812" s="44"/>
      <c r="AI812" s="41"/>
      <c r="AJ812" s="42"/>
      <c r="AK812" s="44"/>
      <c r="AL812" s="41"/>
      <c r="AM812" s="42"/>
      <c r="AN812" s="44"/>
      <c r="AO812" s="41"/>
      <c r="AP812" s="42"/>
      <c r="AQ812" s="44"/>
      <c r="AR812" s="41"/>
      <c r="AS812" s="42"/>
      <c r="AT812" s="44"/>
      <c r="AU812" s="41"/>
      <c r="AV812" s="42"/>
      <c r="AW812" s="44"/>
      <c r="AX812" s="41"/>
      <c r="AY812" s="42"/>
      <c r="AZ812" s="44"/>
      <c r="BA812" s="41"/>
      <c r="BB812" s="42"/>
      <c r="BC812" s="44"/>
      <c r="BD812" s="41"/>
      <c r="BE812" s="42"/>
      <c r="BF812" s="44"/>
      <c r="BG812" s="41"/>
      <c r="BH812" s="42"/>
      <c r="BI812" s="40"/>
      <c r="BJ812" s="41"/>
      <c r="BK812" s="42"/>
      <c r="BN812" s="45"/>
      <c r="BO812" s="46"/>
      <c r="BP812" s="47"/>
    </row>
    <row r="813" spans="1:68" ht="14.25" hidden="1" customHeight="1" outlineLevel="2" x14ac:dyDescent="0.25">
      <c r="A813" s="10" t="b">
        <f t="array" ref="A813">A812</f>
        <v>1</v>
      </c>
      <c r="C813" s="10" t="s">
        <v>113</v>
      </c>
      <c r="D813" s="10" t="s">
        <v>114</v>
      </c>
      <c r="E813" s="10" t="s">
        <v>120</v>
      </c>
      <c r="F813" s="11" t="s">
        <v>74</v>
      </c>
      <c r="G813" s="10" t="s">
        <v>73</v>
      </c>
      <c r="H813" s="10" t="s">
        <v>73</v>
      </c>
      <c r="I813" s="10" t="s">
        <v>73</v>
      </c>
      <c r="K813" s="12" t="s">
        <v>73</v>
      </c>
      <c r="L813" s="10" t="s">
        <v>115</v>
      </c>
      <c r="M813" s="5" t="str">
        <f t="array" ref="M813">Y806</f>
        <v>1ХВС::1.1</v>
      </c>
      <c r="AB813" s="29" t="str">
        <f>AB810&amp;".2"</f>
        <v>1.1.2</v>
      </c>
      <c r="AC813" s="87" t="s">
        <v>121</v>
      </c>
      <c r="AD813" s="370"/>
      <c r="AE813" s="602" t="e">
        <f>[1]Индексы!AH782-1</f>
        <v>#REF!</v>
      </c>
      <c r="AF813" s="54" t="e">
        <f>[1]Индексы!AI782-1</f>
        <v>#REF!</v>
      </c>
      <c r="AG813" s="603" t="e">
        <f>[1]Индексы!AK782-1</f>
        <v>#REF!</v>
      </c>
      <c r="AH813" s="44"/>
      <c r="AI813" s="41"/>
      <c r="AJ813" s="42"/>
      <c r="AK813" s="44"/>
      <c r="AL813" s="41"/>
      <c r="AM813" s="42"/>
      <c r="AN813" s="44"/>
      <c r="AO813" s="41"/>
      <c r="AP813" s="42"/>
      <c r="AQ813" s="44"/>
      <c r="AR813" s="41"/>
      <c r="AS813" s="42"/>
      <c r="AT813" s="44"/>
      <c r="AU813" s="41"/>
      <c r="AV813" s="42"/>
      <c r="AW813" s="44"/>
      <c r="AX813" s="41"/>
      <c r="AY813" s="42"/>
      <c r="AZ813" s="44"/>
      <c r="BA813" s="41"/>
      <c r="BB813" s="42"/>
      <c r="BC813" s="44"/>
      <c r="BD813" s="41"/>
      <c r="BE813" s="42"/>
      <c r="BF813" s="44"/>
      <c r="BG813" s="41"/>
      <c r="BH813" s="42"/>
      <c r="BI813" s="40"/>
      <c r="BJ813" s="41"/>
      <c r="BK813" s="42"/>
      <c r="BN813" s="45"/>
      <c r="BO813" s="46"/>
      <c r="BP813" s="47"/>
    </row>
    <row r="814" spans="1:68" ht="14.25" hidden="1" customHeight="1" outlineLevel="2" x14ac:dyDescent="0.25">
      <c r="A814" s="10" t="b">
        <f t="array" ref="A814">A813</f>
        <v>1</v>
      </c>
      <c r="C814" s="10" t="s">
        <v>113</v>
      </c>
      <c r="D814" s="10" t="s">
        <v>114</v>
      </c>
      <c r="E814" s="10" t="s">
        <v>122</v>
      </c>
      <c r="F814" s="11" t="s">
        <v>74</v>
      </c>
      <c r="G814" s="10" t="s">
        <v>73</v>
      </c>
      <c r="H814" s="10" t="s">
        <v>73</v>
      </c>
      <c r="I814" s="10" t="s">
        <v>73</v>
      </c>
      <c r="K814" s="12" t="s">
        <v>73</v>
      </c>
      <c r="L814" s="10" t="s">
        <v>115</v>
      </c>
      <c r="M814" s="5" t="str">
        <f t="array" ref="M814">Y806</f>
        <v>1ХВС::1.1</v>
      </c>
      <c r="AB814" s="29" t="str">
        <f>AB810&amp;".3"</f>
        <v>1.1.3</v>
      </c>
      <c r="AC814" s="87" t="s">
        <v>123</v>
      </c>
      <c r="AD814" s="370"/>
      <c r="AE814" s="427" t="e">
        <f>IF((#REF!*(1-AE812)*(1+AE813))=0,0,0.75*$AE$107*AE815+(AE816/(#REF!*(1-AE812)*(1+AE813))))</f>
        <v>#REF!</v>
      </c>
      <c r="AF814" s="91"/>
      <c r="AG814" s="428" t="e">
        <f>IF((AF857*(1-AG812)*(1+AG813))=0,0,0.75*$AE$107*AG815+(AG816/(AF857*(1-AG812)*(1+AG813))))</f>
        <v>#REF!</v>
      </c>
      <c r="AH814" s="44"/>
      <c r="AI814" s="41"/>
      <c r="AJ814" s="42"/>
      <c r="AK814" s="44"/>
      <c r="AL814" s="41"/>
      <c r="AM814" s="42"/>
      <c r="AN814" s="44"/>
      <c r="AO814" s="41"/>
      <c r="AP814" s="42"/>
      <c r="AQ814" s="44"/>
      <c r="AR814" s="41"/>
      <c r="AS814" s="42"/>
      <c r="AT814" s="44"/>
      <c r="AU814" s="41"/>
      <c r="AV814" s="42"/>
      <c r="AW814" s="44"/>
      <c r="AX814" s="41"/>
      <c r="AY814" s="42"/>
      <c r="AZ814" s="44"/>
      <c r="BA814" s="41"/>
      <c r="BB814" s="42"/>
      <c r="BC814" s="44"/>
      <c r="BD814" s="41"/>
      <c r="BE814" s="42"/>
      <c r="BF814" s="44"/>
      <c r="BG814" s="41"/>
      <c r="BH814" s="42"/>
      <c r="BI814" s="40"/>
      <c r="BJ814" s="41"/>
      <c r="BK814" s="42"/>
      <c r="BN814" s="45"/>
      <c r="BO814" s="46"/>
      <c r="BP814" s="47"/>
    </row>
    <row r="815" spans="1:68" ht="14.25" hidden="1" customHeight="1" outlineLevel="3" x14ac:dyDescent="0.25">
      <c r="A815" s="10" t="b">
        <f t="array" ref="A815">A814</f>
        <v>1</v>
      </c>
      <c r="C815" s="10" t="s">
        <v>113</v>
      </c>
      <c r="D815" s="10" t="s">
        <v>114</v>
      </c>
      <c r="E815" s="10" t="s">
        <v>124</v>
      </c>
      <c r="F815" s="11" t="s">
        <v>74</v>
      </c>
      <c r="G815" s="10" t="s">
        <v>73</v>
      </c>
      <c r="H815" s="10" t="s">
        <v>73</v>
      </c>
      <c r="I815" s="10" t="s">
        <v>73</v>
      </c>
      <c r="K815" s="12" t="s">
        <v>73</v>
      </c>
      <c r="L815" s="10" t="s">
        <v>115</v>
      </c>
      <c r="M815" s="5" t="str">
        <f t="array" ref="M815">Y806</f>
        <v>1ХВС::1.1</v>
      </c>
      <c r="AB815" s="29" t="str">
        <f>AB814&amp;".1"</f>
        <v>1.1.3.1</v>
      </c>
      <c r="AC815" s="92" t="s">
        <v>125</v>
      </c>
      <c r="AD815" s="370" t="s">
        <v>119</v>
      </c>
      <c r="AE815" s="611" t="e">
        <f>'[1]Условные метры'!AU781</f>
        <v>#REF!</v>
      </c>
      <c r="AF815" s="93"/>
      <c r="AG815" s="613" t="e">
        <f>1*'[1]Условные метры'!BE781</f>
        <v>#REF!</v>
      </c>
      <c r="AH815" s="44"/>
      <c r="AI815" s="41"/>
      <c r="AJ815" s="42"/>
      <c r="AK815" s="44"/>
      <c r="AL815" s="41"/>
      <c r="AM815" s="42"/>
      <c r="AN815" s="44"/>
      <c r="AO815" s="41"/>
      <c r="AP815" s="42"/>
      <c r="AQ815" s="44"/>
      <c r="AR815" s="41"/>
      <c r="AS815" s="42"/>
      <c r="AT815" s="44"/>
      <c r="AU815" s="41"/>
      <c r="AV815" s="42"/>
      <c r="AW815" s="44"/>
      <c r="AX815" s="41"/>
      <c r="AY815" s="42"/>
      <c r="AZ815" s="44"/>
      <c r="BA815" s="41"/>
      <c r="BB815" s="42"/>
      <c r="BC815" s="44"/>
      <c r="BD815" s="41"/>
      <c r="BE815" s="42"/>
      <c r="BF815" s="44"/>
      <c r="BG815" s="41"/>
      <c r="BH815" s="42"/>
      <c r="BI815" s="40"/>
      <c r="BJ815" s="41"/>
      <c r="BK815" s="42"/>
      <c r="BN815" s="45"/>
      <c r="BO815" s="46"/>
      <c r="BP815" s="47"/>
    </row>
    <row r="816" spans="1:68" ht="39" hidden="1" customHeight="1" outlineLevel="3" x14ac:dyDescent="0.25">
      <c r="A816" s="10" t="b">
        <f t="array" ref="A816">A815</f>
        <v>1</v>
      </c>
      <c r="C816" s="10" t="s">
        <v>126</v>
      </c>
      <c r="D816" s="10" t="s">
        <v>127</v>
      </c>
      <c r="E816" s="10" t="s">
        <v>73</v>
      </c>
      <c r="F816" s="11" t="s">
        <v>74</v>
      </c>
      <c r="G816" s="10" t="s">
        <v>73</v>
      </c>
      <c r="H816" s="10" t="s">
        <v>73</v>
      </c>
      <c r="I816" s="10" t="s">
        <v>73</v>
      </c>
      <c r="K816" s="12" t="s">
        <v>73</v>
      </c>
      <c r="L816" s="10" t="s">
        <v>115</v>
      </c>
      <c r="M816" s="5" t="str">
        <f t="array" ref="M816">Y806</f>
        <v>1ХВС::1.1</v>
      </c>
      <c r="AB816" s="29" t="str">
        <f>AB814&amp;".2"</f>
        <v>1.1.3.2</v>
      </c>
      <c r="AC816" s="92" t="s">
        <v>128</v>
      </c>
      <c r="AD816" s="370" t="s">
        <v>111</v>
      </c>
      <c r="AE816" s="445"/>
      <c r="AF816" s="93"/>
      <c r="AG816" s="446"/>
      <c r="AH816" s="44"/>
      <c r="AI816" s="41"/>
      <c r="AJ816" s="42"/>
      <c r="AK816" s="44"/>
      <c r="AL816" s="41"/>
      <c r="AM816" s="42"/>
      <c r="AN816" s="44"/>
      <c r="AO816" s="41"/>
      <c r="AP816" s="42"/>
      <c r="AQ816" s="44"/>
      <c r="AR816" s="41"/>
      <c r="AS816" s="42"/>
      <c r="AT816" s="44"/>
      <c r="AU816" s="41"/>
      <c r="AV816" s="42"/>
      <c r="AW816" s="44"/>
      <c r="AX816" s="41"/>
      <c r="AY816" s="42"/>
      <c r="AZ816" s="44"/>
      <c r="BA816" s="41"/>
      <c r="BB816" s="42"/>
      <c r="BC816" s="44"/>
      <c r="BD816" s="41"/>
      <c r="BE816" s="42"/>
      <c r="BF816" s="44"/>
      <c r="BG816" s="41"/>
      <c r="BH816" s="42"/>
      <c r="BI816" s="40"/>
      <c r="BJ816" s="41"/>
      <c r="BK816" s="42"/>
      <c r="BN816" s="45"/>
      <c r="BO816" s="46"/>
      <c r="BP816" s="47"/>
    </row>
    <row r="817" spans="1:68" ht="14.25" hidden="1" customHeight="1" outlineLevel="3" x14ac:dyDescent="0.25">
      <c r="A817" s="10" t="b">
        <f t="array" ref="A817">A816</f>
        <v>1</v>
      </c>
      <c r="C817" s="10" t="s">
        <v>129</v>
      </c>
      <c r="D817" s="10" t="s">
        <v>130</v>
      </c>
      <c r="E817" s="10" t="s">
        <v>73</v>
      </c>
      <c r="F817" s="11" t="s">
        <v>74</v>
      </c>
      <c r="G817" s="10" t="s">
        <v>73</v>
      </c>
      <c r="H817" s="10" t="s">
        <v>73</v>
      </c>
      <c r="I817" s="10" t="s">
        <v>73</v>
      </c>
      <c r="K817" s="12" t="s">
        <v>73</v>
      </c>
      <c r="L817" s="10" t="s">
        <v>115</v>
      </c>
      <c r="M817" s="5" t="str">
        <f t="array" ref="M817">Y806</f>
        <v>1ХВС::1.1</v>
      </c>
      <c r="AB817" s="29" t="str">
        <f>AB814&amp;".3"</f>
        <v>1.1.3.3</v>
      </c>
      <c r="AC817" s="92" t="s">
        <v>131</v>
      </c>
      <c r="AD817" s="370"/>
      <c r="AE817" s="614"/>
      <c r="AF817" s="93"/>
      <c r="AG817" s="615"/>
      <c r="AH817" s="44"/>
      <c r="AI817" s="41"/>
      <c r="AJ817" s="42"/>
      <c r="AK817" s="44"/>
      <c r="AL817" s="41"/>
      <c r="AM817" s="42"/>
      <c r="AN817" s="44"/>
      <c r="AO817" s="41"/>
      <c r="AP817" s="42"/>
      <c r="AQ817" s="44"/>
      <c r="AR817" s="41"/>
      <c r="AS817" s="42"/>
      <c r="AT817" s="44"/>
      <c r="AU817" s="41"/>
      <c r="AV817" s="42"/>
      <c r="AW817" s="44"/>
      <c r="AX817" s="41"/>
      <c r="AY817" s="42"/>
      <c r="AZ817" s="44"/>
      <c r="BA817" s="41"/>
      <c r="BB817" s="42"/>
      <c r="BC817" s="44"/>
      <c r="BD817" s="41"/>
      <c r="BE817" s="42"/>
      <c r="BF817" s="44"/>
      <c r="BG817" s="41"/>
      <c r="BH817" s="42"/>
      <c r="BI817" s="40"/>
      <c r="BJ817" s="41"/>
      <c r="BK817" s="42"/>
      <c r="BN817" s="45"/>
      <c r="BO817" s="46"/>
      <c r="BP817" s="47"/>
    </row>
    <row r="818" spans="1:68" ht="14.25" hidden="1" customHeight="1" outlineLevel="2" x14ac:dyDescent="0.25">
      <c r="A818" s="10" t="b">
        <f t="array" ref="A818">A817</f>
        <v>1</v>
      </c>
      <c r="C818" s="10" t="s">
        <v>113</v>
      </c>
      <c r="D818" s="10" t="s">
        <v>114</v>
      </c>
      <c r="E818" s="10" t="s">
        <v>132</v>
      </c>
      <c r="F818" s="11" t="s">
        <v>74</v>
      </c>
      <c r="G818" s="10" t="s">
        <v>73</v>
      </c>
      <c r="H818" s="10" t="s">
        <v>73</v>
      </c>
      <c r="I818" s="10" t="s">
        <v>73</v>
      </c>
      <c r="K818" s="12" t="s">
        <v>73</v>
      </c>
      <c r="L818" s="10" t="s">
        <v>133</v>
      </c>
      <c r="M818" s="5" t="str">
        <f t="array" ref="M818">Y806</f>
        <v>1ХВС::1.1</v>
      </c>
      <c r="AB818" s="29" t="str">
        <f>AB810&amp;".4"</f>
        <v>1.1.4</v>
      </c>
      <c r="AC818" s="87" t="s">
        <v>132</v>
      </c>
      <c r="AD818" s="370"/>
      <c r="AE818" s="427" t="e">
        <f t="array" ref="AE818">#REF!</f>
        <v>#REF!</v>
      </c>
      <c r="AF818" s="67" t="e">
        <f>IF(#REF!=0,0,AF789/#REF!)</f>
        <v>#REF!</v>
      </c>
      <c r="AG818" s="428">
        <f>IF(AF789=0,0,AG789/AF789)</f>
        <v>1</v>
      </c>
      <c r="AH818" s="44"/>
      <c r="AI818" s="41"/>
      <c r="AJ818" s="42"/>
      <c r="AK818" s="44"/>
      <c r="AL818" s="41"/>
      <c r="AM818" s="42"/>
      <c r="AN818" s="44"/>
      <c r="AO818" s="41"/>
      <c r="AP818" s="42"/>
      <c r="AQ818" s="44"/>
      <c r="AR818" s="41"/>
      <c r="AS818" s="42"/>
      <c r="AT818" s="44"/>
      <c r="AU818" s="41"/>
      <c r="AV818" s="42"/>
      <c r="AW818" s="44"/>
      <c r="AX818" s="41"/>
      <c r="AY818" s="42"/>
      <c r="AZ818" s="44"/>
      <c r="BA818" s="41"/>
      <c r="BB818" s="42"/>
      <c r="BC818" s="44"/>
      <c r="BD818" s="41"/>
      <c r="BE818" s="42"/>
      <c r="BF818" s="44"/>
      <c r="BG818" s="41"/>
      <c r="BH818" s="42"/>
      <c r="BI818" s="40"/>
      <c r="BJ818" s="41"/>
      <c r="BK818" s="42"/>
      <c r="BN818" s="45"/>
      <c r="BO818" s="46"/>
      <c r="BP818" s="47"/>
    </row>
    <row r="819" spans="1:68" ht="9.75" hidden="1" customHeight="1" outlineLevel="1" x14ac:dyDescent="0.25">
      <c r="A819" s="10" t="b">
        <f t="array" ref="A819">A818</f>
        <v>1</v>
      </c>
      <c r="C819" s="10" t="s">
        <v>113</v>
      </c>
      <c r="D819" s="10" t="s">
        <v>114</v>
      </c>
      <c r="E819" s="10" t="s">
        <v>134</v>
      </c>
      <c r="F819" s="11" t="s">
        <v>74</v>
      </c>
      <c r="G819" s="10" t="s">
        <v>73</v>
      </c>
      <c r="H819" s="10" t="s">
        <v>73</v>
      </c>
      <c r="I819" s="10" t="s">
        <v>73</v>
      </c>
      <c r="K819" s="12" t="s">
        <v>73</v>
      </c>
      <c r="L819" s="10" t="s">
        <v>135</v>
      </c>
      <c r="M819" s="5" t="str">
        <f t="array" ref="M819">Y806</f>
        <v>1ХВС::1.1</v>
      </c>
      <c r="AB819" s="29" t="str">
        <f>AB809&amp;".2"</f>
        <v>1.2</v>
      </c>
      <c r="AC819" s="80" t="s">
        <v>134</v>
      </c>
      <c r="AD819" s="370"/>
      <c r="AE819" s="602" t="e">
        <f>[1]Индексы!AH784-1</f>
        <v>#REF!</v>
      </c>
      <c r="AF819" s="54" t="e">
        <f>[1]Индексы!AI784-1</f>
        <v>#REF!</v>
      </c>
      <c r="AG819" s="603" t="e">
        <f>[1]Индексы!AK784-1</f>
        <v>#REF!</v>
      </c>
      <c r="AH819" s="44"/>
      <c r="AI819" s="41"/>
      <c r="AJ819" s="42"/>
      <c r="AK819" s="44"/>
      <c r="AL819" s="41"/>
      <c r="AM819" s="42"/>
      <c r="AN819" s="44"/>
      <c r="AO819" s="41"/>
      <c r="AP819" s="42"/>
      <c r="AQ819" s="44"/>
      <c r="AR819" s="41"/>
      <c r="AS819" s="42"/>
      <c r="AT819" s="44"/>
      <c r="AU819" s="41"/>
      <c r="AV819" s="42"/>
      <c r="AW819" s="44"/>
      <c r="AX819" s="41"/>
      <c r="AY819" s="42"/>
      <c r="AZ819" s="44"/>
      <c r="BA819" s="41"/>
      <c r="BB819" s="42"/>
      <c r="BC819" s="44"/>
      <c r="BD819" s="41"/>
      <c r="BE819" s="42"/>
      <c r="BF819" s="44"/>
      <c r="BG819" s="41"/>
      <c r="BH819" s="42"/>
      <c r="BI819" s="40"/>
      <c r="BJ819" s="41"/>
      <c r="BK819" s="42"/>
      <c r="BN819" s="45"/>
      <c r="BO819" s="46"/>
      <c r="BP819" s="47"/>
    </row>
    <row r="820" spans="1:68" s="115" customFormat="1" ht="27.75" hidden="1" customHeight="1" x14ac:dyDescent="0.25">
      <c r="A820" s="99" t="b">
        <f>$U806="Водоснабжение"</f>
        <v>1</v>
      </c>
      <c r="B820" s="100"/>
      <c r="C820" s="100" t="s">
        <v>75</v>
      </c>
      <c r="D820" s="99" t="s">
        <v>76</v>
      </c>
      <c r="E820" s="100"/>
      <c r="F820" s="101" t="s">
        <v>74</v>
      </c>
      <c r="G820" s="99" t="s">
        <v>73</v>
      </c>
      <c r="H820" s="99" t="s">
        <v>73</v>
      </c>
      <c r="I820" s="99" t="s">
        <v>73</v>
      </c>
      <c r="J820" s="100"/>
      <c r="K820" s="102" t="s">
        <v>73</v>
      </c>
      <c r="L820" s="100"/>
      <c r="M820" s="100" t="str">
        <f t="array" ref="M820">Y806</f>
        <v>1ХВС::1.1</v>
      </c>
      <c r="N820" s="100"/>
      <c r="O820" s="100"/>
      <c r="P820" s="100"/>
      <c r="Q820" s="100"/>
      <c r="R820" s="100"/>
      <c r="S820" s="100"/>
      <c r="T820" s="100"/>
      <c r="U820" s="100"/>
      <c r="V820" s="100"/>
      <c r="W820" s="100"/>
      <c r="X820" s="100"/>
      <c r="Y820" s="100"/>
      <c r="Z820" s="100"/>
      <c r="AA820" s="100"/>
      <c r="AB820" s="103">
        <f>AB809+1</f>
        <v>2</v>
      </c>
      <c r="AC820" s="104" t="s">
        <v>136</v>
      </c>
      <c r="AD820" s="616" t="s">
        <v>137</v>
      </c>
      <c r="AE820" s="617">
        <f>AE830</f>
        <v>38698.873999999996</v>
      </c>
      <c r="AF820" s="107">
        <f t="array" ref="AF820">AF830</f>
        <v>39968.152999999998</v>
      </c>
      <c r="AG820" s="618">
        <f t="array" ref="AG820">AG830</f>
        <v>39196.345999999998</v>
      </c>
      <c r="AH820" s="110">
        <v>43.671999999999997</v>
      </c>
      <c r="AI820" s="107">
        <f t="array" ref="AI820">AI830</f>
        <v>146.62</v>
      </c>
      <c r="AJ820" s="108">
        <v>48.451999999999998</v>
      </c>
      <c r="AK820" s="110">
        <f>AK830</f>
        <v>963.97199999999998</v>
      </c>
      <c r="AL820" s="107">
        <f t="array" ref="AL820">AL830</f>
        <v>1256.9399999999998</v>
      </c>
      <c r="AM820" s="108">
        <f t="array" ref="AM820">AM830</f>
        <v>1181.3140000000001</v>
      </c>
      <c r="AN820" s="110">
        <f>AN830</f>
        <v>2074.3290000000002</v>
      </c>
      <c r="AO820" s="107">
        <f t="array" ref="AO820">AO830</f>
        <v>2015.32</v>
      </c>
      <c r="AP820" s="108">
        <f t="array" ref="AP820">AP830</f>
        <v>1989.98</v>
      </c>
      <c r="AQ820" s="110">
        <f>AQ830</f>
        <v>397.2</v>
      </c>
      <c r="AR820" s="107">
        <f t="array" ref="AR820">AR830</f>
        <v>451.38</v>
      </c>
      <c r="AS820" s="108">
        <f t="array" ref="AS820">AS830</f>
        <v>404.13</v>
      </c>
      <c r="AT820" s="110">
        <f>AT830</f>
        <v>2405.29</v>
      </c>
      <c r="AU820" s="107">
        <f t="array" ref="AU820">AU830</f>
        <v>3069.1800000000003</v>
      </c>
      <c r="AV820" s="108">
        <f t="array" ref="AV820">AV830</f>
        <v>2263</v>
      </c>
      <c r="AW820" s="110">
        <f>AW830</f>
        <v>690.21</v>
      </c>
      <c r="AX820" s="107">
        <f t="array" ref="AX820">AX830</f>
        <v>711.46</v>
      </c>
      <c r="AY820" s="108">
        <f t="array" ref="AY820">AY830</f>
        <v>698.69400000000007</v>
      </c>
      <c r="AZ820" s="110">
        <f>AZ830</f>
        <v>3021.7509999999997</v>
      </c>
      <c r="BA820" s="107">
        <f t="array" ref="BA820">BA830</f>
        <v>3131.2299999999996</v>
      </c>
      <c r="BB820" s="108">
        <f t="array" ref="BB820">BB830</f>
        <v>3087.08</v>
      </c>
      <c r="BC820" s="110">
        <f>BC830</f>
        <v>2860.13</v>
      </c>
      <c r="BD820" s="107">
        <f t="array" ref="BD820">BD830</f>
        <v>2622.1080000000002</v>
      </c>
      <c r="BE820" s="108">
        <f t="array" ref="BE820">BE830</f>
        <v>2901.5319999999997</v>
      </c>
      <c r="BF820" s="110">
        <f>BF830</f>
        <v>147.51999999999998</v>
      </c>
      <c r="BG820" s="107">
        <f t="array" ref="BG820">BG830</f>
        <v>176.34000000000003</v>
      </c>
      <c r="BH820" s="108">
        <f t="array" ref="BH820">BH830</f>
        <v>149.10000000000002</v>
      </c>
      <c r="BI820" s="106">
        <f>BI830</f>
        <v>288.71999999999997</v>
      </c>
      <c r="BJ820" s="107">
        <f t="array" ref="BJ820">BJ830</f>
        <v>366.76</v>
      </c>
      <c r="BK820" s="108">
        <f t="array" ref="BK820">BK830</f>
        <v>291.03999999999996</v>
      </c>
      <c r="BL820" s="111"/>
      <c r="BM820" s="100"/>
      <c r="BN820" s="112">
        <f t="shared" ref="BN820:BN865" si="178">AE820+AH820+AK820+AN820+AQ820+AT820+AW820+AZ820+BC820+BF820+BI820</f>
        <v>51591.667999999983</v>
      </c>
      <c r="BO820" s="113">
        <f t="shared" ref="BO820:BO865" si="179">AF820+AI820+AL820+AO820+AR820+AU820+AX820+BA820+BD820+BG820+BJ820</f>
        <v>53915.490999999995</v>
      </c>
      <c r="BP820" s="114">
        <f t="shared" ref="BP820:BP865" si="180">AG820+AJ820+AM820+AP820+AS820+AV820+AY820+BB820+BE820+BH820+BK820</f>
        <v>52210.667999999998</v>
      </c>
    </row>
    <row r="821" spans="1:68" ht="14.25" hidden="1" customHeight="1" outlineLevel="2" x14ac:dyDescent="0.25">
      <c r="A821" s="10" t="b">
        <f>AND(A820)</f>
        <v>1</v>
      </c>
      <c r="B821" s="5" t="b">
        <f>AND(OR(isFIRST_PERIOD="да",$AD$56="нет"),A820)</f>
        <v>1</v>
      </c>
      <c r="C821" s="69" t="s">
        <v>78</v>
      </c>
      <c r="D821" s="70" t="s">
        <v>79</v>
      </c>
      <c r="E821" s="70" t="s">
        <v>73</v>
      </c>
      <c r="F821" s="116" t="s">
        <v>74</v>
      </c>
      <c r="G821" s="70" t="s">
        <v>73</v>
      </c>
      <c r="H821" s="70" t="s">
        <v>73</v>
      </c>
      <c r="I821" s="70" t="s">
        <v>73</v>
      </c>
      <c r="J821" s="70" t="s">
        <v>73</v>
      </c>
      <c r="K821" s="70" t="s">
        <v>73</v>
      </c>
      <c r="L821" s="70"/>
      <c r="M821" s="5" t="str">
        <f t="array" ref="M821">Y806</f>
        <v>1ХВС::1.1</v>
      </c>
      <c r="N821" s="70"/>
      <c r="AB821" s="29" t="str">
        <f>AB820&amp;".I"</f>
        <v>2.I</v>
      </c>
      <c r="AC821" s="117" t="s">
        <v>138</v>
      </c>
      <c r="AD821" s="619" t="s">
        <v>137</v>
      </c>
      <c r="AE821" s="427">
        <v>19593.026999999998</v>
      </c>
      <c r="AF821" s="67">
        <v>19106.952000000001</v>
      </c>
      <c r="AG821" s="428">
        <v>19850.718000000001</v>
      </c>
      <c r="AH821" s="146">
        <v>72.802000000000007</v>
      </c>
      <c r="AI821" s="67">
        <f>AI820/2</f>
        <v>73.31</v>
      </c>
      <c r="AJ821" s="68">
        <v>80.861999999999995</v>
      </c>
      <c r="AK821" s="146">
        <v>517.48599999999999</v>
      </c>
      <c r="AL821" s="67">
        <v>514.5</v>
      </c>
      <c r="AM821" s="68">
        <v>626.15700000000004</v>
      </c>
      <c r="AN821" s="146">
        <v>1037.165</v>
      </c>
      <c r="AO821" s="67">
        <v>1007.66</v>
      </c>
      <c r="AP821" s="68">
        <v>994.99</v>
      </c>
      <c r="AQ821" s="146">
        <v>198.6</v>
      </c>
      <c r="AR821" s="67">
        <v>225.65</v>
      </c>
      <c r="AS821" s="68">
        <v>202.065</v>
      </c>
      <c r="AT821" s="146">
        <v>1202.645</v>
      </c>
      <c r="AU821" s="67">
        <v>1534.59</v>
      </c>
      <c r="AV821" s="68">
        <v>1131.5</v>
      </c>
      <c r="AW821" s="146">
        <v>345.10500000000002</v>
      </c>
      <c r="AX821" s="67">
        <f>AX820/2</f>
        <v>355.73</v>
      </c>
      <c r="AY821" s="68">
        <v>349.34699999999998</v>
      </c>
      <c r="AZ821" s="146">
        <f>AZ820/2</f>
        <v>1510.8754999999999</v>
      </c>
      <c r="BA821" s="67">
        <f>BA820/2</f>
        <v>1565.6149999999998</v>
      </c>
      <c r="BB821" s="68">
        <f>BB820/2</f>
        <v>1543.54</v>
      </c>
      <c r="BC821" s="146">
        <v>1430.02</v>
      </c>
      <c r="BD821" s="67">
        <v>1311.0540000000001</v>
      </c>
      <c r="BE821" s="68">
        <v>1450.7660000000001</v>
      </c>
      <c r="BF821" s="120">
        <v>73.760000000000005</v>
      </c>
      <c r="BG821" s="121">
        <v>88.17</v>
      </c>
      <c r="BH821" s="124">
        <v>74.55</v>
      </c>
      <c r="BI821" s="123">
        <v>144.36000000000001</v>
      </c>
      <c r="BJ821" s="121">
        <v>183.38</v>
      </c>
      <c r="BK821" s="124">
        <v>145.52000000000001</v>
      </c>
      <c r="BN821" s="125">
        <f t="shared" si="178"/>
        <v>26125.845499999996</v>
      </c>
      <c r="BO821" s="126">
        <f t="shared" si="179"/>
        <v>25966.611000000004</v>
      </c>
      <c r="BP821" s="127">
        <f t="shared" si="180"/>
        <v>26450.015000000003</v>
      </c>
    </row>
    <row r="822" spans="1:68" ht="14.25" hidden="1" customHeight="1" outlineLevel="2" x14ac:dyDescent="0.25">
      <c r="A822" s="10" t="b">
        <f>AND(A820)</f>
        <v>1</v>
      </c>
      <c r="B822" s="5" t="b">
        <f>AND(OR(isFIRST_PERIOD="да",$AD$56="нет"),A820)</f>
        <v>1</v>
      </c>
      <c r="C822" s="69" t="s">
        <v>81</v>
      </c>
      <c r="D822" s="70" t="s">
        <v>82</v>
      </c>
      <c r="E822" s="70" t="s">
        <v>73</v>
      </c>
      <c r="F822" s="116" t="s">
        <v>74</v>
      </c>
      <c r="G822" s="70" t="s">
        <v>73</v>
      </c>
      <c r="H822" s="70" t="s">
        <v>73</v>
      </c>
      <c r="I822" s="70" t="s">
        <v>73</v>
      </c>
      <c r="J822" s="70" t="s">
        <v>73</v>
      </c>
      <c r="K822" s="70" t="s">
        <v>73</v>
      </c>
      <c r="L822" s="70"/>
      <c r="M822" s="5" t="str">
        <f t="array" ref="M822">Y806</f>
        <v>1ХВС::1.1</v>
      </c>
      <c r="N822" s="70"/>
      <c r="AB822" s="29" t="str">
        <f>AB820&amp;".II"</f>
        <v>2.II</v>
      </c>
      <c r="AC822" s="117" t="s">
        <v>139</v>
      </c>
      <c r="AD822" s="619" t="s">
        <v>137</v>
      </c>
      <c r="AE822" s="427">
        <v>19593.026999999998</v>
      </c>
      <c r="AF822" s="67">
        <v>20861.201000000001</v>
      </c>
      <c r="AG822" s="428">
        <v>19850.718000000001</v>
      </c>
      <c r="AH822" s="146">
        <v>72.802000000000007</v>
      </c>
      <c r="AI822" s="67">
        <f>AI820-AI821</f>
        <v>73.31</v>
      </c>
      <c r="AJ822" s="68">
        <v>80.861999999999995</v>
      </c>
      <c r="AK822" s="146">
        <v>517.48599999999999</v>
      </c>
      <c r="AL822" s="67">
        <v>813.44</v>
      </c>
      <c r="AM822" s="68">
        <v>626.15700000000004</v>
      </c>
      <c r="AN822" s="146">
        <v>1037.165</v>
      </c>
      <c r="AO822" s="67">
        <v>1007.66</v>
      </c>
      <c r="AP822" s="68">
        <v>994.99</v>
      </c>
      <c r="AQ822" s="146">
        <v>198.6</v>
      </c>
      <c r="AR822" s="67">
        <v>225.73</v>
      </c>
      <c r="AS822" s="68">
        <v>202.065</v>
      </c>
      <c r="AT822" s="146">
        <v>1202.645</v>
      </c>
      <c r="AU822" s="67">
        <v>1534.59</v>
      </c>
      <c r="AV822" s="68">
        <v>1131.5</v>
      </c>
      <c r="AW822" s="146">
        <v>345.10500000000002</v>
      </c>
      <c r="AX822" s="67">
        <f>AX820-AX821</f>
        <v>355.73</v>
      </c>
      <c r="AY822" s="68">
        <v>349.34699999999998</v>
      </c>
      <c r="AZ822" s="146">
        <f>AZ820-AZ821</f>
        <v>1510.8754999999999</v>
      </c>
      <c r="BA822" s="67">
        <f>BA820-BA821</f>
        <v>1565.6149999999998</v>
      </c>
      <c r="BB822" s="68">
        <f>BB820-BB821</f>
        <v>1543.54</v>
      </c>
      <c r="BC822" s="146">
        <v>1430.11</v>
      </c>
      <c r="BD822" s="67">
        <v>1311.0540000000001</v>
      </c>
      <c r="BE822" s="68">
        <v>1450.7660000000001</v>
      </c>
      <c r="BF822" s="120">
        <v>76.73</v>
      </c>
      <c r="BG822" s="121">
        <v>88.17</v>
      </c>
      <c r="BH822" s="124">
        <v>74.55</v>
      </c>
      <c r="BI822" s="123">
        <v>144.36000000000001</v>
      </c>
      <c r="BJ822" s="121">
        <v>183.38</v>
      </c>
      <c r="BK822" s="124">
        <v>145.52000000000001</v>
      </c>
      <c r="BN822" s="125">
        <f t="shared" si="178"/>
        <v>26128.905499999997</v>
      </c>
      <c r="BO822" s="126">
        <f t="shared" si="179"/>
        <v>28019.879999999997</v>
      </c>
      <c r="BP822" s="127">
        <f t="shared" si="180"/>
        <v>26450.015000000003</v>
      </c>
    </row>
    <row r="823" spans="1:68" s="115" customFormat="1" ht="14.25" hidden="1" customHeight="1" outlineLevel="3" x14ac:dyDescent="0.25">
      <c r="A823" s="99" t="b">
        <f>AND($U806="Водоснабжение",$T806&lt;&gt;"Тариф на транспортировку воды")</f>
        <v>1</v>
      </c>
      <c r="B823" s="100"/>
      <c r="C823" s="128" t="s">
        <v>140</v>
      </c>
      <c r="D823" s="128" t="s">
        <v>141</v>
      </c>
      <c r="E823" s="129" t="s">
        <v>142</v>
      </c>
      <c r="F823" s="129" t="s">
        <v>74</v>
      </c>
      <c r="G823" s="129" t="s">
        <v>73</v>
      </c>
      <c r="H823" s="129" t="s">
        <v>73</v>
      </c>
      <c r="I823" s="129" t="s">
        <v>73</v>
      </c>
      <c r="J823" s="129" t="s">
        <v>73</v>
      </c>
      <c r="K823" s="129" t="s">
        <v>73</v>
      </c>
      <c r="L823" s="129"/>
      <c r="M823" s="100" t="str">
        <f t="array" ref="M823">Y806</f>
        <v>1ХВС::1.1</v>
      </c>
      <c r="N823" s="129"/>
      <c r="O823" s="100"/>
      <c r="P823" s="100"/>
      <c r="Q823" s="100"/>
      <c r="R823" s="100"/>
      <c r="S823" s="100"/>
      <c r="T823" s="100"/>
      <c r="U823" s="100"/>
      <c r="V823" s="100"/>
      <c r="W823" s="100"/>
      <c r="X823" s="100"/>
      <c r="Y823" s="99">
        <v>1</v>
      </c>
      <c r="Z823" s="100"/>
      <c r="AA823" s="100"/>
      <c r="AB823" s="103" t="str">
        <f>AB820&amp;".1"</f>
        <v>2.1</v>
      </c>
      <c r="AC823" s="130" t="s">
        <v>143</v>
      </c>
      <c r="AD823" s="616" t="s">
        <v>137</v>
      </c>
      <c r="AE823" s="617">
        <f>AE824+AE826-AE825</f>
        <v>51921.39699999999</v>
      </c>
      <c r="AF823" s="107">
        <f>AF824+AF826-AF825</f>
        <v>53402.006000000001</v>
      </c>
      <c r="AG823" s="618">
        <f>AG824+AG826-AG825</f>
        <v>52582.745999999999</v>
      </c>
      <c r="AH823" s="110">
        <v>50.241</v>
      </c>
      <c r="AI823" s="107">
        <v>186.62</v>
      </c>
      <c r="AJ823" s="108">
        <v>60.101999999999997</v>
      </c>
      <c r="AK823" s="110">
        <f t="shared" ref="AK823:AV823" si="181">AK824+AK826-AK825</f>
        <v>1082.2929999999999</v>
      </c>
      <c r="AL823" s="107">
        <f t="shared" si="181"/>
        <v>1314.34</v>
      </c>
      <c r="AM823" s="108">
        <f t="shared" si="181"/>
        <v>1277.3260000000002</v>
      </c>
      <c r="AN823" s="110">
        <f t="shared" si="181"/>
        <v>2656.7220000000002</v>
      </c>
      <c r="AO823" s="107">
        <f t="shared" si="181"/>
        <v>2231.19</v>
      </c>
      <c r="AP823" s="108">
        <f t="shared" si="181"/>
        <v>2540.08</v>
      </c>
      <c r="AQ823" s="110">
        <f t="shared" si="181"/>
        <v>0</v>
      </c>
      <c r="AR823" s="107">
        <f t="shared" si="181"/>
        <v>0</v>
      </c>
      <c r="AS823" s="108">
        <f t="shared" si="181"/>
        <v>0</v>
      </c>
      <c r="AT823" s="110">
        <f t="shared" si="181"/>
        <v>7733.2</v>
      </c>
      <c r="AU823" s="107">
        <f t="shared" si="181"/>
        <v>3502.03</v>
      </c>
      <c r="AV823" s="108">
        <f t="shared" si="181"/>
        <v>7474.4679999999998</v>
      </c>
      <c r="AW823" s="110">
        <v>1228.79</v>
      </c>
      <c r="AX823" s="107">
        <f>AX824+AX826-AX825</f>
        <v>711.46</v>
      </c>
      <c r="AY823" s="108">
        <v>1207.6300000000001</v>
      </c>
      <c r="AZ823" s="110">
        <f t="shared" ref="AZ823:BK823" si="182">AZ824+AZ826-AZ825</f>
        <v>7622.241</v>
      </c>
      <c r="BA823" s="107">
        <f t="shared" si="182"/>
        <v>3559.0279999999993</v>
      </c>
      <c r="BB823" s="108">
        <f t="shared" si="182"/>
        <v>6937.8570000000009</v>
      </c>
      <c r="BC823" s="110">
        <f t="shared" si="182"/>
        <v>4600.8900000000003</v>
      </c>
      <c r="BD823" s="107">
        <f t="shared" si="182"/>
        <v>4542.6880000000001</v>
      </c>
      <c r="BE823" s="108">
        <f t="shared" si="182"/>
        <v>4639.9389999999994</v>
      </c>
      <c r="BF823" s="131">
        <f t="shared" si="182"/>
        <v>266.57</v>
      </c>
      <c r="BG823" s="132">
        <f t="shared" si="182"/>
        <v>204.50000000000003</v>
      </c>
      <c r="BH823" s="135">
        <f t="shared" si="182"/>
        <v>256.42400000000004</v>
      </c>
      <c r="BI823" s="134">
        <f t="shared" si="182"/>
        <v>467.52</v>
      </c>
      <c r="BJ823" s="132">
        <f t="shared" si="182"/>
        <v>400</v>
      </c>
      <c r="BK823" s="135">
        <f t="shared" si="182"/>
        <v>450.05799999999999</v>
      </c>
      <c r="BL823" s="111"/>
      <c r="BM823" s="100"/>
      <c r="BN823" s="112">
        <f t="shared" si="178"/>
        <v>77629.864000000001</v>
      </c>
      <c r="BO823" s="113">
        <f t="shared" si="179"/>
        <v>70053.861999999994</v>
      </c>
      <c r="BP823" s="114">
        <f t="shared" si="180"/>
        <v>77426.63</v>
      </c>
    </row>
    <row r="824" spans="1:68" ht="14.25" hidden="1" customHeight="1" outlineLevel="3" x14ac:dyDescent="0.25">
      <c r="A824" s="10" t="b">
        <f>AND($U806="Водоснабжение",$T806&lt;&gt;"Тариф на транспортировку воды",region_name&lt;&gt;"Белгородская область")</f>
        <v>1</v>
      </c>
      <c r="C824" s="136" t="s">
        <v>140</v>
      </c>
      <c r="D824" s="136" t="s">
        <v>141</v>
      </c>
      <c r="E824" s="116" t="s">
        <v>144</v>
      </c>
      <c r="F824" s="116" t="s">
        <v>74</v>
      </c>
      <c r="G824" s="116" t="s">
        <v>73</v>
      </c>
      <c r="H824" s="116" t="s">
        <v>73</v>
      </c>
      <c r="I824" s="116" t="s">
        <v>73</v>
      </c>
      <c r="J824" s="116" t="s">
        <v>73</v>
      </c>
      <c r="K824" s="116" t="s">
        <v>73</v>
      </c>
      <c r="L824" s="116"/>
      <c r="M824" s="5" t="str">
        <f t="array" ref="M824">Y806</f>
        <v>1ХВС::1.1</v>
      </c>
      <c r="N824" s="116"/>
      <c r="Y824" s="10">
        <f>COUNT($Y823:Y823)+1</f>
        <v>2</v>
      </c>
      <c r="AB824" s="29" t="str">
        <f>AB820&amp;"."&amp;Y824</f>
        <v>2.2</v>
      </c>
      <c r="AC824" s="71" t="str">
        <f>IF($AD$51="ФАС","Расходы на технологические нужды","Расходы и потери воды при производстве воды")</f>
        <v>Расходы на технологические нужды</v>
      </c>
      <c r="AD824" s="619" t="s">
        <v>137</v>
      </c>
      <c r="AE824" s="427">
        <v>3118.1640000000002</v>
      </c>
      <c r="AF824" s="67">
        <v>2943.7669999999998</v>
      </c>
      <c r="AG824" s="428">
        <v>3176.8029999999999</v>
      </c>
      <c r="AH824" s="146">
        <v>3.137</v>
      </c>
      <c r="AI824" s="67">
        <v>33.200000000000003</v>
      </c>
      <c r="AJ824" s="68">
        <v>6.0090000000000003</v>
      </c>
      <c r="AK824" s="146">
        <v>1.76</v>
      </c>
      <c r="AL824" s="67">
        <v>15.98</v>
      </c>
      <c r="AM824" s="68">
        <v>1.776</v>
      </c>
      <c r="AN824" s="146">
        <v>34.5</v>
      </c>
      <c r="AO824" s="67">
        <v>1</v>
      </c>
      <c r="AP824" s="68">
        <v>30</v>
      </c>
      <c r="AQ824" s="146">
        <v>0</v>
      </c>
      <c r="AR824" s="67">
        <v>0</v>
      </c>
      <c r="AS824" s="68">
        <v>0</v>
      </c>
      <c r="AT824" s="146">
        <v>0</v>
      </c>
      <c r="AU824" s="67">
        <v>0</v>
      </c>
      <c r="AV824" s="68">
        <v>0</v>
      </c>
      <c r="AW824" s="146">
        <v>0</v>
      </c>
      <c r="AX824" s="67">
        <v>0</v>
      </c>
      <c r="AY824" s="68">
        <v>6.5000000000000002E-2</v>
      </c>
      <c r="AZ824" s="146">
        <v>52.74</v>
      </c>
      <c r="BA824" s="67">
        <v>28.097999999999999</v>
      </c>
      <c r="BB824" s="68">
        <v>54.06</v>
      </c>
      <c r="BC824" s="146">
        <v>47.612000000000002</v>
      </c>
      <c r="BD824" s="67">
        <v>45.877000000000002</v>
      </c>
      <c r="BE824" s="68">
        <v>46</v>
      </c>
      <c r="BF824" s="120"/>
      <c r="BG824" s="121"/>
      <c r="BH824" s="124"/>
      <c r="BI824" s="123">
        <v>10.9</v>
      </c>
      <c r="BJ824" s="121"/>
      <c r="BK824" s="124">
        <v>5.8000000000000003E-2</v>
      </c>
      <c r="BN824" s="125">
        <f t="shared" si="178"/>
        <v>3268.8130000000006</v>
      </c>
      <c r="BO824" s="126">
        <f t="shared" si="179"/>
        <v>3067.9219999999996</v>
      </c>
      <c r="BP824" s="127">
        <f t="shared" si="180"/>
        <v>3314.7709999999997</v>
      </c>
    </row>
    <row r="825" spans="1:68" ht="14.25" hidden="1" customHeight="1" outlineLevel="3" x14ac:dyDescent="0.25">
      <c r="A825" s="10" t="b">
        <f>$U806="Водоснабжение"</f>
        <v>1</v>
      </c>
      <c r="C825" s="136" t="s">
        <v>140</v>
      </c>
      <c r="D825" s="136" t="s">
        <v>141</v>
      </c>
      <c r="E825" s="116" t="s">
        <v>145</v>
      </c>
      <c r="F825" s="116" t="s">
        <v>74</v>
      </c>
      <c r="G825" s="116" t="s">
        <v>73</v>
      </c>
      <c r="H825" s="116" t="s">
        <v>73</v>
      </c>
      <c r="I825" s="116" t="s">
        <v>73</v>
      </c>
      <c r="J825" s="116" t="s">
        <v>73</v>
      </c>
      <c r="K825" s="116" t="s">
        <v>73</v>
      </c>
      <c r="L825" s="116"/>
      <c r="M825" s="5" t="str">
        <f t="array" ref="M825">Y806</f>
        <v>1ХВС::1.1</v>
      </c>
      <c r="N825" s="116"/>
      <c r="Y825" s="10">
        <f>COUNT($Y823:Y824)+1</f>
        <v>3</v>
      </c>
      <c r="AB825" s="29" t="str">
        <f>AB820&amp;"."&amp;Y825</f>
        <v>2.3</v>
      </c>
      <c r="AC825" s="71" t="str">
        <f>IF($T806="Тариф на транспортировку воды","Принято воды для передачи (транспортировки)","Получено воды со стороны")</f>
        <v>Получено воды со стороны</v>
      </c>
      <c r="AD825" s="619" t="s">
        <v>137</v>
      </c>
      <c r="AE825" s="427">
        <v>1069.5930000000001</v>
      </c>
      <c r="AF825" s="67">
        <v>1280.47</v>
      </c>
      <c r="AG825" s="428">
        <v>1066.671</v>
      </c>
      <c r="AH825" s="146"/>
      <c r="AI825" s="67"/>
      <c r="AJ825" s="68"/>
      <c r="AK825" s="146">
        <v>0</v>
      </c>
      <c r="AL825" s="67">
        <v>0</v>
      </c>
      <c r="AM825" s="68">
        <v>0</v>
      </c>
      <c r="AN825" s="146">
        <v>0</v>
      </c>
      <c r="AO825" s="67">
        <v>0</v>
      </c>
      <c r="AP825" s="68">
        <v>0</v>
      </c>
      <c r="AQ825" s="146">
        <v>399.11</v>
      </c>
      <c r="AR825" s="67">
        <v>493.2</v>
      </c>
      <c r="AS825" s="68">
        <v>415.79</v>
      </c>
      <c r="AT825" s="146">
        <v>0</v>
      </c>
      <c r="AU825" s="67">
        <v>0</v>
      </c>
      <c r="AV825" s="68">
        <v>0</v>
      </c>
      <c r="AW825" s="146">
        <v>0</v>
      </c>
      <c r="AX825" s="67">
        <v>0</v>
      </c>
      <c r="AY825" s="68">
        <v>0</v>
      </c>
      <c r="AZ825" s="146">
        <v>0</v>
      </c>
      <c r="BA825" s="67">
        <v>0</v>
      </c>
      <c r="BB825" s="68">
        <v>0</v>
      </c>
      <c r="BC825" s="146">
        <v>0</v>
      </c>
      <c r="BD825" s="67">
        <v>0</v>
      </c>
      <c r="BE825" s="68">
        <v>0</v>
      </c>
      <c r="BF825" s="120"/>
      <c r="BG825" s="121"/>
      <c r="BH825" s="124"/>
      <c r="BI825" s="123"/>
      <c r="BJ825" s="121"/>
      <c r="BK825" s="124"/>
      <c r="BN825" s="125">
        <f t="shared" si="178"/>
        <v>1468.703</v>
      </c>
      <c r="BO825" s="126">
        <f t="shared" si="179"/>
        <v>1773.67</v>
      </c>
      <c r="BP825" s="127">
        <f t="shared" si="180"/>
        <v>1482.461</v>
      </c>
    </row>
    <row r="826" spans="1:68" ht="38.25" hidden="1" customHeight="1" outlineLevel="3" x14ac:dyDescent="0.25">
      <c r="A826" s="10" t="b">
        <f t="array" ref="A826">A825</f>
        <v>1</v>
      </c>
      <c r="C826" s="136" t="s">
        <v>140</v>
      </c>
      <c r="D826" s="136" t="s">
        <v>141</v>
      </c>
      <c r="E826" s="116" t="s">
        <v>146</v>
      </c>
      <c r="F826" s="116" t="s">
        <v>74</v>
      </c>
      <c r="G826" s="116" t="s">
        <v>73</v>
      </c>
      <c r="H826" s="116" t="s">
        <v>73</v>
      </c>
      <c r="I826" s="116" t="s">
        <v>73</v>
      </c>
      <c r="J826" s="116" t="s">
        <v>73</v>
      </c>
      <c r="K826" s="116" t="s">
        <v>73</v>
      </c>
      <c r="L826" s="116"/>
      <c r="M826" s="5" t="str">
        <f t="array" ref="M826">Y806</f>
        <v>1ХВС::1.1</v>
      </c>
      <c r="N826" s="116"/>
      <c r="Y826" s="10">
        <f>COUNT($Y823:Y825)+1</f>
        <v>4</v>
      </c>
      <c r="AB826" s="29" t="str">
        <f>AB820&amp;"."&amp;Y826</f>
        <v>2.4</v>
      </c>
      <c r="AC826" s="80" t="s">
        <v>146</v>
      </c>
      <c r="AD826" s="619" t="s">
        <v>137</v>
      </c>
      <c r="AE826" s="427">
        <f>AE830+AE827+AE828</f>
        <v>49872.825999999994</v>
      </c>
      <c r="AF826" s="67">
        <f>AF830+AF827+AF828</f>
        <v>51738.709000000003</v>
      </c>
      <c r="AG826" s="428">
        <f>AG830+AG827+AG828</f>
        <v>50472.614000000001</v>
      </c>
      <c r="AH826" s="146">
        <v>47.103999999999999</v>
      </c>
      <c r="AI826" s="67">
        <f>AI830+AI827+AI828</f>
        <v>153.42000000000002</v>
      </c>
      <c r="AJ826" s="68">
        <f>AJ830+AJ827+AJ828</f>
        <v>54.092999999999996</v>
      </c>
      <c r="AK826" s="146">
        <f>AK830+AK827+AK828</f>
        <v>1080.5329999999999</v>
      </c>
      <c r="AL826" s="67">
        <f>AL830+AL827+AL828</f>
        <v>1298.3599999999999</v>
      </c>
      <c r="AM826" s="68">
        <f>AM830+AM827+AM828</f>
        <v>1275.5500000000002</v>
      </c>
      <c r="AN826" s="146">
        <v>2622.2220000000002</v>
      </c>
      <c r="AO826" s="67">
        <v>2230.19</v>
      </c>
      <c r="AP826" s="68">
        <v>2510.08</v>
      </c>
      <c r="AQ826" s="146">
        <f>AQ830+AQ827+AQ828</f>
        <v>399.11</v>
      </c>
      <c r="AR826" s="67">
        <f>AR830+AR827+AR828</f>
        <v>493.2</v>
      </c>
      <c r="AS826" s="68">
        <f>AS830+AS827+AS828</f>
        <v>415.79</v>
      </c>
      <c r="AT826" s="146">
        <v>7733.2</v>
      </c>
      <c r="AU826" s="67">
        <v>3502.03</v>
      </c>
      <c r="AV826" s="68">
        <v>7474.4679999999998</v>
      </c>
      <c r="AW826" s="146">
        <v>1228.79</v>
      </c>
      <c r="AX826" s="67">
        <f t="shared" ref="AX826:BK826" si="183">AX830+AX827+AX828</f>
        <v>711.46</v>
      </c>
      <c r="AY826" s="68">
        <f t="shared" si="183"/>
        <v>1207.5650000000001</v>
      </c>
      <c r="AZ826" s="146">
        <f t="shared" si="183"/>
        <v>7569.5010000000002</v>
      </c>
      <c r="BA826" s="67">
        <f t="shared" si="183"/>
        <v>3530.9299999999994</v>
      </c>
      <c r="BB826" s="68">
        <f t="shared" si="183"/>
        <v>6883.7970000000005</v>
      </c>
      <c r="BC826" s="146">
        <f t="shared" si="183"/>
        <v>4553.2780000000002</v>
      </c>
      <c r="BD826" s="67">
        <f t="shared" si="183"/>
        <v>4496.8109999999997</v>
      </c>
      <c r="BE826" s="68">
        <f t="shared" si="183"/>
        <v>4593.9389999999994</v>
      </c>
      <c r="BF826" s="120">
        <f t="shared" si="183"/>
        <v>266.57</v>
      </c>
      <c r="BG826" s="121">
        <f t="shared" si="183"/>
        <v>204.50000000000003</v>
      </c>
      <c r="BH826" s="124">
        <f t="shared" si="183"/>
        <v>256.42400000000004</v>
      </c>
      <c r="BI826" s="123">
        <f t="shared" si="183"/>
        <v>456.62</v>
      </c>
      <c r="BJ826" s="121">
        <f t="shared" si="183"/>
        <v>400</v>
      </c>
      <c r="BK826" s="124">
        <f t="shared" si="183"/>
        <v>450</v>
      </c>
      <c r="BN826" s="125">
        <f t="shared" si="178"/>
        <v>75829.754000000001</v>
      </c>
      <c r="BO826" s="126">
        <f t="shared" si="179"/>
        <v>68759.61</v>
      </c>
      <c r="BP826" s="127">
        <f t="shared" si="180"/>
        <v>75594.320000000007</v>
      </c>
    </row>
    <row r="827" spans="1:68" ht="14.25" hidden="1" customHeight="1" outlineLevel="3" x14ac:dyDescent="0.25">
      <c r="A827" s="10" t="b">
        <f>AND($U806="Водоснабжение",$AD$51&lt;&gt;"ФАС")</f>
        <v>0</v>
      </c>
      <c r="C827" s="136" t="s">
        <v>140</v>
      </c>
      <c r="D827" s="136" t="s">
        <v>141</v>
      </c>
      <c r="E827" s="116" t="s">
        <v>147</v>
      </c>
      <c r="F827" s="116" t="s">
        <v>74</v>
      </c>
      <c r="G827" s="116" t="s">
        <v>73</v>
      </c>
      <c r="H827" s="116" t="s">
        <v>73</v>
      </c>
      <c r="I827" s="116" t="s">
        <v>73</v>
      </c>
      <c r="J827" s="116" t="s">
        <v>73</v>
      </c>
      <c r="K827" s="116" t="s">
        <v>73</v>
      </c>
      <c r="L827" s="116"/>
      <c r="M827" s="5" t="str">
        <f t="array" ref="M827">Y806</f>
        <v>1ХВС::1.1</v>
      </c>
      <c r="N827" s="116"/>
      <c r="Z827" s="6"/>
      <c r="AA827" s="6"/>
      <c r="AB827" s="29"/>
      <c r="AC827" s="87"/>
      <c r="AD827" s="370"/>
      <c r="AE827" s="427"/>
      <c r="AF827" s="67"/>
      <c r="AG827" s="428"/>
      <c r="AH827" s="146"/>
      <c r="AI827" s="67"/>
      <c r="AJ827" s="68"/>
      <c r="AK827" s="146"/>
      <c r="AL827" s="67"/>
      <c r="AM827" s="68"/>
      <c r="AN827" s="146"/>
      <c r="AO827" s="67"/>
      <c r="AP827" s="68"/>
      <c r="AQ827" s="146"/>
      <c r="AR827" s="67"/>
      <c r="AS827" s="68"/>
      <c r="AT827" s="146"/>
      <c r="AU827" s="67"/>
      <c r="AV827" s="68"/>
      <c r="AW827" s="146"/>
      <c r="AX827" s="67"/>
      <c r="AY827" s="68"/>
      <c r="AZ827" s="146"/>
      <c r="BA827" s="67"/>
      <c r="BB827" s="68"/>
      <c r="BC827" s="146"/>
      <c r="BD827" s="67"/>
      <c r="BE827" s="68"/>
      <c r="BF827" s="120"/>
      <c r="BG827" s="121"/>
      <c r="BH827" s="124"/>
      <c r="BI827" s="123"/>
      <c r="BJ827" s="121"/>
      <c r="BK827" s="124"/>
      <c r="BN827" s="125">
        <f t="shared" si="178"/>
        <v>0</v>
      </c>
      <c r="BO827" s="126">
        <f t="shared" si="179"/>
        <v>0</v>
      </c>
      <c r="BP827" s="127">
        <f t="shared" si="180"/>
        <v>0</v>
      </c>
    </row>
    <row r="828" spans="1:68" ht="14.25" hidden="1" customHeight="1" outlineLevel="3" x14ac:dyDescent="0.25">
      <c r="A828" s="10" t="b">
        <f>$U806="Водоснабжение"</f>
        <v>1</v>
      </c>
      <c r="C828" s="136" t="s">
        <v>140</v>
      </c>
      <c r="D828" s="136" t="s">
        <v>141</v>
      </c>
      <c r="E828" s="116" t="s">
        <v>148</v>
      </c>
      <c r="F828" s="116" t="s">
        <v>74</v>
      </c>
      <c r="G828" s="116" t="s">
        <v>73</v>
      </c>
      <c r="H828" s="116" t="s">
        <v>73</v>
      </c>
      <c r="I828" s="116" t="s">
        <v>73</v>
      </c>
      <c r="J828" s="116" t="s">
        <v>73</v>
      </c>
      <c r="K828" s="116" t="s">
        <v>73</v>
      </c>
      <c r="L828" s="116"/>
      <c r="M828" s="5" t="str">
        <f t="array" ref="M828">Y806</f>
        <v>1ХВС::1.1</v>
      </c>
      <c r="N828" s="116"/>
      <c r="AB828" s="29" t="str">
        <f>IF($AD$51="ФАС",AB826&amp;".1",AB826&amp;".2")</f>
        <v>2.4.1</v>
      </c>
      <c r="AC828" s="87" t="s">
        <v>148</v>
      </c>
      <c r="AD828" s="619" t="s">
        <v>137</v>
      </c>
      <c r="AE828" s="427">
        <v>11173.951999999999</v>
      </c>
      <c r="AF828" s="67">
        <v>11770.556</v>
      </c>
      <c r="AG828" s="428">
        <v>11276.268</v>
      </c>
      <c r="AH828" s="146">
        <v>3.4319999999999999</v>
      </c>
      <c r="AI828" s="67">
        <v>6.8</v>
      </c>
      <c r="AJ828" s="68">
        <v>5.641</v>
      </c>
      <c r="AK828" s="146">
        <v>116.56100000000001</v>
      </c>
      <c r="AL828" s="67">
        <v>41.42</v>
      </c>
      <c r="AM828" s="68">
        <v>94.236000000000004</v>
      </c>
      <c r="AN828" s="146">
        <v>547.89300000000003</v>
      </c>
      <c r="AO828" s="67">
        <v>214.87</v>
      </c>
      <c r="AP828" s="68">
        <v>520.1</v>
      </c>
      <c r="AQ828" s="146">
        <v>1.91</v>
      </c>
      <c r="AR828" s="67">
        <v>41.82</v>
      </c>
      <c r="AS828" s="68">
        <v>11.66</v>
      </c>
      <c r="AT828" s="146">
        <v>5327.91</v>
      </c>
      <c r="AU828" s="67">
        <v>432.85</v>
      </c>
      <c r="AV828" s="68">
        <v>5211.4679999999998</v>
      </c>
      <c r="AW828" s="146">
        <v>538.58000000000004</v>
      </c>
      <c r="AX828" s="67">
        <v>0</v>
      </c>
      <c r="AY828" s="68">
        <v>508.87099999999998</v>
      </c>
      <c r="AZ828" s="146">
        <v>4547.75</v>
      </c>
      <c r="BA828" s="67">
        <v>399.7</v>
      </c>
      <c r="BB828" s="68">
        <v>3796.7170000000001</v>
      </c>
      <c r="BC828" s="146">
        <v>1693.1479999999999</v>
      </c>
      <c r="BD828" s="67">
        <v>1874.703</v>
      </c>
      <c r="BE828" s="68">
        <v>1692.4069999999999</v>
      </c>
      <c r="BF828" s="120">
        <v>119.05</v>
      </c>
      <c r="BG828" s="121">
        <v>28.16</v>
      </c>
      <c r="BH828" s="124">
        <v>107.324</v>
      </c>
      <c r="BI828" s="123">
        <v>167.9</v>
      </c>
      <c r="BJ828" s="121">
        <v>33.24</v>
      </c>
      <c r="BK828" s="124">
        <v>158.96</v>
      </c>
      <c r="BN828" s="125">
        <f t="shared" si="178"/>
        <v>24238.086000000003</v>
      </c>
      <c r="BO828" s="126">
        <f t="shared" si="179"/>
        <v>14844.119000000001</v>
      </c>
      <c r="BP828" s="127">
        <f t="shared" si="180"/>
        <v>23383.651999999998</v>
      </c>
    </row>
    <row r="829" spans="1:68" ht="14.25" hidden="1" customHeight="1" outlineLevel="3" x14ac:dyDescent="0.25">
      <c r="A829" s="10" t="b">
        <f t="array" ref="A829">A828</f>
        <v>1</v>
      </c>
      <c r="C829" s="136" t="s">
        <v>149</v>
      </c>
      <c r="D829" s="136" t="s">
        <v>150</v>
      </c>
      <c r="E829" s="116" t="s">
        <v>73</v>
      </c>
      <c r="F829" s="116" t="s">
        <v>74</v>
      </c>
      <c r="G829" s="116" t="s">
        <v>73</v>
      </c>
      <c r="H829" s="116" t="s">
        <v>73</v>
      </c>
      <c r="I829" s="116" t="s">
        <v>73</v>
      </c>
      <c r="J829" s="116" t="s">
        <v>73</v>
      </c>
      <c r="K829" s="116" t="s">
        <v>73</v>
      </c>
      <c r="L829" s="116"/>
      <c r="M829" s="5" t="str">
        <f t="array" ref="M829">Y806</f>
        <v>1ХВС::1.1</v>
      </c>
      <c r="N829" s="116"/>
      <c r="AB829" s="29" t="str">
        <f>AB828&amp;".1"</f>
        <v>2.4.1.1</v>
      </c>
      <c r="AC829" s="137" t="s">
        <v>151</v>
      </c>
      <c r="AD829" s="619" t="s">
        <v>119</v>
      </c>
      <c r="AE829" s="175">
        <f t="shared" ref="AE829:AP829" si="184">(AE828*100)/AE826</f>
        <v>22.404890390610714</v>
      </c>
      <c r="AF829" s="73">
        <f t="shared" si="184"/>
        <v>22.749999424995316</v>
      </c>
      <c r="AG829" s="176">
        <f t="shared" si="184"/>
        <v>22.341359217099395</v>
      </c>
      <c r="AH829" s="179">
        <f t="shared" si="184"/>
        <v>7.2860054347826084</v>
      </c>
      <c r="AI829" s="73">
        <f t="shared" si="184"/>
        <v>4.432277408421327</v>
      </c>
      <c r="AJ829" s="74">
        <f t="shared" si="184"/>
        <v>10.428336383635592</v>
      </c>
      <c r="AK829" s="179">
        <f t="shared" si="184"/>
        <v>10.787361422557202</v>
      </c>
      <c r="AL829" s="73">
        <f t="shared" si="184"/>
        <v>3.1901783788779694</v>
      </c>
      <c r="AM829" s="74">
        <f t="shared" si="184"/>
        <v>7.3878718983967691</v>
      </c>
      <c r="AN829" s="179">
        <f t="shared" si="184"/>
        <v>20.894226346968335</v>
      </c>
      <c r="AO829" s="73">
        <f t="shared" si="184"/>
        <v>9.6346051233302994</v>
      </c>
      <c r="AP829" s="74">
        <f t="shared" si="184"/>
        <v>20.720455124936258</v>
      </c>
      <c r="AQ829" s="179">
        <v>0.48</v>
      </c>
      <c r="AR829" s="73">
        <v>8.48</v>
      </c>
      <c r="AS829" s="74">
        <v>2.8</v>
      </c>
      <c r="AT829" s="179">
        <f t="shared" ref="AT829:BK829" si="185">(AT828*100)/AT826</f>
        <v>68.896575803031084</v>
      </c>
      <c r="AU829" s="73">
        <f t="shared" si="185"/>
        <v>12.359974072180991</v>
      </c>
      <c r="AV829" s="74">
        <f t="shared" si="185"/>
        <v>69.723597719596896</v>
      </c>
      <c r="AW829" s="179">
        <f t="shared" si="185"/>
        <v>43.830109294509242</v>
      </c>
      <c r="AX829" s="73">
        <f t="shared" si="185"/>
        <v>0</v>
      </c>
      <c r="AY829" s="74">
        <f t="shared" si="185"/>
        <v>42.140257460260933</v>
      </c>
      <c r="AZ829" s="179">
        <f t="shared" si="185"/>
        <v>60.079918081786367</v>
      </c>
      <c r="BA829" s="73">
        <f t="shared" si="185"/>
        <v>11.319963862211941</v>
      </c>
      <c r="BB829" s="74">
        <f t="shared" si="185"/>
        <v>55.154400979575662</v>
      </c>
      <c r="BC829" s="179">
        <f t="shared" si="185"/>
        <v>37.185254227833219</v>
      </c>
      <c r="BD829" s="73">
        <f t="shared" si="185"/>
        <v>41.689610704118984</v>
      </c>
      <c r="BE829" s="74">
        <f t="shared" si="185"/>
        <v>36.839997222427201</v>
      </c>
      <c r="BF829" s="139">
        <f t="shared" si="185"/>
        <v>44.659939227970142</v>
      </c>
      <c r="BG829" s="140">
        <f t="shared" si="185"/>
        <v>13.770171149144252</v>
      </c>
      <c r="BH829" s="143">
        <f t="shared" si="185"/>
        <v>41.854116619349199</v>
      </c>
      <c r="BI829" s="142">
        <f t="shared" si="185"/>
        <v>36.770180894397967</v>
      </c>
      <c r="BJ829" s="140">
        <f t="shared" si="185"/>
        <v>8.31</v>
      </c>
      <c r="BK829" s="143">
        <f t="shared" si="185"/>
        <v>35.324444444444445</v>
      </c>
      <c r="BN829" s="125">
        <f t="shared" si="178"/>
        <v>353.27446112444687</v>
      </c>
      <c r="BO829" s="126">
        <f t="shared" si="179"/>
        <v>135.93678012328107</v>
      </c>
      <c r="BP829" s="127">
        <f t="shared" si="180"/>
        <v>344.71483706972236</v>
      </c>
    </row>
    <row r="830" spans="1:68" s="115" customFormat="1" ht="28.5" hidden="1" customHeight="1" outlineLevel="3" x14ac:dyDescent="0.25">
      <c r="A830" s="99" t="b">
        <f t="array" ref="A830">A829</f>
        <v>1</v>
      </c>
      <c r="B830" s="100"/>
      <c r="C830" s="128" t="s">
        <v>140</v>
      </c>
      <c r="D830" s="128" t="s">
        <v>141</v>
      </c>
      <c r="E830" s="129" t="s">
        <v>152</v>
      </c>
      <c r="F830" s="129" t="s">
        <v>74</v>
      </c>
      <c r="G830" s="129" t="s">
        <v>73</v>
      </c>
      <c r="H830" s="129" t="s">
        <v>73</v>
      </c>
      <c r="I830" s="129" t="s">
        <v>73</v>
      </c>
      <c r="J830" s="129" t="s">
        <v>73</v>
      </c>
      <c r="K830" s="129" t="s">
        <v>73</v>
      </c>
      <c r="L830" s="129"/>
      <c r="M830" s="100" t="str">
        <f t="array" ref="M830">Y806</f>
        <v>1ХВС::1.1</v>
      </c>
      <c r="N830" s="129"/>
      <c r="O830" s="100"/>
      <c r="P830" s="100"/>
      <c r="Q830" s="100"/>
      <c r="R830" s="100"/>
      <c r="S830" s="100"/>
      <c r="T830" s="100"/>
      <c r="U830" s="100"/>
      <c r="V830" s="100"/>
      <c r="W830" s="100"/>
      <c r="X830" s="100"/>
      <c r="Y830" s="99">
        <f>COUNT($Y823:Y829)+1</f>
        <v>5</v>
      </c>
      <c r="Z830" s="100"/>
      <c r="AA830" s="100"/>
      <c r="AB830" s="103" t="str">
        <f>AB820&amp;"."&amp;Y830</f>
        <v>2.5</v>
      </c>
      <c r="AC830" s="130" t="s">
        <v>153</v>
      </c>
      <c r="AD830" s="616" t="s">
        <v>137</v>
      </c>
      <c r="AE830" s="617">
        <f>AE831+AE832</f>
        <v>38698.873999999996</v>
      </c>
      <c r="AF830" s="107">
        <f>AF831+AF832</f>
        <v>39968.152999999998</v>
      </c>
      <c r="AG830" s="618">
        <f>AG831+AG832</f>
        <v>39196.345999999998</v>
      </c>
      <c r="AH830" s="110">
        <v>43.671999999999997</v>
      </c>
      <c r="AI830" s="107">
        <v>146.62</v>
      </c>
      <c r="AJ830" s="108">
        <f t="shared" ref="AJ830:BK830" si="186">AJ831+AJ832</f>
        <v>48.451999999999998</v>
      </c>
      <c r="AK830" s="110">
        <f t="shared" si="186"/>
        <v>963.97199999999998</v>
      </c>
      <c r="AL830" s="107">
        <f t="shared" si="186"/>
        <v>1256.9399999999998</v>
      </c>
      <c r="AM830" s="108">
        <f t="shared" si="186"/>
        <v>1181.3140000000001</v>
      </c>
      <c r="AN830" s="110">
        <f t="shared" si="186"/>
        <v>2074.3290000000002</v>
      </c>
      <c r="AO830" s="107">
        <f t="shared" si="186"/>
        <v>2015.32</v>
      </c>
      <c r="AP830" s="108">
        <f t="shared" si="186"/>
        <v>1989.98</v>
      </c>
      <c r="AQ830" s="110">
        <f t="shared" si="186"/>
        <v>397.2</v>
      </c>
      <c r="AR830" s="107">
        <f t="shared" si="186"/>
        <v>451.38</v>
      </c>
      <c r="AS830" s="108">
        <f t="shared" si="186"/>
        <v>404.13</v>
      </c>
      <c r="AT830" s="110">
        <f t="shared" si="186"/>
        <v>2405.29</v>
      </c>
      <c r="AU830" s="107">
        <f t="shared" si="186"/>
        <v>3069.1800000000003</v>
      </c>
      <c r="AV830" s="108">
        <f t="shared" si="186"/>
        <v>2263</v>
      </c>
      <c r="AW830" s="110">
        <f t="shared" si="186"/>
        <v>690.21</v>
      </c>
      <c r="AX830" s="107">
        <f t="shared" si="186"/>
        <v>711.46</v>
      </c>
      <c r="AY830" s="108">
        <f t="shared" si="186"/>
        <v>698.69400000000007</v>
      </c>
      <c r="AZ830" s="110">
        <f t="shared" si="186"/>
        <v>3021.7509999999997</v>
      </c>
      <c r="BA830" s="107">
        <f t="shared" si="186"/>
        <v>3131.2299999999996</v>
      </c>
      <c r="BB830" s="108">
        <f t="shared" si="186"/>
        <v>3087.08</v>
      </c>
      <c r="BC830" s="110">
        <f t="shared" si="186"/>
        <v>2860.13</v>
      </c>
      <c r="BD830" s="107">
        <f t="shared" si="186"/>
        <v>2622.1080000000002</v>
      </c>
      <c r="BE830" s="108">
        <f t="shared" si="186"/>
        <v>2901.5319999999997</v>
      </c>
      <c r="BF830" s="131">
        <f t="shared" si="186"/>
        <v>147.51999999999998</v>
      </c>
      <c r="BG830" s="132">
        <f t="shared" si="186"/>
        <v>176.34000000000003</v>
      </c>
      <c r="BH830" s="135">
        <f t="shared" si="186"/>
        <v>149.10000000000002</v>
      </c>
      <c r="BI830" s="134">
        <f t="shared" si="186"/>
        <v>288.71999999999997</v>
      </c>
      <c r="BJ830" s="132">
        <f t="shared" si="186"/>
        <v>366.76</v>
      </c>
      <c r="BK830" s="135">
        <f t="shared" si="186"/>
        <v>291.03999999999996</v>
      </c>
      <c r="BL830" s="111"/>
      <c r="BM830" s="100"/>
      <c r="BN830" s="112">
        <f t="shared" si="178"/>
        <v>51591.667999999983</v>
      </c>
      <c r="BO830" s="113">
        <f t="shared" si="179"/>
        <v>53915.490999999995</v>
      </c>
      <c r="BP830" s="114">
        <f t="shared" si="180"/>
        <v>52210.667999999998</v>
      </c>
    </row>
    <row r="831" spans="1:68" ht="14.25" hidden="1" customHeight="1" outlineLevel="3" x14ac:dyDescent="0.25">
      <c r="A831" s="10" t="b">
        <f t="array" ref="A831">A830</f>
        <v>1</v>
      </c>
      <c r="C831" s="136" t="s">
        <v>140</v>
      </c>
      <c r="D831" s="136" t="s">
        <v>141</v>
      </c>
      <c r="E831" s="116" t="s">
        <v>154</v>
      </c>
      <c r="F831" s="116" t="s">
        <v>74</v>
      </c>
      <c r="G831" s="116" t="s">
        <v>73</v>
      </c>
      <c r="H831" s="116" t="s">
        <v>73</v>
      </c>
      <c r="I831" s="116" t="s">
        <v>73</v>
      </c>
      <c r="J831" s="116" t="s">
        <v>73</v>
      </c>
      <c r="K831" s="116" t="s">
        <v>73</v>
      </c>
      <c r="L831" s="116"/>
      <c r="M831" s="5" t="str">
        <f t="array" ref="M831">Y806</f>
        <v>1ХВС::1.1</v>
      </c>
      <c r="N831" s="116"/>
      <c r="AB831" s="29" t="str">
        <f>AB830&amp;".1"</f>
        <v>2.5.1</v>
      </c>
      <c r="AC831" s="87" t="s">
        <v>155</v>
      </c>
      <c r="AD831" s="619" t="s">
        <v>137</v>
      </c>
      <c r="AE831" s="427">
        <v>31.957999999999998</v>
      </c>
      <c r="AF831" s="67">
        <v>0</v>
      </c>
      <c r="AG831" s="428">
        <v>31.347999999999999</v>
      </c>
      <c r="AH831" s="146"/>
      <c r="AI831" s="67"/>
      <c r="AJ831" s="68"/>
      <c r="AK831" s="146">
        <v>0</v>
      </c>
      <c r="AL831" s="67">
        <v>0</v>
      </c>
      <c r="AM831" s="68">
        <v>0</v>
      </c>
      <c r="AN831" s="146">
        <v>0</v>
      </c>
      <c r="AO831" s="67">
        <v>0</v>
      </c>
      <c r="AP831" s="68">
        <v>0</v>
      </c>
      <c r="AQ831" s="146">
        <v>0</v>
      </c>
      <c r="AR831" s="67">
        <v>0</v>
      </c>
      <c r="AS831" s="68">
        <v>0</v>
      </c>
      <c r="AT831" s="146">
        <v>0</v>
      </c>
      <c r="AU831" s="67">
        <v>0</v>
      </c>
      <c r="AV831" s="68">
        <v>0</v>
      </c>
      <c r="AW831" s="146">
        <v>0</v>
      </c>
      <c r="AX831" s="67">
        <v>0</v>
      </c>
      <c r="AY831" s="68">
        <v>0.47399999999999998</v>
      </c>
      <c r="AZ831" s="146">
        <v>0</v>
      </c>
      <c r="BA831" s="67">
        <v>0</v>
      </c>
      <c r="BB831" s="68">
        <v>0</v>
      </c>
      <c r="BC831" s="146">
        <v>0</v>
      </c>
      <c r="BD831" s="67">
        <v>0</v>
      </c>
      <c r="BE831" s="68">
        <v>0</v>
      </c>
      <c r="BF831" s="120"/>
      <c r="BG831" s="121"/>
      <c r="BH831" s="124">
        <v>0.05</v>
      </c>
      <c r="BI831" s="123"/>
      <c r="BJ831" s="121"/>
      <c r="BK831" s="124"/>
      <c r="BN831" s="125">
        <f t="shared" si="178"/>
        <v>31.957999999999998</v>
      </c>
      <c r="BO831" s="126">
        <f t="shared" si="179"/>
        <v>0</v>
      </c>
      <c r="BP831" s="127">
        <f t="shared" si="180"/>
        <v>31.872</v>
      </c>
    </row>
    <row r="832" spans="1:68" ht="14.25" hidden="1" customHeight="1" outlineLevel="3" x14ac:dyDescent="0.25">
      <c r="A832" s="10" t="b">
        <f t="array" ref="A832">A831</f>
        <v>1</v>
      </c>
      <c r="C832" s="136" t="s">
        <v>140</v>
      </c>
      <c r="D832" s="136" t="s">
        <v>141</v>
      </c>
      <c r="E832" s="116" t="s">
        <v>156</v>
      </c>
      <c r="F832" s="116" t="s">
        <v>74</v>
      </c>
      <c r="G832" s="116" t="s">
        <v>73</v>
      </c>
      <c r="H832" s="116" t="s">
        <v>73</v>
      </c>
      <c r="I832" s="116" t="s">
        <v>73</v>
      </c>
      <c r="J832" s="116" t="s">
        <v>73</v>
      </c>
      <c r="K832" s="116" t="s">
        <v>73</v>
      </c>
      <c r="L832" s="116"/>
      <c r="M832" s="5" t="str">
        <f t="array" ref="M832">Y806</f>
        <v>1ХВС::1.1</v>
      </c>
      <c r="N832" s="116"/>
      <c r="AB832" s="29" t="str">
        <f>AB830&amp;".2"</f>
        <v>2.5.2</v>
      </c>
      <c r="AC832" s="87" t="s">
        <v>157</v>
      </c>
      <c r="AD832" s="619" t="s">
        <v>137</v>
      </c>
      <c r="AE832" s="427">
        <f>SUM(AE833:AE836)</f>
        <v>38666.915999999997</v>
      </c>
      <c r="AF832" s="67">
        <f>SUM(AF833:AF836)</f>
        <v>39968.152999999998</v>
      </c>
      <c r="AG832" s="428">
        <f>SUM(AG833:AG836)</f>
        <v>39164.998</v>
      </c>
      <c r="AH832" s="146">
        <v>43.671999999999997</v>
      </c>
      <c r="AI832" s="67">
        <f t="shared" ref="AI832:BK832" si="187">SUM(AI833:AI836)</f>
        <v>146.62</v>
      </c>
      <c r="AJ832" s="68">
        <f t="shared" si="187"/>
        <v>48.451999999999998</v>
      </c>
      <c r="AK832" s="146">
        <f t="shared" si="187"/>
        <v>963.97199999999998</v>
      </c>
      <c r="AL832" s="67">
        <f t="shared" si="187"/>
        <v>1256.9399999999998</v>
      </c>
      <c r="AM832" s="68">
        <f t="shared" si="187"/>
        <v>1181.3140000000001</v>
      </c>
      <c r="AN832" s="146">
        <f t="shared" si="187"/>
        <v>2074.3290000000002</v>
      </c>
      <c r="AO832" s="67">
        <f t="shared" si="187"/>
        <v>2015.32</v>
      </c>
      <c r="AP832" s="68">
        <f t="shared" si="187"/>
        <v>1989.98</v>
      </c>
      <c r="AQ832" s="146">
        <f t="shared" si="187"/>
        <v>397.2</v>
      </c>
      <c r="AR832" s="67">
        <f t="shared" si="187"/>
        <v>451.38</v>
      </c>
      <c r="AS832" s="68">
        <f t="shared" si="187"/>
        <v>404.13</v>
      </c>
      <c r="AT832" s="146">
        <f t="shared" si="187"/>
        <v>2405.29</v>
      </c>
      <c r="AU832" s="67">
        <f t="shared" si="187"/>
        <v>3069.1800000000003</v>
      </c>
      <c r="AV832" s="68">
        <f t="shared" si="187"/>
        <v>2263</v>
      </c>
      <c r="AW832" s="146">
        <f t="shared" si="187"/>
        <v>690.21</v>
      </c>
      <c r="AX832" s="67">
        <f t="shared" si="187"/>
        <v>711.46</v>
      </c>
      <c r="AY832" s="68">
        <f t="shared" si="187"/>
        <v>698.22</v>
      </c>
      <c r="AZ832" s="146">
        <f t="shared" si="187"/>
        <v>3021.7509999999997</v>
      </c>
      <c r="BA832" s="67">
        <f t="shared" si="187"/>
        <v>3131.2299999999996</v>
      </c>
      <c r="BB832" s="68">
        <f t="shared" si="187"/>
        <v>3087.08</v>
      </c>
      <c r="BC832" s="146">
        <f t="shared" si="187"/>
        <v>2860.13</v>
      </c>
      <c r="BD832" s="67">
        <f t="shared" si="187"/>
        <v>2622.1080000000002</v>
      </c>
      <c r="BE832" s="68">
        <f t="shared" si="187"/>
        <v>2901.5319999999997</v>
      </c>
      <c r="BF832" s="120">
        <f t="shared" si="187"/>
        <v>147.51999999999998</v>
      </c>
      <c r="BG832" s="121">
        <f t="shared" si="187"/>
        <v>176.34000000000003</v>
      </c>
      <c r="BH832" s="124">
        <f t="shared" si="187"/>
        <v>149.05000000000001</v>
      </c>
      <c r="BI832" s="123">
        <f t="shared" si="187"/>
        <v>288.71999999999997</v>
      </c>
      <c r="BJ832" s="121">
        <f t="shared" si="187"/>
        <v>366.76</v>
      </c>
      <c r="BK832" s="124">
        <f t="shared" si="187"/>
        <v>291.03999999999996</v>
      </c>
      <c r="BN832" s="125">
        <f t="shared" si="178"/>
        <v>51559.709999999985</v>
      </c>
      <c r="BO832" s="126">
        <f t="shared" si="179"/>
        <v>53915.490999999995</v>
      </c>
      <c r="BP832" s="127">
        <f t="shared" si="180"/>
        <v>52178.796000000002</v>
      </c>
    </row>
    <row r="833" spans="1:68" ht="14.25" hidden="1" customHeight="1" outlineLevel="3" x14ac:dyDescent="0.25">
      <c r="A833" s="10" t="b">
        <f t="array" ref="A833">A832</f>
        <v>1</v>
      </c>
      <c r="C833" s="136" t="s">
        <v>140</v>
      </c>
      <c r="D833" s="136" t="s">
        <v>141</v>
      </c>
      <c r="E833" s="116" t="s">
        <v>158</v>
      </c>
      <c r="F833" s="116" t="s">
        <v>74</v>
      </c>
      <c r="G833" s="116" t="s">
        <v>73</v>
      </c>
      <c r="H833" s="116" t="s">
        <v>73</v>
      </c>
      <c r="I833" s="116" t="s">
        <v>73</v>
      </c>
      <c r="J833" s="116" t="s">
        <v>73</v>
      </c>
      <c r="K833" s="116" t="s">
        <v>73</v>
      </c>
      <c r="L833" s="116"/>
      <c r="M833" s="5" t="str">
        <f t="array" ref="M833">Y806</f>
        <v>1ХВС::1.1</v>
      </c>
      <c r="N833" s="116"/>
      <c r="AB833" s="29" t="str">
        <f>AB832&amp;".1"</f>
        <v>2.5.2.1</v>
      </c>
      <c r="AC833" s="92" t="s">
        <v>159</v>
      </c>
      <c r="AD833" s="619" t="s">
        <v>137</v>
      </c>
      <c r="AE833" s="427">
        <v>29418.454000000002</v>
      </c>
      <c r="AF833" s="67">
        <v>29071.255000000001</v>
      </c>
      <c r="AG833" s="428">
        <v>30012.547999999999</v>
      </c>
      <c r="AH833" s="146"/>
      <c r="AI833" s="67"/>
      <c r="AJ833" s="68"/>
      <c r="AK833" s="146">
        <v>642.47500000000002</v>
      </c>
      <c r="AL833" s="67">
        <v>1024.56</v>
      </c>
      <c r="AM833" s="68">
        <v>783</v>
      </c>
      <c r="AN833" s="146">
        <v>1061.6880000000001</v>
      </c>
      <c r="AO833" s="67">
        <v>1206.78</v>
      </c>
      <c r="AP833" s="68">
        <v>1100.77</v>
      </c>
      <c r="AQ833" s="146">
        <v>260.20999999999998</v>
      </c>
      <c r="AR833" s="67">
        <v>256.95</v>
      </c>
      <c r="AS833" s="68">
        <v>260.20999999999998</v>
      </c>
      <c r="AT833" s="146">
        <v>2000.14</v>
      </c>
      <c r="AU833" s="67">
        <v>2135.73</v>
      </c>
      <c r="AV833" s="68">
        <v>1887.1</v>
      </c>
      <c r="AW833" s="146">
        <v>525.98</v>
      </c>
      <c r="AX833" s="67">
        <v>624.97</v>
      </c>
      <c r="AY833" s="68">
        <v>525.76</v>
      </c>
      <c r="AZ833" s="146">
        <v>2752.8249999999998</v>
      </c>
      <c r="BA833" s="67">
        <v>3010.18</v>
      </c>
      <c r="BB833" s="68">
        <v>2773.68</v>
      </c>
      <c r="BC833" s="146">
        <v>1752.47</v>
      </c>
      <c r="BD833" s="67">
        <v>1954.56</v>
      </c>
      <c r="BE833" s="68">
        <v>1772.84</v>
      </c>
      <c r="BF833" s="120">
        <v>127.96</v>
      </c>
      <c r="BG833" s="121">
        <v>166.58</v>
      </c>
      <c r="BH833" s="620">
        <v>129.09</v>
      </c>
      <c r="BI833" s="123">
        <v>270.12</v>
      </c>
      <c r="BJ833" s="121">
        <v>345.56</v>
      </c>
      <c r="BK833" s="124">
        <v>268.33</v>
      </c>
      <c r="BN833" s="125">
        <f t="shared" si="178"/>
        <v>38812.322</v>
      </c>
      <c r="BO833" s="126">
        <f t="shared" si="179"/>
        <v>39797.125</v>
      </c>
      <c r="BP833" s="127">
        <f t="shared" si="180"/>
        <v>39513.327999999994</v>
      </c>
    </row>
    <row r="834" spans="1:68" ht="14.25" hidden="1" customHeight="1" outlineLevel="3" x14ac:dyDescent="0.25">
      <c r="A834" s="10" t="b">
        <f t="array" ref="A834">A833</f>
        <v>1</v>
      </c>
      <c r="C834" s="136" t="s">
        <v>140</v>
      </c>
      <c r="D834" s="136" t="s">
        <v>141</v>
      </c>
      <c r="E834" s="116" t="s">
        <v>160</v>
      </c>
      <c r="F834" s="116" t="s">
        <v>74</v>
      </c>
      <c r="G834" s="116" t="s">
        <v>73</v>
      </c>
      <c r="H834" s="116" t="s">
        <v>73</v>
      </c>
      <c r="I834" s="116" t="s">
        <v>73</v>
      </c>
      <c r="J834" s="116" t="s">
        <v>73</v>
      </c>
      <c r="K834" s="116" t="s">
        <v>73</v>
      </c>
      <c r="L834" s="116"/>
      <c r="M834" s="5" t="str">
        <f t="array" ref="M834">Y806</f>
        <v>1ХВС::1.1</v>
      </c>
      <c r="N834" s="116"/>
      <c r="AB834" s="29" t="str">
        <f>AB832&amp;".2"</f>
        <v>2.5.2.2</v>
      </c>
      <c r="AC834" s="92" t="s">
        <v>161</v>
      </c>
      <c r="AD834" s="619" t="s">
        <v>137</v>
      </c>
      <c r="AE834" s="427">
        <v>1799.6</v>
      </c>
      <c r="AF834" s="67">
        <v>1378.732</v>
      </c>
      <c r="AG834" s="428">
        <v>1917.635</v>
      </c>
      <c r="AH834" s="146"/>
      <c r="AI834" s="67"/>
      <c r="AJ834" s="68"/>
      <c r="AK834" s="146">
        <v>53.606999999999999</v>
      </c>
      <c r="AL834" s="67">
        <v>52.53</v>
      </c>
      <c r="AM834" s="68">
        <v>65</v>
      </c>
      <c r="AN834" s="146">
        <v>414.02600000000001</v>
      </c>
      <c r="AO834" s="67">
        <v>414.72</v>
      </c>
      <c r="AP834" s="68">
        <v>385.61</v>
      </c>
      <c r="AQ834" s="146">
        <v>14.37</v>
      </c>
      <c r="AR834" s="67">
        <v>14.23</v>
      </c>
      <c r="AS834" s="68">
        <v>14.37</v>
      </c>
      <c r="AT834" s="146">
        <v>89.91</v>
      </c>
      <c r="AU834" s="67">
        <v>135.41999999999999</v>
      </c>
      <c r="AV834" s="68">
        <v>111.4</v>
      </c>
      <c r="AW834" s="146">
        <v>39.5</v>
      </c>
      <c r="AX834" s="67">
        <v>56.8</v>
      </c>
      <c r="AY834" s="68">
        <v>44.7</v>
      </c>
      <c r="AZ834" s="146">
        <v>78.47</v>
      </c>
      <c r="BA834" s="67">
        <v>44.7</v>
      </c>
      <c r="BB834" s="68">
        <v>88.61</v>
      </c>
      <c r="BC834" s="146">
        <v>220.98</v>
      </c>
      <c r="BD834" s="67">
        <v>205.87799999999999</v>
      </c>
      <c r="BE834" s="68">
        <v>223.56</v>
      </c>
      <c r="BF834" s="120">
        <v>14.21</v>
      </c>
      <c r="BG834" s="145">
        <v>4.96</v>
      </c>
      <c r="BH834" s="620">
        <v>14.35</v>
      </c>
      <c r="BI834" s="123">
        <v>3.9</v>
      </c>
      <c r="BJ834" s="121">
        <v>11.39</v>
      </c>
      <c r="BK834" s="124">
        <v>7.65</v>
      </c>
      <c r="BN834" s="125">
        <f t="shared" si="178"/>
        <v>2728.5729999999994</v>
      </c>
      <c r="BO834" s="126">
        <f t="shared" si="179"/>
        <v>2319.36</v>
      </c>
      <c r="BP834" s="127">
        <f t="shared" si="180"/>
        <v>2872.8849999999998</v>
      </c>
    </row>
    <row r="835" spans="1:68" ht="14.25" hidden="1" customHeight="1" outlineLevel="3" x14ac:dyDescent="0.25">
      <c r="A835" s="10" t="b">
        <f t="array" ref="A835">A834</f>
        <v>1</v>
      </c>
      <c r="C835" s="136" t="s">
        <v>140</v>
      </c>
      <c r="D835" s="136" t="s">
        <v>141</v>
      </c>
      <c r="E835" s="116" t="s">
        <v>162</v>
      </c>
      <c r="F835" s="116" t="s">
        <v>74</v>
      </c>
      <c r="G835" s="116" t="s">
        <v>73</v>
      </c>
      <c r="H835" s="116" t="s">
        <v>73</v>
      </c>
      <c r="I835" s="116" t="s">
        <v>73</v>
      </c>
      <c r="J835" s="116" t="s">
        <v>73</v>
      </c>
      <c r="K835" s="116" t="s">
        <v>73</v>
      </c>
      <c r="L835" s="116"/>
      <c r="M835" s="5" t="str">
        <f t="array" ref="M835">Y806</f>
        <v>1ХВС::1.1</v>
      </c>
      <c r="N835" s="116"/>
      <c r="AB835" s="29" t="str">
        <f>AB832&amp;".3"</f>
        <v>2.5.2.3</v>
      </c>
      <c r="AC835" s="92" t="s">
        <v>163</v>
      </c>
      <c r="AD835" s="619" t="s">
        <v>137</v>
      </c>
      <c r="AE835" s="427">
        <v>7126.5889999999999</v>
      </c>
      <c r="AF835" s="67">
        <v>9069.4779999999992</v>
      </c>
      <c r="AG835" s="428">
        <v>6929.6909999999998</v>
      </c>
      <c r="AH835" s="146">
        <v>43.671999999999997</v>
      </c>
      <c r="AI835" s="67">
        <v>146.62</v>
      </c>
      <c r="AJ835" s="68">
        <v>48.451999999999998</v>
      </c>
      <c r="AK835" s="146">
        <v>267.89</v>
      </c>
      <c r="AL835" s="67">
        <v>179.85</v>
      </c>
      <c r="AM835" s="68">
        <v>333.31400000000002</v>
      </c>
      <c r="AN835" s="146">
        <v>598.61500000000001</v>
      </c>
      <c r="AO835" s="67">
        <v>393.82</v>
      </c>
      <c r="AP835" s="68">
        <v>503.6</v>
      </c>
      <c r="AQ835" s="146">
        <v>122.62</v>
      </c>
      <c r="AR835" s="67">
        <v>180.2</v>
      </c>
      <c r="AS835" s="68">
        <v>129.55000000000001</v>
      </c>
      <c r="AT835" s="146">
        <v>315.24</v>
      </c>
      <c r="AU835" s="67">
        <v>798.03</v>
      </c>
      <c r="AV835" s="68">
        <v>264.5</v>
      </c>
      <c r="AW835" s="146">
        <v>124.73</v>
      </c>
      <c r="AX835" s="67">
        <v>29.69</v>
      </c>
      <c r="AY835" s="68">
        <v>127.76</v>
      </c>
      <c r="AZ835" s="146">
        <v>190.45599999999999</v>
      </c>
      <c r="BA835" s="67">
        <v>76.349999999999994</v>
      </c>
      <c r="BB835" s="68">
        <v>224.79</v>
      </c>
      <c r="BC835" s="146">
        <v>886.68</v>
      </c>
      <c r="BD835" s="67">
        <v>461.67</v>
      </c>
      <c r="BE835" s="68">
        <v>905.13199999999995</v>
      </c>
      <c r="BF835" s="120">
        <v>5.35</v>
      </c>
      <c r="BG835" s="145">
        <v>4.8</v>
      </c>
      <c r="BH835" s="620">
        <v>5.61</v>
      </c>
      <c r="BI835" s="123">
        <v>14.7</v>
      </c>
      <c r="BJ835" s="121">
        <v>9.81</v>
      </c>
      <c r="BK835" s="124">
        <v>15.06</v>
      </c>
      <c r="BN835" s="125">
        <f t="shared" si="178"/>
        <v>9696.5420000000013</v>
      </c>
      <c r="BO835" s="126">
        <f t="shared" si="179"/>
        <v>11350.318000000001</v>
      </c>
      <c r="BP835" s="127">
        <f t="shared" si="180"/>
        <v>9487.4590000000007</v>
      </c>
    </row>
    <row r="836" spans="1:68" ht="14.25" hidden="1" customHeight="1" outlineLevel="3" x14ac:dyDescent="0.25">
      <c r="A836" s="10" t="b">
        <f t="array" ref="A836">A835</f>
        <v>1</v>
      </c>
      <c r="C836" s="136" t="s">
        <v>140</v>
      </c>
      <c r="D836" s="136" t="s">
        <v>141</v>
      </c>
      <c r="E836" s="116" t="s">
        <v>164</v>
      </c>
      <c r="F836" s="116" t="s">
        <v>74</v>
      </c>
      <c r="G836" s="116" t="s">
        <v>73</v>
      </c>
      <c r="H836" s="116" t="s">
        <v>73</v>
      </c>
      <c r="I836" s="116" t="s">
        <v>73</v>
      </c>
      <c r="J836" s="116" t="s">
        <v>73</v>
      </c>
      <c r="K836" s="116" t="s">
        <v>73</v>
      </c>
      <c r="L836" s="116"/>
      <c r="M836" s="5" t="str">
        <f t="array" ref="M836">Y806</f>
        <v>1ХВС::1.1</v>
      </c>
      <c r="N836" s="116"/>
      <c r="AB836" s="29" t="str">
        <f>AB832&amp;".4"</f>
        <v>2.5.2.4</v>
      </c>
      <c r="AC836" s="92" t="s">
        <v>165</v>
      </c>
      <c r="AD836" s="619" t="s">
        <v>137</v>
      </c>
      <c r="AE836" s="427">
        <v>322.27300000000002</v>
      </c>
      <c r="AF836" s="67">
        <v>448.68799999999999</v>
      </c>
      <c r="AG836" s="428">
        <v>305.12400000000002</v>
      </c>
      <c r="AH836" s="146"/>
      <c r="AI836" s="67"/>
      <c r="AJ836" s="68"/>
      <c r="AK836" s="146">
        <v>0</v>
      </c>
      <c r="AL836" s="67">
        <v>0</v>
      </c>
      <c r="AM836" s="68">
        <v>0</v>
      </c>
      <c r="AN836" s="146">
        <v>0</v>
      </c>
      <c r="AO836" s="67">
        <v>0</v>
      </c>
      <c r="AP836" s="68">
        <v>0</v>
      </c>
      <c r="AQ836" s="146">
        <v>0</v>
      </c>
      <c r="AR836" s="67">
        <v>0</v>
      </c>
      <c r="AS836" s="68">
        <v>0</v>
      </c>
      <c r="AT836" s="146"/>
      <c r="AU836" s="67"/>
      <c r="AV836" s="68"/>
      <c r="AW836" s="146">
        <v>0</v>
      </c>
      <c r="AX836" s="67">
        <v>0</v>
      </c>
      <c r="AY836" s="68"/>
      <c r="AZ836" s="146"/>
      <c r="BA836" s="67"/>
      <c r="BB836" s="68"/>
      <c r="BC836" s="146">
        <v>0</v>
      </c>
      <c r="BD836" s="67">
        <v>0</v>
      </c>
      <c r="BE836" s="68">
        <v>0</v>
      </c>
      <c r="BF836" s="146"/>
      <c r="BG836" s="67"/>
      <c r="BH836" s="68"/>
      <c r="BI836" s="66"/>
      <c r="BJ836" s="67"/>
      <c r="BK836" s="68"/>
      <c r="BN836" s="125">
        <f t="shared" si="178"/>
        <v>322.27300000000002</v>
      </c>
      <c r="BO836" s="126">
        <f t="shared" si="179"/>
        <v>448.68799999999999</v>
      </c>
      <c r="BP836" s="127">
        <f t="shared" si="180"/>
        <v>305.12400000000002</v>
      </c>
    </row>
    <row r="837" spans="1:68" ht="14.25" hidden="1" customHeight="1" collapsed="1" x14ac:dyDescent="0.25">
      <c r="A837" s="10" t="b">
        <f>$U806="Водоотведение"</f>
        <v>0</v>
      </c>
      <c r="C837" s="5" t="s">
        <v>166</v>
      </c>
      <c r="D837" s="5" t="s">
        <v>167</v>
      </c>
      <c r="E837" s="8" t="s">
        <v>73</v>
      </c>
      <c r="F837" s="116" t="s">
        <v>74</v>
      </c>
      <c r="G837" s="116" t="s">
        <v>73</v>
      </c>
      <c r="H837" s="116" t="s">
        <v>73</v>
      </c>
      <c r="I837" s="116" t="s">
        <v>73</v>
      </c>
      <c r="J837" s="116" t="s">
        <v>73</v>
      </c>
      <c r="K837" s="116" t="s">
        <v>73</v>
      </c>
      <c r="L837" s="116"/>
      <c r="M837" s="5" t="str">
        <f t="array" ref="M837">Y806</f>
        <v>1ХВС::1.1</v>
      </c>
      <c r="Z837" s="6"/>
      <c r="AA837" s="6"/>
      <c r="AB837" s="65"/>
      <c r="AC837" s="62"/>
      <c r="AD837" s="370"/>
      <c r="AE837" s="621"/>
      <c r="AF837" s="148"/>
      <c r="AG837" s="622"/>
      <c r="AH837" s="151"/>
      <c r="AI837" s="148"/>
      <c r="AJ837" s="149"/>
      <c r="AK837" s="151"/>
      <c r="AL837" s="148"/>
      <c r="AM837" s="149"/>
      <c r="AN837" s="151"/>
      <c r="AO837" s="148"/>
      <c r="AP837" s="149"/>
      <c r="AQ837" s="151"/>
      <c r="AR837" s="148"/>
      <c r="AS837" s="149"/>
      <c r="AT837" s="151"/>
      <c r="AU837" s="148"/>
      <c r="AV837" s="149"/>
      <c r="AW837" s="151"/>
      <c r="AX837" s="148"/>
      <c r="AY837" s="149"/>
      <c r="AZ837" s="151"/>
      <c r="BA837" s="148"/>
      <c r="BB837" s="149"/>
      <c r="BC837" s="151"/>
      <c r="BD837" s="148"/>
      <c r="BE837" s="149"/>
      <c r="BF837" s="151"/>
      <c r="BG837" s="148"/>
      <c r="BH837" s="149"/>
      <c r="BI837" s="147"/>
      <c r="BJ837" s="148"/>
      <c r="BK837" s="149"/>
      <c r="BN837" s="125">
        <f t="shared" si="178"/>
        <v>0</v>
      </c>
      <c r="BO837" s="126">
        <f t="shared" si="179"/>
        <v>0</v>
      </c>
      <c r="BP837" s="127">
        <f t="shared" si="180"/>
        <v>0</v>
      </c>
    </row>
    <row r="838" spans="1:68" ht="14.25" hidden="1" customHeight="1" outlineLevel="2" x14ac:dyDescent="0.25">
      <c r="A838" s="10" t="b">
        <f>AND(A837)</f>
        <v>0</v>
      </c>
      <c r="B838" s="5" t="b">
        <f>AND(OR(isFIRST_PERIOD="да",$AD$56="нет"),A837)</f>
        <v>0</v>
      </c>
      <c r="C838" s="8" t="s">
        <v>168</v>
      </c>
      <c r="D838" s="152" t="s">
        <v>169</v>
      </c>
      <c r="E838" s="8" t="s">
        <v>73</v>
      </c>
      <c r="F838" s="8" t="s">
        <v>74</v>
      </c>
      <c r="G838" s="8" t="s">
        <v>73</v>
      </c>
      <c r="H838" s="8" t="s">
        <v>73</v>
      </c>
      <c r="I838" s="8" t="s">
        <v>73</v>
      </c>
      <c r="J838" s="8" t="s">
        <v>73</v>
      </c>
      <c r="K838" s="8" t="s">
        <v>73</v>
      </c>
      <c r="L838" s="8"/>
      <c r="M838" s="5" t="str">
        <f t="array" ref="M838">Y806</f>
        <v>1ХВС::1.1</v>
      </c>
      <c r="N838" s="4"/>
      <c r="Z838" s="6"/>
      <c r="AA838" s="6"/>
      <c r="AB838" s="29"/>
      <c r="AC838" s="117"/>
      <c r="AD838" s="370"/>
      <c r="AE838" s="427"/>
      <c r="AF838" s="67"/>
      <c r="AG838" s="428"/>
      <c r="AH838" s="146"/>
      <c r="AI838" s="67"/>
      <c r="AJ838" s="68"/>
      <c r="AK838" s="146"/>
      <c r="AL838" s="67"/>
      <c r="AM838" s="68"/>
      <c r="AN838" s="146"/>
      <c r="AO838" s="67"/>
      <c r="AP838" s="68"/>
      <c r="AQ838" s="146"/>
      <c r="AR838" s="67"/>
      <c r="AS838" s="68"/>
      <c r="AT838" s="146"/>
      <c r="AU838" s="67"/>
      <c r="AV838" s="68"/>
      <c r="AW838" s="146"/>
      <c r="AX838" s="67"/>
      <c r="AY838" s="68"/>
      <c r="AZ838" s="146"/>
      <c r="BA838" s="67"/>
      <c r="BB838" s="68"/>
      <c r="BC838" s="146"/>
      <c r="BD838" s="67"/>
      <c r="BE838" s="68"/>
      <c r="BF838" s="146"/>
      <c r="BG838" s="67"/>
      <c r="BH838" s="68"/>
      <c r="BI838" s="66"/>
      <c r="BJ838" s="67"/>
      <c r="BK838" s="68"/>
      <c r="BN838" s="125">
        <f t="shared" si="178"/>
        <v>0</v>
      </c>
      <c r="BO838" s="126">
        <f t="shared" si="179"/>
        <v>0</v>
      </c>
      <c r="BP838" s="127">
        <f t="shared" si="180"/>
        <v>0</v>
      </c>
    </row>
    <row r="839" spans="1:68" ht="14.25" hidden="1" customHeight="1" outlineLevel="2" x14ac:dyDescent="0.25">
      <c r="A839" s="10" t="b">
        <f>AND(A837)</f>
        <v>0</v>
      </c>
      <c r="B839" s="5" t="b">
        <f>AND(OR(isFIRST_PERIOD="да",$AD$56="нет"),A837)</f>
        <v>0</v>
      </c>
      <c r="C839" s="8" t="s">
        <v>170</v>
      </c>
      <c r="D839" s="152" t="s">
        <v>171</v>
      </c>
      <c r="E839" s="8" t="s">
        <v>73</v>
      </c>
      <c r="F839" s="8" t="s">
        <v>74</v>
      </c>
      <c r="G839" s="8" t="s">
        <v>73</v>
      </c>
      <c r="H839" s="8" t="s">
        <v>73</v>
      </c>
      <c r="I839" s="8" t="s">
        <v>73</v>
      </c>
      <c r="J839" s="8" t="s">
        <v>73</v>
      </c>
      <c r="K839" s="8" t="s">
        <v>73</v>
      </c>
      <c r="L839" s="8"/>
      <c r="M839" s="5" t="str">
        <f t="array" ref="M839">Y806</f>
        <v>1ХВС::1.1</v>
      </c>
      <c r="N839" s="4"/>
      <c r="Z839" s="6"/>
      <c r="AA839" s="6"/>
      <c r="AB839" s="29"/>
      <c r="AC839" s="117"/>
      <c r="AD839" s="370"/>
      <c r="AE839" s="427"/>
      <c r="AF839" s="67"/>
      <c r="AG839" s="428"/>
      <c r="AH839" s="146"/>
      <c r="AI839" s="67"/>
      <c r="AJ839" s="68"/>
      <c r="AK839" s="146"/>
      <c r="AL839" s="67"/>
      <c r="AM839" s="68"/>
      <c r="AN839" s="146"/>
      <c r="AO839" s="67"/>
      <c r="AP839" s="68"/>
      <c r="AQ839" s="146"/>
      <c r="AR839" s="67"/>
      <c r="AS839" s="68"/>
      <c r="AT839" s="146"/>
      <c r="AU839" s="67"/>
      <c r="AV839" s="68"/>
      <c r="AW839" s="146"/>
      <c r="AX839" s="67"/>
      <c r="AY839" s="68"/>
      <c r="AZ839" s="146"/>
      <c r="BA839" s="67"/>
      <c r="BB839" s="68"/>
      <c r="BC839" s="146"/>
      <c r="BD839" s="67"/>
      <c r="BE839" s="68"/>
      <c r="BF839" s="146"/>
      <c r="BG839" s="67"/>
      <c r="BH839" s="68"/>
      <c r="BI839" s="66"/>
      <c r="BJ839" s="67"/>
      <c r="BK839" s="68"/>
      <c r="BN839" s="125">
        <f t="shared" si="178"/>
        <v>0</v>
      </c>
      <c r="BO839" s="126">
        <f t="shared" si="179"/>
        <v>0</v>
      </c>
      <c r="BP839" s="127">
        <f t="shared" si="180"/>
        <v>0</v>
      </c>
    </row>
    <row r="840" spans="1:68" ht="14.25" hidden="1" customHeight="1" outlineLevel="3" x14ac:dyDescent="0.25">
      <c r="A840" s="10" t="b">
        <f>AND(A837,region_name="Республика Татарстан")</f>
        <v>0</v>
      </c>
      <c r="C840" s="8" t="s">
        <v>140</v>
      </c>
      <c r="D840" s="8" t="s">
        <v>141</v>
      </c>
      <c r="E840" s="8" t="s">
        <v>172</v>
      </c>
      <c r="F840" s="8" t="s">
        <v>74</v>
      </c>
      <c r="G840" s="8" t="s">
        <v>73</v>
      </c>
      <c r="H840" s="8" t="s">
        <v>73</v>
      </c>
      <c r="I840" s="8" t="s">
        <v>73</v>
      </c>
      <c r="J840" s="8" t="s">
        <v>73</v>
      </c>
      <c r="K840" s="8" t="s">
        <v>73</v>
      </c>
      <c r="L840" s="8"/>
      <c r="M840" s="5" t="str">
        <f t="array" ref="M840">Y806</f>
        <v>1ХВС::1.1</v>
      </c>
      <c r="N840" s="4"/>
      <c r="Z840" s="6"/>
      <c r="AA840" s="6"/>
      <c r="AB840" s="29"/>
      <c r="AC840" s="71"/>
      <c r="AD840" s="370"/>
      <c r="AE840" s="427"/>
      <c r="AF840" s="67"/>
      <c r="AG840" s="428"/>
      <c r="AH840" s="146"/>
      <c r="AI840" s="67"/>
      <c r="AJ840" s="68"/>
      <c r="AK840" s="146"/>
      <c r="AL840" s="67"/>
      <c r="AM840" s="68"/>
      <c r="AN840" s="146"/>
      <c r="AO840" s="67"/>
      <c r="AP840" s="68"/>
      <c r="AQ840" s="146"/>
      <c r="AR840" s="67"/>
      <c r="AS840" s="68"/>
      <c r="AT840" s="146"/>
      <c r="AU840" s="67"/>
      <c r="AV840" s="68"/>
      <c r="AW840" s="146"/>
      <c r="AX840" s="67"/>
      <c r="AY840" s="68"/>
      <c r="AZ840" s="146"/>
      <c r="BA840" s="67"/>
      <c r="BB840" s="68"/>
      <c r="BC840" s="146"/>
      <c r="BD840" s="67"/>
      <c r="BE840" s="68"/>
      <c r="BF840" s="146"/>
      <c r="BG840" s="67"/>
      <c r="BH840" s="68"/>
      <c r="BI840" s="66"/>
      <c r="BJ840" s="67"/>
      <c r="BK840" s="68"/>
      <c r="BN840" s="125">
        <f t="shared" si="178"/>
        <v>0</v>
      </c>
      <c r="BO840" s="126">
        <f t="shared" si="179"/>
        <v>0</v>
      </c>
      <c r="BP840" s="127">
        <f t="shared" si="180"/>
        <v>0</v>
      </c>
    </row>
    <row r="841" spans="1:68" ht="14.25" hidden="1" customHeight="1" outlineLevel="3" x14ac:dyDescent="0.25">
      <c r="A841" s="10" t="b">
        <f>AND(A837,region_name="Республика Татарстан")</f>
        <v>0</v>
      </c>
      <c r="C841" s="8" t="s">
        <v>140</v>
      </c>
      <c r="D841" s="8" t="s">
        <v>141</v>
      </c>
      <c r="E841" s="8" t="s">
        <v>173</v>
      </c>
      <c r="F841" s="8" t="s">
        <v>74</v>
      </c>
      <c r="G841" s="8" t="s">
        <v>73</v>
      </c>
      <c r="H841" s="8" t="s">
        <v>73</v>
      </c>
      <c r="I841" s="8" t="s">
        <v>73</v>
      </c>
      <c r="J841" s="8" t="s">
        <v>73</v>
      </c>
      <c r="K841" s="8" t="s">
        <v>73</v>
      </c>
      <c r="L841" s="8"/>
      <c r="M841" s="5" t="str">
        <f t="array" ref="M841">Y806</f>
        <v>1ХВС::1.1</v>
      </c>
      <c r="N841" s="4"/>
      <c r="Z841" s="6"/>
      <c r="AA841" s="6"/>
      <c r="AB841" s="29"/>
      <c r="AC841" s="87"/>
      <c r="AD841" s="370"/>
      <c r="AE841" s="427"/>
      <c r="AF841" s="67"/>
      <c r="AG841" s="428"/>
      <c r="AH841" s="146"/>
      <c r="AI841" s="67"/>
      <c r="AJ841" s="68"/>
      <c r="AK841" s="146"/>
      <c r="AL841" s="67"/>
      <c r="AM841" s="68"/>
      <c r="AN841" s="146"/>
      <c r="AO841" s="67"/>
      <c r="AP841" s="68"/>
      <c r="AQ841" s="146"/>
      <c r="AR841" s="67"/>
      <c r="AS841" s="68"/>
      <c r="AT841" s="146"/>
      <c r="AU841" s="67"/>
      <c r="AV841" s="68"/>
      <c r="AW841" s="146"/>
      <c r="AX841" s="67"/>
      <c r="AY841" s="68"/>
      <c r="AZ841" s="146"/>
      <c r="BA841" s="67"/>
      <c r="BB841" s="68"/>
      <c r="BC841" s="146"/>
      <c r="BD841" s="67"/>
      <c r="BE841" s="68"/>
      <c r="BF841" s="146"/>
      <c r="BG841" s="67"/>
      <c r="BH841" s="68"/>
      <c r="BI841" s="66"/>
      <c r="BJ841" s="67"/>
      <c r="BK841" s="68"/>
      <c r="BN841" s="125">
        <f t="shared" si="178"/>
        <v>0</v>
      </c>
      <c r="BO841" s="126">
        <f t="shared" si="179"/>
        <v>0</v>
      </c>
      <c r="BP841" s="127">
        <f t="shared" si="180"/>
        <v>0</v>
      </c>
    </row>
    <row r="842" spans="1:68" ht="14.25" hidden="1" customHeight="1" outlineLevel="3" x14ac:dyDescent="0.25">
      <c r="A842" s="10" t="b">
        <f t="array" ref="A842">A837</f>
        <v>0</v>
      </c>
      <c r="C842" s="8" t="s">
        <v>140</v>
      </c>
      <c r="D842" s="8" t="s">
        <v>141</v>
      </c>
      <c r="E842" s="8" t="s">
        <v>174</v>
      </c>
      <c r="F842" s="8" t="s">
        <v>74</v>
      </c>
      <c r="G842" s="8" t="s">
        <v>73</v>
      </c>
      <c r="H842" s="8" t="s">
        <v>73</v>
      </c>
      <c r="I842" s="8" t="s">
        <v>73</v>
      </c>
      <c r="J842" s="8" t="s">
        <v>73</v>
      </c>
      <c r="K842" s="8" t="s">
        <v>73</v>
      </c>
      <c r="L842" s="8"/>
      <c r="M842" s="5" t="str">
        <f t="array" ref="M842">Y806</f>
        <v>1ХВС::1.1</v>
      </c>
      <c r="N842" s="4"/>
      <c r="Z842" s="6"/>
      <c r="AA842" s="6"/>
      <c r="AB842" s="29"/>
      <c r="AC842" s="71"/>
      <c r="AD842" s="370"/>
      <c r="AE842" s="427"/>
      <c r="AF842" s="67"/>
      <c r="AG842" s="428"/>
      <c r="AH842" s="146"/>
      <c r="AI842" s="67"/>
      <c r="AJ842" s="68"/>
      <c r="AK842" s="146"/>
      <c r="AL842" s="67"/>
      <c r="AM842" s="68"/>
      <c r="AN842" s="146"/>
      <c r="AO842" s="67"/>
      <c r="AP842" s="68"/>
      <c r="AQ842" s="146"/>
      <c r="AR842" s="67"/>
      <c r="AS842" s="68"/>
      <c r="AT842" s="146"/>
      <c r="AU842" s="67"/>
      <c r="AV842" s="68"/>
      <c r="AW842" s="146"/>
      <c r="AX842" s="67"/>
      <c r="AY842" s="68"/>
      <c r="AZ842" s="146"/>
      <c r="BA842" s="67"/>
      <c r="BB842" s="68"/>
      <c r="BC842" s="146"/>
      <c r="BD842" s="67"/>
      <c r="BE842" s="68"/>
      <c r="BF842" s="146"/>
      <c r="BG842" s="67"/>
      <c r="BH842" s="68"/>
      <c r="BI842" s="66"/>
      <c r="BJ842" s="67"/>
      <c r="BK842" s="68"/>
      <c r="BN842" s="125">
        <f t="shared" si="178"/>
        <v>0</v>
      </c>
      <c r="BO842" s="126">
        <f t="shared" si="179"/>
        <v>0</v>
      </c>
      <c r="BP842" s="127">
        <f t="shared" si="180"/>
        <v>0</v>
      </c>
    </row>
    <row r="843" spans="1:68" ht="14.25" hidden="1" customHeight="1" outlineLevel="3" x14ac:dyDescent="0.25">
      <c r="A843" s="10" t="b">
        <f t="array" ref="A843">A842</f>
        <v>0</v>
      </c>
      <c r="C843" s="8" t="s">
        <v>140</v>
      </c>
      <c r="D843" s="8" t="s">
        <v>141</v>
      </c>
      <c r="E843" s="8" t="s">
        <v>175</v>
      </c>
      <c r="F843" s="8" t="s">
        <v>74</v>
      </c>
      <c r="G843" s="8" t="s">
        <v>73</v>
      </c>
      <c r="H843" s="8" t="s">
        <v>73</v>
      </c>
      <c r="I843" s="8" t="s">
        <v>73</v>
      </c>
      <c r="J843" s="8" t="s">
        <v>73</v>
      </c>
      <c r="K843" s="8" t="s">
        <v>73</v>
      </c>
      <c r="L843" s="8"/>
      <c r="M843" s="5" t="str">
        <f t="array" ref="M843">Y806</f>
        <v>1ХВС::1.1</v>
      </c>
      <c r="N843" s="4"/>
      <c r="Z843" s="6"/>
      <c r="AA843" s="6"/>
      <c r="AB843" s="29"/>
      <c r="AC843" s="87"/>
      <c r="AD843" s="370"/>
      <c r="AE843" s="427"/>
      <c r="AF843" s="67"/>
      <c r="AG843" s="428"/>
      <c r="AH843" s="146"/>
      <c r="AI843" s="67"/>
      <c r="AJ843" s="68"/>
      <c r="AK843" s="146"/>
      <c r="AL843" s="67"/>
      <c r="AM843" s="68"/>
      <c r="AN843" s="146"/>
      <c r="AO843" s="67"/>
      <c r="AP843" s="68"/>
      <c r="AQ843" s="146"/>
      <c r="AR843" s="67"/>
      <c r="AS843" s="68"/>
      <c r="AT843" s="146"/>
      <c r="AU843" s="67"/>
      <c r="AV843" s="68"/>
      <c r="AW843" s="146"/>
      <c r="AX843" s="67"/>
      <c r="AY843" s="68"/>
      <c r="AZ843" s="146"/>
      <c r="BA843" s="67"/>
      <c r="BB843" s="68"/>
      <c r="BC843" s="146"/>
      <c r="BD843" s="67"/>
      <c r="BE843" s="68"/>
      <c r="BF843" s="146"/>
      <c r="BG843" s="67"/>
      <c r="BH843" s="68"/>
      <c r="BI843" s="66"/>
      <c r="BJ843" s="67"/>
      <c r="BK843" s="68"/>
      <c r="BN843" s="125">
        <f t="shared" si="178"/>
        <v>0</v>
      </c>
      <c r="BO843" s="126">
        <f t="shared" si="179"/>
        <v>0</v>
      </c>
      <c r="BP843" s="127">
        <f t="shared" si="180"/>
        <v>0</v>
      </c>
    </row>
    <row r="844" spans="1:68" ht="14.25" hidden="1" customHeight="1" outlineLevel="3" x14ac:dyDescent="0.25">
      <c r="A844" s="10" t="b">
        <f t="array" ref="A844">A843</f>
        <v>0</v>
      </c>
      <c r="C844" s="8" t="s">
        <v>140</v>
      </c>
      <c r="D844" s="8" t="s">
        <v>141</v>
      </c>
      <c r="E844" s="8" t="s">
        <v>176</v>
      </c>
      <c r="F844" s="8" t="s">
        <v>74</v>
      </c>
      <c r="G844" s="8" t="s">
        <v>73</v>
      </c>
      <c r="H844" s="8" t="s">
        <v>73</v>
      </c>
      <c r="I844" s="8" t="s">
        <v>73</v>
      </c>
      <c r="J844" s="8" t="s">
        <v>73</v>
      </c>
      <c r="K844" s="8" t="s">
        <v>73</v>
      </c>
      <c r="L844" s="8"/>
      <c r="M844" s="5" t="str">
        <f t="array" ref="M844">Y806</f>
        <v>1ХВС::1.1</v>
      </c>
      <c r="N844" s="4"/>
      <c r="Z844" s="6"/>
      <c r="AA844" s="6"/>
      <c r="AB844" s="29"/>
      <c r="AC844" s="87"/>
      <c r="AD844" s="370"/>
      <c r="AE844" s="427"/>
      <c r="AF844" s="67"/>
      <c r="AG844" s="428"/>
      <c r="AH844" s="146"/>
      <c r="AI844" s="67"/>
      <c r="AJ844" s="68"/>
      <c r="AK844" s="146"/>
      <c r="AL844" s="67"/>
      <c r="AM844" s="68"/>
      <c r="AN844" s="146"/>
      <c r="AO844" s="67"/>
      <c r="AP844" s="68"/>
      <c r="AQ844" s="146"/>
      <c r="AR844" s="67"/>
      <c r="AS844" s="68"/>
      <c r="AT844" s="146"/>
      <c r="AU844" s="67"/>
      <c r="AV844" s="68"/>
      <c r="AW844" s="146"/>
      <c r="AX844" s="67"/>
      <c r="AY844" s="68"/>
      <c r="AZ844" s="146"/>
      <c r="BA844" s="67"/>
      <c r="BB844" s="68"/>
      <c r="BC844" s="146"/>
      <c r="BD844" s="67"/>
      <c r="BE844" s="68"/>
      <c r="BF844" s="146"/>
      <c r="BG844" s="67"/>
      <c r="BH844" s="68"/>
      <c r="BI844" s="66"/>
      <c r="BJ844" s="67"/>
      <c r="BK844" s="68"/>
      <c r="BN844" s="125">
        <f t="shared" si="178"/>
        <v>0</v>
      </c>
      <c r="BO844" s="126">
        <f t="shared" si="179"/>
        <v>0</v>
      </c>
      <c r="BP844" s="127">
        <f t="shared" si="180"/>
        <v>0</v>
      </c>
    </row>
    <row r="845" spans="1:68" ht="14.25" hidden="1" customHeight="1" outlineLevel="3" x14ac:dyDescent="0.25">
      <c r="A845" s="10" t="b">
        <f t="array" ref="A845">A844</f>
        <v>0</v>
      </c>
      <c r="C845" s="116" t="s">
        <v>140</v>
      </c>
      <c r="D845" s="116" t="s">
        <v>141</v>
      </c>
      <c r="E845" s="116" t="s">
        <v>177</v>
      </c>
      <c r="F845" s="116" t="s">
        <v>74</v>
      </c>
      <c r="G845" s="116" t="s">
        <v>73</v>
      </c>
      <c r="H845" s="116" t="s">
        <v>73</v>
      </c>
      <c r="I845" s="116" t="s">
        <v>73</v>
      </c>
      <c r="J845" s="116" t="s">
        <v>73</v>
      </c>
      <c r="K845" s="116" t="s">
        <v>73</v>
      </c>
      <c r="L845" s="116"/>
      <c r="M845" s="5" t="str">
        <f t="array" ref="M845">Y806</f>
        <v>1ХВС::1.1</v>
      </c>
      <c r="N845" s="116"/>
      <c r="Z845" s="6"/>
      <c r="AA845" s="6"/>
      <c r="AB845" s="29"/>
      <c r="AC845" s="92"/>
      <c r="AD845" s="370"/>
      <c r="AE845" s="427"/>
      <c r="AF845" s="67"/>
      <c r="AG845" s="428"/>
      <c r="AH845" s="146"/>
      <c r="AI845" s="67"/>
      <c r="AJ845" s="68"/>
      <c r="AK845" s="146"/>
      <c r="AL845" s="67"/>
      <c r="AM845" s="68"/>
      <c r="AN845" s="146"/>
      <c r="AO845" s="67"/>
      <c r="AP845" s="68"/>
      <c r="AQ845" s="146"/>
      <c r="AR845" s="67"/>
      <c r="AS845" s="68"/>
      <c r="AT845" s="146"/>
      <c r="AU845" s="67"/>
      <c r="AV845" s="68"/>
      <c r="AW845" s="146"/>
      <c r="AX845" s="67"/>
      <c r="AY845" s="68"/>
      <c r="AZ845" s="146"/>
      <c r="BA845" s="67"/>
      <c r="BB845" s="68"/>
      <c r="BC845" s="146"/>
      <c r="BD845" s="67"/>
      <c r="BE845" s="68"/>
      <c r="BF845" s="146"/>
      <c r="BG845" s="67"/>
      <c r="BH845" s="68"/>
      <c r="BI845" s="66"/>
      <c r="BJ845" s="67"/>
      <c r="BK845" s="68"/>
      <c r="BN845" s="125">
        <f t="shared" si="178"/>
        <v>0</v>
      </c>
      <c r="BO845" s="126">
        <f t="shared" si="179"/>
        <v>0</v>
      </c>
      <c r="BP845" s="127">
        <f t="shared" si="180"/>
        <v>0</v>
      </c>
    </row>
    <row r="846" spans="1:68" ht="14.25" hidden="1" customHeight="1" outlineLevel="3" x14ac:dyDescent="0.25">
      <c r="A846" s="10" t="b">
        <f t="array" ref="A846">A845</f>
        <v>0</v>
      </c>
      <c r="C846" s="116" t="s">
        <v>140</v>
      </c>
      <c r="D846" s="116" t="s">
        <v>141</v>
      </c>
      <c r="E846" s="116" t="s">
        <v>178</v>
      </c>
      <c r="F846" s="116" t="s">
        <v>74</v>
      </c>
      <c r="G846" s="116" t="s">
        <v>73</v>
      </c>
      <c r="H846" s="116" t="s">
        <v>73</v>
      </c>
      <c r="I846" s="116" t="s">
        <v>73</v>
      </c>
      <c r="J846" s="116" t="s">
        <v>73</v>
      </c>
      <c r="K846" s="116" t="s">
        <v>73</v>
      </c>
      <c r="L846" s="116"/>
      <c r="M846" s="5" t="str">
        <f t="array" ref="M846">Y806</f>
        <v>1ХВС::1.1</v>
      </c>
      <c r="N846" s="116"/>
      <c r="Z846" s="6"/>
      <c r="AA846" s="6"/>
      <c r="AB846" s="29"/>
      <c r="AC846" s="153"/>
      <c r="AD846" s="370"/>
      <c r="AE846" s="427"/>
      <c r="AF846" s="67"/>
      <c r="AG846" s="428"/>
      <c r="AH846" s="146"/>
      <c r="AI846" s="67"/>
      <c r="AJ846" s="68"/>
      <c r="AK846" s="146"/>
      <c r="AL846" s="67"/>
      <c r="AM846" s="68"/>
      <c r="AN846" s="146"/>
      <c r="AO846" s="67"/>
      <c r="AP846" s="68"/>
      <c r="AQ846" s="146"/>
      <c r="AR846" s="67"/>
      <c r="AS846" s="68"/>
      <c r="AT846" s="146"/>
      <c r="AU846" s="67"/>
      <c r="AV846" s="68"/>
      <c r="AW846" s="146"/>
      <c r="AX846" s="67"/>
      <c r="AY846" s="68"/>
      <c r="AZ846" s="146"/>
      <c r="BA846" s="67"/>
      <c r="BB846" s="68"/>
      <c r="BC846" s="146"/>
      <c r="BD846" s="67"/>
      <c r="BE846" s="68"/>
      <c r="BF846" s="146"/>
      <c r="BG846" s="67"/>
      <c r="BH846" s="68"/>
      <c r="BI846" s="66"/>
      <c r="BJ846" s="67"/>
      <c r="BK846" s="68"/>
      <c r="BN846" s="125">
        <f t="shared" si="178"/>
        <v>0</v>
      </c>
      <c r="BO846" s="126">
        <f t="shared" si="179"/>
        <v>0</v>
      </c>
      <c r="BP846" s="127">
        <f t="shared" si="180"/>
        <v>0</v>
      </c>
    </row>
    <row r="847" spans="1:68" ht="14.25" hidden="1" customHeight="1" outlineLevel="3" x14ac:dyDescent="0.25">
      <c r="A847" s="10" t="b">
        <f t="array" ref="A847">A846</f>
        <v>0</v>
      </c>
      <c r="C847" s="116" t="s">
        <v>140</v>
      </c>
      <c r="D847" s="116" t="s">
        <v>141</v>
      </c>
      <c r="E847" s="116" t="s">
        <v>179</v>
      </c>
      <c r="F847" s="116" t="s">
        <v>74</v>
      </c>
      <c r="G847" s="116" t="s">
        <v>73</v>
      </c>
      <c r="H847" s="116" t="s">
        <v>73</v>
      </c>
      <c r="I847" s="116" t="s">
        <v>73</v>
      </c>
      <c r="J847" s="116" t="s">
        <v>73</v>
      </c>
      <c r="K847" s="116" t="s">
        <v>73</v>
      </c>
      <c r="L847" s="116"/>
      <c r="M847" s="5" t="str">
        <f t="array" ref="M847">Y806</f>
        <v>1ХВС::1.1</v>
      </c>
      <c r="N847" s="116"/>
      <c r="Z847" s="6"/>
      <c r="AA847" s="6"/>
      <c r="AB847" s="29"/>
      <c r="AC847" s="153"/>
      <c r="AD847" s="370"/>
      <c r="AE847" s="427"/>
      <c r="AF847" s="67"/>
      <c r="AG847" s="428"/>
      <c r="AH847" s="146"/>
      <c r="AI847" s="67"/>
      <c r="AJ847" s="68"/>
      <c r="AK847" s="146"/>
      <c r="AL847" s="67"/>
      <c r="AM847" s="68"/>
      <c r="AN847" s="146"/>
      <c r="AO847" s="67"/>
      <c r="AP847" s="68"/>
      <c r="AQ847" s="146"/>
      <c r="AR847" s="67"/>
      <c r="AS847" s="68"/>
      <c r="AT847" s="146"/>
      <c r="AU847" s="67"/>
      <c r="AV847" s="68"/>
      <c r="AW847" s="146"/>
      <c r="AX847" s="67"/>
      <c r="AY847" s="68"/>
      <c r="AZ847" s="146"/>
      <c r="BA847" s="67"/>
      <c r="BB847" s="68"/>
      <c r="BC847" s="146"/>
      <c r="BD847" s="67"/>
      <c r="BE847" s="68"/>
      <c r="BF847" s="146"/>
      <c r="BG847" s="67"/>
      <c r="BH847" s="68"/>
      <c r="BI847" s="66"/>
      <c r="BJ847" s="67"/>
      <c r="BK847" s="68"/>
      <c r="BN847" s="125">
        <f t="shared" si="178"/>
        <v>0</v>
      </c>
      <c r="BO847" s="126">
        <f t="shared" si="179"/>
        <v>0</v>
      </c>
      <c r="BP847" s="127">
        <f t="shared" si="180"/>
        <v>0</v>
      </c>
    </row>
    <row r="848" spans="1:68" ht="14.25" hidden="1" customHeight="1" outlineLevel="3" x14ac:dyDescent="0.25">
      <c r="A848" s="10" t="b">
        <f t="array" ref="A848">A847</f>
        <v>0</v>
      </c>
      <c r="C848" s="116" t="s">
        <v>140</v>
      </c>
      <c r="D848" s="116" t="s">
        <v>141</v>
      </c>
      <c r="E848" s="116" t="s">
        <v>180</v>
      </c>
      <c r="F848" s="116" t="s">
        <v>74</v>
      </c>
      <c r="G848" s="116" t="s">
        <v>73</v>
      </c>
      <c r="H848" s="116" t="s">
        <v>73</v>
      </c>
      <c r="I848" s="116" t="s">
        <v>73</v>
      </c>
      <c r="J848" s="116" t="s">
        <v>73</v>
      </c>
      <c r="K848" s="116" t="s">
        <v>73</v>
      </c>
      <c r="L848" s="116"/>
      <c r="M848" s="5" t="str">
        <f t="array" ref="M848">Y806</f>
        <v>1ХВС::1.1</v>
      </c>
      <c r="N848" s="116"/>
      <c r="Z848" s="6"/>
      <c r="AA848" s="6"/>
      <c r="AB848" s="29"/>
      <c r="AC848" s="153"/>
      <c r="AD848" s="370"/>
      <c r="AE848" s="427"/>
      <c r="AF848" s="67"/>
      <c r="AG848" s="428"/>
      <c r="AH848" s="146"/>
      <c r="AI848" s="67"/>
      <c r="AJ848" s="68"/>
      <c r="AK848" s="146"/>
      <c r="AL848" s="67"/>
      <c r="AM848" s="68"/>
      <c r="AN848" s="146"/>
      <c r="AO848" s="67"/>
      <c r="AP848" s="68"/>
      <c r="AQ848" s="146"/>
      <c r="AR848" s="67"/>
      <c r="AS848" s="68"/>
      <c r="AT848" s="146"/>
      <c r="AU848" s="67"/>
      <c r="AV848" s="68"/>
      <c r="AW848" s="146"/>
      <c r="AX848" s="67"/>
      <c r="AY848" s="68"/>
      <c r="AZ848" s="146"/>
      <c r="BA848" s="67"/>
      <c r="BB848" s="68"/>
      <c r="BC848" s="146"/>
      <c r="BD848" s="67"/>
      <c r="BE848" s="68"/>
      <c r="BF848" s="146"/>
      <c r="BG848" s="67"/>
      <c r="BH848" s="68"/>
      <c r="BI848" s="66"/>
      <c r="BJ848" s="67"/>
      <c r="BK848" s="68"/>
      <c r="BN848" s="125">
        <f t="shared" si="178"/>
        <v>0</v>
      </c>
      <c r="BO848" s="126">
        <f t="shared" si="179"/>
        <v>0</v>
      </c>
      <c r="BP848" s="127">
        <f t="shared" si="180"/>
        <v>0</v>
      </c>
    </row>
    <row r="849" spans="1:68" ht="14.25" hidden="1" customHeight="1" outlineLevel="3" x14ac:dyDescent="0.25">
      <c r="A849" s="10" t="b">
        <f t="array" ref="A849">A848</f>
        <v>0</v>
      </c>
      <c r="C849" s="116" t="s">
        <v>140</v>
      </c>
      <c r="D849" s="116" t="s">
        <v>141</v>
      </c>
      <c r="E849" s="116" t="s">
        <v>181</v>
      </c>
      <c r="F849" s="116" t="s">
        <v>74</v>
      </c>
      <c r="G849" s="116" t="s">
        <v>73</v>
      </c>
      <c r="H849" s="116" t="s">
        <v>73</v>
      </c>
      <c r="I849" s="116" t="s">
        <v>73</v>
      </c>
      <c r="J849" s="116" t="s">
        <v>73</v>
      </c>
      <c r="K849" s="116" t="s">
        <v>73</v>
      </c>
      <c r="L849" s="116"/>
      <c r="M849" s="5" t="str">
        <f t="array" ref="M849">Y806</f>
        <v>1ХВС::1.1</v>
      </c>
      <c r="N849" s="116"/>
      <c r="Z849" s="6"/>
      <c r="AA849" s="6"/>
      <c r="AB849" s="29"/>
      <c r="AC849" s="92"/>
      <c r="AD849" s="370"/>
      <c r="AE849" s="427"/>
      <c r="AF849" s="67"/>
      <c r="AG849" s="428"/>
      <c r="AH849" s="146"/>
      <c r="AI849" s="67"/>
      <c r="AJ849" s="68"/>
      <c r="AK849" s="146"/>
      <c r="AL849" s="67"/>
      <c r="AM849" s="68"/>
      <c r="AN849" s="146"/>
      <c r="AO849" s="67"/>
      <c r="AP849" s="68"/>
      <c r="AQ849" s="146"/>
      <c r="AR849" s="67"/>
      <c r="AS849" s="68"/>
      <c r="AT849" s="146"/>
      <c r="AU849" s="67"/>
      <c r="AV849" s="68"/>
      <c r="AW849" s="146"/>
      <c r="AX849" s="67"/>
      <c r="AY849" s="68"/>
      <c r="AZ849" s="146"/>
      <c r="BA849" s="67"/>
      <c r="BB849" s="68"/>
      <c r="BC849" s="146"/>
      <c r="BD849" s="67"/>
      <c r="BE849" s="68"/>
      <c r="BF849" s="146"/>
      <c r="BG849" s="67"/>
      <c r="BH849" s="68"/>
      <c r="BI849" s="66"/>
      <c r="BJ849" s="67"/>
      <c r="BK849" s="68"/>
      <c r="BN849" s="125">
        <f t="shared" si="178"/>
        <v>0</v>
      </c>
      <c r="BO849" s="126">
        <f t="shared" si="179"/>
        <v>0</v>
      </c>
      <c r="BP849" s="127">
        <f t="shared" si="180"/>
        <v>0</v>
      </c>
    </row>
    <row r="850" spans="1:68" ht="14.25" hidden="1" customHeight="1" outlineLevel="3" x14ac:dyDescent="0.25">
      <c r="A850" s="10" t="b">
        <f t="array" ref="A850">A849</f>
        <v>0</v>
      </c>
      <c r="C850" s="116" t="s">
        <v>140</v>
      </c>
      <c r="D850" s="116" t="s">
        <v>141</v>
      </c>
      <c r="E850" s="116" t="s">
        <v>182</v>
      </c>
      <c r="F850" s="116" t="s">
        <v>74</v>
      </c>
      <c r="G850" s="116" t="s">
        <v>73</v>
      </c>
      <c r="H850" s="116" t="s">
        <v>73</v>
      </c>
      <c r="I850" s="116" t="s">
        <v>73</v>
      </c>
      <c r="J850" s="116" t="s">
        <v>73</v>
      </c>
      <c r="K850" s="116" t="s">
        <v>73</v>
      </c>
      <c r="L850" s="116"/>
      <c r="M850" s="5" t="str">
        <f t="array" ref="M850">Y806</f>
        <v>1ХВС::1.1</v>
      </c>
      <c r="N850" s="116"/>
      <c r="Z850" s="6"/>
      <c r="AA850" s="6"/>
      <c r="AB850" s="29"/>
      <c r="AC850" s="87"/>
      <c r="AD850" s="370"/>
      <c r="AE850" s="427"/>
      <c r="AF850" s="67"/>
      <c r="AG850" s="428"/>
      <c r="AH850" s="146"/>
      <c r="AI850" s="67"/>
      <c r="AJ850" s="68"/>
      <c r="AK850" s="146"/>
      <c r="AL850" s="67"/>
      <c r="AM850" s="68"/>
      <c r="AN850" s="146"/>
      <c r="AO850" s="67"/>
      <c r="AP850" s="68"/>
      <c r="AQ850" s="146"/>
      <c r="AR850" s="67"/>
      <c r="AS850" s="68"/>
      <c r="AT850" s="146"/>
      <c r="AU850" s="67"/>
      <c r="AV850" s="68"/>
      <c r="AW850" s="146"/>
      <c r="AX850" s="67"/>
      <c r="AY850" s="68"/>
      <c r="AZ850" s="146"/>
      <c r="BA850" s="67"/>
      <c r="BB850" s="68"/>
      <c r="BC850" s="146"/>
      <c r="BD850" s="67"/>
      <c r="BE850" s="68"/>
      <c r="BF850" s="146"/>
      <c r="BG850" s="67"/>
      <c r="BH850" s="68"/>
      <c r="BI850" s="66"/>
      <c r="BJ850" s="67"/>
      <c r="BK850" s="68"/>
      <c r="BN850" s="125">
        <f t="shared" si="178"/>
        <v>0</v>
      </c>
      <c r="BO850" s="126">
        <f t="shared" si="179"/>
        <v>0</v>
      </c>
      <c r="BP850" s="127">
        <f t="shared" si="180"/>
        <v>0</v>
      </c>
    </row>
    <row r="851" spans="1:68" ht="14.25" hidden="1" customHeight="1" outlineLevel="3" x14ac:dyDescent="0.25">
      <c r="A851" s="10" t="b">
        <f t="array" ref="A851">A850</f>
        <v>0</v>
      </c>
      <c r="C851" s="116" t="s">
        <v>140</v>
      </c>
      <c r="D851" s="116" t="s">
        <v>141</v>
      </c>
      <c r="E851" s="116" t="s">
        <v>183</v>
      </c>
      <c r="F851" s="116" t="s">
        <v>74</v>
      </c>
      <c r="G851" s="116" t="s">
        <v>73</v>
      </c>
      <c r="H851" s="116" t="s">
        <v>73</v>
      </c>
      <c r="I851" s="116" t="s">
        <v>73</v>
      </c>
      <c r="J851" s="116" t="s">
        <v>73</v>
      </c>
      <c r="K851" s="116" t="s">
        <v>73</v>
      </c>
      <c r="L851" s="116"/>
      <c r="M851" s="5" t="str">
        <f t="array" ref="M851">Y806</f>
        <v>1ХВС::1.1</v>
      </c>
      <c r="N851" s="116"/>
      <c r="Z851" s="6"/>
      <c r="AA851" s="6"/>
      <c r="AB851" s="29"/>
      <c r="AC851" s="71"/>
      <c r="AD851" s="370"/>
      <c r="AE851" s="427"/>
      <c r="AF851" s="67"/>
      <c r="AG851" s="428"/>
      <c r="AH851" s="146"/>
      <c r="AI851" s="67"/>
      <c r="AJ851" s="68"/>
      <c r="AK851" s="146"/>
      <c r="AL851" s="67"/>
      <c r="AM851" s="68"/>
      <c r="AN851" s="146"/>
      <c r="AO851" s="67"/>
      <c r="AP851" s="68"/>
      <c r="AQ851" s="146"/>
      <c r="AR851" s="67"/>
      <c r="AS851" s="68"/>
      <c r="AT851" s="146"/>
      <c r="AU851" s="67"/>
      <c r="AV851" s="68"/>
      <c r="AW851" s="146"/>
      <c r="AX851" s="67"/>
      <c r="AY851" s="68"/>
      <c r="AZ851" s="146"/>
      <c r="BA851" s="67"/>
      <c r="BB851" s="68"/>
      <c r="BC851" s="146"/>
      <c r="BD851" s="67"/>
      <c r="BE851" s="68"/>
      <c r="BF851" s="146"/>
      <c r="BG851" s="67"/>
      <c r="BH851" s="68"/>
      <c r="BI851" s="66"/>
      <c r="BJ851" s="67"/>
      <c r="BK851" s="68"/>
      <c r="BN851" s="125">
        <f t="shared" si="178"/>
        <v>0</v>
      </c>
      <c r="BO851" s="126">
        <f t="shared" si="179"/>
        <v>0</v>
      </c>
      <c r="BP851" s="127">
        <f t="shared" si="180"/>
        <v>0</v>
      </c>
    </row>
    <row r="852" spans="1:68" ht="14.25" hidden="1" customHeight="1" outlineLevel="3" x14ac:dyDescent="0.25">
      <c r="A852" s="10" t="b">
        <f t="array" ref="A852">A851</f>
        <v>0</v>
      </c>
      <c r="C852" s="116" t="s">
        <v>140</v>
      </c>
      <c r="D852" s="116" t="s">
        <v>141</v>
      </c>
      <c r="E852" s="116" t="s">
        <v>184</v>
      </c>
      <c r="F852" s="116" t="s">
        <v>74</v>
      </c>
      <c r="G852" s="116" t="s">
        <v>73</v>
      </c>
      <c r="H852" s="116" t="s">
        <v>73</v>
      </c>
      <c r="I852" s="116" t="s">
        <v>73</v>
      </c>
      <c r="J852" s="116" t="s">
        <v>73</v>
      </c>
      <c r="K852" s="116" t="s">
        <v>73</v>
      </c>
      <c r="L852" s="116"/>
      <c r="M852" s="5" t="str">
        <f t="array" ref="M852">Y806</f>
        <v>1ХВС::1.1</v>
      </c>
      <c r="N852" s="116"/>
      <c r="Z852" s="6"/>
      <c r="AA852" s="6"/>
      <c r="AB852" s="29"/>
      <c r="AC852" s="87"/>
      <c r="AD852" s="370"/>
      <c r="AE852" s="427"/>
      <c r="AF852" s="67"/>
      <c r="AG852" s="428"/>
      <c r="AH852" s="146"/>
      <c r="AI852" s="67"/>
      <c r="AJ852" s="68"/>
      <c r="AK852" s="146"/>
      <c r="AL852" s="67"/>
      <c r="AM852" s="68"/>
      <c r="AN852" s="146"/>
      <c r="AO852" s="67"/>
      <c r="AP852" s="68"/>
      <c r="AQ852" s="146"/>
      <c r="AR852" s="67"/>
      <c r="AS852" s="68"/>
      <c r="AT852" s="146"/>
      <c r="AU852" s="67"/>
      <c r="AV852" s="68"/>
      <c r="AW852" s="146"/>
      <c r="AX852" s="67"/>
      <c r="AY852" s="68"/>
      <c r="AZ852" s="146"/>
      <c r="BA852" s="67"/>
      <c r="BB852" s="68"/>
      <c r="BC852" s="146"/>
      <c r="BD852" s="67"/>
      <c r="BE852" s="68"/>
      <c r="BF852" s="146"/>
      <c r="BG852" s="67"/>
      <c r="BH852" s="68"/>
      <c r="BI852" s="66"/>
      <c r="BJ852" s="67"/>
      <c r="BK852" s="68"/>
      <c r="BN852" s="125">
        <f t="shared" si="178"/>
        <v>0</v>
      </c>
      <c r="BO852" s="126">
        <f t="shared" si="179"/>
        <v>0</v>
      </c>
      <c r="BP852" s="127">
        <f t="shared" si="180"/>
        <v>0</v>
      </c>
    </row>
    <row r="853" spans="1:68" ht="14.25" hidden="1" customHeight="1" outlineLevel="3" x14ac:dyDescent="0.25">
      <c r="A853" s="10" t="b">
        <f t="array" ref="A853">A852</f>
        <v>0</v>
      </c>
      <c r="C853" s="116" t="s">
        <v>140</v>
      </c>
      <c r="D853" s="116" t="s">
        <v>141</v>
      </c>
      <c r="E853" s="116" t="s">
        <v>185</v>
      </c>
      <c r="F853" s="116" t="s">
        <v>74</v>
      </c>
      <c r="G853" s="116" t="s">
        <v>73</v>
      </c>
      <c r="H853" s="116" t="s">
        <v>73</v>
      </c>
      <c r="I853" s="116" t="s">
        <v>73</v>
      </c>
      <c r="J853" s="116" t="s">
        <v>73</v>
      </c>
      <c r="K853" s="116" t="s">
        <v>73</v>
      </c>
      <c r="L853" s="116"/>
      <c r="M853" s="5" t="str">
        <f t="array" ref="M853">Y806</f>
        <v>1ХВС::1.1</v>
      </c>
      <c r="N853" s="116"/>
      <c r="Z853" s="6"/>
      <c r="AA853" s="6"/>
      <c r="AB853" s="29"/>
      <c r="AC853" s="87"/>
      <c r="AD853" s="370"/>
      <c r="AE853" s="427"/>
      <c r="AF853" s="67"/>
      <c r="AG853" s="428"/>
      <c r="AH853" s="146"/>
      <c r="AI853" s="67"/>
      <c r="AJ853" s="68"/>
      <c r="AK853" s="146"/>
      <c r="AL853" s="67"/>
      <c r="AM853" s="68"/>
      <c r="AN853" s="146"/>
      <c r="AO853" s="67"/>
      <c r="AP853" s="68"/>
      <c r="AQ853" s="146"/>
      <c r="AR853" s="67"/>
      <c r="AS853" s="68"/>
      <c r="AT853" s="146"/>
      <c r="AU853" s="67"/>
      <c r="AV853" s="68"/>
      <c r="AW853" s="146"/>
      <c r="AX853" s="67"/>
      <c r="AY853" s="68"/>
      <c r="AZ853" s="146"/>
      <c r="BA853" s="67"/>
      <c r="BB853" s="68"/>
      <c r="BC853" s="146"/>
      <c r="BD853" s="67"/>
      <c r="BE853" s="68"/>
      <c r="BF853" s="146"/>
      <c r="BG853" s="67"/>
      <c r="BH853" s="68"/>
      <c r="BI853" s="66"/>
      <c r="BJ853" s="67"/>
      <c r="BK853" s="68"/>
      <c r="BN853" s="125">
        <f t="shared" si="178"/>
        <v>0</v>
      </c>
      <c r="BO853" s="126">
        <f t="shared" si="179"/>
        <v>0</v>
      </c>
      <c r="BP853" s="127">
        <f t="shared" si="180"/>
        <v>0</v>
      </c>
    </row>
    <row r="854" spans="1:68" ht="14.25" hidden="1" customHeight="1" outlineLevel="3" x14ac:dyDescent="0.25">
      <c r="A854" s="10" t="b">
        <f t="array" ref="A854">A853</f>
        <v>0</v>
      </c>
      <c r="C854" s="154" t="s">
        <v>140</v>
      </c>
      <c r="D854" s="154" t="s">
        <v>141</v>
      </c>
      <c r="E854" s="154" t="s">
        <v>186</v>
      </c>
      <c r="F854" s="116" t="s">
        <v>74</v>
      </c>
      <c r="G854" s="154" t="s">
        <v>73</v>
      </c>
      <c r="H854" s="154" t="s">
        <v>73</v>
      </c>
      <c r="I854" s="154" t="s">
        <v>73</v>
      </c>
      <c r="J854" s="154" t="s">
        <v>73</v>
      </c>
      <c r="K854" s="154" t="s">
        <v>73</v>
      </c>
      <c r="L854" s="154"/>
      <c r="M854" s="5" t="str">
        <f t="array" ref="M854">Y806</f>
        <v>1ХВС::1.1</v>
      </c>
      <c r="N854" s="116"/>
      <c r="Z854" s="6"/>
      <c r="AA854" s="6"/>
      <c r="AB854" s="29"/>
      <c r="AC854" s="71"/>
      <c r="AD854" s="370"/>
      <c r="AE854" s="427"/>
      <c r="AF854" s="67"/>
      <c r="AG854" s="428"/>
      <c r="AH854" s="146"/>
      <c r="AI854" s="67"/>
      <c r="AJ854" s="68"/>
      <c r="AK854" s="146"/>
      <c r="AL854" s="67"/>
      <c r="AM854" s="68"/>
      <c r="AN854" s="146"/>
      <c r="AO854" s="67"/>
      <c r="AP854" s="68"/>
      <c r="AQ854" s="146"/>
      <c r="AR854" s="67"/>
      <c r="AS854" s="68"/>
      <c r="AT854" s="146"/>
      <c r="AU854" s="67"/>
      <c r="AV854" s="68"/>
      <c r="AW854" s="146"/>
      <c r="AX854" s="67"/>
      <c r="AY854" s="68"/>
      <c r="AZ854" s="146"/>
      <c r="BA854" s="67"/>
      <c r="BB854" s="68"/>
      <c r="BC854" s="146"/>
      <c r="BD854" s="67"/>
      <c r="BE854" s="68"/>
      <c r="BF854" s="146"/>
      <c r="BG854" s="67"/>
      <c r="BH854" s="68"/>
      <c r="BI854" s="66"/>
      <c r="BJ854" s="67"/>
      <c r="BK854" s="68"/>
      <c r="BN854" s="125">
        <f t="shared" si="178"/>
        <v>0</v>
      </c>
      <c r="BO854" s="126">
        <f t="shared" si="179"/>
        <v>0</v>
      </c>
      <c r="BP854" s="127">
        <f t="shared" si="180"/>
        <v>0</v>
      </c>
    </row>
    <row r="855" spans="1:68" s="171" customFormat="1" ht="22.5" customHeight="1" x14ac:dyDescent="0.25">
      <c r="A855" s="166"/>
      <c r="B855" s="166"/>
      <c r="C855" s="167" t="s">
        <v>83</v>
      </c>
      <c r="D855" s="167" t="s">
        <v>84</v>
      </c>
      <c r="E855" s="167" t="s">
        <v>73</v>
      </c>
      <c r="F855" s="167" t="s">
        <v>74</v>
      </c>
      <c r="G855" s="167" t="s">
        <v>187</v>
      </c>
      <c r="H855" s="167" t="s">
        <v>73</v>
      </c>
      <c r="I855" s="167" t="s">
        <v>73</v>
      </c>
      <c r="J855" s="166"/>
      <c r="K855" s="168" t="s">
        <v>73</v>
      </c>
      <c r="L855" s="167" t="s">
        <v>133</v>
      </c>
      <c r="M855" s="166" t="str">
        <f t="array" ref="M855">Y806</f>
        <v>1ХВС::1.1</v>
      </c>
      <c r="N855" s="166"/>
      <c r="O855" s="166"/>
      <c r="P855" s="166"/>
      <c r="Q855" s="166"/>
      <c r="R855" s="166"/>
      <c r="S855" s="166"/>
      <c r="T855" s="166"/>
      <c r="U855" s="166"/>
      <c r="V855" s="166"/>
      <c r="W855" s="166"/>
      <c r="X855" s="166"/>
      <c r="Y855" s="166"/>
      <c r="Z855" s="166"/>
      <c r="AA855" s="166"/>
      <c r="AB855" s="623">
        <f t="array" ref="AB855">IF($U806="Водоснабжение",AB820,AB837)+1</f>
        <v>3</v>
      </c>
      <c r="AC855" s="624" t="s">
        <v>187</v>
      </c>
      <c r="AD855" s="625" t="s">
        <v>111</v>
      </c>
      <c r="AE855" s="626">
        <f t="shared" ref="AE855:BK855" si="188">AE856+AE1099+AE1100</f>
        <v>2922484.877196053</v>
      </c>
      <c r="AF855" s="627">
        <f t="shared" si="188"/>
        <v>2613397.4363414217</v>
      </c>
      <c r="AG855" s="628">
        <f t="shared" si="188"/>
        <v>3663509.541754025</v>
      </c>
      <c r="AH855" s="629">
        <f t="shared" si="188"/>
        <v>58978.620963199995</v>
      </c>
      <c r="AI855" s="627">
        <f t="shared" si="188"/>
        <v>19022.239999999998</v>
      </c>
      <c r="AJ855" s="628">
        <f t="shared" si="188"/>
        <v>59138.290681099999</v>
      </c>
      <c r="AK855" s="626">
        <f t="shared" si="188"/>
        <v>64126.689430819984</v>
      </c>
      <c r="AL855" s="627">
        <f t="shared" si="188"/>
        <v>31079.618842399999</v>
      </c>
      <c r="AM855" s="628">
        <f t="shared" si="188"/>
        <v>80645.508894400002</v>
      </c>
      <c r="AN855" s="626">
        <f t="shared" si="188"/>
        <v>88047.562562079998</v>
      </c>
      <c r="AO855" s="627">
        <f t="shared" si="188"/>
        <v>52968.417376972</v>
      </c>
      <c r="AP855" s="628">
        <f t="shared" si="188"/>
        <v>118441.29332398003</v>
      </c>
      <c r="AQ855" s="626">
        <f t="shared" si="188"/>
        <v>49632.434299119996</v>
      </c>
      <c r="AR855" s="627">
        <f t="shared" si="188"/>
        <v>16082.511695200001</v>
      </c>
      <c r="AS855" s="628">
        <f t="shared" si="188"/>
        <v>69195.307189999978</v>
      </c>
      <c r="AT855" s="626">
        <f t="shared" si="188"/>
        <v>100132.90446989999</v>
      </c>
      <c r="AU855" s="627">
        <f t="shared" si="188"/>
        <v>111246.62550376999</v>
      </c>
      <c r="AV855" s="628">
        <f t="shared" si="188"/>
        <v>151971.32742597</v>
      </c>
      <c r="AW855" s="626">
        <f t="shared" si="188"/>
        <v>93075.908281860015</v>
      </c>
      <c r="AX855" s="627">
        <f t="shared" si="188"/>
        <v>30918.086825799997</v>
      </c>
      <c r="AY855" s="628">
        <f t="shared" si="188"/>
        <v>114050.2302762</v>
      </c>
      <c r="AZ855" s="626">
        <f t="shared" si="188"/>
        <v>231528.33272309505</v>
      </c>
      <c r="BA855" s="627">
        <f t="shared" si="188"/>
        <v>231963.24952299998</v>
      </c>
      <c r="BB855" s="628">
        <f t="shared" si="188"/>
        <v>346584.17385939305</v>
      </c>
      <c r="BC855" s="626">
        <f t="shared" si="188"/>
        <v>308948.40981360001</v>
      </c>
      <c r="BD855" s="627">
        <f t="shared" si="188"/>
        <v>213915.10832740003</v>
      </c>
      <c r="BE855" s="628">
        <f t="shared" si="188"/>
        <v>367783.36912500003</v>
      </c>
      <c r="BF855" s="626">
        <f t="shared" si="188"/>
        <v>41682.485577500003</v>
      </c>
      <c r="BG855" s="627">
        <f t="shared" si="188"/>
        <v>33591.549675999995</v>
      </c>
      <c r="BH855" s="628">
        <f t="shared" si="188"/>
        <v>47991.582646879993</v>
      </c>
      <c r="BI855" s="626">
        <f t="shared" si="188"/>
        <v>73444.276699309994</v>
      </c>
      <c r="BJ855" s="627">
        <f t="shared" si="188"/>
        <v>63294.667575200001</v>
      </c>
      <c r="BK855" s="628">
        <f t="shared" si="188"/>
        <v>100935.56446020001</v>
      </c>
      <c r="BL855" s="170"/>
      <c r="BM855" s="166"/>
      <c r="BN855" s="630">
        <f t="shared" si="178"/>
        <v>4032082.5020165383</v>
      </c>
      <c r="BO855" s="631">
        <f t="shared" si="179"/>
        <v>3417479.5116871642</v>
      </c>
      <c r="BP855" s="632">
        <f t="shared" si="180"/>
        <v>5120246.1896371497</v>
      </c>
    </row>
    <row r="856" spans="1:68" s="171" customFormat="1" ht="18.75" customHeight="1" outlineLevel="1" x14ac:dyDescent="0.25">
      <c r="A856" s="166"/>
      <c r="B856" s="166"/>
      <c r="C856" s="167" t="s">
        <v>83</v>
      </c>
      <c r="D856" s="167" t="s">
        <v>84</v>
      </c>
      <c r="E856" s="167" t="s">
        <v>73</v>
      </c>
      <c r="F856" s="167" t="s">
        <v>74</v>
      </c>
      <c r="G856" s="167" t="s">
        <v>188</v>
      </c>
      <c r="H856" s="167" t="s">
        <v>73</v>
      </c>
      <c r="I856" s="167" t="s">
        <v>73</v>
      </c>
      <c r="J856" s="166"/>
      <c r="K856" s="168" t="s">
        <v>73</v>
      </c>
      <c r="L856" s="167" t="s">
        <v>133</v>
      </c>
      <c r="M856" s="166" t="str">
        <f t="array" ref="M856">Y806</f>
        <v>1ХВС::1.1</v>
      </c>
      <c r="N856" s="166"/>
      <c r="O856" s="166"/>
      <c r="P856" s="166"/>
      <c r="Q856" s="166"/>
      <c r="R856" s="166"/>
      <c r="S856" s="166"/>
      <c r="T856" s="166"/>
      <c r="U856" s="166"/>
      <c r="V856" s="166"/>
      <c r="W856" s="166"/>
      <c r="X856" s="166"/>
      <c r="Y856" s="166"/>
      <c r="Z856" s="166"/>
      <c r="AA856" s="166"/>
      <c r="AB856" s="623" t="str">
        <f>AB855&amp;".1"</f>
        <v>3.1</v>
      </c>
      <c r="AC856" s="633" t="s">
        <v>188</v>
      </c>
      <c r="AD856" s="625" t="s">
        <v>111</v>
      </c>
      <c r="AE856" s="626">
        <f t="shared" ref="AE856:BK856" si="189">AE857+AE1046+AE1063</f>
        <v>2474271.9211960533</v>
      </c>
      <c r="AF856" s="627">
        <f t="shared" si="189"/>
        <v>2540275.1523414217</v>
      </c>
      <c r="AG856" s="628">
        <f t="shared" si="189"/>
        <v>3236169.0217540255</v>
      </c>
      <c r="AH856" s="629">
        <f t="shared" si="189"/>
        <v>27949.980963199996</v>
      </c>
      <c r="AI856" s="627">
        <f t="shared" si="189"/>
        <v>19022.239999999998</v>
      </c>
      <c r="AJ856" s="628">
        <f t="shared" si="189"/>
        <v>42027.360681099999</v>
      </c>
      <c r="AK856" s="626">
        <f t="shared" si="189"/>
        <v>50115.049430819985</v>
      </c>
      <c r="AL856" s="627">
        <f t="shared" si="189"/>
        <v>28499.618842399999</v>
      </c>
      <c r="AM856" s="628">
        <f t="shared" si="189"/>
        <v>66096.568894399999</v>
      </c>
      <c r="AN856" s="626">
        <f t="shared" si="189"/>
        <v>82870.602562079992</v>
      </c>
      <c r="AO856" s="627">
        <f t="shared" si="189"/>
        <v>51822.817376972002</v>
      </c>
      <c r="AP856" s="628">
        <f t="shared" si="189"/>
        <v>109046.72332398003</v>
      </c>
      <c r="AQ856" s="626">
        <f t="shared" si="189"/>
        <v>47462.374299119998</v>
      </c>
      <c r="AR856" s="627">
        <f t="shared" si="189"/>
        <v>15282.611695200001</v>
      </c>
      <c r="AS856" s="628">
        <f t="shared" si="189"/>
        <v>66468.097189999986</v>
      </c>
      <c r="AT856" s="626">
        <f t="shared" si="189"/>
        <v>97935.574469899992</v>
      </c>
      <c r="AU856" s="627">
        <f t="shared" si="189"/>
        <v>111012.34550376999</v>
      </c>
      <c r="AV856" s="628">
        <f t="shared" si="189"/>
        <v>148651.68742597001</v>
      </c>
      <c r="AW856" s="626">
        <f t="shared" si="189"/>
        <v>88024.918281860009</v>
      </c>
      <c r="AX856" s="627">
        <f t="shared" si="189"/>
        <v>29908.586825799997</v>
      </c>
      <c r="AY856" s="628">
        <f t="shared" si="189"/>
        <v>110025.24027620001</v>
      </c>
      <c r="AZ856" s="626">
        <f t="shared" si="189"/>
        <v>209847.59772309504</v>
      </c>
      <c r="BA856" s="627">
        <f t="shared" si="189"/>
        <v>231963.24952299998</v>
      </c>
      <c r="BB856" s="628">
        <f t="shared" si="189"/>
        <v>324995.70585939306</v>
      </c>
      <c r="BC856" s="626">
        <f t="shared" si="189"/>
        <v>244171.6798136</v>
      </c>
      <c r="BD856" s="627">
        <f t="shared" si="189"/>
        <v>213915.10832740003</v>
      </c>
      <c r="BE856" s="628">
        <f t="shared" si="189"/>
        <v>299477.03912500001</v>
      </c>
      <c r="BF856" s="626">
        <f t="shared" si="189"/>
        <v>40579.841577500003</v>
      </c>
      <c r="BG856" s="627">
        <f t="shared" si="189"/>
        <v>33591.549675999995</v>
      </c>
      <c r="BH856" s="628">
        <f t="shared" si="189"/>
        <v>46852.674646879997</v>
      </c>
      <c r="BI856" s="626">
        <f t="shared" si="189"/>
        <v>57282.422699310002</v>
      </c>
      <c r="BJ856" s="627">
        <f t="shared" si="189"/>
        <v>63294.667575200001</v>
      </c>
      <c r="BK856" s="628">
        <f t="shared" si="189"/>
        <v>84462.379460199998</v>
      </c>
      <c r="BL856" s="170"/>
      <c r="BM856" s="166"/>
      <c r="BN856" s="630">
        <f t="shared" si="178"/>
        <v>3420511.9630165389</v>
      </c>
      <c r="BO856" s="631">
        <f t="shared" si="179"/>
        <v>3338587.9476871644</v>
      </c>
      <c r="BP856" s="632">
        <f t="shared" si="180"/>
        <v>4534272.4986371472</v>
      </c>
    </row>
    <row r="857" spans="1:68" s="171" customFormat="1" ht="18.75" customHeight="1" outlineLevel="2" x14ac:dyDescent="0.25">
      <c r="A857" s="166"/>
      <c r="B857" s="166"/>
      <c r="C857" s="167" t="s">
        <v>83</v>
      </c>
      <c r="D857" s="167" t="s">
        <v>84</v>
      </c>
      <c r="E857" s="167" t="s">
        <v>73</v>
      </c>
      <c r="F857" s="167" t="s">
        <v>74</v>
      </c>
      <c r="G857" s="167" t="s">
        <v>189</v>
      </c>
      <c r="H857" s="167" t="s">
        <v>73</v>
      </c>
      <c r="I857" s="167" t="s">
        <v>73</v>
      </c>
      <c r="J857" s="166"/>
      <c r="K857" s="168" t="s">
        <v>73</v>
      </c>
      <c r="L857" s="167" t="s">
        <v>133</v>
      </c>
      <c r="M857" s="166" t="str">
        <f t="array" ref="M857">Y806</f>
        <v>1ХВС::1.1</v>
      </c>
      <c r="N857" s="166"/>
      <c r="O857" s="166"/>
      <c r="P857" s="166"/>
      <c r="Q857" s="166"/>
      <c r="R857" s="166"/>
      <c r="S857" s="166"/>
      <c r="T857" s="166"/>
      <c r="U857" s="166"/>
      <c r="V857" s="166"/>
      <c r="W857" s="166"/>
      <c r="X857" s="166"/>
      <c r="Y857" s="166"/>
      <c r="Z857" s="166"/>
      <c r="AA857" s="166"/>
      <c r="AB857" s="623" t="str">
        <f>AB856&amp;".1"</f>
        <v>3.1.1</v>
      </c>
      <c r="AC857" s="634" t="s">
        <v>190</v>
      </c>
      <c r="AD857" s="625" t="s">
        <v>111</v>
      </c>
      <c r="AE857" s="626">
        <f t="shared" ref="AE857:BK857" si="190">AE858+AE973+AE982+AE1032</f>
        <v>1670797.1735580002</v>
      </c>
      <c r="AF857" s="627">
        <f t="shared" si="190"/>
        <v>1623689.1384854219</v>
      </c>
      <c r="AG857" s="628">
        <f t="shared" si="190"/>
        <v>2132675.061586</v>
      </c>
      <c r="AH857" s="629">
        <f t="shared" si="190"/>
        <v>17737.787473999997</v>
      </c>
      <c r="AI857" s="627">
        <f t="shared" si="190"/>
        <v>7519.24</v>
      </c>
      <c r="AJ857" s="628">
        <f t="shared" si="190"/>
        <v>30252.182695999996</v>
      </c>
      <c r="AK857" s="626">
        <f t="shared" si="190"/>
        <v>36764.98599999999</v>
      </c>
      <c r="AL857" s="627">
        <f t="shared" si="190"/>
        <v>19803.109</v>
      </c>
      <c r="AM857" s="628">
        <f t="shared" si="190"/>
        <v>52008.4182</v>
      </c>
      <c r="AN857" s="626">
        <f t="shared" si="190"/>
        <v>60776.534999999996</v>
      </c>
      <c r="AO857" s="627">
        <f t="shared" si="190"/>
        <v>34811.268000000004</v>
      </c>
      <c r="AP857" s="628">
        <f t="shared" si="190"/>
        <v>79375.284000000014</v>
      </c>
      <c r="AQ857" s="626">
        <f t="shared" si="190"/>
        <v>42174.087</v>
      </c>
      <c r="AR857" s="627">
        <f t="shared" si="190"/>
        <v>6653.1014999999998</v>
      </c>
      <c r="AS857" s="628">
        <f t="shared" si="190"/>
        <v>57488.39899999999</v>
      </c>
      <c r="AT857" s="626">
        <f t="shared" si="190"/>
        <v>69035.399000000005</v>
      </c>
      <c r="AU857" s="627">
        <f t="shared" si="190"/>
        <v>92359.28</v>
      </c>
      <c r="AV857" s="628">
        <f t="shared" si="190"/>
        <v>106680.1969</v>
      </c>
      <c r="AW857" s="626">
        <f t="shared" si="190"/>
        <v>78635.121486000004</v>
      </c>
      <c r="AX857" s="627">
        <f t="shared" si="190"/>
        <v>9511.0968257999994</v>
      </c>
      <c r="AY857" s="628">
        <f t="shared" si="190"/>
        <v>97176.469623000012</v>
      </c>
      <c r="AZ857" s="626">
        <f t="shared" si="190"/>
        <v>157452.18274200003</v>
      </c>
      <c r="BA857" s="627">
        <f t="shared" si="190"/>
        <v>172766.27352299998</v>
      </c>
      <c r="BB857" s="628">
        <f t="shared" si="190"/>
        <v>214429.10561544308</v>
      </c>
      <c r="BC857" s="626">
        <f t="shared" si="190"/>
        <v>183542.17723</v>
      </c>
      <c r="BD857" s="627">
        <f t="shared" si="190"/>
        <v>145296.83000000002</v>
      </c>
      <c r="BE857" s="628">
        <f t="shared" si="190"/>
        <v>230816.9166</v>
      </c>
      <c r="BF857" s="626">
        <f t="shared" si="190"/>
        <v>36938.70998</v>
      </c>
      <c r="BG857" s="627">
        <f t="shared" si="190"/>
        <v>29550.62084</v>
      </c>
      <c r="BH857" s="628">
        <f t="shared" si="190"/>
        <v>42192.062659999996</v>
      </c>
      <c r="BI857" s="626">
        <f t="shared" si="190"/>
        <v>45046.778160000002</v>
      </c>
      <c r="BJ857" s="627">
        <f t="shared" si="190"/>
        <v>50229.639660000001</v>
      </c>
      <c r="BK857" s="628">
        <f t="shared" si="190"/>
        <v>65000.912007999992</v>
      </c>
      <c r="BL857" s="170"/>
      <c r="BM857" s="166"/>
      <c r="BN857" s="630">
        <f t="shared" si="178"/>
        <v>2398900.9376300001</v>
      </c>
      <c r="BO857" s="631">
        <f t="shared" si="179"/>
        <v>2192189.5978342216</v>
      </c>
      <c r="BP857" s="632">
        <f t="shared" si="180"/>
        <v>3108095.0088884435</v>
      </c>
    </row>
    <row r="858" spans="1:68" s="171" customFormat="1" ht="28.5" customHeight="1" outlineLevel="3" x14ac:dyDescent="0.25">
      <c r="A858" s="166"/>
      <c r="B858" s="166"/>
      <c r="C858" s="167" t="s">
        <v>83</v>
      </c>
      <c r="D858" s="167" t="s">
        <v>84</v>
      </c>
      <c r="E858" s="167" t="s">
        <v>73</v>
      </c>
      <c r="F858" s="167" t="s">
        <v>74</v>
      </c>
      <c r="G858" s="167" t="s">
        <v>191</v>
      </c>
      <c r="H858" s="167" t="s">
        <v>73</v>
      </c>
      <c r="I858" s="167" t="s">
        <v>73</v>
      </c>
      <c r="J858" s="166"/>
      <c r="K858" s="168" t="s">
        <v>73</v>
      </c>
      <c r="L858" s="167" t="s">
        <v>192</v>
      </c>
      <c r="M858" s="166" t="str">
        <f t="array" ref="M858">Y806</f>
        <v>1ХВС::1.1</v>
      </c>
      <c r="N858" s="166"/>
      <c r="O858" s="166"/>
      <c r="P858" s="166"/>
      <c r="Q858" s="166"/>
      <c r="R858" s="166"/>
      <c r="S858" s="166"/>
      <c r="T858" s="166"/>
      <c r="U858" s="166"/>
      <c r="V858" s="166"/>
      <c r="W858" s="166"/>
      <c r="X858" s="166"/>
      <c r="Y858" s="166"/>
      <c r="Z858" s="166"/>
      <c r="AA858" s="166"/>
      <c r="AB858" s="623" t="str">
        <f>AB857&amp;".1"</f>
        <v>3.1.1.1</v>
      </c>
      <c r="AC858" s="635" t="s">
        <v>193</v>
      </c>
      <c r="AD858" s="625" t="s">
        <v>111</v>
      </c>
      <c r="AE858" s="626">
        <f t="shared" ref="AE858:BK858" si="191">AE859+AE863+AE864+AE870+AE871+AE879</f>
        <v>1019712.29408</v>
      </c>
      <c r="AF858" s="627">
        <f t="shared" si="191"/>
        <v>1026698.0399999999</v>
      </c>
      <c r="AG858" s="628">
        <f t="shared" si="191"/>
        <v>1295717.6845</v>
      </c>
      <c r="AH858" s="629">
        <f t="shared" si="191"/>
        <v>16505.640059999998</v>
      </c>
      <c r="AI858" s="627">
        <f t="shared" si="191"/>
        <v>5728.9</v>
      </c>
      <c r="AJ858" s="628">
        <f t="shared" si="191"/>
        <v>26519.898079999999</v>
      </c>
      <c r="AK858" s="626">
        <f t="shared" si="191"/>
        <v>18206.509999999998</v>
      </c>
      <c r="AL858" s="627">
        <f t="shared" si="191"/>
        <v>5356.1190000000006</v>
      </c>
      <c r="AM858" s="628">
        <f t="shared" si="191"/>
        <v>22321.29</v>
      </c>
      <c r="AN858" s="626">
        <f t="shared" si="191"/>
        <v>29752.008000000002</v>
      </c>
      <c r="AO858" s="627">
        <f t="shared" si="191"/>
        <v>18718.514000000003</v>
      </c>
      <c r="AP858" s="628">
        <f t="shared" si="191"/>
        <v>41069.380000000005</v>
      </c>
      <c r="AQ858" s="626">
        <f t="shared" si="191"/>
        <v>16508.428</v>
      </c>
      <c r="AR858" s="627">
        <f t="shared" si="191"/>
        <v>2942.06</v>
      </c>
      <c r="AS858" s="628">
        <f t="shared" si="191"/>
        <v>19281.198</v>
      </c>
      <c r="AT858" s="626">
        <f t="shared" si="191"/>
        <v>28502.489999999998</v>
      </c>
      <c r="AU858" s="627">
        <f t="shared" si="191"/>
        <v>24118.089999999997</v>
      </c>
      <c r="AV858" s="628">
        <f t="shared" si="191"/>
        <v>42595.08</v>
      </c>
      <c r="AW858" s="626">
        <f t="shared" si="191"/>
        <v>34146.925259999996</v>
      </c>
      <c r="AX858" s="627">
        <f t="shared" si="191"/>
        <v>5111.1797646000005</v>
      </c>
      <c r="AY858" s="628">
        <f t="shared" si="191"/>
        <v>37532.897001000005</v>
      </c>
      <c r="AZ858" s="626">
        <f t="shared" si="191"/>
        <v>96731.456404000011</v>
      </c>
      <c r="BA858" s="627">
        <f t="shared" si="191"/>
        <v>66274.972855999993</v>
      </c>
      <c r="BB858" s="628">
        <f t="shared" si="191"/>
        <v>102598.08322</v>
      </c>
      <c r="BC858" s="626">
        <f t="shared" si="191"/>
        <v>86407.501560000004</v>
      </c>
      <c r="BD858" s="627">
        <f t="shared" si="191"/>
        <v>78336.009999999995</v>
      </c>
      <c r="BE858" s="628">
        <f t="shared" si="191"/>
        <v>120951.31</v>
      </c>
      <c r="BF858" s="626">
        <f t="shared" si="191"/>
        <v>13711.936000000002</v>
      </c>
      <c r="BG858" s="627">
        <f t="shared" si="191"/>
        <v>8706.42</v>
      </c>
      <c r="BH858" s="628">
        <f t="shared" si="191"/>
        <v>12101.41</v>
      </c>
      <c r="BI858" s="626">
        <f t="shared" si="191"/>
        <v>20523.012200000001</v>
      </c>
      <c r="BJ858" s="627">
        <f t="shared" si="191"/>
        <v>25360.893399999997</v>
      </c>
      <c r="BK858" s="628">
        <f t="shared" si="191"/>
        <v>32602.393980000001</v>
      </c>
      <c r="BL858" s="170"/>
      <c r="BM858" s="166"/>
      <c r="BN858" s="630">
        <f t="shared" si="178"/>
        <v>1380708.201564</v>
      </c>
      <c r="BO858" s="631">
        <f t="shared" si="179"/>
        <v>1267351.1990205999</v>
      </c>
      <c r="BP858" s="632">
        <f t="shared" si="180"/>
        <v>1753290.624781</v>
      </c>
    </row>
    <row r="859" spans="1:68" ht="23.25" customHeight="1" outlineLevel="4" x14ac:dyDescent="0.25">
      <c r="C859" s="10" t="s">
        <v>83</v>
      </c>
      <c r="D859" s="10" t="s">
        <v>84</v>
      </c>
      <c r="E859" s="10" t="s">
        <v>73</v>
      </c>
      <c r="F859" s="10" t="s">
        <v>74</v>
      </c>
      <c r="G859" s="10" t="s">
        <v>194</v>
      </c>
      <c r="H859" s="10" t="s">
        <v>73</v>
      </c>
      <c r="I859" s="10" t="s">
        <v>73</v>
      </c>
      <c r="K859" s="12" t="s">
        <v>73</v>
      </c>
      <c r="L859" s="10" t="s">
        <v>192</v>
      </c>
      <c r="M859" s="5" t="str">
        <f t="array" ref="M859">Y806</f>
        <v>1ХВС::1.1</v>
      </c>
      <c r="AB859" s="29" t="str">
        <f>AB858&amp;".1"</f>
        <v>3.1.1.1.1</v>
      </c>
      <c r="AC859" s="174" t="s">
        <v>195</v>
      </c>
      <c r="AD859" s="370" t="s">
        <v>111</v>
      </c>
      <c r="AE859" s="175">
        <f t="shared" ref="AE859:BK859" si="192">AE860+AE861+AE862</f>
        <v>44603.644</v>
      </c>
      <c r="AF859" s="73">
        <f t="shared" si="192"/>
        <v>22642.010000000002</v>
      </c>
      <c r="AG859" s="176">
        <f t="shared" si="192"/>
        <v>49303.88</v>
      </c>
      <c r="AH859" s="179">
        <f t="shared" si="192"/>
        <v>842.17000000000007</v>
      </c>
      <c r="AI859" s="73">
        <f t="shared" si="192"/>
        <v>35.909999999999997</v>
      </c>
      <c r="AJ859" s="74">
        <f t="shared" si="192"/>
        <v>922.44999999999993</v>
      </c>
      <c r="AK859" s="179">
        <f t="shared" si="192"/>
        <v>1995.27</v>
      </c>
      <c r="AL859" s="73">
        <f t="shared" si="192"/>
        <v>658.88</v>
      </c>
      <c r="AM859" s="74">
        <f t="shared" si="192"/>
        <v>2195.4499999999998</v>
      </c>
      <c r="AN859" s="179">
        <f t="shared" si="192"/>
        <v>2589.88</v>
      </c>
      <c r="AO859" s="73">
        <f t="shared" si="192"/>
        <v>2136.4699999999998</v>
      </c>
      <c r="AP859" s="74">
        <f t="shared" si="192"/>
        <v>2775.8199999999997</v>
      </c>
      <c r="AQ859" s="179">
        <f t="shared" si="192"/>
        <v>928.06500000000005</v>
      </c>
      <c r="AR859" s="73">
        <f t="shared" si="192"/>
        <v>450.12</v>
      </c>
      <c r="AS859" s="74">
        <f t="shared" si="192"/>
        <v>1021.1700000000001</v>
      </c>
      <c r="AT859" s="179">
        <f t="shared" si="192"/>
        <v>2530.02</v>
      </c>
      <c r="AU859" s="73">
        <f t="shared" si="192"/>
        <v>0</v>
      </c>
      <c r="AV859" s="74">
        <f t="shared" si="192"/>
        <v>2739.02</v>
      </c>
      <c r="AW859" s="179">
        <f t="shared" si="192"/>
        <v>3184.817</v>
      </c>
      <c r="AX859" s="73">
        <f t="shared" si="192"/>
        <v>0</v>
      </c>
      <c r="AY859" s="74">
        <f t="shared" si="192"/>
        <v>2593.018</v>
      </c>
      <c r="AZ859" s="179">
        <f t="shared" si="192"/>
        <v>9184.630000000001</v>
      </c>
      <c r="BA859" s="73">
        <f t="shared" si="192"/>
        <v>515.59400000000005</v>
      </c>
      <c r="BB859" s="74">
        <f t="shared" si="192"/>
        <v>10088.925999999999</v>
      </c>
      <c r="BC859" s="179">
        <f t="shared" si="192"/>
        <v>7540.8859999999995</v>
      </c>
      <c r="BD859" s="73">
        <f t="shared" si="192"/>
        <v>5850.4500000000007</v>
      </c>
      <c r="BE859" s="74">
        <f t="shared" si="192"/>
        <v>13680.76</v>
      </c>
      <c r="BF859" s="179">
        <f t="shared" si="192"/>
        <v>1109.3779999999999</v>
      </c>
      <c r="BG859" s="73">
        <f t="shared" si="192"/>
        <v>1114.01</v>
      </c>
      <c r="BH859" s="74">
        <f t="shared" si="192"/>
        <v>948.4</v>
      </c>
      <c r="BI859" s="72">
        <f t="shared" si="192"/>
        <v>973.58500000000004</v>
      </c>
      <c r="BJ859" s="73">
        <f t="shared" si="192"/>
        <v>603.79</v>
      </c>
      <c r="BK859" s="74">
        <f t="shared" si="192"/>
        <v>1195.17</v>
      </c>
      <c r="BN859" s="125">
        <f t="shared" si="178"/>
        <v>75482.345000000001</v>
      </c>
      <c r="BO859" s="126">
        <f t="shared" si="179"/>
        <v>34007.234000000004</v>
      </c>
      <c r="BP859" s="127">
        <f t="shared" si="180"/>
        <v>87464.063999999984</v>
      </c>
    </row>
    <row r="860" spans="1:68" ht="15.75" hidden="1" customHeight="1" outlineLevel="4" x14ac:dyDescent="0.25">
      <c r="C860" s="10" t="s">
        <v>83</v>
      </c>
      <c r="D860" s="10" t="s">
        <v>84</v>
      </c>
      <c r="E860" s="10" t="s">
        <v>73</v>
      </c>
      <c r="F860" s="10" t="s">
        <v>74</v>
      </c>
      <c r="G860" s="10" t="s">
        <v>196</v>
      </c>
      <c r="H860" s="10" t="s">
        <v>73</v>
      </c>
      <c r="I860" s="10" t="s">
        <v>73</v>
      </c>
      <c r="K860" s="12" t="s">
        <v>73</v>
      </c>
      <c r="L860" s="10" t="s">
        <v>192</v>
      </c>
      <c r="M860" s="5" t="str">
        <f t="array" ref="M860">Y806</f>
        <v>1ХВС::1.1</v>
      </c>
      <c r="AB860" s="29" t="str">
        <f>AB859&amp;".1"</f>
        <v>3.1.1.1.1.1</v>
      </c>
      <c r="AC860" s="177" t="s">
        <v>196</v>
      </c>
      <c r="AD860" s="370" t="s">
        <v>111</v>
      </c>
      <c r="AE860" s="175"/>
      <c r="AF860" s="73"/>
      <c r="AG860" s="176"/>
      <c r="AH860" s="179"/>
      <c r="AI860" s="178"/>
      <c r="AJ860" s="74"/>
      <c r="AK860" s="179"/>
      <c r="AL860" s="178"/>
      <c r="AM860" s="74"/>
      <c r="AN860" s="179"/>
      <c r="AO860" s="178"/>
      <c r="AP860" s="74"/>
      <c r="AQ860" s="179"/>
      <c r="AR860" s="178"/>
      <c r="AS860" s="74"/>
      <c r="AT860" s="179"/>
      <c r="AU860" s="178"/>
      <c r="AV860" s="74"/>
      <c r="AW860" s="179"/>
      <c r="AX860" s="178"/>
      <c r="AY860" s="74"/>
      <c r="AZ860" s="179"/>
      <c r="BA860" s="178"/>
      <c r="BB860" s="74"/>
      <c r="BC860" s="179"/>
      <c r="BD860" s="178"/>
      <c r="BE860" s="74"/>
      <c r="BF860" s="179"/>
      <c r="BG860" s="178"/>
      <c r="BH860" s="74"/>
      <c r="BI860" s="72"/>
      <c r="BJ860" s="178"/>
      <c r="BK860" s="74"/>
      <c r="BN860" s="125">
        <f t="shared" si="178"/>
        <v>0</v>
      </c>
      <c r="BO860" s="126">
        <f t="shared" si="179"/>
        <v>0</v>
      </c>
      <c r="BP860" s="127">
        <f t="shared" si="180"/>
        <v>0</v>
      </c>
    </row>
    <row r="861" spans="1:68" ht="18" customHeight="1" outlineLevel="4" x14ac:dyDescent="0.25">
      <c r="C861" s="10" t="s">
        <v>83</v>
      </c>
      <c r="D861" s="10" t="s">
        <v>84</v>
      </c>
      <c r="E861" s="10" t="s">
        <v>73</v>
      </c>
      <c r="F861" s="10" t="s">
        <v>74</v>
      </c>
      <c r="G861" s="10" t="s">
        <v>197</v>
      </c>
      <c r="H861" s="10" t="s">
        <v>73</v>
      </c>
      <c r="I861" s="10" t="s">
        <v>73</v>
      </c>
      <c r="K861" s="12" t="s">
        <v>73</v>
      </c>
      <c r="L861" s="10" t="s">
        <v>192</v>
      </c>
      <c r="M861" s="5" t="str">
        <f t="array" ref="M861">Y806</f>
        <v>1ХВС::1.1</v>
      </c>
      <c r="AB861" s="29" t="str">
        <f>AB859&amp;".2"</f>
        <v>3.1.1.1.1.2</v>
      </c>
      <c r="AC861" s="177" t="s">
        <v>197</v>
      </c>
      <c r="AD861" s="370" t="s">
        <v>111</v>
      </c>
      <c r="AE861" s="445">
        <f t="shared" ref="AE861:BK861" si="193">AE151+AE515</f>
        <v>20668.701000000001</v>
      </c>
      <c r="AF861" s="178">
        <f t="shared" si="193"/>
        <v>11827.26</v>
      </c>
      <c r="AG861" s="446">
        <f t="shared" si="193"/>
        <v>22733.39</v>
      </c>
      <c r="AH861" s="636">
        <f t="shared" si="193"/>
        <v>175.23000000000002</v>
      </c>
      <c r="AI861" s="178">
        <f t="shared" si="193"/>
        <v>2.94</v>
      </c>
      <c r="AJ861" s="446">
        <f t="shared" si="193"/>
        <v>191.9</v>
      </c>
      <c r="AK861" s="445">
        <f t="shared" si="193"/>
        <v>435.98</v>
      </c>
      <c r="AL861" s="178">
        <f t="shared" si="193"/>
        <v>255.31</v>
      </c>
      <c r="AM861" s="446">
        <f t="shared" si="193"/>
        <v>479.73</v>
      </c>
      <c r="AN861" s="445">
        <f t="shared" si="193"/>
        <v>389.56</v>
      </c>
      <c r="AO861" s="178">
        <f t="shared" si="193"/>
        <v>242.61999999999998</v>
      </c>
      <c r="AP861" s="446">
        <f t="shared" si="193"/>
        <v>428.64</v>
      </c>
      <c r="AQ861" s="445">
        <f t="shared" si="193"/>
        <v>467.31</v>
      </c>
      <c r="AR861" s="178">
        <f t="shared" si="193"/>
        <v>258.68</v>
      </c>
      <c r="AS861" s="446">
        <f t="shared" si="193"/>
        <v>514.23</v>
      </c>
      <c r="AT861" s="445">
        <f t="shared" si="193"/>
        <v>967.02</v>
      </c>
      <c r="AU861" s="178">
        <f t="shared" si="193"/>
        <v>0</v>
      </c>
      <c r="AV861" s="446">
        <f t="shared" si="193"/>
        <v>1019.85</v>
      </c>
      <c r="AW861" s="445">
        <f t="shared" si="193"/>
        <v>1727.4989999999998</v>
      </c>
      <c r="AX861" s="178">
        <f t="shared" si="193"/>
        <v>0</v>
      </c>
      <c r="AY861" s="446">
        <f t="shared" si="193"/>
        <v>1900.825</v>
      </c>
      <c r="AZ861" s="445">
        <f t="shared" si="193"/>
        <v>2795.83</v>
      </c>
      <c r="BA861" s="178">
        <f t="shared" si="193"/>
        <v>515.59400000000005</v>
      </c>
      <c r="BB861" s="446">
        <f t="shared" si="193"/>
        <v>3059.2090000000003</v>
      </c>
      <c r="BC861" s="445">
        <f t="shared" si="193"/>
        <v>3681.5699999999997</v>
      </c>
      <c r="BD861" s="178">
        <f t="shared" si="193"/>
        <v>5733.06</v>
      </c>
      <c r="BE861" s="446">
        <f t="shared" si="193"/>
        <v>7625.83</v>
      </c>
      <c r="BF861" s="445">
        <f t="shared" si="193"/>
        <v>336.99799999999999</v>
      </c>
      <c r="BG861" s="178">
        <f t="shared" si="193"/>
        <v>99.960000000000008</v>
      </c>
      <c r="BH861" s="446">
        <f t="shared" si="193"/>
        <v>202.38499999999999</v>
      </c>
      <c r="BI861" s="445">
        <f t="shared" si="193"/>
        <v>292.30500000000001</v>
      </c>
      <c r="BJ861" s="178">
        <f t="shared" si="193"/>
        <v>141.54000000000002</v>
      </c>
      <c r="BK861" s="446">
        <f t="shared" si="193"/>
        <v>441.22</v>
      </c>
      <c r="BN861" s="125">
        <f t="shared" si="178"/>
        <v>31938.003000000004</v>
      </c>
      <c r="BO861" s="126">
        <f t="shared" si="179"/>
        <v>19076.964000000004</v>
      </c>
      <c r="BP861" s="127">
        <f t="shared" si="180"/>
        <v>38597.209000000003</v>
      </c>
    </row>
    <row r="862" spans="1:68" ht="18" customHeight="1" outlineLevel="4" x14ac:dyDescent="0.25">
      <c r="C862" s="10" t="s">
        <v>83</v>
      </c>
      <c r="D862" s="10" t="s">
        <v>84</v>
      </c>
      <c r="E862" s="10" t="s">
        <v>73</v>
      </c>
      <c r="F862" s="10" t="s">
        <v>74</v>
      </c>
      <c r="G862" s="10" t="s">
        <v>198</v>
      </c>
      <c r="H862" s="10" t="s">
        <v>73</v>
      </c>
      <c r="I862" s="10" t="s">
        <v>73</v>
      </c>
      <c r="K862" s="12" t="s">
        <v>73</v>
      </c>
      <c r="L862" s="10" t="s">
        <v>192</v>
      </c>
      <c r="M862" s="5" t="str">
        <f t="array" ref="M862">Y806</f>
        <v>1ХВС::1.1</v>
      </c>
      <c r="AB862" s="29" t="str">
        <f>AB859&amp;".3"</f>
        <v>3.1.1.1.1.3</v>
      </c>
      <c r="AC862" s="177" t="s">
        <v>198</v>
      </c>
      <c r="AD862" s="370" t="s">
        <v>111</v>
      </c>
      <c r="AE862" s="445">
        <f t="shared" ref="AE862:BK862" si="194">AE152+AE516</f>
        <v>23934.942999999999</v>
      </c>
      <c r="AF862" s="178">
        <f t="shared" si="194"/>
        <v>10814.750000000002</v>
      </c>
      <c r="AG862" s="446">
        <f t="shared" si="194"/>
        <v>26570.489999999998</v>
      </c>
      <c r="AH862" s="636">
        <f t="shared" si="194"/>
        <v>666.94</v>
      </c>
      <c r="AI862" s="178">
        <f t="shared" si="194"/>
        <v>32.97</v>
      </c>
      <c r="AJ862" s="446">
        <f t="shared" si="194"/>
        <v>730.55</v>
      </c>
      <c r="AK862" s="445">
        <f t="shared" si="194"/>
        <v>1559.29</v>
      </c>
      <c r="AL862" s="178">
        <f t="shared" si="194"/>
        <v>403.57</v>
      </c>
      <c r="AM862" s="446">
        <f t="shared" si="194"/>
        <v>1715.72</v>
      </c>
      <c r="AN862" s="445">
        <f t="shared" si="194"/>
        <v>2200.3200000000002</v>
      </c>
      <c r="AO862" s="178">
        <f t="shared" si="194"/>
        <v>1893.85</v>
      </c>
      <c r="AP862" s="446">
        <f t="shared" si="194"/>
        <v>2347.1799999999998</v>
      </c>
      <c r="AQ862" s="445">
        <f t="shared" si="194"/>
        <v>460.755</v>
      </c>
      <c r="AR862" s="178">
        <f t="shared" si="194"/>
        <v>191.44</v>
      </c>
      <c r="AS862" s="446">
        <f t="shared" si="194"/>
        <v>506.94</v>
      </c>
      <c r="AT862" s="445">
        <f t="shared" si="194"/>
        <v>1563</v>
      </c>
      <c r="AU862" s="178">
        <f t="shared" si="194"/>
        <v>0</v>
      </c>
      <c r="AV862" s="446">
        <f t="shared" si="194"/>
        <v>1719.17</v>
      </c>
      <c r="AW862" s="445">
        <f t="shared" si="194"/>
        <v>1457.318</v>
      </c>
      <c r="AX862" s="178">
        <f t="shared" si="194"/>
        <v>0</v>
      </c>
      <c r="AY862" s="446">
        <f t="shared" si="194"/>
        <v>692.19299999999998</v>
      </c>
      <c r="AZ862" s="445">
        <f t="shared" si="194"/>
        <v>6388.8</v>
      </c>
      <c r="BA862" s="178">
        <f t="shared" si="194"/>
        <v>0</v>
      </c>
      <c r="BB862" s="446">
        <f t="shared" si="194"/>
        <v>7029.7169999999996</v>
      </c>
      <c r="BC862" s="445">
        <f t="shared" si="194"/>
        <v>3859.3159999999998</v>
      </c>
      <c r="BD862" s="178">
        <f t="shared" si="194"/>
        <v>117.39</v>
      </c>
      <c r="BE862" s="446">
        <f t="shared" si="194"/>
        <v>6054.93</v>
      </c>
      <c r="BF862" s="445">
        <f t="shared" si="194"/>
        <v>772.38</v>
      </c>
      <c r="BG862" s="178">
        <f t="shared" si="194"/>
        <v>1014.0500000000001</v>
      </c>
      <c r="BH862" s="446">
        <f t="shared" si="194"/>
        <v>746.01499999999999</v>
      </c>
      <c r="BI862" s="445">
        <f t="shared" si="194"/>
        <v>681.28</v>
      </c>
      <c r="BJ862" s="178">
        <f t="shared" si="194"/>
        <v>462.25</v>
      </c>
      <c r="BK862" s="446">
        <f t="shared" si="194"/>
        <v>753.95</v>
      </c>
      <c r="BN862" s="125">
        <f t="shared" si="178"/>
        <v>43544.341999999997</v>
      </c>
      <c r="BO862" s="126">
        <f t="shared" si="179"/>
        <v>14930.27</v>
      </c>
      <c r="BP862" s="127">
        <f t="shared" si="180"/>
        <v>48866.854999999989</v>
      </c>
    </row>
    <row r="863" spans="1:68" ht="35.25" customHeight="1" outlineLevel="4" x14ac:dyDescent="0.25">
      <c r="C863" s="10" t="s">
        <v>83</v>
      </c>
      <c r="D863" s="10" t="s">
        <v>84</v>
      </c>
      <c r="E863" s="10" t="s">
        <v>73</v>
      </c>
      <c r="F863" s="10" t="s">
        <v>74</v>
      </c>
      <c r="G863" s="10" t="s">
        <v>199</v>
      </c>
      <c r="H863" s="10" t="s">
        <v>73</v>
      </c>
      <c r="I863" s="10" t="s">
        <v>73</v>
      </c>
      <c r="K863" s="12" t="s">
        <v>73</v>
      </c>
      <c r="L863" s="10" t="s">
        <v>192</v>
      </c>
      <c r="M863" s="5" t="str">
        <f t="array" ref="M863">Y806</f>
        <v>1ХВС::1.1</v>
      </c>
      <c r="AB863" s="29" t="str">
        <f>AB858&amp;".2"</f>
        <v>3.1.1.1.2</v>
      </c>
      <c r="AC863" s="174" t="s">
        <v>200</v>
      </c>
      <c r="AD863" s="370" t="s">
        <v>111</v>
      </c>
      <c r="AE863" s="445"/>
      <c r="AF863" s="178">
        <f>AF517</f>
        <v>1027.3800000000001</v>
      </c>
      <c r="AG863" s="96">
        <f>AG517</f>
        <v>1085.22</v>
      </c>
      <c r="AH863" s="636"/>
      <c r="AI863" s="178">
        <f>AI517</f>
        <v>0</v>
      </c>
      <c r="AJ863" s="96">
        <f>AJ517</f>
        <v>0</v>
      </c>
      <c r="AK863" s="445"/>
      <c r="AL863" s="178">
        <f>AL517</f>
        <v>0</v>
      </c>
      <c r="AM863" s="96">
        <f>AM517</f>
        <v>0</v>
      </c>
      <c r="AN863" s="445"/>
      <c r="AO863" s="178">
        <f>AO517</f>
        <v>54.14</v>
      </c>
      <c r="AP863" s="96">
        <f>AP517</f>
        <v>0</v>
      </c>
      <c r="AQ863" s="445"/>
      <c r="AR863" s="178">
        <f>AR517</f>
        <v>0</v>
      </c>
      <c r="AS863" s="96">
        <f>AS517</f>
        <v>0</v>
      </c>
      <c r="AT863" s="445"/>
      <c r="AU863" s="178">
        <f>AU517</f>
        <v>0</v>
      </c>
      <c r="AV863" s="96">
        <f>AV517</f>
        <v>0</v>
      </c>
      <c r="AW863" s="445"/>
      <c r="AX863" s="178">
        <f>AX517</f>
        <v>0</v>
      </c>
      <c r="AY863" s="96">
        <f>AY517</f>
        <v>0</v>
      </c>
      <c r="AZ863" s="445"/>
      <c r="BA863" s="178">
        <f>BA517</f>
        <v>0</v>
      </c>
      <c r="BB863" s="96">
        <f>BB517</f>
        <v>0</v>
      </c>
      <c r="BC863" s="445"/>
      <c r="BD863" s="178">
        <f>BD517</f>
        <v>0</v>
      </c>
      <c r="BE863" s="96">
        <f>BE517</f>
        <v>0</v>
      </c>
      <c r="BF863" s="445"/>
      <c r="BG863" s="178">
        <f>BG517</f>
        <v>0</v>
      </c>
      <c r="BH863" s="96">
        <f>BH517</f>
        <v>0</v>
      </c>
      <c r="BI863" s="445"/>
      <c r="BJ863" s="178">
        <f>BJ517</f>
        <v>0</v>
      </c>
      <c r="BK863" s="96">
        <f>BK517</f>
        <v>0</v>
      </c>
      <c r="BN863" s="125">
        <f t="shared" si="178"/>
        <v>0</v>
      </c>
      <c r="BO863" s="126">
        <f t="shared" si="179"/>
        <v>1081.5200000000002</v>
      </c>
      <c r="BP863" s="127">
        <f t="shared" si="180"/>
        <v>1085.22</v>
      </c>
    </row>
    <row r="864" spans="1:68" ht="36.75" customHeight="1" outlineLevel="4" x14ac:dyDescent="0.25">
      <c r="C864" s="10" t="s">
        <v>83</v>
      </c>
      <c r="D864" s="10" t="s">
        <v>84</v>
      </c>
      <c r="E864" s="10" t="s">
        <v>73</v>
      </c>
      <c r="F864" s="10" t="s">
        <v>74</v>
      </c>
      <c r="G864" s="10" t="s">
        <v>201</v>
      </c>
      <c r="H864" s="10" t="s">
        <v>202</v>
      </c>
      <c r="I864" s="10" t="s">
        <v>73</v>
      </c>
      <c r="K864" s="12" t="s">
        <v>73</v>
      </c>
      <c r="L864" s="10" t="s">
        <v>192</v>
      </c>
      <c r="M864" s="5" t="str">
        <f t="array" ref="M864">Y806</f>
        <v>1ХВС::1.1</v>
      </c>
      <c r="AB864" s="29" t="str">
        <f>AB858&amp;".3"</f>
        <v>3.1.1.1.3</v>
      </c>
      <c r="AC864" s="174" t="s">
        <v>203</v>
      </c>
      <c r="AD864" s="370" t="s">
        <v>111</v>
      </c>
      <c r="AE864" s="175">
        <f t="shared" ref="AE864:BK864" si="195">AE865+AE868</f>
        <v>745469.88808000006</v>
      </c>
      <c r="AF864" s="73">
        <f t="shared" si="195"/>
        <v>926794.3899999999</v>
      </c>
      <c r="AG864" s="176">
        <f t="shared" si="195"/>
        <v>1036697.5645</v>
      </c>
      <c r="AH864" s="179">
        <f t="shared" si="195"/>
        <v>11880.789059999999</v>
      </c>
      <c r="AI864" s="73">
        <f t="shared" si="195"/>
        <v>4610.67</v>
      </c>
      <c r="AJ864" s="74">
        <f t="shared" si="195"/>
        <v>19296.147779999999</v>
      </c>
      <c r="AK864" s="179">
        <f t="shared" si="195"/>
        <v>12553.199999999999</v>
      </c>
      <c r="AL864" s="73">
        <f t="shared" si="195"/>
        <v>2713.1590000000001</v>
      </c>
      <c r="AM864" s="74">
        <f t="shared" si="195"/>
        <v>13317.27</v>
      </c>
      <c r="AN864" s="179">
        <f t="shared" si="195"/>
        <v>20814.238000000001</v>
      </c>
      <c r="AO864" s="73">
        <f t="shared" si="195"/>
        <v>15622.030000000002</v>
      </c>
      <c r="AP864" s="74">
        <f t="shared" si="195"/>
        <v>28114.41</v>
      </c>
      <c r="AQ864" s="179">
        <f t="shared" si="195"/>
        <v>12764.402999999998</v>
      </c>
      <c r="AR864" s="73">
        <f t="shared" si="195"/>
        <v>2439.8000000000002</v>
      </c>
      <c r="AS864" s="74">
        <f t="shared" si="195"/>
        <v>13225.138000000001</v>
      </c>
      <c r="AT864" s="179">
        <f t="shared" si="195"/>
        <v>20996.17</v>
      </c>
      <c r="AU864" s="73">
        <f t="shared" si="195"/>
        <v>24118.089999999997</v>
      </c>
      <c r="AV864" s="74">
        <f t="shared" si="195"/>
        <v>30895.98</v>
      </c>
      <c r="AW864" s="179">
        <f t="shared" si="195"/>
        <v>21573.658259999997</v>
      </c>
      <c r="AX864" s="73">
        <f t="shared" si="195"/>
        <v>5111.1797646000005</v>
      </c>
      <c r="AY864" s="74">
        <f t="shared" si="195"/>
        <v>21555.815001000003</v>
      </c>
      <c r="AZ864" s="179">
        <f t="shared" si="195"/>
        <v>65799.697404000006</v>
      </c>
      <c r="BA864" s="73">
        <f t="shared" si="195"/>
        <v>61137.008856</v>
      </c>
      <c r="BB864" s="74">
        <f t="shared" si="195"/>
        <v>68379.230219999998</v>
      </c>
      <c r="BC864" s="179">
        <f t="shared" si="195"/>
        <v>57013.565560000003</v>
      </c>
      <c r="BD864" s="73">
        <f t="shared" si="195"/>
        <v>72014.099999999991</v>
      </c>
      <c r="BE864" s="74">
        <f t="shared" si="195"/>
        <v>80504.210000000006</v>
      </c>
      <c r="BF864" s="139">
        <f t="shared" si="195"/>
        <v>7288.51</v>
      </c>
      <c r="BG864" s="140">
        <f t="shared" si="195"/>
        <v>6651.53</v>
      </c>
      <c r="BH864" s="143">
        <f t="shared" si="195"/>
        <v>4306.62</v>
      </c>
      <c r="BI864" s="142">
        <f t="shared" si="195"/>
        <v>15877.5622</v>
      </c>
      <c r="BJ864" s="140">
        <f t="shared" si="195"/>
        <v>22161.633399999999</v>
      </c>
      <c r="BK864" s="143">
        <f t="shared" si="195"/>
        <v>25402.62398</v>
      </c>
      <c r="BN864" s="125">
        <f t="shared" si="178"/>
        <v>992031.6815640002</v>
      </c>
      <c r="BO864" s="126">
        <f t="shared" si="179"/>
        <v>1143373.5910205999</v>
      </c>
      <c r="BP864" s="127">
        <f t="shared" si="180"/>
        <v>1341695.009481</v>
      </c>
    </row>
    <row r="865" spans="1:68" ht="36" customHeight="1" outlineLevel="4" x14ac:dyDescent="0.25">
      <c r="C865" s="10" t="s">
        <v>83</v>
      </c>
      <c r="D865" s="10" t="s">
        <v>84</v>
      </c>
      <c r="E865" s="10" t="s">
        <v>73</v>
      </c>
      <c r="F865" s="10" t="s">
        <v>74</v>
      </c>
      <c r="G865" s="10" t="s">
        <v>204</v>
      </c>
      <c r="H865" s="10" t="s">
        <v>202</v>
      </c>
      <c r="I865" s="10" t="s">
        <v>73</v>
      </c>
      <c r="K865" s="12" t="s">
        <v>73</v>
      </c>
      <c r="L865" s="10" t="s">
        <v>192</v>
      </c>
      <c r="M865" s="5" t="str">
        <f t="array" ref="M865">Y806</f>
        <v>1ХВС::1.1</v>
      </c>
      <c r="AB865" s="29" t="str">
        <f>AB864&amp;".1"</f>
        <v>3.1.1.1.3.1</v>
      </c>
      <c r="AC865" s="177" t="s">
        <v>205</v>
      </c>
      <c r="AD865" s="370" t="s">
        <v>111</v>
      </c>
      <c r="AE865" s="445">
        <f t="shared" ref="AE865:BK865" si="196">AE155+AE519</f>
        <v>570417.84100000001</v>
      </c>
      <c r="AF865" s="178">
        <f t="shared" si="196"/>
        <v>710111.71</v>
      </c>
      <c r="AG865" s="446">
        <f t="shared" si="196"/>
        <v>796234.69</v>
      </c>
      <c r="AH865" s="636">
        <f t="shared" si="196"/>
        <v>9125.0299999999988</v>
      </c>
      <c r="AI865" s="178">
        <f t="shared" si="196"/>
        <v>3540.67</v>
      </c>
      <c r="AJ865" s="446">
        <f t="shared" si="196"/>
        <v>14820.39</v>
      </c>
      <c r="AK865" s="445">
        <f t="shared" si="196"/>
        <v>9641.48</v>
      </c>
      <c r="AL865" s="178">
        <f t="shared" si="196"/>
        <v>2083.8389999999999</v>
      </c>
      <c r="AM865" s="446">
        <f t="shared" si="196"/>
        <v>10228.32</v>
      </c>
      <c r="AN865" s="445">
        <f t="shared" si="196"/>
        <v>15986.358</v>
      </c>
      <c r="AO865" s="178">
        <f t="shared" si="196"/>
        <v>11998.480000000001</v>
      </c>
      <c r="AP865" s="446">
        <f t="shared" si="196"/>
        <v>21593.25</v>
      </c>
      <c r="AQ865" s="445">
        <f t="shared" si="196"/>
        <v>9803.6929999999993</v>
      </c>
      <c r="AR865" s="178">
        <f t="shared" si="196"/>
        <v>1873.89</v>
      </c>
      <c r="AS865" s="446">
        <f t="shared" si="196"/>
        <v>10157.558000000001</v>
      </c>
      <c r="AT865" s="445">
        <f t="shared" si="196"/>
        <v>16126.09</v>
      </c>
      <c r="AU865" s="178">
        <f t="shared" si="196"/>
        <v>18523.879999999997</v>
      </c>
      <c r="AV865" s="446">
        <f t="shared" si="196"/>
        <v>23729.63</v>
      </c>
      <c r="AW865" s="445">
        <f t="shared" si="196"/>
        <v>16569.629999999997</v>
      </c>
      <c r="AX865" s="178">
        <f t="shared" si="196"/>
        <v>3925.6373000000003</v>
      </c>
      <c r="AY865" s="446">
        <f t="shared" si="196"/>
        <v>16555.925500000001</v>
      </c>
      <c r="AZ865" s="445">
        <f t="shared" si="196"/>
        <v>50537.402000000002</v>
      </c>
      <c r="BA865" s="178">
        <f t="shared" si="196"/>
        <v>46956.228000000003</v>
      </c>
      <c r="BB865" s="446">
        <f t="shared" si="196"/>
        <v>52518.61</v>
      </c>
      <c r="BC865" s="445">
        <f t="shared" si="196"/>
        <v>43789.221000000005</v>
      </c>
      <c r="BD865" s="178">
        <f t="shared" si="196"/>
        <v>55310.369999999995</v>
      </c>
      <c r="BE865" s="446">
        <f t="shared" si="196"/>
        <v>61831.19</v>
      </c>
      <c r="BF865" s="445">
        <f t="shared" si="196"/>
        <v>5597.93</v>
      </c>
      <c r="BG865" s="178">
        <f t="shared" si="196"/>
        <v>5108.7</v>
      </c>
      <c r="BH865" s="446">
        <f t="shared" si="196"/>
        <v>3307.7</v>
      </c>
      <c r="BI865" s="445">
        <f t="shared" si="196"/>
        <v>12194.75</v>
      </c>
      <c r="BJ865" s="178">
        <f t="shared" si="196"/>
        <v>17021.23</v>
      </c>
      <c r="BK865" s="446">
        <f t="shared" si="196"/>
        <v>19510.464</v>
      </c>
      <c r="BN865" s="125">
        <f t="shared" si="178"/>
        <v>759789.42500000005</v>
      </c>
      <c r="BO865" s="126">
        <f t="shared" si="179"/>
        <v>876454.63429999992</v>
      </c>
      <c r="BP865" s="127">
        <f t="shared" si="180"/>
        <v>1030487.7274999999</v>
      </c>
    </row>
    <row r="866" spans="1:68" s="115" customFormat="1" ht="17.25" customHeight="1" outlineLevel="4" x14ac:dyDescent="0.25">
      <c r="A866" s="100"/>
      <c r="B866" s="100"/>
      <c r="C866" s="99" t="s">
        <v>206</v>
      </c>
      <c r="D866" s="99" t="s">
        <v>207</v>
      </c>
      <c r="E866" s="99" t="s">
        <v>73</v>
      </c>
      <c r="F866" s="99" t="s">
        <v>74</v>
      </c>
      <c r="G866" s="99" t="s">
        <v>73</v>
      </c>
      <c r="H866" s="99" t="s">
        <v>202</v>
      </c>
      <c r="I866" s="99" t="s">
        <v>73</v>
      </c>
      <c r="J866" s="100"/>
      <c r="K866" s="102" t="s">
        <v>73</v>
      </c>
      <c r="L866" s="99" t="s">
        <v>192</v>
      </c>
      <c r="M866" s="100" t="str">
        <f t="array" ref="M866">Y806</f>
        <v>1ХВС::1.1</v>
      </c>
      <c r="N866" s="100"/>
      <c r="O866" s="100"/>
      <c r="P866" s="100"/>
      <c r="Q866" s="100"/>
      <c r="R866" s="100"/>
      <c r="S866" s="100"/>
      <c r="T866" s="100"/>
      <c r="U866" s="100"/>
      <c r="V866" s="100"/>
      <c r="W866" s="100"/>
      <c r="X866" s="100"/>
      <c r="Y866" s="100"/>
      <c r="Z866" s="100"/>
      <c r="AA866" s="100"/>
      <c r="AB866" s="103" t="str">
        <f>AB865&amp;".1"</f>
        <v>3.1.1.1.3.1.1</v>
      </c>
      <c r="AC866" s="188" t="s">
        <v>208</v>
      </c>
      <c r="AD866" s="637" t="s">
        <v>209</v>
      </c>
      <c r="AE866" s="638">
        <f t="shared" ref="AE866:BK866" si="197">(AE865/AE867)/12*1000</f>
        <v>48092.695349386217</v>
      </c>
      <c r="AF866" s="191">
        <f t="shared" si="197"/>
        <v>51140.300427206392</v>
      </c>
      <c r="AG866" s="639">
        <f t="shared" si="197"/>
        <v>53514.711535876537</v>
      </c>
      <c r="AH866" s="640">
        <f t="shared" si="197"/>
        <v>39563.952480055501</v>
      </c>
      <c r="AI866" s="191">
        <f t="shared" si="197"/>
        <v>15053.869047619048</v>
      </c>
      <c r="AJ866" s="192">
        <f t="shared" si="197"/>
        <v>44586.010830324907</v>
      </c>
      <c r="AK866" s="640">
        <f t="shared" si="197"/>
        <v>46496.334876543209</v>
      </c>
      <c r="AL866" s="191">
        <f t="shared" si="197"/>
        <v>25425.073206442165</v>
      </c>
      <c r="AM866" s="192">
        <f t="shared" si="197"/>
        <v>37715.044247787613</v>
      </c>
      <c r="AN866" s="640">
        <f t="shared" si="197"/>
        <v>49932.402548725637</v>
      </c>
      <c r="AO866" s="191">
        <f t="shared" si="197"/>
        <v>33894.011299435027</v>
      </c>
      <c r="AP866" s="192">
        <f t="shared" si="197"/>
        <v>42240.316901408449</v>
      </c>
      <c r="AQ866" s="640">
        <f t="shared" si="197"/>
        <v>50275.348717948713</v>
      </c>
      <c r="AR866" s="191">
        <f t="shared" si="197"/>
        <v>32131.172839506176</v>
      </c>
      <c r="AS866" s="192">
        <f t="shared" si="197"/>
        <v>45265.409982174693</v>
      </c>
      <c r="AT866" s="640">
        <f t="shared" si="197"/>
        <v>48707.532922556478</v>
      </c>
      <c r="AU866" s="191">
        <f t="shared" si="197"/>
        <v>40094.978354978346</v>
      </c>
      <c r="AV866" s="192">
        <f t="shared" si="197"/>
        <v>41283.281141266532</v>
      </c>
      <c r="AW866" s="640">
        <f t="shared" si="197"/>
        <v>49103.929587482213</v>
      </c>
      <c r="AX866" s="191">
        <f t="shared" si="197"/>
        <v>43618.192222222227</v>
      </c>
      <c r="AY866" s="192">
        <f t="shared" si="197"/>
        <v>44505.176075268821</v>
      </c>
      <c r="AZ866" s="640">
        <f t="shared" si="197"/>
        <v>54341.292473118279</v>
      </c>
      <c r="BA866" s="191">
        <f t="shared" si="197"/>
        <v>42184.33592065546</v>
      </c>
      <c r="BB866" s="192">
        <f t="shared" si="197"/>
        <v>52226.14359586317</v>
      </c>
      <c r="BC866" s="640">
        <f t="shared" si="197"/>
        <v>46970.031535590177</v>
      </c>
      <c r="BD866" s="191">
        <f t="shared" si="197"/>
        <v>45188.210784313727</v>
      </c>
      <c r="BE866" s="192">
        <f t="shared" si="197"/>
        <v>50515.678104575163</v>
      </c>
      <c r="BF866" s="194">
        <f t="shared" si="197"/>
        <v>50705.887681159424</v>
      </c>
      <c r="BG866" s="195">
        <f t="shared" si="197"/>
        <v>34058</v>
      </c>
      <c r="BH866" s="198">
        <f t="shared" si="197"/>
        <v>42406.41025641025</v>
      </c>
      <c r="BI866" s="197">
        <f t="shared" si="197"/>
        <v>48391.865079365081</v>
      </c>
      <c r="BJ866" s="195">
        <f t="shared" si="197"/>
        <v>39032.356448358092</v>
      </c>
      <c r="BK866" s="198">
        <f t="shared" si="197"/>
        <v>43942.486486486479</v>
      </c>
      <c r="BL866" s="111"/>
      <c r="BM866" s="100"/>
      <c r="BN866" s="112">
        <f>(BN865/BN867)/12*1000</f>
        <v>48372.170717048786</v>
      </c>
      <c r="BO866" s="113">
        <f>(BO865/BO867)/12*1000</f>
        <v>48449.032975792477</v>
      </c>
      <c r="BP866" s="114">
        <f>(BP865/BP867)/12*1000</f>
        <v>51740.662343596225</v>
      </c>
    </row>
    <row r="867" spans="1:68" s="115" customFormat="1" ht="16.5" customHeight="1" outlineLevel="4" x14ac:dyDescent="0.25">
      <c r="A867" s="100"/>
      <c r="B867" s="100"/>
      <c r="C867" s="99" t="s">
        <v>210</v>
      </c>
      <c r="D867" s="99" t="s">
        <v>211</v>
      </c>
      <c r="E867" s="99" t="s">
        <v>73</v>
      </c>
      <c r="F867" s="99" t="s">
        <v>74</v>
      </c>
      <c r="G867" s="99" t="s">
        <v>73</v>
      </c>
      <c r="H867" s="99" t="s">
        <v>202</v>
      </c>
      <c r="I867" s="99" t="s">
        <v>73</v>
      </c>
      <c r="J867" s="100"/>
      <c r="K867" s="102" t="s">
        <v>73</v>
      </c>
      <c r="L867" s="99" t="s">
        <v>192</v>
      </c>
      <c r="M867" s="100" t="str">
        <f t="array" ref="M867">Y806</f>
        <v>1ХВС::1.1</v>
      </c>
      <c r="N867" s="100"/>
      <c r="O867" s="100"/>
      <c r="P867" s="100"/>
      <c r="Q867" s="100"/>
      <c r="R867" s="100"/>
      <c r="S867" s="100"/>
      <c r="T867" s="100"/>
      <c r="U867" s="100"/>
      <c r="V867" s="100"/>
      <c r="W867" s="100"/>
      <c r="X867" s="100"/>
      <c r="Y867" s="100"/>
      <c r="Z867" s="100"/>
      <c r="AA867" s="100"/>
      <c r="AB867" s="103" t="str">
        <f>AB865&amp;".2"</f>
        <v>3.1.1.1.3.1.2</v>
      </c>
      <c r="AC867" s="188" t="s">
        <v>212</v>
      </c>
      <c r="AD867" s="637" t="s">
        <v>213</v>
      </c>
      <c r="AE867" s="641">
        <f t="shared" ref="AE867:BK867" si="198">AE157+AE521</f>
        <v>988.4</v>
      </c>
      <c r="AF867" s="200">
        <f t="shared" si="198"/>
        <v>1157.1300000000001</v>
      </c>
      <c r="AG867" s="642">
        <f t="shared" si="198"/>
        <v>1239.9000000000001</v>
      </c>
      <c r="AH867" s="643">
        <f t="shared" si="198"/>
        <v>19.22</v>
      </c>
      <c r="AI867" s="200">
        <f t="shared" si="198"/>
        <v>19.600000000000001</v>
      </c>
      <c r="AJ867" s="642">
        <f t="shared" si="198"/>
        <v>27.7</v>
      </c>
      <c r="AK867" s="641">
        <f t="shared" si="198"/>
        <v>17.28</v>
      </c>
      <c r="AL867" s="200">
        <f t="shared" si="198"/>
        <v>6.83</v>
      </c>
      <c r="AM867" s="642">
        <f t="shared" si="198"/>
        <v>22.6</v>
      </c>
      <c r="AN867" s="641">
        <f t="shared" si="198"/>
        <v>26.68</v>
      </c>
      <c r="AO867" s="200">
        <f t="shared" si="198"/>
        <v>29.5</v>
      </c>
      <c r="AP867" s="642">
        <f t="shared" si="198"/>
        <v>42.6</v>
      </c>
      <c r="AQ867" s="641">
        <f t="shared" si="198"/>
        <v>16.25</v>
      </c>
      <c r="AR867" s="200">
        <f t="shared" si="198"/>
        <v>4.8599999999999994</v>
      </c>
      <c r="AS867" s="642">
        <f t="shared" si="198"/>
        <v>18.7</v>
      </c>
      <c r="AT867" s="641">
        <f t="shared" si="198"/>
        <v>27.59</v>
      </c>
      <c r="AU867" s="200">
        <f t="shared" si="198"/>
        <v>38.5</v>
      </c>
      <c r="AV867" s="642">
        <f t="shared" si="198"/>
        <v>47.9</v>
      </c>
      <c r="AW867" s="641">
        <f t="shared" si="198"/>
        <v>28.12</v>
      </c>
      <c r="AX867" s="200">
        <f t="shared" si="198"/>
        <v>7.5</v>
      </c>
      <c r="AY867" s="642">
        <f t="shared" si="198"/>
        <v>31</v>
      </c>
      <c r="AZ867" s="641">
        <f t="shared" si="198"/>
        <v>77.5</v>
      </c>
      <c r="BA867" s="200">
        <f t="shared" si="198"/>
        <v>92.76</v>
      </c>
      <c r="BB867" s="642">
        <f t="shared" si="198"/>
        <v>83.8</v>
      </c>
      <c r="BC867" s="641">
        <f t="shared" si="198"/>
        <v>77.69</v>
      </c>
      <c r="BD867" s="200">
        <f t="shared" si="198"/>
        <v>102</v>
      </c>
      <c r="BE867" s="642">
        <f t="shared" si="198"/>
        <v>102</v>
      </c>
      <c r="BF867" s="641">
        <f t="shared" si="198"/>
        <v>9.1999999999999993</v>
      </c>
      <c r="BG867" s="200">
        <f t="shared" si="198"/>
        <v>12.5</v>
      </c>
      <c r="BH867" s="642">
        <f t="shared" si="198"/>
        <v>6.5</v>
      </c>
      <c r="BI867" s="641">
        <f t="shared" si="198"/>
        <v>21</v>
      </c>
      <c r="BJ867" s="200">
        <f t="shared" si="198"/>
        <v>36.340000000000003</v>
      </c>
      <c r="BK867" s="642">
        <f t="shared" si="198"/>
        <v>37</v>
      </c>
      <c r="BL867" s="111"/>
      <c r="BM867" s="100"/>
      <c r="BN867" s="112">
        <f t="shared" ref="BN867:BP868" si="199">AE867+AH867+AK867+AN867+AQ867+AT867+AW867+AZ867+BC867+BF867+BI867</f>
        <v>1308.93</v>
      </c>
      <c r="BO867" s="113">
        <f t="shared" si="199"/>
        <v>1507.5199999999998</v>
      </c>
      <c r="BP867" s="114">
        <f t="shared" si="199"/>
        <v>1659.7</v>
      </c>
    </row>
    <row r="868" spans="1:68" ht="15.75" customHeight="1" outlineLevel="4" x14ac:dyDescent="0.25">
      <c r="C868" s="10" t="s">
        <v>83</v>
      </c>
      <c r="D868" s="10" t="s">
        <v>84</v>
      </c>
      <c r="E868" s="10" t="s">
        <v>73</v>
      </c>
      <c r="F868" s="10" t="s">
        <v>74</v>
      </c>
      <c r="G868" s="10" t="s">
        <v>214</v>
      </c>
      <c r="H868" s="10" t="s">
        <v>202</v>
      </c>
      <c r="I868" s="10" t="s">
        <v>73</v>
      </c>
      <c r="K868" s="12" t="s">
        <v>73</v>
      </c>
      <c r="L868" s="10" t="s">
        <v>192</v>
      </c>
      <c r="M868" s="5" t="str">
        <f t="array" ref="M868">Y806</f>
        <v>1ХВС::1.1</v>
      </c>
      <c r="AB868" s="29" t="str">
        <f>AB864&amp;".2"</f>
        <v>3.1.1.1.3.2</v>
      </c>
      <c r="AC868" s="177" t="s">
        <v>215</v>
      </c>
      <c r="AD868" s="370" t="s">
        <v>111</v>
      </c>
      <c r="AE868" s="445">
        <f t="shared" ref="AE868:BK868" si="200">AE158+AE522</f>
        <v>175052.04708000002</v>
      </c>
      <c r="AF868" s="178">
        <f t="shared" si="200"/>
        <v>216682.68</v>
      </c>
      <c r="AG868" s="446">
        <f t="shared" si="200"/>
        <v>240462.87450000001</v>
      </c>
      <c r="AH868" s="636">
        <f t="shared" si="200"/>
        <v>2755.7590599999999</v>
      </c>
      <c r="AI868" s="178">
        <f t="shared" si="200"/>
        <v>1070</v>
      </c>
      <c r="AJ868" s="446">
        <f t="shared" si="200"/>
        <v>4475.7577799999999</v>
      </c>
      <c r="AK868" s="445">
        <f t="shared" si="200"/>
        <v>2911.72</v>
      </c>
      <c r="AL868" s="178">
        <f t="shared" si="200"/>
        <v>629.32000000000005</v>
      </c>
      <c r="AM868" s="446">
        <f t="shared" si="200"/>
        <v>3088.95</v>
      </c>
      <c r="AN868" s="445">
        <f t="shared" si="200"/>
        <v>4827.88</v>
      </c>
      <c r="AO868" s="178">
        <f t="shared" si="200"/>
        <v>3623.55</v>
      </c>
      <c r="AP868" s="446">
        <f t="shared" si="200"/>
        <v>6521.16</v>
      </c>
      <c r="AQ868" s="445">
        <f t="shared" si="200"/>
        <v>2960.71</v>
      </c>
      <c r="AR868" s="178">
        <f t="shared" si="200"/>
        <v>565.91</v>
      </c>
      <c r="AS868" s="446">
        <f t="shared" si="200"/>
        <v>3067.58</v>
      </c>
      <c r="AT868" s="445">
        <f t="shared" si="200"/>
        <v>4870.08</v>
      </c>
      <c r="AU868" s="178">
        <f t="shared" si="200"/>
        <v>5594.21</v>
      </c>
      <c r="AV868" s="446">
        <f t="shared" si="200"/>
        <v>7166.3499999999995</v>
      </c>
      <c r="AW868" s="445">
        <f t="shared" si="200"/>
        <v>5004.0282599999991</v>
      </c>
      <c r="AX868" s="178">
        <f t="shared" si="200"/>
        <v>1185.5424645999999</v>
      </c>
      <c r="AY868" s="446">
        <f t="shared" si="200"/>
        <v>4999.8895009999997</v>
      </c>
      <c r="AZ868" s="445">
        <f t="shared" si="200"/>
        <v>15262.295403999999</v>
      </c>
      <c r="BA868" s="178">
        <f t="shared" si="200"/>
        <v>14180.780855999999</v>
      </c>
      <c r="BB868" s="446">
        <f t="shared" si="200"/>
        <v>15860.620219999997</v>
      </c>
      <c r="BC868" s="445">
        <f t="shared" si="200"/>
        <v>13224.344560000001</v>
      </c>
      <c r="BD868" s="178">
        <f t="shared" si="200"/>
        <v>16703.73</v>
      </c>
      <c r="BE868" s="446">
        <f t="shared" si="200"/>
        <v>18673.02</v>
      </c>
      <c r="BF868" s="445">
        <f t="shared" si="200"/>
        <v>1690.58</v>
      </c>
      <c r="BG868" s="178">
        <f t="shared" si="200"/>
        <v>1542.83</v>
      </c>
      <c r="BH868" s="446">
        <f t="shared" si="200"/>
        <v>998.92000000000007</v>
      </c>
      <c r="BI868" s="445">
        <f t="shared" si="200"/>
        <v>3682.8122000000003</v>
      </c>
      <c r="BJ868" s="178">
        <f t="shared" si="200"/>
        <v>5140.4034000000001</v>
      </c>
      <c r="BK868" s="446">
        <f t="shared" si="200"/>
        <v>5892.1599800000004</v>
      </c>
      <c r="BN868" s="125">
        <f t="shared" si="199"/>
        <v>232242.25656399998</v>
      </c>
      <c r="BO868" s="126">
        <f t="shared" si="199"/>
        <v>266918.95672059996</v>
      </c>
      <c r="BP868" s="127">
        <f t="shared" si="199"/>
        <v>311207.28198099998</v>
      </c>
    </row>
    <row r="869" spans="1:68" ht="21.75" customHeight="1" outlineLevel="4" x14ac:dyDescent="0.25">
      <c r="C869" s="10" t="s">
        <v>216</v>
      </c>
      <c r="D869" s="10" t="s">
        <v>217</v>
      </c>
      <c r="E869" s="10" t="s">
        <v>73</v>
      </c>
      <c r="F869" s="10" t="s">
        <v>74</v>
      </c>
      <c r="G869" s="10" t="s">
        <v>73</v>
      </c>
      <c r="H869" s="10" t="s">
        <v>202</v>
      </c>
      <c r="I869" s="10" t="s">
        <v>73</v>
      </c>
      <c r="K869" s="12" t="s">
        <v>73</v>
      </c>
      <c r="L869" s="10" t="s">
        <v>192</v>
      </c>
      <c r="M869" s="5" t="str">
        <f t="array" ref="M869">Y806</f>
        <v>1ХВС::1.1</v>
      </c>
      <c r="AB869" s="29" t="str">
        <f>AB868&amp;".1"</f>
        <v>3.1.1.1.3.2.1</v>
      </c>
      <c r="AC869" s="208" t="s">
        <v>218</v>
      </c>
      <c r="AD869" s="370" t="s">
        <v>119</v>
      </c>
      <c r="AE869" s="175">
        <v>30.2</v>
      </c>
      <c r="AF869" s="73">
        <v>31.2</v>
      </c>
      <c r="AG869" s="176">
        <v>32.200000000000003</v>
      </c>
      <c r="AH869" s="179">
        <v>30.2</v>
      </c>
      <c r="AI869" s="73">
        <v>30.2</v>
      </c>
      <c r="AJ869" s="74">
        <v>30.2</v>
      </c>
      <c r="AK869" s="179">
        <v>30.2</v>
      </c>
      <c r="AL869" s="73">
        <v>30.2</v>
      </c>
      <c r="AM869" s="74">
        <v>30.2</v>
      </c>
      <c r="AN869" s="179">
        <v>30.2</v>
      </c>
      <c r="AO869" s="73">
        <v>30.2</v>
      </c>
      <c r="AP869" s="74">
        <v>30.2</v>
      </c>
      <c r="AQ869" s="179">
        <v>30.2</v>
      </c>
      <c r="AR869" s="73">
        <v>30.2</v>
      </c>
      <c r="AS869" s="74">
        <v>30.2</v>
      </c>
      <c r="AT869" s="179">
        <v>30.2</v>
      </c>
      <c r="AU869" s="73">
        <v>30.2</v>
      </c>
      <c r="AV869" s="74">
        <v>30.2</v>
      </c>
      <c r="AW869" s="179">
        <v>30.2</v>
      </c>
      <c r="AX869" s="73">
        <v>30.2</v>
      </c>
      <c r="AY869" s="74">
        <v>30.2</v>
      </c>
      <c r="AZ869" s="179">
        <v>30.2</v>
      </c>
      <c r="BA869" s="73">
        <v>30.2</v>
      </c>
      <c r="BB869" s="74">
        <v>30.2</v>
      </c>
      <c r="BC869" s="179">
        <v>30.2</v>
      </c>
      <c r="BD869" s="73">
        <v>30.2</v>
      </c>
      <c r="BE869" s="74">
        <v>30.2</v>
      </c>
      <c r="BF869" s="139">
        <v>30.2</v>
      </c>
      <c r="BG869" s="140">
        <v>30.2</v>
      </c>
      <c r="BH869" s="143">
        <v>30.2</v>
      </c>
      <c r="BI869" s="142">
        <v>30.2</v>
      </c>
      <c r="BJ869" s="140">
        <v>30.2</v>
      </c>
      <c r="BK869" s="143">
        <v>30.2</v>
      </c>
      <c r="BN869" s="125">
        <v>30.2</v>
      </c>
      <c r="BO869" s="126">
        <v>30.2</v>
      </c>
      <c r="BP869" s="127">
        <v>30.2</v>
      </c>
    </row>
    <row r="870" spans="1:68" s="211" customFormat="1" ht="21" customHeight="1" outlineLevel="4" x14ac:dyDescent="0.25">
      <c r="A870" s="6"/>
      <c r="B870" s="6"/>
      <c r="C870" s="116" t="s">
        <v>83</v>
      </c>
      <c r="D870" s="116" t="s">
        <v>84</v>
      </c>
      <c r="E870" s="116" t="s">
        <v>73</v>
      </c>
      <c r="F870" s="116" t="s">
        <v>74</v>
      </c>
      <c r="G870" s="116" t="s">
        <v>219</v>
      </c>
      <c r="H870" s="116" t="s">
        <v>73</v>
      </c>
      <c r="I870" s="116" t="s">
        <v>73</v>
      </c>
      <c r="J870" s="6"/>
      <c r="K870" s="209" t="s">
        <v>73</v>
      </c>
      <c r="L870" s="116" t="s">
        <v>192</v>
      </c>
      <c r="M870" s="6" t="str">
        <f t="array" ref="M870">Y806</f>
        <v>1ХВС::1.1</v>
      </c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29" t="str">
        <f>AB858&amp;".4"</f>
        <v>3.1.1.1.4</v>
      </c>
      <c r="AC870" s="174" t="s">
        <v>220</v>
      </c>
      <c r="AD870" s="370" t="s">
        <v>111</v>
      </c>
      <c r="AE870" s="445">
        <f t="shared" ref="AE870:BK870" si="201">AE160+AE524</f>
        <v>73673.482000000004</v>
      </c>
      <c r="AF870" s="178">
        <f t="shared" si="201"/>
        <v>0</v>
      </c>
      <c r="AG870" s="446">
        <f t="shared" si="201"/>
        <v>57201.49</v>
      </c>
      <c r="AH870" s="636">
        <f t="shared" si="201"/>
        <v>207.28399999999999</v>
      </c>
      <c r="AI870" s="178">
        <f t="shared" si="201"/>
        <v>0</v>
      </c>
      <c r="AJ870" s="446">
        <f t="shared" si="201"/>
        <v>272.77330000000001</v>
      </c>
      <c r="AK870" s="445">
        <f t="shared" si="201"/>
        <v>894.6</v>
      </c>
      <c r="AL870" s="178">
        <f t="shared" si="201"/>
        <v>28</v>
      </c>
      <c r="AM870" s="446">
        <f t="shared" si="201"/>
        <v>1631.49</v>
      </c>
      <c r="AN870" s="445">
        <f t="shared" si="201"/>
        <v>2083.7600000000002</v>
      </c>
      <c r="AO870" s="178">
        <f t="shared" si="201"/>
        <v>0</v>
      </c>
      <c r="AP870" s="446">
        <f t="shared" si="201"/>
        <v>3800.17</v>
      </c>
      <c r="AQ870" s="445">
        <f t="shared" si="201"/>
        <v>436.39</v>
      </c>
      <c r="AR870" s="178">
        <f t="shared" si="201"/>
        <v>0</v>
      </c>
      <c r="AS870" s="446">
        <f t="shared" si="201"/>
        <v>795.83999999999992</v>
      </c>
      <c r="AT870" s="445">
        <f t="shared" si="201"/>
        <v>2291.0500000000002</v>
      </c>
      <c r="AU870" s="178">
        <f t="shared" si="201"/>
        <v>0</v>
      </c>
      <c r="AV870" s="446">
        <f t="shared" si="201"/>
        <v>4178.18</v>
      </c>
      <c r="AW870" s="445">
        <f t="shared" si="201"/>
        <v>632.76800000000003</v>
      </c>
      <c r="AX870" s="178">
        <f t="shared" si="201"/>
        <v>0</v>
      </c>
      <c r="AY870" s="446">
        <f t="shared" si="201"/>
        <v>1153.979</v>
      </c>
      <c r="AZ870" s="445">
        <f t="shared" si="201"/>
        <v>5040.3029999999999</v>
      </c>
      <c r="BA870" s="178">
        <f t="shared" si="201"/>
        <v>0</v>
      </c>
      <c r="BB870" s="446">
        <f t="shared" si="201"/>
        <v>7179.51</v>
      </c>
      <c r="BC870" s="445">
        <f t="shared" si="201"/>
        <v>4363.8999999999996</v>
      </c>
      <c r="BD870" s="178">
        <f t="shared" si="201"/>
        <v>0</v>
      </c>
      <c r="BE870" s="446">
        <f t="shared" si="201"/>
        <v>6904.53</v>
      </c>
      <c r="BF870" s="445">
        <f t="shared" si="201"/>
        <v>174.56</v>
      </c>
      <c r="BG870" s="178">
        <f t="shared" si="201"/>
        <v>0</v>
      </c>
      <c r="BH870" s="446">
        <f t="shared" si="201"/>
        <v>318.33499999999998</v>
      </c>
      <c r="BI870" s="445">
        <f t="shared" si="201"/>
        <v>381.84</v>
      </c>
      <c r="BJ870" s="178">
        <f t="shared" si="201"/>
        <v>134.01</v>
      </c>
      <c r="BK870" s="446">
        <f t="shared" si="201"/>
        <v>696.37</v>
      </c>
      <c r="BL870" s="6"/>
      <c r="BM870" s="6"/>
      <c r="BN870" s="125">
        <f t="shared" ref="BN870:BN901" si="202">AE870+AH870+AK870+AN870+AQ870+AT870+AW870+AZ870+BC870+BF870+BI870</f>
        <v>90179.936999999991</v>
      </c>
      <c r="BO870" s="126">
        <f t="shared" ref="BO870:BO901" si="203">AF870+AI870+AL870+AO870+AR870+AU870+AX870+BA870+BD870+BG870+BJ870</f>
        <v>162.01</v>
      </c>
      <c r="BP870" s="127">
        <f t="shared" ref="BP870:BP901" si="204">AG870+AJ870+AM870+AP870+AS870+AV870+AY870+BB870+BE870+BH870+BK870</f>
        <v>84132.667299999986</v>
      </c>
    </row>
    <row r="871" spans="1:68" ht="26.25" hidden="1" customHeight="1" outlineLevel="4" x14ac:dyDescent="0.25">
      <c r="C871" s="10" t="s">
        <v>83</v>
      </c>
      <c r="D871" s="10" t="s">
        <v>84</v>
      </c>
      <c r="E871" s="10" t="s">
        <v>73</v>
      </c>
      <c r="F871" s="10" t="s">
        <v>74</v>
      </c>
      <c r="G871" s="10" t="s">
        <v>221</v>
      </c>
      <c r="H871" s="10" t="s">
        <v>73</v>
      </c>
      <c r="I871" s="10" t="s">
        <v>73</v>
      </c>
      <c r="K871" s="12" t="s">
        <v>73</v>
      </c>
      <c r="L871" s="10" t="s">
        <v>192</v>
      </c>
      <c r="M871" s="5" t="str">
        <f t="array" ref="M871">Y806</f>
        <v>1ХВС::1.1</v>
      </c>
      <c r="AB871" s="65" t="str">
        <f>AB858&amp;".5"</f>
        <v>3.1.1.1.5</v>
      </c>
      <c r="AC871" s="174" t="s">
        <v>222</v>
      </c>
      <c r="AD871" s="370" t="s">
        <v>111</v>
      </c>
      <c r="AE871" s="175"/>
      <c r="AF871" s="73"/>
      <c r="AG871" s="176"/>
      <c r="AH871" s="179"/>
      <c r="AI871" s="178"/>
      <c r="AJ871" s="96"/>
      <c r="AK871" s="179"/>
      <c r="AL871" s="73"/>
      <c r="AM871" s="96"/>
      <c r="AN871" s="179"/>
      <c r="AO871" s="178"/>
      <c r="AP871" s="96"/>
      <c r="AQ871" s="179"/>
      <c r="AR871" s="178"/>
      <c r="AS871" s="96"/>
      <c r="AT871" s="179"/>
      <c r="AU871" s="178"/>
      <c r="AV871" s="96"/>
      <c r="AW871" s="179"/>
      <c r="AX871" s="178"/>
      <c r="AY871" s="96"/>
      <c r="AZ871" s="179"/>
      <c r="BA871" s="178"/>
      <c r="BB871" s="96"/>
      <c r="BC871" s="179"/>
      <c r="BD871" s="178"/>
      <c r="BE871" s="96"/>
      <c r="BF871" s="139"/>
      <c r="BG871" s="183"/>
      <c r="BH871" s="186"/>
      <c r="BI871" s="142"/>
      <c r="BJ871" s="183"/>
      <c r="BK871" s="186"/>
      <c r="BN871" s="125">
        <f t="shared" si="202"/>
        <v>0</v>
      </c>
      <c r="BO871" s="126">
        <f t="shared" si="203"/>
        <v>0</v>
      </c>
      <c r="BP871" s="127">
        <f t="shared" si="204"/>
        <v>0</v>
      </c>
    </row>
    <row r="872" spans="1:68" ht="31.5" hidden="1" customHeight="1" outlineLevel="4" x14ac:dyDescent="0.25">
      <c r="A872" s="5" t="b">
        <f>ИТОГ!$AD$55="нет"</f>
        <v>1</v>
      </c>
      <c r="C872" s="10" t="s">
        <v>83</v>
      </c>
      <c r="D872" s="10" t="s">
        <v>84</v>
      </c>
      <c r="E872" s="10" t="s">
        <v>73</v>
      </c>
      <c r="F872" s="10" t="s">
        <v>74</v>
      </c>
      <c r="G872" s="10" t="s">
        <v>201</v>
      </c>
      <c r="H872" s="10" t="s">
        <v>223</v>
      </c>
      <c r="I872" s="10" t="s">
        <v>73</v>
      </c>
      <c r="K872" s="12" t="s">
        <v>73</v>
      </c>
      <c r="L872" s="10" t="s">
        <v>224</v>
      </c>
      <c r="M872" s="5" t="str">
        <f t="array" ref="M872">Y806</f>
        <v>1ХВС::1.1</v>
      </c>
      <c r="AB872" s="29" t="str">
        <f>AB871&amp;".1"</f>
        <v>3.1.1.1.5.1</v>
      </c>
      <c r="AC872" s="177" t="s">
        <v>225</v>
      </c>
      <c r="AD872" s="370" t="s">
        <v>111</v>
      </c>
      <c r="AE872" s="175"/>
      <c r="AF872" s="73"/>
      <c r="AG872" s="176"/>
      <c r="AH872" s="179"/>
      <c r="AI872" s="73"/>
      <c r="AJ872" s="74"/>
      <c r="AK872" s="179"/>
      <c r="AL872" s="73"/>
      <c r="AM872" s="74"/>
      <c r="AN872" s="179"/>
      <c r="AO872" s="73"/>
      <c r="AP872" s="74"/>
      <c r="AQ872" s="179"/>
      <c r="AR872" s="73"/>
      <c r="AS872" s="74"/>
      <c r="AT872" s="179"/>
      <c r="AU872" s="73"/>
      <c r="AV872" s="74"/>
      <c r="AW872" s="179"/>
      <c r="AX872" s="73"/>
      <c r="AY872" s="74"/>
      <c r="AZ872" s="179"/>
      <c r="BA872" s="73"/>
      <c r="BB872" s="74"/>
      <c r="BC872" s="179"/>
      <c r="BD872" s="73"/>
      <c r="BE872" s="74"/>
      <c r="BF872" s="139"/>
      <c r="BG872" s="140"/>
      <c r="BH872" s="143"/>
      <c r="BI872" s="142"/>
      <c r="BJ872" s="140"/>
      <c r="BK872" s="143"/>
      <c r="BN872" s="125">
        <f t="shared" si="202"/>
        <v>0</v>
      </c>
      <c r="BO872" s="126">
        <f t="shared" si="203"/>
        <v>0</v>
      </c>
      <c r="BP872" s="127">
        <f t="shared" si="204"/>
        <v>0</v>
      </c>
    </row>
    <row r="873" spans="1:68" ht="29.25" hidden="1" customHeight="1" outlineLevel="4" x14ac:dyDescent="0.25">
      <c r="A873" s="5" t="b">
        <f t="array" ref="A873">A872</f>
        <v>1</v>
      </c>
      <c r="C873" s="10" t="s">
        <v>83</v>
      </c>
      <c r="D873" s="10" t="s">
        <v>84</v>
      </c>
      <c r="E873" s="10" t="s">
        <v>73</v>
      </c>
      <c r="F873" s="10" t="s">
        <v>74</v>
      </c>
      <c r="G873" s="10" t="s">
        <v>204</v>
      </c>
      <c r="H873" s="10" t="s">
        <v>223</v>
      </c>
      <c r="I873" s="10" t="s">
        <v>73</v>
      </c>
      <c r="K873" s="12" t="s">
        <v>73</v>
      </c>
      <c r="L873" s="10" t="s">
        <v>224</v>
      </c>
      <c r="M873" s="5" t="str">
        <f t="array" ref="M873">Y806</f>
        <v>1ХВС::1.1</v>
      </c>
      <c r="AB873" s="29" t="str">
        <f>AB872&amp;".1"</f>
        <v>3.1.1.1.5.1.1</v>
      </c>
      <c r="AC873" s="212" t="s">
        <v>226</v>
      </c>
      <c r="AD873" s="370" t="s">
        <v>111</v>
      </c>
      <c r="AE873" s="175"/>
      <c r="AF873" s="73"/>
      <c r="AG873" s="176"/>
      <c r="AH873" s="179"/>
      <c r="AI873" s="178"/>
      <c r="AJ873" s="96"/>
      <c r="AK873" s="179"/>
      <c r="AL873" s="178"/>
      <c r="AM873" s="96"/>
      <c r="AN873" s="179"/>
      <c r="AO873" s="178"/>
      <c r="AP873" s="96"/>
      <c r="AQ873" s="179"/>
      <c r="AR873" s="178"/>
      <c r="AS873" s="96"/>
      <c r="AT873" s="179"/>
      <c r="AU873" s="178"/>
      <c r="AV873" s="96"/>
      <c r="AW873" s="179"/>
      <c r="AX873" s="178"/>
      <c r="AY873" s="96"/>
      <c r="AZ873" s="179"/>
      <c r="BA873" s="178"/>
      <c r="BB873" s="96"/>
      <c r="BC873" s="179"/>
      <c r="BD873" s="178"/>
      <c r="BE873" s="96"/>
      <c r="BF873" s="139"/>
      <c r="BG873" s="183"/>
      <c r="BH873" s="186"/>
      <c r="BI873" s="142"/>
      <c r="BJ873" s="183"/>
      <c r="BK873" s="186"/>
      <c r="BN873" s="125">
        <f t="shared" si="202"/>
        <v>0</v>
      </c>
      <c r="BO873" s="126">
        <f t="shared" si="203"/>
        <v>0</v>
      </c>
      <c r="BP873" s="127">
        <f t="shared" si="204"/>
        <v>0</v>
      </c>
    </row>
    <row r="874" spans="1:68" ht="14.25" hidden="1" customHeight="1" outlineLevel="4" x14ac:dyDescent="0.25">
      <c r="A874" s="5" t="b">
        <f t="array" ref="A874">A873</f>
        <v>1</v>
      </c>
      <c r="C874" s="10" t="s">
        <v>206</v>
      </c>
      <c r="D874" s="10" t="s">
        <v>207</v>
      </c>
      <c r="E874" s="10" t="s">
        <v>73</v>
      </c>
      <c r="F874" s="10" t="s">
        <v>74</v>
      </c>
      <c r="G874" s="10" t="s">
        <v>73</v>
      </c>
      <c r="H874" s="10" t="s">
        <v>223</v>
      </c>
      <c r="I874" s="10" t="s">
        <v>73</v>
      </c>
      <c r="K874" s="12" t="s">
        <v>73</v>
      </c>
      <c r="L874" s="10" t="s">
        <v>224</v>
      </c>
      <c r="M874" s="5" t="str">
        <f t="array" ref="M874">Y806</f>
        <v>1ХВС::1.1</v>
      </c>
      <c r="AB874" s="29" t="str">
        <f>AB873&amp;".1"</f>
        <v>3.1.1.1.5.1.1.1</v>
      </c>
      <c r="AC874" s="208" t="s">
        <v>208</v>
      </c>
      <c r="AD874" s="370" t="s">
        <v>209</v>
      </c>
      <c r="AE874" s="175"/>
      <c r="AF874" s="73"/>
      <c r="AG874" s="176"/>
      <c r="AH874" s="179"/>
      <c r="AI874" s="73"/>
      <c r="AJ874" s="74"/>
      <c r="AK874" s="179"/>
      <c r="AL874" s="73"/>
      <c r="AM874" s="74"/>
      <c r="AN874" s="179"/>
      <c r="AO874" s="73"/>
      <c r="AP874" s="74"/>
      <c r="AQ874" s="179"/>
      <c r="AR874" s="73"/>
      <c r="AS874" s="74"/>
      <c r="AT874" s="179"/>
      <c r="AU874" s="73"/>
      <c r="AV874" s="74"/>
      <c r="AW874" s="179"/>
      <c r="AX874" s="73"/>
      <c r="AY874" s="74"/>
      <c r="AZ874" s="179"/>
      <c r="BA874" s="73"/>
      <c r="BB874" s="74"/>
      <c r="BC874" s="179"/>
      <c r="BD874" s="73"/>
      <c r="BE874" s="74"/>
      <c r="BF874" s="139"/>
      <c r="BG874" s="140"/>
      <c r="BH874" s="143"/>
      <c r="BI874" s="142"/>
      <c r="BJ874" s="140"/>
      <c r="BK874" s="143"/>
      <c r="BN874" s="125">
        <f t="shared" si="202"/>
        <v>0</v>
      </c>
      <c r="BO874" s="126">
        <f t="shared" si="203"/>
        <v>0</v>
      </c>
      <c r="BP874" s="127">
        <f t="shared" si="204"/>
        <v>0</v>
      </c>
    </row>
    <row r="875" spans="1:68" ht="14.25" hidden="1" customHeight="1" outlineLevel="4" x14ac:dyDescent="0.25">
      <c r="A875" s="5" t="b">
        <f t="array" ref="A875">A874</f>
        <v>1</v>
      </c>
      <c r="C875" s="10" t="s">
        <v>210</v>
      </c>
      <c r="D875" s="10" t="s">
        <v>211</v>
      </c>
      <c r="E875" s="10" t="s">
        <v>73</v>
      </c>
      <c r="F875" s="10" t="s">
        <v>74</v>
      </c>
      <c r="G875" s="10" t="s">
        <v>73</v>
      </c>
      <c r="H875" s="10" t="s">
        <v>223</v>
      </c>
      <c r="I875" s="10" t="s">
        <v>73</v>
      </c>
      <c r="K875" s="12" t="s">
        <v>73</v>
      </c>
      <c r="L875" s="10" t="s">
        <v>224</v>
      </c>
      <c r="M875" s="5" t="str">
        <f t="array" ref="M875">Y806</f>
        <v>1ХВС::1.1</v>
      </c>
      <c r="AB875" s="29" t="str">
        <f>AB873&amp;".2"</f>
        <v>3.1.1.1.5.1.1.2</v>
      </c>
      <c r="AC875" s="208" t="s">
        <v>212</v>
      </c>
      <c r="AD875" s="370" t="s">
        <v>213</v>
      </c>
      <c r="AE875" s="175"/>
      <c r="AF875" s="73"/>
      <c r="AG875" s="176"/>
      <c r="AH875" s="179"/>
      <c r="AI875" s="178"/>
      <c r="AJ875" s="96"/>
      <c r="AK875" s="179"/>
      <c r="AL875" s="178"/>
      <c r="AM875" s="96"/>
      <c r="AN875" s="179"/>
      <c r="AO875" s="178"/>
      <c r="AP875" s="96"/>
      <c r="AQ875" s="179"/>
      <c r="AR875" s="178"/>
      <c r="AS875" s="96"/>
      <c r="AT875" s="179"/>
      <c r="AU875" s="178"/>
      <c r="AV875" s="96"/>
      <c r="AW875" s="179"/>
      <c r="AX875" s="178"/>
      <c r="AY875" s="96"/>
      <c r="AZ875" s="179"/>
      <c r="BA875" s="178"/>
      <c r="BB875" s="96"/>
      <c r="BC875" s="179"/>
      <c r="BD875" s="178"/>
      <c r="BE875" s="96"/>
      <c r="BF875" s="139"/>
      <c r="BG875" s="183"/>
      <c r="BH875" s="186"/>
      <c r="BI875" s="142"/>
      <c r="BJ875" s="183"/>
      <c r="BK875" s="186"/>
      <c r="BN875" s="125">
        <f t="shared" si="202"/>
        <v>0</v>
      </c>
      <c r="BO875" s="126">
        <f t="shared" si="203"/>
        <v>0</v>
      </c>
      <c r="BP875" s="127">
        <f t="shared" si="204"/>
        <v>0</v>
      </c>
    </row>
    <row r="876" spans="1:68" ht="14.25" hidden="1" customHeight="1" outlineLevel="4" x14ac:dyDescent="0.25">
      <c r="A876" s="5" t="b">
        <f t="array" ref="A876">A875</f>
        <v>1</v>
      </c>
      <c r="C876" s="10" t="s">
        <v>83</v>
      </c>
      <c r="D876" s="10" t="s">
        <v>84</v>
      </c>
      <c r="E876" s="10" t="s">
        <v>73</v>
      </c>
      <c r="F876" s="10" t="s">
        <v>74</v>
      </c>
      <c r="G876" s="10" t="s">
        <v>214</v>
      </c>
      <c r="H876" s="10" t="s">
        <v>223</v>
      </c>
      <c r="I876" s="10" t="s">
        <v>73</v>
      </c>
      <c r="K876" s="12" t="s">
        <v>73</v>
      </c>
      <c r="L876" s="10" t="s">
        <v>224</v>
      </c>
      <c r="M876" s="5" t="str">
        <f t="array" ref="M876">Y806</f>
        <v>1ХВС::1.1</v>
      </c>
      <c r="AB876" s="29" t="str">
        <f>AB872&amp;".2"</f>
        <v>3.1.1.1.5.1.2</v>
      </c>
      <c r="AC876" s="212" t="s">
        <v>227</v>
      </c>
      <c r="AD876" s="370" t="s">
        <v>111</v>
      </c>
      <c r="AE876" s="175"/>
      <c r="AF876" s="73"/>
      <c r="AG876" s="176"/>
      <c r="AH876" s="179"/>
      <c r="AI876" s="178"/>
      <c r="AJ876" s="96"/>
      <c r="AK876" s="179"/>
      <c r="AL876" s="178"/>
      <c r="AM876" s="96"/>
      <c r="AN876" s="179"/>
      <c r="AO876" s="178"/>
      <c r="AP876" s="96"/>
      <c r="AQ876" s="179"/>
      <c r="AR876" s="178"/>
      <c r="AS876" s="96"/>
      <c r="AT876" s="179"/>
      <c r="AU876" s="178"/>
      <c r="AV876" s="96"/>
      <c r="AW876" s="179"/>
      <c r="AX876" s="178"/>
      <c r="AY876" s="96"/>
      <c r="AZ876" s="179"/>
      <c r="BA876" s="178"/>
      <c r="BB876" s="96"/>
      <c r="BC876" s="179"/>
      <c r="BD876" s="178"/>
      <c r="BE876" s="96"/>
      <c r="BF876" s="139"/>
      <c r="BG876" s="183"/>
      <c r="BH876" s="186"/>
      <c r="BI876" s="142"/>
      <c r="BJ876" s="183"/>
      <c r="BK876" s="186"/>
      <c r="BN876" s="125">
        <f t="shared" si="202"/>
        <v>0</v>
      </c>
      <c r="BO876" s="126">
        <f t="shared" si="203"/>
        <v>0</v>
      </c>
      <c r="BP876" s="127">
        <f t="shared" si="204"/>
        <v>0</v>
      </c>
    </row>
    <row r="877" spans="1:68" ht="14.25" hidden="1" customHeight="1" outlineLevel="4" x14ac:dyDescent="0.25">
      <c r="A877" s="5" t="b">
        <f t="array" ref="A877">A876</f>
        <v>1</v>
      </c>
      <c r="C877" s="10" t="s">
        <v>216</v>
      </c>
      <c r="D877" s="10" t="s">
        <v>217</v>
      </c>
      <c r="E877" s="10" t="s">
        <v>73</v>
      </c>
      <c r="F877" s="10" t="s">
        <v>74</v>
      </c>
      <c r="G877" s="10" t="s">
        <v>73</v>
      </c>
      <c r="H877" s="10" t="s">
        <v>223</v>
      </c>
      <c r="I877" s="10" t="s">
        <v>73</v>
      </c>
      <c r="K877" s="12" t="s">
        <v>73</v>
      </c>
      <c r="L877" s="10" t="s">
        <v>224</v>
      </c>
      <c r="M877" s="5" t="str">
        <f t="array" ref="M877">Y806</f>
        <v>1ХВС::1.1</v>
      </c>
      <c r="AB877" s="29" t="str">
        <f>AB876&amp;".1"</f>
        <v>3.1.1.1.5.1.2.1</v>
      </c>
      <c r="AC877" s="208" t="s">
        <v>218</v>
      </c>
      <c r="AD877" s="370" t="s">
        <v>119</v>
      </c>
      <c r="AE877" s="175"/>
      <c r="AF877" s="73"/>
      <c r="AG877" s="176"/>
      <c r="AH877" s="179"/>
      <c r="AI877" s="73"/>
      <c r="AJ877" s="74"/>
      <c r="AK877" s="179"/>
      <c r="AL877" s="73"/>
      <c r="AM877" s="74"/>
      <c r="AN877" s="179"/>
      <c r="AO877" s="73"/>
      <c r="AP877" s="74"/>
      <c r="AQ877" s="179"/>
      <c r="AR877" s="73"/>
      <c r="AS877" s="74"/>
      <c r="AT877" s="179"/>
      <c r="AU877" s="73"/>
      <c r="AV877" s="74"/>
      <c r="AW877" s="179"/>
      <c r="AX877" s="73"/>
      <c r="AY877" s="74"/>
      <c r="AZ877" s="179"/>
      <c r="BA877" s="73"/>
      <c r="BB877" s="74"/>
      <c r="BC877" s="179"/>
      <c r="BD877" s="73"/>
      <c r="BE877" s="74"/>
      <c r="BF877" s="139"/>
      <c r="BG877" s="140"/>
      <c r="BH877" s="143"/>
      <c r="BI877" s="142"/>
      <c r="BJ877" s="140"/>
      <c r="BK877" s="143"/>
      <c r="BN877" s="125">
        <f t="shared" si="202"/>
        <v>0</v>
      </c>
      <c r="BO877" s="126">
        <f t="shared" si="203"/>
        <v>0</v>
      </c>
      <c r="BP877" s="127">
        <f t="shared" si="204"/>
        <v>0</v>
      </c>
    </row>
    <row r="878" spans="1:68" ht="14.25" hidden="1" customHeight="1" outlineLevel="4" x14ac:dyDescent="0.25">
      <c r="A878" s="5" t="b">
        <f t="array" ref="A878">A877</f>
        <v>1</v>
      </c>
      <c r="C878" s="79" t="s">
        <v>83</v>
      </c>
      <c r="D878" s="79" t="s">
        <v>84</v>
      </c>
      <c r="E878" s="79" t="s">
        <v>73</v>
      </c>
      <c r="F878" s="10" t="s">
        <v>74</v>
      </c>
      <c r="G878" s="79" t="s">
        <v>228</v>
      </c>
      <c r="H878" s="79" t="s">
        <v>73</v>
      </c>
      <c r="I878" s="79" t="s">
        <v>73</v>
      </c>
      <c r="J878" s="79"/>
      <c r="K878" s="213" t="s">
        <v>73</v>
      </c>
      <c r="L878" s="79" t="s">
        <v>192</v>
      </c>
      <c r="M878" s="5" t="str">
        <f t="array" ref="M878">Y806</f>
        <v>1ХВС::1.1</v>
      </c>
      <c r="AB878" s="65" t="str">
        <f>AB871&amp;".2"</f>
        <v>3.1.1.1.5.2</v>
      </c>
      <c r="AC878" s="177" t="s">
        <v>229</v>
      </c>
      <c r="AD878" s="370" t="s">
        <v>111</v>
      </c>
      <c r="AE878" s="175"/>
      <c r="AF878" s="73"/>
      <c r="AG878" s="176"/>
      <c r="AH878" s="179"/>
      <c r="AI878" s="73"/>
      <c r="AJ878" s="74"/>
      <c r="AK878" s="179"/>
      <c r="AL878" s="73"/>
      <c r="AM878" s="74"/>
      <c r="AN878" s="179"/>
      <c r="AO878" s="73"/>
      <c r="AP878" s="74"/>
      <c r="AQ878" s="179"/>
      <c r="AR878" s="73"/>
      <c r="AS878" s="74"/>
      <c r="AT878" s="179"/>
      <c r="AU878" s="73"/>
      <c r="AV878" s="74"/>
      <c r="AW878" s="179"/>
      <c r="AX878" s="73"/>
      <c r="AY878" s="74"/>
      <c r="AZ878" s="179"/>
      <c r="BA878" s="73"/>
      <c r="BB878" s="74"/>
      <c r="BC878" s="179"/>
      <c r="BD878" s="73"/>
      <c r="BE878" s="74"/>
      <c r="BF878" s="139"/>
      <c r="BG878" s="140"/>
      <c r="BH878" s="143"/>
      <c r="BI878" s="142"/>
      <c r="BJ878" s="140"/>
      <c r="BK878" s="143"/>
      <c r="BN878" s="125">
        <f t="shared" si="202"/>
        <v>0</v>
      </c>
      <c r="BO878" s="126">
        <f t="shared" si="203"/>
        <v>0</v>
      </c>
      <c r="BP878" s="127">
        <f t="shared" si="204"/>
        <v>0</v>
      </c>
    </row>
    <row r="879" spans="1:68" s="214" customFormat="1" ht="24" customHeight="1" outlineLevel="4" x14ac:dyDescent="0.25">
      <c r="A879" s="5"/>
      <c r="B879" s="5"/>
      <c r="C879" s="10" t="s">
        <v>83</v>
      </c>
      <c r="D879" s="10" t="s">
        <v>84</v>
      </c>
      <c r="E879" s="10" t="s">
        <v>73</v>
      </c>
      <c r="F879" s="10" t="s">
        <v>74</v>
      </c>
      <c r="G879" s="10" t="s">
        <v>230</v>
      </c>
      <c r="H879" s="10" t="s">
        <v>73</v>
      </c>
      <c r="I879" s="10" t="s">
        <v>73</v>
      </c>
      <c r="J879" s="5"/>
      <c r="K879" s="12" t="s">
        <v>73</v>
      </c>
      <c r="L879" s="10" t="s">
        <v>192</v>
      </c>
      <c r="M879" s="5" t="str">
        <f t="array" ref="M879">Y806</f>
        <v>1ХВС::1.1</v>
      </c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65" t="str">
        <f>AB858&amp;".6"</f>
        <v>3.1.1.1.6</v>
      </c>
      <c r="AC879" s="174" t="s">
        <v>231</v>
      </c>
      <c r="AD879" s="370" t="s">
        <v>111</v>
      </c>
      <c r="AE879" s="175">
        <f t="shared" ref="AE879:BK879" si="205">AE880+AE881+AE882+AE883+AE884+AE885+AE886+AE920</f>
        <v>155965.28000000003</v>
      </c>
      <c r="AF879" s="73">
        <f t="shared" si="205"/>
        <v>76234.259999999995</v>
      </c>
      <c r="AG879" s="74">
        <f t="shared" si="205"/>
        <v>151429.53</v>
      </c>
      <c r="AH879" s="179">
        <f t="shared" si="205"/>
        <v>3575.3969999999995</v>
      </c>
      <c r="AI879" s="73">
        <f t="shared" si="205"/>
        <v>1082.32</v>
      </c>
      <c r="AJ879" s="74">
        <f t="shared" si="205"/>
        <v>6028.5269999999991</v>
      </c>
      <c r="AK879" s="179">
        <f t="shared" si="205"/>
        <v>2763.4399999999996</v>
      </c>
      <c r="AL879" s="73">
        <f t="shared" si="205"/>
        <v>1956.08</v>
      </c>
      <c r="AM879" s="74">
        <f t="shared" si="205"/>
        <v>5177.08</v>
      </c>
      <c r="AN879" s="179">
        <f t="shared" si="205"/>
        <v>4264.1299999999992</v>
      </c>
      <c r="AO879" s="73">
        <f t="shared" si="205"/>
        <v>905.87399999999991</v>
      </c>
      <c r="AP879" s="74">
        <f t="shared" si="205"/>
        <v>6378.9800000000005</v>
      </c>
      <c r="AQ879" s="179">
        <f t="shared" si="205"/>
        <v>2379.5700000000002</v>
      </c>
      <c r="AR879" s="73">
        <f t="shared" si="205"/>
        <v>52.14</v>
      </c>
      <c r="AS879" s="74">
        <f t="shared" si="205"/>
        <v>4239.05</v>
      </c>
      <c r="AT879" s="179">
        <f t="shared" si="205"/>
        <v>2685.2499999999995</v>
      </c>
      <c r="AU879" s="73">
        <f t="shared" si="205"/>
        <v>0</v>
      </c>
      <c r="AV879" s="74">
        <f t="shared" si="205"/>
        <v>4781.8999999999996</v>
      </c>
      <c r="AW879" s="179">
        <f t="shared" si="205"/>
        <v>8755.6820000000007</v>
      </c>
      <c r="AX879" s="73">
        <f t="shared" si="205"/>
        <v>0</v>
      </c>
      <c r="AY879" s="74">
        <f t="shared" si="205"/>
        <v>12230.085000000003</v>
      </c>
      <c r="AZ879" s="179">
        <f t="shared" si="205"/>
        <v>16706.826000000001</v>
      </c>
      <c r="BA879" s="73">
        <f t="shared" si="205"/>
        <v>4622.37</v>
      </c>
      <c r="BB879" s="74">
        <f t="shared" si="205"/>
        <v>16950.417000000001</v>
      </c>
      <c r="BC879" s="179">
        <f t="shared" si="205"/>
        <v>17489.150000000001</v>
      </c>
      <c r="BD879" s="73">
        <f t="shared" si="205"/>
        <v>471.46000000000004</v>
      </c>
      <c r="BE879" s="74">
        <f t="shared" si="205"/>
        <v>19861.810000000001</v>
      </c>
      <c r="BF879" s="179">
        <f t="shared" si="205"/>
        <v>5139.4880000000003</v>
      </c>
      <c r="BG879" s="73">
        <f t="shared" si="205"/>
        <v>940.88</v>
      </c>
      <c r="BH879" s="74">
        <f t="shared" si="205"/>
        <v>6528.0550000000003</v>
      </c>
      <c r="BI879" s="72">
        <f t="shared" si="205"/>
        <v>3290.0250000000001</v>
      </c>
      <c r="BJ879" s="73">
        <f t="shared" si="205"/>
        <v>2461.46</v>
      </c>
      <c r="BK879" s="74">
        <f t="shared" si="205"/>
        <v>5308.23</v>
      </c>
      <c r="BL879" s="6"/>
      <c r="BM879" s="5"/>
      <c r="BN879" s="125">
        <f t="shared" si="202"/>
        <v>223014.23800000004</v>
      </c>
      <c r="BO879" s="126">
        <f t="shared" si="203"/>
        <v>88726.844000000012</v>
      </c>
      <c r="BP879" s="127">
        <f t="shared" si="204"/>
        <v>238913.66399999996</v>
      </c>
    </row>
    <row r="880" spans="1:68" ht="32.25" hidden="1" customHeight="1" outlineLevel="4" x14ac:dyDescent="0.25">
      <c r="C880" s="10" t="s">
        <v>83</v>
      </c>
      <c r="D880" s="10" t="s">
        <v>84</v>
      </c>
      <c r="E880" s="10" t="s">
        <v>73</v>
      </c>
      <c r="F880" s="10" t="s">
        <v>74</v>
      </c>
      <c r="G880" s="10" t="s">
        <v>232</v>
      </c>
      <c r="H880" s="10" t="s">
        <v>73</v>
      </c>
      <c r="I880" s="10" t="s">
        <v>73</v>
      </c>
      <c r="K880" s="12" t="s">
        <v>73</v>
      </c>
      <c r="L880" s="10" t="s">
        <v>192</v>
      </c>
      <c r="M880" s="5" t="str">
        <f t="array" ref="M880">Y806</f>
        <v>1ХВС::1.1</v>
      </c>
      <c r="AB880" s="29" t="str">
        <f>AB879&amp;".1"</f>
        <v>3.1.1.1.6.1</v>
      </c>
      <c r="AC880" s="177" t="s">
        <v>233</v>
      </c>
      <c r="AD880" s="370" t="s">
        <v>111</v>
      </c>
      <c r="AE880" s="445"/>
      <c r="AF880" s="178"/>
      <c r="AG880" s="446"/>
      <c r="AH880" s="187"/>
      <c r="AI880" s="178"/>
      <c r="AJ880" s="96"/>
      <c r="AK880" s="187"/>
      <c r="AL880" s="178"/>
      <c r="AM880" s="96"/>
      <c r="AN880" s="187"/>
      <c r="AO880" s="178"/>
      <c r="AP880" s="96"/>
      <c r="AQ880" s="187"/>
      <c r="AR880" s="178"/>
      <c r="AS880" s="96"/>
      <c r="AT880" s="187"/>
      <c r="AU880" s="178"/>
      <c r="AV880" s="96"/>
      <c r="AW880" s="187"/>
      <c r="AX880" s="178"/>
      <c r="AY880" s="96"/>
      <c r="AZ880" s="187"/>
      <c r="BA880" s="178"/>
      <c r="BB880" s="96"/>
      <c r="BC880" s="187"/>
      <c r="BD880" s="178"/>
      <c r="BE880" s="96"/>
      <c r="BF880" s="182"/>
      <c r="BG880" s="183"/>
      <c r="BH880" s="186"/>
      <c r="BI880" s="185"/>
      <c r="BJ880" s="183"/>
      <c r="BK880" s="186"/>
      <c r="BN880" s="125">
        <f t="shared" si="202"/>
        <v>0</v>
      </c>
      <c r="BO880" s="126">
        <f t="shared" si="203"/>
        <v>0</v>
      </c>
      <c r="BP880" s="127">
        <f t="shared" si="204"/>
        <v>0</v>
      </c>
    </row>
    <row r="881" spans="1:68" ht="30.75" hidden="1" customHeight="1" outlineLevel="4" x14ac:dyDescent="0.25">
      <c r="C881" s="10" t="s">
        <v>83</v>
      </c>
      <c r="D881" s="10" t="s">
        <v>84</v>
      </c>
      <c r="E881" s="10" t="s">
        <v>73</v>
      </c>
      <c r="F881" s="10" t="s">
        <v>74</v>
      </c>
      <c r="G881" s="10" t="s">
        <v>234</v>
      </c>
      <c r="H881" s="10" t="s">
        <v>73</v>
      </c>
      <c r="I881" s="10" t="s">
        <v>73</v>
      </c>
      <c r="K881" s="12" t="s">
        <v>73</v>
      </c>
      <c r="L881" s="10" t="s">
        <v>192</v>
      </c>
      <c r="M881" s="5" t="str">
        <f t="array" ref="M881">Y806</f>
        <v>1ХВС::1.1</v>
      </c>
      <c r="AB881" s="29" t="str">
        <f>AB879&amp;".2"</f>
        <v>3.1.1.1.6.2</v>
      </c>
      <c r="AC881" s="177" t="s">
        <v>235</v>
      </c>
      <c r="AD881" s="370" t="s">
        <v>111</v>
      </c>
      <c r="AE881" s="445"/>
      <c r="AF881" s="178"/>
      <c r="AG881" s="446"/>
      <c r="AH881" s="187"/>
      <c r="AI881" s="178"/>
      <c r="AJ881" s="96"/>
      <c r="AK881" s="187"/>
      <c r="AL881" s="178"/>
      <c r="AM881" s="96"/>
      <c r="AN881" s="187"/>
      <c r="AO881" s="178"/>
      <c r="AP881" s="96"/>
      <c r="AQ881" s="187"/>
      <c r="AR881" s="178"/>
      <c r="AS881" s="96"/>
      <c r="AT881" s="187"/>
      <c r="AU881" s="178"/>
      <c r="AV881" s="96"/>
      <c r="AW881" s="187"/>
      <c r="AX881" s="178"/>
      <c r="AY881" s="96"/>
      <c r="AZ881" s="187"/>
      <c r="BA881" s="178"/>
      <c r="BB881" s="96"/>
      <c r="BC881" s="187"/>
      <c r="BD881" s="178"/>
      <c r="BE881" s="96"/>
      <c r="BF881" s="182"/>
      <c r="BG881" s="183"/>
      <c r="BH881" s="186"/>
      <c r="BI881" s="185"/>
      <c r="BJ881" s="183"/>
      <c r="BK881" s="186"/>
      <c r="BN881" s="125">
        <f t="shared" si="202"/>
        <v>0</v>
      </c>
      <c r="BO881" s="126">
        <f t="shared" si="203"/>
        <v>0</v>
      </c>
      <c r="BP881" s="127">
        <f t="shared" si="204"/>
        <v>0</v>
      </c>
    </row>
    <row r="882" spans="1:68" s="211" customFormat="1" ht="30" hidden="1" customHeight="1" outlineLevel="4" x14ac:dyDescent="0.25">
      <c r="A882" s="6"/>
      <c r="B882" s="6"/>
      <c r="C882" s="116" t="s">
        <v>83</v>
      </c>
      <c r="D882" s="116" t="s">
        <v>84</v>
      </c>
      <c r="E882" s="116" t="s">
        <v>73</v>
      </c>
      <c r="F882" s="116" t="s">
        <v>74</v>
      </c>
      <c r="G882" s="116" t="s">
        <v>236</v>
      </c>
      <c r="H882" s="116" t="s">
        <v>73</v>
      </c>
      <c r="I882" s="116" t="s">
        <v>73</v>
      </c>
      <c r="J882" s="6"/>
      <c r="K882" s="209" t="s">
        <v>73</v>
      </c>
      <c r="L882" s="116" t="s">
        <v>192</v>
      </c>
      <c r="M882" s="6" t="str">
        <f t="array" ref="M882">Y806</f>
        <v>1ХВС::1.1</v>
      </c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29" t="str">
        <f>AB879&amp;".3"</f>
        <v>3.1.1.1.6.3</v>
      </c>
      <c r="AC882" s="177" t="s">
        <v>237</v>
      </c>
      <c r="AD882" s="370" t="s">
        <v>111</v>
      </c>
      <c r="AE882" s="445"/>
      <c r="AF882" s="178"/>
      <c r="AG882" s="446"/>
      <c r="AH882" s="187"/>
      <c r="AI882" s="178"/>
      <c r="AJ882" s="96"/>
      <c r="AK882" s="187"/>
      <c r="AL882" s="178"/>
      <c r="AM882" s="96"/>
      <c r="AN882" s="187"/>
      <c r="AO882" s="178"/>
      <c r="AP882" s="96"/>
      <c r="AQ882" s="187"/>
      <c r="AR882" s="178"/>
      <c r="AS882" s="96"/>
      <c r="AT882" s="187"/>
      <c r="AU882" s="178"/>
      <c r="AV882" s="96"/>
      <c r="AW882" s="187"/>
      <c r="AX882" s="178"/>
      <c r="AY882" s="96"/>
      <c r="AZ882" s="187"/>
      <c r="BA882" s="178"/>
      <c r="BB882" s="96"/>
      <c r="BC882" s="187"/>
      <c r="BD882" s="178"/>
      <c r="BE882" s="96"/>
      <c r="BF882" s="182"/>
      <c r="BG882" s="183"/>
      <c r="BH882" s="186"/>
      <c r="BI882" s="185"/>
      <c r="BJ882" s="183"/>
      <c r="BK882" s="186"/>
      <c r="BL882" s="6"/>
      <c r="BM882" s="6"/>
      <c r="BN882" s="125">
        <f t="shared" si="202"/>
        <v>0</v>
      </c>
      <c r="BO882" s="126">
        <f t="shared" si="203"/>
        <v>0</v>
      </c>
      <c r="BP882" s="127">
        <f t="shared" si="204"/>
        <v>0</v>
      </c>
    </row>
    <row r="883" spans="1:68" s="211" customFormat="1" ht="35.25" hidden="1" customHeight="1" outlineLevel="4" x14ac:dyDescent="0.25">
      <c r="A883" s="6"/>
      <c r="B883" s="6"/>
      <c r="C883" s="116" t="s">
        <v>83</v>
      </c>
      <c r="D883" s="116" t="s">
        <v>84</v>
      </c>
      <c r="E883" s="116" t="s">
        <v>73</v>
      </c>
      <c r="F883" s="116" t="s">
        <v>74</v>
      </c>
      <c r="G883" s="116" t="s">
        <v>238</v>
      </c>
      <c r="H883" s="116" t="s">
        <v>73</v>
      </c>
      <c r="I883" s="116" t="s">
        <v>73</v>
      </c>
      <c r="J883" s="6"/>
      <c r="K883" s="209" t="s">
        <v>73</v>
      </c>
      <c r="L883" s="116" t="s">
        <v>192</v>
      </c>
      <c r="M883" s="6" t="str">
        <f t="array" ref="M883">Y806</f>
        <v>1ХВС::1.1</v>
      </c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5" t="str">
        <f>AB879&amp;".4"</f>
        <v>3.1.1.1.6.4</v>
      </c>
      <c r="AC883" s="177" t="s">
        <v>239</v>
      </c>
      <c r="AD883" s="370" t="s">
        <v>111</v>
      </c>
      <c r="AE883" s="445"/>
      <c r="AF883" s="178"/>
      <c r="AG883" s="446"/>
      <c r="AH883" s="187"/>
      <c r="AI883" s="178"/>
      <c r="AJ883" s="96"/>
      <c r="AK883" s="187"/>
      <c r="AL883" s="178"/>
      <c r="AM883" s="96"/>
      <c r="AN883" s="187"/>
      <c r="AO883" s="178"/>
      <c r="AP883" s="96"/>
      <c r="AQ883" s="187"/>
      <c r="AR883" s="178"/>
      <c r="AS883" s="96"/>
      <c r="AT883" s="187"/>
      <c r="AU883" s="178"/>
      <c r="AV883" s="96"/>
      <c r="AW883" s="187"/>
      <c r="AX883" s="178"/>
      <c r="AY883" s="96"/>
      <c r="AZ883" s="187"/>
      <c r="BA883" s="178"/>
      <c r="BB883" s="96"/>
      <c r="BC883" s="187"/>
      <c r="BD883" s="178"/>
      <c r="BE883" s="96"/>
      <c r="BF883" s="182"/>
      <c r="BG883" s="183"/>
      <c r="BH883" s="186"/>
      <c r="BI883" s="185"/>
      <c r="BJ883" s="183"/>
      <c r="BK883" s="186"/>
      <c r="BL883" s="6"/>
      <c r="BM883" s="6"/>
      <c r="BN883" s="125">
        <f t="shared" si="202"/>
        <v>0</v>
      </c>
      <c r="BO883" s="126">
        <f t="shared" si="203"/>
        <v>0</v>
      </c>
      <c r="BP883" s="127">
        <f t="shared" si="204"/>
        <v>0</v>
      </c>
    </row>
    <row r="884" spans="1:68" ht="73.5" customHeight="1" outlineLevel="4" x14ac:dyDescent="0.25">
      <c r="C884" s="10" t="s">
        <v>83</v>
      </c>
      <c r="D884" s="10" t="s">
        <v>84</v>
      </c>
      <c r="E884" s="10" t="s">
        <v>73</v>
      </c>
      <c r="F884" s="10" t="s">
        <v>74</v>
      </c>
      <c r="G884" s="10" t="s">
        <v>240</v>
      </c>
      <c r="H884" s="10" t="s">
        <v>73</v>
      </c>
      <c r="I884" s="10" t="s">
        <v>73</v>
      </c>
      <c r="K884" s="12" t="s">
        <v>73</v>
      </c>
      <c r="L884" s="10" t="s">
        <v>192</v>
      </c>
      <c r="M884" s="5" t="str">
        <f t="array" ref="M884">Y806</f>
        <v>1ХВС::1.1</v>
      </c>
      <c r="AB884" s="65" t="str">
        <f>AB879&amp;".5"</f>
        <v>3.1.1.1.6.5</v>
      </c>
      <c r="AC884" s="177" t="s">
        <v>241</v>
      </c>
      <c r="AD884" s="370" t="s">
        <v>111</v>
      </c>
      <c r="AE884" s="445">
        <f t="shared" ref="AE884:BK884" si="206">AE174+AE538</f>
        <v>5643.7000000000007</v>
      </c>
      <c r="AF884" s="178">
        <f t="shared" si="206"/>
        <v>4115.6000000000004</v>
      </c>
      <c r="AG884" s="446">
        <f t="shared" si="206"/>
        <v>6209.8899999999994</v>
      </c>
      <c r="AH884" s="187">
        <f t="shared" si="206"/>
        <v>343.39</v>
      </c>
      <c r="AI884" s="178">
        <f t="shared" si="206"/>
        <v>0</v>
      </c>
      <c r="AJ884" s="446">
        <f t="shared" si="206"/>
        <v>407.55900000000003</v>
      </c>
      <c r="AK884" s="95">
        <f t="shared" si="206"/>
        <v>0</v>
      </c>
      <c r="AL884" s="178">
        <f t="shared" si="206"/>
        <v>0</v>
      </c>
      <c r="AM884" s="446">
        <f t="shared" si="206"/>
        <v>66.650000000000006</v>
      </c>
      <c r="AN884" s="95">
        <f t="shared" si="206"/>
        <v>0</v>
      </c>
      <c r="AO884" s="178">
        <f t="shared" si="206"/>
        <v>0</v>
      </c>
      <c r="AP884" s="446">
        <f t="shared" si="206"/>
        <v>275.40999999999997</v>
      </c>
      <c r="AQ884" s="95">
        <f t="shared" si="206"/>
        <v>0</v>
      </c>
      <c r="AR884" s="178">
        <f t="shared" si="206"/>
        <v>50.42</v>
      </c>
      <c r="AS884" s="446">
        <f t="shared" si="206"/>
        <v>0</v>
      </c>
      <c r="AT884" s="95">
        <f t="shared" si="206"/>
        <v>0</v>
      </c>
      <c r="AU884" s="178">
        <f t="shared" si="206"/>
        <v>0</v>
      </c>
      <c r="AV884" s="446">
        <f t="shared" si="206"/>
        <v>13.23</v>
      </c>
      <c r="AW884" s="95">
        <f t="shared" si="206"/>
        <v>0</v>
      </c>
      <c r="AX884" s="178">
        <f t="shared" si="206"/>
        <v>0</v>
      </c>
      <c r="AY884" s="446">
        <f t="shared" si="206"/>
        <v>0</v>
      </c>
      <c r="AZ884" s="95">
        <f t="shared" si="206"/>
        <v>71.260000000000005</v>
      </c>
      <c r="BA884" s="178">
        <f t="shared" si="206"/>
        <v>0</v>
      </c>
      <c r="BB884" s="446">
        <f t="shared" si="206"/>
        <v>78.400000000000006</v>
      </c>
      <c r="BC884" s="95">
        <f t="shared" si="206"/>
        <v>481.68</v>
      </c>
      <c r="BD884" s="178">
        <f t="shared" si="206"/>
        <v>358.53000000000003</v>
      </c>
      <c r="BE884" s="446">
        <f t="shared" si="206"/>
        <v>465.95</v>
      </c>
      <c r="BF884" s="95">
        <f t="shared" si="206"/>
        <v>0</v>
      </c>
      <c r="BG884" s="178">
        <f t="shared" si="206"/>
        <v>0</v>
      </c>
      <c r="BH884" s="446">
        <f t="shared" si="206"/>
        <v>0</v>
      </c>
      <c r="BI884" s="95">
        <f t="shared" si="206"/>
        <v>255.60499999999999</v>
      </c>
      <c r="BJ884" s="178">
        <f t="shared" si="206"/>
        <v>51.58</v>
      </c>
      <c r="BK884" s="446">
        <f t="shared" si="206"/>
        <v>359.27</v>
      </c>
      <c r="BN884" s="125">
        <f t="shared" si="202"/>
        <v>6795.6350000000011</v>
      </c>
      <c r="BO884" s="126">
        <f t="shared" si="203"/>
        <v>4576.13</v>
      </c>
      <c r="BP884" s="127">
        <f t="shared" si="204"/>
        <v>7876.3589999999986</v>
      </c>
    </row>
    <row r="885" spans="1:68" ht="32.25" hidden="1" customHeight="1" outlineLevel="4" x14ac:dyDescent="0.25">
      <c r="C885" s="10" t="s">
        <v>83</v>
      </c>
      <c r="D885" s="10" t="s">
        <v>84</v>
      </c>
      <c r="E885" s="10" t="s">
        <v>73</v>
      </c>
      <c r="F885" s="10" t="s">
        <v>74</v>
      </c>
      <c r="G885" s="10" t="s">
        <v>242</v>
      </c>
      <c r="H885" s="10" t="s">
        <v>73</v>
      </c>
      <c r="I885" s="10" t="s">
        <v>73</v>
      </c>
      <c r="K885" s="12" t="s">
        <v>73</v>
      </c>
      <c r="L885" s="10" t="s">
        <v>192</v>
      </c>
      <c r="M885" s="5" t="str">
        <f t="array" ref="M885">Y806</f>
        <v>1ХВС::1.1</v>
      </c>
      <c r="AB885" s="65" t="str">
        <f>AB879&amp;".6"</f>
        <v>3.1.1.1.6.6</v>
      </c>
      <c r="AC885" s="177" t="s">
        <v>243</v>
      </c>
      <c r="AD885" s="370" t="s">
        <v>111</v>
      </c>
      <c r="AE885" s="445"/>
      <c r="AF885" s="178"/>
      <c r="AG885" s="446"/>
      <c r="AH885" s="187"/>
      <c r="AI885" s="178"/>
      <c r="AJ885" s="96"/>
      <c r="AK885" s="187"/>
      <c r="AL885" s="178"/>
      <c r="AM885" s="96"/>
      <c r="AN885" s="187"/>
      <c r="AO885" s="178"/>
      <c r="AP885" s="96"/>
      <c r="AQ885" s="187"/>
      <c r="AR885" s="178"/>
      <c r="AS885" s="96"/>
      <c r="AT885" s="187"/>
      <c r="AU885" s="178"/>
      <c r="AV885" s="96"/>
      <c r="AW885" s="187"/>
      <c r="AX885" s="178"/>
      <c r="AY885" s="96"/>
      <c r="AZ885" s="187"/>
      <c r="BA885" s="178"/>
      <c r="BB885" s="96"/>
      <c r="BC885" s="187"/>
      <c r="BD885" s="178"/>
      <c r="BE885" s="96"/>
      <c r="BF885" s="182"/>
      <c r="BG885" s="183"/>
      <c r="BH885" s="186"/>
      <c r="BI885" s="185"/>
      <c r="BJ885" s="183"/>
      <c r="BK885" s="186"/>
      <c r="BN885" s="125">
        <f t="shared" si="202"/>
        <v>0</v>
      </c>
      <c r="BO885" s="126">
        <f t="shared" si="203"/>
        <v>0</v>
      </c>
      <c r="BP885" s="127">
        <f t="shared" si="204"/>
        <v>0</v>
      </c>
    </row>
    <row r="886" spans="1:68" s="214" customFormat="1" ht="24" customHeight="1" outlineLevel="4" x14ac:dyDescent="0.25">
      <c r="A886" s="5"/>
      <c r="B886" s="5"/>
      <c r="C886" s="10" t="s">
        <v>83</v>
      </c>
      <c r="D886" s="10" t="s">
        <v>84</v>
      </c>
      <c r="E886" s="10" t="s">
        <v>73</v>
      </c>
      <c r="F886" s="10" t="s">
        <v>74</v>
      </c>
      <c r="G886" s="10" t="s">
        <v>244</v>
      </c>
      <c r="H886" s="10" t="s">
        <v>73</v>
      </c>
      <c r="I886" s="10" t="s">
        <v>73</v>
      </c>
      <c r="J886" s="5"/>
      <c r="K886" s="12" t="s">
        <v>73</v>
      </c>
      <c r="L886" s="10" t="s">
        <v>192</v>
      </c>
      <c r="M886" s="5" t="str">
        <f t="array" ref="M886">Y806</f>
        <v>1ХВС::1.1</v>
      </c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65" t="str">
        <f>AB879&amp;".7"</f>
        <v>3.1.1.1.6.7</v>
      </c>
      <c r="AC886" s="177" t="s">
        <v>245</v>
      </c>
      <c r="AD886" s="370" t="s">
        <v>111</v>
      </c>
      <c r="AE886" s="175">
        <f t="shared" ref="AE886:BK886" si="207">SUM(AE887:AE919)</f>
        <v>35732.799999999996</v>
      </c>
      <c r="AF886" s="73">
        <f t="shared" si="207"/>
        <v>20499.549999999996</v>
      </c>
      <c r="AG886" s="176">
        <f t="shared" si="207"/>
        <v>34937.530000000006</v>
      </c>
      <c r="AH886" s="175">
        <f t="shared" si="207"/>
        <v>0</v>
      </c>
      <c r="AI886" s="73">
        <f t="shared" si="207"/>
        <v>0</v>
      </c>
      <c r="AJ886" s="176">
        <f t="shared" si="207"/>
        <v>63.940000000000005</v>
      </c>
      <c r="AK886" s="175">
        <f t="shared" si="207"/>
        <v>0</v>
      </c>
      <c r="AL886" s="73">
        <f t="shared" si="207"/>
        <v>0</v>
      </c>
      <c r="AM886" s="176">
        <f t="shared" si="207"/>
        <v>0</v>
      </c>
      <c r="AN886" s="175">
        <f t="shared" si="207"/>
        <v>0</v>
      </c>
      <c r="AO886" s="73">
        <f t="shared" si="207"/>
        <v>0</v>
      </c>
      <c r="AP886" s="176">
        <f t="shared" si="207"/>
        <v>0</v>
      </c>
      <c r="AQ886" s="175">
        <f t="shared" si="207"/>
        <v>0</v>
      </c>
      <c r="AR886" s="73">
        <f t="shared" si="207"/>
        <v>0</v>
      </c>
      <c r="AS886" s="176">
        <f t="shared" si="207"/>
        <v>0</v>
      </c>
      <c r="AT886" s="175">
        <f t="shared" si="207"/>
        <v>0</v>
      </c>
      <c r="AU886" s="73">
        <f t="shared" si="207"/>
        <v>0</v>
      </c>
      <c r="AV886" s="176">
        <f t="shared" si="207"/>
        <v>0</v>
      </c>
      <c r="AW886" s="175">
        <f t="shared" si="207"/>
        <v>0</v>
      </c>
      <c r="AX886" s="73">
        <f t="shared" si="207"/>
        <v>0</v>
      </c>
      <c r="AY886" s="176">
        <f t="shared" si="207"/>
        <v>0</v>
      </c>
      <c r="AZ886" s="175">
        <f t="shared" si="207"/>
        <v>0</v>
      </c>
      <c r="BA886" s="73">
        <f t="shared" si="207"/>
        <v>2398.59</v>
      </c>
      <c r="BB886" s="176">
        <f t="shared" si="207"/>
        <v>0</v>
      </c>
      <c r="BC886" s="175">
        <f t="shared" si="207"/>
        <v>0</v>
      </c>
      <c r="BD886" s="73">
        <f t="shared" si="207"/>
        <v>0</v>
      </c>
      <c r="BE886" s="176">
        <f t="shared" si="207"/>
        <v>0</v>
      </c>
      <c r="BF886" s="175">
        <f t="shared" si="207"/>
        <v>0</v>
      </c>
      <c r="BG886" s="73">
        <f t="shared" si="207"/>
        <v>0</v>
      </c>
      <c r="BH886" s="176">
        <f t="shared" si="207"/>
        <v>0</v>
      </c>
      <c r="BI886" s="175">
        <f t="shared" si="207"/>
        <v>0</v>
      </c>
      <c r="BJ886" s="73">
        <f t="shared" si="207"/>
        <v>0</v>
      </c>
      <c r="BK886" s="176">
        <f t="shared" si="207"/>
        <v>0</v>
      </c>
      <c r="BL886" s="6"/>
      <c r="BM886" s="5"/>
      <c r="BN886" s="125">
        <f t="shared" si="202"/>
        <v>35732.799999999996</v>
      </c>
      <c r="BO886" s="126">
        <f t="shared" si="203"/>
        <v>22898.139999999996</v>
      </c>
      <c r="BP886" s="127">
        <f t="shared" si="204"/>
        <v>35001.470000000008</v>
      </c>
    </row>
    <row r="887" spans="1:68" s="230" customFormat="1" ht="17.25" customHeight="1" outlineLevel="5" x14ac:dyDescent="0.25">
      <c r="A887" s="215"/>
      <c r="B887" s="215"/>
      <c r="C887" s="216"/>
      <c r="D887" s="216"/>
      <c r="E887" s="216"/>
      <c r="F887" s="216"/>
      <c r="G887" s="216"/>
      <c r="H887" s="216"/>
      <c r="I887" s="216"/>
      <c r="J887" s="215"/>
      <c r="K887" s="217"/>
      <c r="L887" s="216"/>
      <c r="M887" s="215"/>
      <c r="N887" s="215"/>
      <c r="O887" s="215"/>
      <c r="P887" s="215"/>
      <c r="Q887" s="215"/>
      <c r="R887" s="215"/>
      <c r="S887" s="215"/>
      <c r="T887" s="215"/>
      <c r="U887" s="215"/>
      <c r="V887" s="215"/>
      <c r="W887" s="215"/>
      <c r="X887" s="215"/>
      <c r="Y887" s="215"/>
      <c r="Z887" s="215"/>
      <c r="AA887" s="215"/>
      <c r="AB887" s="218"/>
      <c r="AC887" s="219" t="s">
        <v>246</v>
      </c>
      <c r="AD887" s="644" t="s">
        <v>247</v>
      </c>
      <c r="AE887" s="645">
        <f>AE177+AE548</f>
        <v>788.42</v>
      </c>
      <c r="AF887" s="222">
        <f>AF177+AF548</f>
        <v>349.15</v>
      </c>
      <c r="AG887" s="646">
        <f>AG177+AG548+0.01</f>
        <v>542.53</v>
      </c>
      <c r="AH887" s="647">
        <f t="shared" ref="AH887:BK887" si="208">AH177+AH548</f>
        <v>0</v>
      </c>
      <c r="AI887" s="222">
        <f t="shared" si="208"/>
        <v>0</v>
      </c>
      <c r="AJ887" s="646">
        <f t="shared" si="208"/>
        <v>0</v>
      </c>
      <c r="AK887" s="645">
        <f t="shared" si="208"/>
        <v>0</v>
      </c>
      <c r="AL887" s="222">
        <f t="shared" si="208"/>
        <v>0</v>
      </c>
      <c r="AM887" s="646">
        <f t="shared" si="208"/>
        <v>0</v>
      </c>
      <c r="AN887" s="645">
        <f t="shared" si="208"/>
        <v>0</v>
      </c>
      <c r="AO887" s="222">
        <f t="shared" si="208"/>
        <v>0</v>
      </c>
      <c r="AP887" s="646">
        <f t="shared" si="208"/>
        <v>0</v>
      </c>
      <c r="AQ887" s="645">
        <f t="shared" si="208"/>
        <v>0</v>
      </c>
      <c r="AR887" s="222">
        <f t="shared" si="208"/>
        <v>0</v>
      </c>
      <c r="AS887" s="646">
        <f t="shared" si="208"/>
        <v>0</v>
      </c>
      <c r="AT887" s="645">
        <f t="shared" si="208"/>
        <v>0</v>
      </c>
      <c r="AU887" s="222">
        <f t="shared" si="208"/>
        <v>0</v>
      </c>
      <c r="AV887" s="646">
        <f t="shared" si="208"/>
        <v>0</v>
      </c>
      <c r="AW887" s="645">
        <f t="shared" si="208"/>
        <v>0</v>
      </c>
      <c r="AX887" s="222">
        <f t="shared" si="208"/>
        <v>0</v>
      </c>
      <c r="AY887" s="646">
        <f t="shared" si="208"/>
        <v>0</v>
      </c>
      <c r="AZ887" s="645">
        <f t="shared" si="208"/>
        <v>0</v>
      </c>
      <c r="BA887" s="222">
        <f t="shared" si="208"/>
        <v>0</v>
      </c>
      <c r="BB887" s="646">
        <f t="shared" si="208"/>
        <v>0</v>
      </c>
      <c r="BC887" s="645">
        <f t="shared" si="208"/>
        <v>0</v>
      </c>
      <c r="BD887" s="222">
        <f t="shared" si="208"/>
        <v>0</v>
      </c>
      <c r="BE887" s="646">
        <f t="shared" si="208"/>
        <v>0</v>
      </c>
      <c r="BF887" s="645">
        <f t="shared" si="208"/>
        <v>0</v>
      </c>
      <c r="BG887" s="222">
        <f t="shared" si="208"/>
        <v>0</v>
      </c>
      <c r="BH887" s="646">
        <f t="shared" si="208"/>
        <v>0</v>
      </c>
      <c r="BI887" s="645">
        <f t="shared" si="208"/>
        <v>0</v>
      </c>
      <c r="BJ887" s="222">
        <f t="shared" si="208"/>
        <v>0</v>
      </c>
      <c r="BK887" s="646">
        <f t="shared" si="208"/>
        <v>0</v>
      </c>
      <c r="BL887" s="229"/>
      <c r="BM887" s="215"/>
      <c r="BN887" s="125">
        <f t="shared" si="202"/>
        <v>788.42</v>
      </c>
      <c r="BO887" s="126">
        <f t="shared" si="203"/>
        <v>349.15</v>
      </c>
      <c r="BP887" s="127">
        <f t="shared" si="204"/>
        <v>542.53</v>
      </c>
    </row>
    <row r="888" spans="1:68" s="230" customFormat="1" ht="17.25" customHeight="1" outlineLevel="5" x14ac:dyDescent="0.25">
      <c r="A888" s="215"/>
      <c r="B888" s="215"/>
      <c r="C888" s="216"/>
      <c r="D888" s="216"/>
      <c r="E888" s="216"/>
      <c r="F888" s="216"/>
      <c r="G888" s="216"/>
      <c r="H888" s="216"/>
      <c r="I888" s="216"/>
      <c r="J888" s="215"/>
      <c r="K888" s="217"/>
      <c r="L888" s="216"/>
      <c r="M888" s="215"/>
      <c r="N888" s="215"/>
      <c r="O888" s="215"/>
      <c r="P888" s="215"/>
      <c r="Q888" s="215"/>
      <c r="R888" s="215"/>
      <c r="S888" s="215"/>
      <c r="T888" s="215"/>
      <c r="U888" s="215"/>
      <c r="V888" s="215"/>
      <c r="W888" s="215"/>
      <c r="X888" s="215"/>
      <c r="Y888" s="215"/>
      <c r="Z888" s="215"/>
      <c r="AA888" s="215"/>
      <c r="AB888" s="218"/>
      <c r="AC888" s="219" t="s">
        <v>248</v>
      </c>
      <c r="AD888" s="644" t="s">
        <v>247</v>
      </c>
      <c r="AE888" s="645">
        <f t="shared" ref="AE888:BK888" si="209">AE178</f>
        <v>576.55999999999995</v>
      </c>
      <c r="AF888" s="222">
        <f t="shared" si="209"/>
        <v>576.55999999999995</v>
      </c>
      <c r="AG888" s="646">
        <f t="shared" si="209"/>
        <v>576.55999999999995</v>
      </c>
      <c r="AH888" s="647">
        <f t="shared" si="209"/>
        <v>0</v>
      </c>
      <c r="AI888" s="222">
        <f t="shared" si="209"/>
        <v>0</v>
      </c>
      <c r="AJ888" s="646">
        <f t="shared" si="209"/>
        <v>0</v>
      </c>
      <c r="AK888" s="645">
        <f t="shared" si="209"/>
        <v>0</v>
      </c>
      <c r="AL888" s="222">
        <f t="shared" si="209"/>
        <v>0</v>
      </c>
      <c r="AM888" s="646">
        <f t="shared" si="209"/>
        <v>0</v>
      </c>
      <c r="AN888" s="645">
        <f t="shared" si="209"/>
        <v>0</v>
      </c>
      <c r="AO888" s="222">
        <f t="shared" si="209"/>
        <v>0</v>
      </c>
      <c r="AP888" s="646">
        <f t="shared" si="209"/>
        <v>0</v>
      </c>
      <c r="AQ888" s="645">
        <f t="shared" si="209"/>
        <v>0</v>
      </c>
      <c r="AR888" s="222">
        <f t="shared" si="209"/>
        <v>0</v>
      </c>
      <c r="AS888" s="646">
        <f t="shared" si="209"/>
        <v>0</v>
      </c>
      <c r="AT888" s="645">
        <f t="shared" si="209"/>
        <v>0</v>
      </c>
      <c r="AU888" s="222">
        <f t="shared" si="209"/>
        <v>0</v>
      </c>
      <c r="AV888" s="646">
        <f t="shared" si="209"/>
        <v>0</v>
      </c>
      <c r="AW888" s="645">
        <f t="shared" si="209"/>
        <v>0</v>
      </c>
      <c r="AX888" s="222">
        <f t="shared" si="209"/>
        <v>0</v>
      </c>
      <c r="AY888" s="646">
        <f t="shared" si="209"/>
        <v>0</v>
      </c>
      <c r="AZ888" s="645">
        <f t="shared" si="209"/>
        <v>0</v>
      </c>
      <c r="BA888" s="222">
        <f t="shared" si="209"/>
        <v>0</v>
      </c>
      <c r="BB888" s="646">
        <f t="shared" si="209"/>
        <v>0</v>
      </c>
      <c r="BC888" s="645">
        <f t="shared" si="209"/>
        <v>0</v>
      </c>
      <c r="BD888" s="222">
        <f t="shared" si="209"/>
        <v>0</v>
      </c>
      <c r="BE888" s="646">
        <f t="shared" si="209"/>
        <v>0</v>
      </c>
      <c r="BF888" s="645">
        <f t="shared" si="209"/>
        <v>0</v>
      </c>
      <c r="BG888" s="222">
        <f t="shared" si="209"/>
        <v>0</v>
      </c>
      <c r="BH888" s="646">
        <f t="shared" si="209"/>
        <v>0</v>
      </c>
      <c r="BI888" s="645">
        <f t="shared" si="209"/>
        <v>0</v>
      </c>
      <c r="BJ888" s="222">
        <f t="shared" si="209"/>
        <v>0</v>
      </c>
      <c r="BK888" s="646">
        <f t="shared" si="209"/>
        <v>0</v>
      </c>
      <c r="BL888" s="229"/>
      <c r="BM888" s="215"/>
      <c r="BN888" s="125">
        <f t="shared" si="202"/>
        <v>576.55999999999995</v>
      </c>
      <c r="BO888" s="126">
        <f t="shared" si="203"/>
        <v>576.55999999999995</v>
      </c>
      <c r="BP888" s="127">
        <f t="shared" si="204"/>
        <v>576.55999999999995</v>
      </c>
    </row>
    <row r="889" spans="1:68" s="230" customFormat="1" ht="17.25" customHeight="1" outlineLevel="5" x14ac:dyDescent="0.25">
      <c r="A889" s="215"/>
      <c r="B889" s="215"/>
      <c r="C889" s="216"/>
      <c r="D889" s="216"/>
      <c r="E889" s="216"/>
      <c r="F889" s="216"/>
      <c r="G889" s="216"/>
      <c r="H889" s="216"/>
      <c r="I889" s="216"/>
      <c r="J889" s="215"/>
      <c r="K889" s="217"/>
      <c r="L889" s="216"/>
      <c r="M889" s="215"/>
      <c r="N889" s="215"/>
      <c r="O889" s="215"/>
      <c r="P889" s="215"/>
      <c r="Q889" s="215"/>
      <c r="R889" s="215"/>
      <c r="S889" s="215"/>
      <c r="T889" s="215"/>
      <c r="U889" s="215"/>
      <c r="V889" s="215"/>
      <c r="W889" s="215"/>
      <c r="X889" s="215"/>
      <c r="Y889" s="215"/>
      <c r="Z889" s="215"/>
      <c r="AA889" s="215"/>
      <c r="AB889" s="218"/>
      <c r="AC889" s="219" t="s">
        <v>249</v>
      </c>
      <c r="AD889" s="644" t="s">
        <v>247</v>
      </c>
      <c r="AE889" s="645">
        <f t="shared" ref="AE889:BK889" si="210">AE179+AE550</f>
        <v>9275.1200000000008</v>
      </c>
      <c r="AF889" s="222">
        <f t="shared" si="210"/>
        <v>3034.59</v>
      </c>
      <c r="AG889" s="646">
        <f t="shared" si="210"/>
        <v>9971.83</v>
      </c>
      <c r="AH889" s="647">
        <f t="shared" si="210"/>
        <v>0</v>
      </c>
      <c r="AI889" s="222">
        <f t="shared" si="210"/>
        <v>0</v>
      </c>
      <c r="AJ889" s="646">
        <f t="shared" si="210"/>
        <v>0</v>
      </c>
      <c r="AK889" s="645">
        <f t="shared" si="210"/>
        <v>0</v>
      </c>
      <c r="AL889" s="222">
        <f t="shared" si="210"/>
        <v>0</v>
      </c>
      <c r="AM889" s="646">
        <f t="shared" si="210"/>
        <v>0</v>
      </c>
      <c r="AN889" s="645">
        <f t="shared" si="210"/>
        <v>0</v>
      </c>
      <c r="AO889" s="222">
        <f t="shared" si="210"/>
        <v>0</v>
      </c>
      <c r="AP889" s="646">
        <f t="shared" si="210"/>
        <v>0</v>
      </c>
      <c r="AQ889" s="645">
        <f t="shared" si="210"/>
        <v>0</v>
      </c>
      <c r="AR889" s="222">
        <f t="shared" si="210"/>
        <v>0</v>
      </c>
      <c r="AS889" s="646">
        <f t="shared" si="210"/>
        <v>0</v>
      </c>
      <c r="AT889" s="645">
        <f t="shared" si="210"/>
        <v>0</v>
      </c>
      <c r="AU889" s="222">
        <f t="shared" si="210"/>
        <v>0</v>
      </c>
      <c r="AV889" s="646">
        <f t="shared" si="210"/>
        <v>0</v>
      </c>
      <c r="AW889" s="645">
        <f t="shared" si="210"/>
        <v>0</v>
      </c>
      <c r="AX889" s="222">
        <f t="shared" si="210"/>
        <v>0</v>
      </c>
      <c r="AY889" s="646">
        <f t="shared" si="210"/>
        <v>0</v>
      </c>
      <c r="AZ889" s="645">
        <f t="shared" si="210"/>
        <v>0</v>
      </c>
      <c r="BA889" s="222">
        <f t="shared" si="210"/>
        <v>0</v>
      </c>
      <c r="BB889" s="646">
        <f t="shared" si="210"/>
        <v>0</v>
      </c>
      <c r="BC889" s="645">
        <f t="shared" si="210"/>
        <v>0</v>
      </c>
      <c r="BD889" s="222">
        <f t="shared" si="210"/>
        <v>0</v>
      </c>
      <c r="BE889" s="646">
        <f t="shared" si="210"/>
        <v>0</v>
      </c>
      <c r="BF889" s="645">
        <f t="shared" si="210"/>
        <v>0</v>
      </c>
      <c r="BG889" s="222">
        <f t="shared" si="210"/>
        <v>0</v>
      </c>
      <c r="BH889" s="646">
        <f t="shared" si="210"/>
        <v>0</v>
      </c>
      <c r="BI889" s="645">
        <f t="shared" si="210"/>
        <v>0</v>
      </c>
      <c r="BJ889" s="222">
        <f t="shared" si="210"/>
        <v>0</v>
      </c>
      <c r="BK889" s="646">
        <f t="shared" si="210"/>
        <v>0</v>
      </c>
      <c r="BL889" s="229"/>
      <c r="BM889" s="215"/>
      <c r="BN889" s="125">
        <f t="shared" si="202"/>
        <v>9275.1200000000008</v>
      </c>
      <c r="BO889" s="126">
        <f t="shared" si="203"/>
        <v>3034.59</v>
      </c>
      <c r="BP889" s="127">
        <f t="shared" si="204"/>
        <v>9971.83</v>
      </c>
    </row>
    <row r="890" spans="1:68" s="230" customFormat="1" ht="17.25" customHeight="1" outlineLevel="5" x14ac:dyDescent="0.25">
      <c r="A890" s="215"/>
      <c r="B890" s="215"/>
      <c r="C890" s="216"/>
      <c r="D890" s="216"/>
      <c r="E890" s="216"/>
      <c r="F890" s="216"/>
      <c r="G890" s="216"/>
      <c r="H890" s="216"/>
      <c r="I890" s="216"/>
      <c r="J890" s="215"/>
      <c r="K890" s="217"/>
      <c r="L890" s="216"/>
      <c r="M890" s="215"/>
      <c r="N890" s="215"/>
      <c r="O890" s="215"/>
      <c r="P890" s="215"/>
      <c r="Q890" s="215"/>
      <c r="R890" s="215"/>
      <c r="S890" s="215"/>
      <c r="T890" s="215"/>
      <c r="U890" s="215"/>
      <c r="V890" s="215"/>
      <c r="W890" s="215"/>
      <c r="X890" s="215"/>
      <c r="Y890" s="215"/>
      <c r="Z890" s="215"/>
      <c r="AA890" s="215"/>
      <c r="AB890" s="218"/>
      <c r="AC890" s="219" t="s">
        <v>250</v>
      </c>
      <c r="AD890" s="644" t="s">
        <v>247</v>
      </c>
      <c r="AE890" s="645">
        <f t="shared" ref="AE890:BK890" si="211">AE180</f>
        <v>317.01</v>
      </c>
      <c r="AF890" s="222">
        <f t="shared" si="211"/>
        <v>317.01</v>
      </c>
      <c r="AG890" s="646">
        <f t="shared" si="211"/>
        <v>317.01</v>
      </c>
      <c r="AH890" s="647">
        <f t="shared" si="211"/>
        <v>0</v>
      </c>
      <c r="AI890" s="222">
        <f t="shared" si="211"/>
        <v>0</v>
      </c>
      <c r="AJ890" s="646">
        <f t="shared" si="211"/>
        <v>0</v>
      </c>
      <c r="AK890" s="645">
        <f t="shared" si="211"/>
        <v>0</v>
      </c>
      <c r="AL890" s="222">
        <f t="shared" si="211"/>
        <v>0</v>
      </c>
      <c r="AM890" s="646">
        <f t="shared" si="211"/>
        <v>0</v>
      </c>
      <c r="AN890" s="645">
        <f t="shared" si="211"/>
        <v>0</v>
      </c>
      <c r="AO890" s="222">
        <f t="shared" si="211"/>
        <v>0</v>
      </c>
      <c r="AP890" s="646">
        <f t="shared" si="211"/>
        <v>0</v>
      </c>
      <c r="AQ890" s="645">
        <f t="shared" si="211"/>
        <v>0</v>
      </c>
      <c r="AR890" s="222">
        <f t="shared" si="211"/>
        <v>0</v>
      </c>
      <c r="AS890" s="646">
        <f t="shared" si="211"/>
        <v>0</v>
      </c>
      <c r="AT890" s="645">
        <f t="shared" si="211"/>
        <v>0</v>
      </c>
      <c r="AU890" s="222">
        <f t="shared" si="211"/>
        <v>0</v>
      </c>
      <c r="AV890" s="646">
        <f t="shared" si="211"/>
        <v>0</v>
      </c>
      <c r="AW890" s="645">
        <f t="shared" si="211"/>
        <v>0</v>
      </c>
      <c r="AX890" s="222">
        <f t="shared" si="211"/>
        <v>0</v>
      </c>
      <c r="AY890" s="646">
        <f t="shared" si="211"/>
        <v>0</v>
      </c>
      <c r="AZ890" s="645">
        <f t="shared" si="211"/>
        <v>0</v>
      </c>
      <c r="BA890" s="222">
        <f t="shared" si="211"/>
        <v>0</v>
      </c>
      <c r="BB890" s="646">
        <f t="shared" si="211"/>
        <v>0</v>
      </c>
      <c r="BC890" s="645">
        <f t="shared" si="211"/>
        <v>0</v>
      </c>
      <c r="BD890" s="222">
        <f t="shared" si="211"/>
        <v>0</v>
      </c>
      <c r="BE890" s="646">
        <f t="shared" si="211"/>
        <v>0</v>
      </c>
      <c r="BF890" s="645">
        <f t="shared" si="211"/>
        <v>0</v>
      </c>
      <c r="BG890" s="222">
        <f t="shared" si="211"/>
        <v>0</v>
      </c>
      <c r="BH890" s="646">
        <f t="shared" si="211"/>
        <v>0</v>
      </c>
      <c r="BI890" s="645">
        <f t="shared" si="211"/>
        <v>0</v>
      </c>
      <c r="BJ890" s="222">
        <f t="shared" si="211"/>
        <v>0</v>
      </c>
      <c r="BK890" s="646">
        <f t="shared" si="211"/>
        <v>0</v>
      </c>
      <c r="BL890" s="229"/>
      <c r="BM890" s="215"/>
      <c r="BN890" s="125">
        <f t="shared" si="202"/>
        <v>317.01</v>
      </c>
      <c r="BO890" s="126">
        <f t="shared" si="203"/>
        <v>317.01</v>
      </c>
      <c r="BP890" s="127">
        <f t="shared" si="204"/>
        <v>317.01</v>
      </c>
    </row>
    <row r="891" spans="1:68" s="230" customFormat="1" ht="17.25" customHeight="1" outlineLevel="5" x14ac:dyDescent="0.25">
      <c r="A891" s="215"/>
      <c r="B891" s="215"/>
      <c r="C891" s="216"/>
      <c r="D891" s="216"/>
      <c r="E891" s="216"/>
      <c r="F891" s="216"/>
      <c r="G891" s="216"/>
      <c r="H891" s="216"/>
      <c r="I891" s="216"/>
      <c r="J891" s="215"/>
      <c r="K891" s="217"/>
      <c r="L891" s="216"/>
      <c r="M891" s="215"/>
      <c r="N891" s="215"/>
      <c r="O891" s="215"/>
      <c r="P891" s="215"/>
      <c r="Q891" s="215"/>
      <c r="R891" s="215"/>
      <c r="S891" s="215"/>
      <c r="T891" s="215"/>
      <c r="U891" s="215"/>
      <c r="V891" s="215"/>
      <c r="W891" s="215"/>
      <c r="X891" s="215"/>
      <c r="Y891" s="215"/>
      <c r="Z891" s="215"/>
      <c r="AA891" s="215"/>
      <c r="AB891" s="218"/>
      <c r="AC891" s="219" t="s">
        <v>251</v>
      </c>
      <c r="AD891" s="644" t="s">
        <v>247</v>
      </c>
      <c r="AE891" s="645">
        <f t="shared" ref="AE891:BK891" si="212">AE181</f>
        <v>55.46</v>
      </c>
      <c r="AF891" s="222">
        <f t="shared" si="212"/>
        <v>55.46</v>
      </c>
      <c r="AG891" s="646">
        <f t="shared" si="212"/>
        <v>55.46</v>
      </c>
      <c r="AH891" s="647">
        <f t="shared" si="212"/>
        <v>0</v>
      </c>
      <c r="AI891" s="222">
        <f t="shared" si="212"/>
        <v>0</v>
      </c>
      <c r="AJ891" s="646">
        <f t="shared" si="212"/>
        <v>0</v>
      </c>
      <c r="AK891" s="645">
        <f t="shared" si="212"/>
        <v>0</v>
      </c>
      <c r="AL891" s="222">
        <f t="shared" si="212"/>
        <v>0</v>
      </c>
      <c r="AM891" s="646">
        <f t="shared" si="212"/>
        <v>0</v>
      </c>
      <c r="AN891" s="645">
        <f t="shared" si="212"/>
        <v>0</v>
      </c>
      <c r="AO891" s="222">
        <f t="shared" si="212"/>
        <v>0</v>
      </c>
      <c r="AP891" s="646">
        <f t="shared" si="212"/>
        <v>0</v>
      </c>
      <c r="AQ891" s="645">
        <f t="shared" si="212"/>
        <v>0</v>
      </c>
      <c r="AR891" s="222">
        <f t="shared" si="212"/>
        <v>0</v>
      </c>
      <c r="AS891" s="646">
        <f t="shared" si="212"/>
        <v>0</v>
      </c>
      <c r="AT891" s="645">
        <f t="shared" si="212"/>
        <v>0</v>
      </c>
      <c r="AU891" s="222">
        <f t="shared" si="212"/>
        <v>0</v>
      </c>
      <c r="AV891" s="646">
        <f t="shared" si="212"/>
        <v>0</v>
      </c>
      <c r="AW891" s="645">
        <f t="shared" si="212"/>
        <v>0</v>
      </c>
      <c r="AX891" s="222">
        <f t="shared" si="212"/>
        <v>0</v>
      </c>
      <c r="AY891" s="646">
        <f t="shared" si="212"/>
        <v>0</v>
      </c>
      <c r="AZ891" s="645">
        <f t="shared" si="212"/>
        <v>0</v>
      </c>
      <c r="BA891" s="222">
        <f t="shared" si="212"/>
        <v>0</v>
      </c>
      <c r="BB891" s="646">
        <f t="shared" si="212"/>
        <v>0</v>
      </c>
      <c r="BC891" s="645">
        <f t="shared" si="212"/>
        <v>0</v>
      </c>
      <c r="BD891" s="222">
        <f t="shared" si="212"/>
        <v>0</v>
      </c>
      <c r="BE891" s="646">
        <f t="shared" si="212"/>
        <v>0</v>
      </c>
      <c r="BF891" s="645">
        <f t="shared" si="212"/>
        <v>0</v>
      </c>
      <c r="BG891" s="222">
        <f t="shared" si="212"/>
        <v>0</v>
      </c>
      <c r="BH891" s="646">
        <f t="shared" si="212"/>
        <v>0</v>
      </c>
      <c r="BI891" s="645">
        <f t="shared" si="212"/>
        <v>0</v>
      </c>
      <c r="BJ891" s="222">
        <f t="shared" si="212"/>
        <v>0</v>
      </c>
      <c r="BK891" s="646">
        <f t="shared" si="212"/>
        <v>0</v>
      </c>
      <c r="BL891" s="229"/>
      <c r="BM891" s="215"/>
      <c r="BN891" s="125">
        <f t="shared" si="202"/>
        <v>55.46</v>
      </c>
      <c r="BO891" s="126">
        <f t="shared" si="203"/>
        <v>55.46</v>
      </c>
      <c r="BP891" s="127">
        <f t="shared" si="204"/>
        <v>55.46</v>
      </c>
    </row>
    <row r="892" spans="1:68" s="230" customFormat="1" ht="17.25" customHeight="1" outlineLevel="5" x14ac:dyDescent="0.25">
      <c r="A892" s="215"/>
      <c r="B892" s="215"/>
      <c r="C892" s="216"/>
      <c r="D892" s="216"/>
      <c r="E892" s="216"/>
      <c r="F892" s="216"/>
      <c r="G892" s="216"/>
      <c r="H892" s="216"/>
      <c r="I892" s="216"/>
      <c r="J892" s="215"/>
      <c r="K892" s="217"/>
      <c r="L892" s="216"/>
      <c r="M892" s="215"/>
      <c r="N892" s="215"/>
      <c r="O892" s="215"/>
      <c r="P892" s="215"/>
      <c r="Q892" s="215"/>
      <c r="R892" s="215"/>
      <c r="S892" s="215"/>
      <c r="T892" s="215"/>
      <c r="U892" s="215"/>
      <c r="V892" s="215"/>
      <c r="W892" s="215"/>
      <c r="X892" s="215"/>
      <c r="Y892" s="215"/>
      <c r="Z892" s="215"/>
      <c r="AA892" s="215"/>
      <c r="AB892" s="218"/>
      <c r="AC892" s="219" t="s">
        <v>252</v>
      </c>
      <c r="AD892" s="644" t="s">
        <v>247</v>
      </c>
      <c r="AE892" s="645">
        <f t="shared" ref="AE892:BK892" si="213">AE182</f>
        <v>86.37</v>
      </c>
      <c r="AF892" s="222">
        <f t="shared" si="213"/>
        <v>86.37</v>
      </c>
      <c r="AG892" s="646">
        <f t="shared" si="213"/>
        <v>86.37</v>
      </c>
      <c r="AH892" s="647">
        <f t="shared" si="213"/>
        <v>0</v>
      </c>
      <c r="AI892" s="222">
        <f t="shared" si="213"/>
        <v>0</v>
      </c>
      <c r="AJ892" s="646">
        <f t="shared" si="213"/>
        <v>0</v>
      </c>
      <c r="AK892" s="645">
        <f t="shared" si="213"/>
        <v>0</v>
      </c>
      <c r="AL892" s="222">
        <f t="shared" si="213"/>
        <v>0</v>
      </c>
      <c r="AM892" s="646">
        <f t="shared" si="213"/>
        <v>0</v>
      </c>
      <c r="AN892" s="645">
        <f t="shared" si="213"/>
        <v>0</v>
      </c>
      <c r="AO892" s="222">
        <f t="shared" si="213"/>
        <v>0</v>
      </c>
      <c r="AP892" s="646">
        <f t="shared" si="213"/>
        <v>0</v>
      </c>
      <c r="AQ892" s="645">
        <f t="shared" si="213"/>
        <v>0</v>
      </c>
      <c r="AR892" s="222">
        <f t="shared" si="213"/>
        <v>0</v>
      </c>
      <c r="AS892" s="646">
        <f t="shared" si="213"/>
        <v>0</v>
      </c>
      <c r="AT892" s="645">
        <f t="shared" si="213"/>
        <v>0</v>
      </c>
      <c r="AU892" s="222">
        <f t="shared" si="213"/>
        <v>0</v>
      </c>
      <c r="AV892" s="646">
        <f t="shared" si="213"/>
        <v>0</v>
      </c>
      <c r="AW892" s="645">
        <f t="shared" si="213"/>
        <v>0</v>
      </c>
      <c r="AX892" s="222">
        <f t="shared" si="213"/>
        <v>0</v>
      </c>
      <c r="AY892" s="646">
        <f t="shared" si="213"/>
        <v>0</v>
      </c>
      <c r="AZ892" s="645">
        <f t="shared" si="213"/>
        <v>0</v>
      </c>
      <c r="BA892" s="222">
        <f t="shared" si="213"/>
        <v>0</v>
      </c>
      <c r="BB892" s="646">
        <f t="shared" si="213"/>
        <v>0</v>
      </c>
      <c r="BC892" s="645">
        <f t="shared" si="213"/>
        <v>0</v>
      </c>
      <c r="BD892" s="222">
        <f t="shared" si="213"/>
        <v>0</v>
      </c>
      <c r="BE892" s="646">
        <f t="shared" si="213"/>
        <v>0</v>
      </c>
      <c r="BF892" s="645">
        <f t="shared" si="213"/>
        <v>0</v>
      </c>
      <c r="BG892" s="222">
        <f t="shared" si="213"/>
        <v>0</v>
      </c>
      <c r="BH892" s="646">
        <f t="shared" si="213"/>
        <v>0</v>
      </c>
      <c r="BI892" s="645">
        <f t="shared" si="213"/>
        <v>0</v>
      </c>
      <c r="BJ892" s="222">
        <f t="shared" si="213"/>
        <v>0</v>
      </c>
      <c r="BK892" s="646">
        <f t="shared" si="213"/>
        <v>0</v>
      </c>
      <c r="BL892" s="229"/>
      <c r="BM892" s="215"/>
      <c r="BN892" s="125">
        <f t="shared" si="202"/>
        <v>86.37</v>
      </c>
      <c r="BO892" s="126">
        <f t="shared" si="203"/>
        <v>86.37</v>
      </c>
      <c r="BP892" s="127">
        <f t="shared" si="204"/>
        <v>86.37</v>
      </c>
    </row>
    <row r="893" spans="1:68" s="230" customFormat="1" ht="17.25" customHeight="1" outlineLevel="5" x14ac:dyDescent="0.25">
      <c r="A893" s="215"/>
      <c r="B893" s="215"/>
      <c r="C893" s="216"/>
      <c r="D893" s="216"/>
      <c r="E893" s="216"/>
      <c r="F893" s="216"/>
      <c r="G893" s="216"/>
      <c r="H893" s="216"/>
      <c r="I893" s="216"/>
      <c r="J893" s="215"/>
      <c r="K893" s="217"/>
      <c r="L893" s="216"/>
      <c r="M893" s="215"/>
      <c r="N893" s="215"/>
      <c r="O893" s="215"/>
      <c r="P893" s="215"/>
      <c r="Q893" s="215"/>
      <c r="R893" s="215"/>
      <c r="S893" s="215"/>
      <c r="T893" s="215"/>
      <c r="U893" s="215"/>
      <c r="V893" s="215"/>
      <c r="W893" s="215"/>
      <c r="X893" s="215"/>
      <c r="Y893" s="215"/>
      <c r="Z893" s="215"/>
      <c r="AA893" s="215"/>
      <c r="AB893" s="218"/>
      <c r="AC893" s="219" t="s">
        <v>253</v>
      </c>
      <c r="AD893" s="644" t="s">
        <v>247</v>
      </c>
      <c r="AE893" s="645">
        <f t="shared" ref="AE893:BK893" si="214">AE183+AE544</f>
        <v>5463.98</v>
      </c>
      <c r="AF893" s="222">
        <f t="shared" si="214"/>
        <v>3931.94</v>
      </c>
      <c r="AG893" s="646">
        <f t="shared" si="214"/>
        <v>5738.01</v>
      </c>
      <c r="AH893" s="647">
        <f t="shared" si="214"/>
        <v>0</v>
      </c>
      <c r="AI893" s="222">
        <f t="shared" si="214"/>
        <v>0</v>
      </c>
      <c r="AJ893" s="646">
        <f t="shared" si="214"/>
        <v>58.24</v>
      </c>
      <c r="AK893" s="645">
        <f t="shared" si="214"/>
        <v>0</v>
      </c>
      <c r="AL893" s="222">
        <f t="shared" si="214"/>
        <v>0</v>
      </c>
      <c r="AM893" s="646">
        <f t="shared" si="214"/>
        <v>0</v>
      </c>
      <c r="AN893" s="645">
        <f t="shared" si="214"/>
        <v>0</v>
      </c>
      <c r="AO893" s="222">
        <f t="shared" si="214"/>
        <v>0</v>
      </c>
      <c r="AP893" s="646">
        <f t="shared" si="214"/>
        <v>0</v>
      </c>
      <c r="AQ893" s="645">
        <f t="shared" si="214"/>
        <v>0</v>
      </c>
      <c r="AR893" s="222">
        <f t="shared" si="214"/>
        <v>0</v>
      </c>
      <c r="AS893" s="646">
        <f t="shared" si="214"/>
        <v>0</v>
      </c>
      <c r="AT893" s="645">
        <f t="shared" si="214"/>
        <v>0</v>
      </c>
      <c r="AU893" s="222">
        <f t="shared" si="214"/>
        <v>0</v>
      </c>
      <c r="AV893" s="646">
        <f t="shared" si="214"/>
        <v>0</v>
      </c>
      <c r="AW893" s="645">
        <f t="shared" si="214"/>
        <v>0</v>
      </c>
      <c r="AX893" s="222">
        <f t="shared" si="214"/>
        <v>0</v>
      </c>
      <c r="AY893" s="646">
        <f t="shared" si="214"/>
        <v>0</v>
      </c>
      <c r="AZ893" s="645">
        <f t="shared" si="214"/>
        <v>0</v>
      </c>
      <c r="BA893" s="222">
        <f t="shared" si="214"/>
        <v>0</v>
      </c>
      <c r="BB893" s="646">
        <f t="shared" si="214"/>
        <v>0</v>
      </c>
      <c r="BC893" s="645">
        <f t="shared" si="214"/>
        <v>0</v>
      </c>
      <c r="BD893" s="222">
        <f t="shared" si="214"/>
        <v>0</v>
      </c>
      <c r="BE893" s="646">
        <f t="shared" si="214"/>
        <v>0</v>
      </c>
      <c r="BF893" s="645">
        <f t="shared" si="214"/>
        <v>0</v>
      </c>
      <c r="BG893" s="222">
        <f t="shared" si="214"/>
        <v>0</v>
      </c>
      <c r="BH893" s="646">
        <f t="shared" si="214"/>
        <v>0</v>
      </c>
      <c r="BI893" s="645">
        <f t="shared" si="214"/>
        <v>0</v>
      </c>
      <c r="BJ893" s="222">
        <f t="shared" si="214"/>
        <v>0</v>
      </c>
      <c r="BK893" s="646">
        <f t="shared" si="214"/>
        <v>0</v>
      </c>
      <c r="BL893" s="229"/>
      <c r="BM893" s="215"/>
      <c r="BN893" s="125">
        <f t="shared" si="202"/>
        <v>5463.98</v>
      </c>
      <c r="BO893" s="126">
        <f t="shared" si="203"/>
        <v>3931.94</v>
      </c>
      <c r="BP893" s="127">
        <f t="shared" si="204"/>
        <v>5796.25</v>
      </c>
    </row>
    <row r="894" spans="1:68" s="230" customFormat="1" ht="17.25" customHeight="1" outlineLevel="5" x14ac:dyDescent="0.25">
      <c r="A894" s="215"/>
      <c r="B894" s="215"/>
      <c r="C894" s="216"/>
      <c r="D894" s="216"/>
      <c r="E894" s="216"/>
      <c r="F894" s="216"/>
      <c r="G894" s="216"/>
      <c r="H894" s="216"/>
      <c r="I894" s="216"/>
      <c r="J894" s="215"/>
      <c r="K894" s="217"/>
      <c r="L894" s="216"/>
      <c r="M894" s="215"/>
      <c r="N894" s="215"/>
      <c r="O894" s="215"/>
      <c r="P894" s="215"/>
      <c r="Q894" s="215"/>
      <c r="R894" s="215"/>
      <c r="S894" s="215"/>
      <c r="T894" s="215"/>
      <c r="U894" s="215"/>
      <c r="V894" s="215"/>
      <c r="W894" s="215"/>
      <c r="X894" s="215"/>
      <c r="Y894" s="215"/>
      <c r="Z894" s="215"/>
      <c r="AA894" s="215"/>
      <c r="AB894" s="218"/>
      <c r="AC894" s="219" t="s">
        <v>254</v>
      </c>
      <c r="AD894" s="644" t="s">
        <v>247</v>
      </c>
      <c r="AE894" s="645">
        <f t="shared" ref="AE894:BK894" si="215">AE184</f>
        <v>53.3</v>
      </c>
      <c r="AF894" s="222">
        <f t="shared" si="215"/>
        <v>53.3</v>
      </c>
      <c r="AG894" s="646">
        <f t="shared" si="215"/>
        <v>53.3</v>
      </c>
      <c r="AH894" s="647">
        <f t="shared" si="215"/>
        <v>0</v>
      </c>
      <c r="AI894" s="222">
        <f t="shared" si="215"/>
        <v>0</v>
      </c>
      <c r="AJ894" s="646">
        <f t="shared" si="215"/>
        <v>0</v>
      </c>
      <c r="AK894" s="645">
        <f t="shared" si="215"/>
        <v>0</v>
      </c>
      <c r="AL894" s="222">
        <f t="shared" si="215"/>
        <v>0</v>
      </c>
      <c r="AM894" s="646">
        <f t="shared" si="215"/>
        <v>0</v>
      </c>
      <c r="AN894" s="645">
        <f t="shared" si="215"/>
        <v>0</v>
      </c>
      <c r="AO894" s="222">
        <f t="shared" si="215"/>
        <v>0</v>
      </c>
      <c r="AP894" s="646">
        <f t="shared" si="215"/>
        <v>0</v>
      </c>
      <c r="AQ894" s="645">
        <f t="shared" si="215"/>
        <v>0</v>
      </c>
      <c r="AR894" s="222">
        <f t="shared" si="215"/>
        <v>0</v>
      </c>
      <c r="AS894" s="646">
        <f t="shared" si="215"/>
        <v>0</v>
      </c>
      <c r="AT894" s="645">
        <f t="shared" si="215"/>
        <v>0</v>
      </c>
      <c r="AU894" s="222">
        <f t="shared" si="215"/>
        <v>0</v>
      </c>
      <c r="AV894" s="646">
        <f t="shared" si="215"/>
        <v>0</v>
      </c>
      <c r="AW894" s="645">
        <f t="shared" si="215"/>
        <v>0</v>
      </c>
      <c r="AX894" s="222">
        <f t="shared" si="215"/>
        <v>0</v>
      </c>
      <c r="AY894" s="646">
        <f t="shared" si="215"/>
        <v>0</v>
      </c>
      <c r="AZ894" s="645">
        <f t="shared" si="215"/>
        <v>0</v>
      </c>
      <c r="BA894" s="222">
        <f t="shared" si="215"/>
        <v>0</v>
      </c>
      <c r="BB894" s="646">
        <f t="shared" si="215"/>
        <v>0</v>
      </c>
      <c r="BC894" s="645">
        <f t="shared" si="215"/>
        <v>0</v>
      </c>
      <c r="BD894" s="222">
        <f t="shared" si="215"/>
        <v>0</v>
      </c>
      <c r="BE894" s="646">
        <f t="shared" si="215"/>
        <v>0</v>
      </c>
      <c r="BF894" s="645">
        <f t="shared" si="215"/>
        <v>0</v>
      </c>
      <c r="BG894" s="222">
        <f t="shared" si="215"/>
        <v>0</v>
      </c>
      <c r="BH894" s="646">
        <f t="shared" si="215"/>
        <v>0</v>
      </c>
      <c r="BI894" s="645">
        <f t="shared" si="215"/>
        <v>0</v>
      </c>
      <c r="BJ894" s="222">
        <f t="shared" si="215"/>
        <v>0</v>
      </c>
      <c r="BK894" s="646">
        <f t="shared" si="215"/>
        <v>0</v>
      </c>
      <c r="BL894" s="229"/>
      <c r="BM894" s="215"/>
      <c r="BN894" s="125">
        <f t="shared" si="202"/>
        <v>53.3</v>
      </c>
      <c r="BO894" s="126">
        <f t="shared" si="203"/>
        <v>53.3</v>
      </c>
      <c r="BP894" s="127">
        <f t="shared" si="204"/>
        <v>53.3</v>
      </c>
    </row>
    <row r="895" spans="1:68" s="230" customFormat="1" ht="17.25" customHeight="1" outlineLevel="5" x14ac:dyDescent="0.25">
      <c r="A895" s="215"/>
      <c r="B895" s="215"/>
      <c r="C895" s="216"/>
      <c r="D895" s="216"/>
      <c r="E895" s="216"/>
      <c r="F895" s="216"/>
      <c r="G895" s="216"/>
      <c r="H895" s="216"/>
      <c r="I895" s="216"/>
      <c r="J895" s="215"/>
      <c r="K895" s="217"/>
      <c r="L895" s="216"/>
      <c r="M895" s="215"/>
      <c r="N895" s="215"/>
      <c r="O895" s="215"/>
      <c r="P895" s="215"/>
      <c r="Q895" s="215"/>
      <c r="R895" s="215"/>
      <c r="S895" s="215"/>
      <c r="T895" s="215"/>
      <c r="U895" s="215"/>
      <c r="V895" s="215"/>
      <c r="W895" s="215"/>
      <c r="X895" s="215"/>
      <c r="Y895" s="215"/>
      <c r="Z895" s="215"/>
      <c r="AA895" s="215"/>
      <c r="AB895" s="218"/>
      <c r="AC895" s="219" t="s">
        <v>255</v>
      </c>
      <c r="AD895" s="644" t="s">
        <v>247</v>
      </c>
      <c r="AE895" s="645">
        <f t="shared" ref="AE895:BK895" si="216">AE185+AE547</f>
        <v>3469.8900000000003</v>
      </c>
      <c r="AF895" s="222">
        <f t="shared" si="216"/>
        <v>1921.0700000000002</v>
      </c>
      <c r="AG895" s="646">
        <f t="shared" si="216"/>
        <v>4606.88</v>
      </c>
      <c r="AH895" s="647">
        <f t="shared" si="216"/>
        <v>0</v>
      </c>
      <c r="AI895" s="222">
        <f t="shared" si="216"/>
        <v>0</v>
      </c>
      <c r="AJ895" s="646">
        <f t="shared" si="216"/>
        <v>5.7</v>
      </c>
      <c r="AK895" s="645">
        <f t="shared" si="216"/>
        <v>0</v>
      </c>
      <c r="AL895" s="222">
        <f t="shared" si="216"/>
        <v>0</v>
      </c>
      <c r="AM895" s="646">
        <f t="shared" si="216"/>
        <v>0</v>
      </c>
      <c r="AN895" s="645">
        <f t="shared" si="216"/>
        <v>0</v>
      </c>
      <c r="AO895" s="222">
        <f t="shared" si="216"/>
        <v>0</v>
      </c>
      <c r="AP895" s="646">
        <f t="shared" si="216"/>
        <v>0</v>
      </c>
      <c r="AQ895" s="645">
        <f t="shared" si="216"/>
        <v>0</v>
      </c>
      <c r="AR895" s="222">
        <f t="shared" si="216"/>
        <v>0</v>
      </c>
      <c r="AS895" s="646">
        <f t="shared" si="216"/>
        <v>0</v>
      </c>
      <c r="AT895" s="645">
        <f t="shared" si="216"/>
        <v>0</v>
      </c>
      <c r="AU895" s="222">
        <f t="shared" si="216"/>
        <v>0</v>
      </c>
      <c r="AV895" s="646">
        <f t="shared" si="216"/>
        <v>0</v>
      </c>
      <c r="AW895" s="645">
        <f t="shared" si="216"/>
        <v>0</v>
      </c>
      <c r="AX895" s="222">
        <f t="shared" si="216"/>
        <v>0</v>
      </c>
      <c r="AY895" s="646">
        <f t="shared" si="216"/>
        <v>0</v>
      </c>
      <c r="AZ895" s="645">
        <f t="shared" si="216"/>
        <v>0</v>
      </c>
      <c r="BA895" s="222">
        <f t="shared" si="216"/>
        <v>0</v>
      </c>
      <c r="BB895" s="646">
        <f t="shared" si="216"/>
        <v>0</v>
      </c>
      <c r="BC895" s="645">
        <f t="shared" si="216"/>
        <v>0</v>
      </c>
      <c r="BD895" s="222">
        <f t="shared" si="216"/>
        <v>0</v>
      </c>
      <c r="BE895" s="646">
        <f t="shared" si="216"/>
        <v>0</v>
      </c>
      <c r="BF895" s="645">
        <f t="shared" si="216"/>
        <v>0</v>
      </c>
      <c r="BG895" s="222">
        <f t="shared" si="216"/>
        <v>0</v>
      </c>
      <c r="BH895" s="646">
        <f t="shared" si="216"/>
        <v>0</v>
      </c>
      <c r="BI895" s="645">
        <f t="shared" si="216"/>
        <v>0</v>
      </c>
      <c r="BJ895" s="222">
        <f t="shared" si="216"/>
        <v>0</v>
      </c>
      <c r="BK895" s="646">
        <f t="shared" si="216"/>
        <v>0</v>
      </c>
      <c r="BL895" s="229"/>
      <c r="BM895" s="215"/>
      <c r="BN895" s="125">
        <f t="shared" si="202"/>
        <v>3469.8900000000003</v>
      </c>
      <c r="BO895" s="126">
        <f t="shared" si="203"/>
        <v>1921.0700000000002</v>
      </c>
      <c r="BP895" s="127">
        <f t="shared" si="204"/>
        <v>4612.58</v>
      </c>
    </row>
    <row r="896" spans="1:68" s="230" customFormat="1" ht="48.75" hidden="1" customHeight="1" outlineLevel="5" x14ac:dyDescent="0.25">
      <c r="A896" s="215"/>
      <c r="B896" s="215"/>
      <c r="C896" s="216"/>
      <c r="D896" s="216"/>
      <c r="E896" s="216"/>
      <c r="F896" s="216"/>
      <c r="G896" s="216"/>
      <c r="H896" s="216"/>
      <c r="I896" s="216"/>
      <c r="J896" s="215"/>
      <c r="K896" s="217"/>
      <c r="L896" s="216"/>
      <c r="M896" s="215"/>
      <c r="N896" s="215"/>
      <c r="O896" s="215"/>
      <c r="P896" s="215"/>
      <c r="Q896" s="215"/>
      <c r="R896" s="215"/>
      <c r="S896" s="215"/>
      <c r="T896" s="215"/>
      <c r="U896" s="215"/>
      <c r="V896" s="215"/>
      <c r="W896" s="215"/>
      <c r="X896" s="215"/>
      <c r="Y896" s="215"/>
      <c r="Z896" s="215"/>
      <c r="AA896" s="215"/>
      <c r="AB896" s="218"/>
      <c r="AC896" s="219" t="s">
        <v>256</v>
      </c>
      <c r="AD896" s="644" t="s">
        <v>247</v>
      </c>
      <c r="AE896" s="645">
        <f t="shared" ref="AE896:BK896" si="217">AE186</f>
        <v>0</v>
      </c>
      <c r="AF896" s="222">
        <f t="shared" si="217"/>
        <v>0</v>
      </c>
      <c r="AG896" s="646">
        <f t="shared" si="217"/>
        <v>0</v>
      </c>
      <c r="AH896" s="647">
        <f t="shared" si="217"/>
        <v>0</v>
      </c>
      <c r="AI896" s="222">
        <f t="shared" si="217"/>
        <v>0</v>
      </c>
      <c r="AJ896" s="646">
        <f t="shared" si="217"/>
        <v>0</v>
      </c>
      <c r="AK896" s="645">
        <f t="shared" si="217"/>
        <v>0</v>
      </c>
      <c r="AL896" s="222">
        <f t="shared" si="217"/>
        <v>0</v>
      </c>
      <c r="AM896" s="646">
        <f t="shared" si="217"/>
        <v>0</v>
      </c>
      <c r="AN896" s="645">
        <f t="shared" si="217"/>
        <v>0</v>
      </c>
      <c r="AO896" s="222">
        <f t="shared" si="217"/>
        <v>0</v>
      </c>
      <c r="AP896" s="646">
        <f t="shared" si="217"/>
        <v>0</v>
      </c>
      <c r="AQ896" s="645">
        <f t="shared" si="217"/>
        <v>0</v>
      </c>
      <c r="AR896" s="222">
        <f t="shared" si="217"/>
        <v>0</v>
      </c>
      <c r="AS896" s="646">
        <f t="shared" si="217"/>
        <v>0</v>
      </c>
      <c r="AT896" s="645">
        <f t="shared" si="217"/>
        <v>0</v>
      </c>
      <c r="AU896" s="222">
        <f t="shared" si="217"/>
        <v>0</v>
      </c>
      <c r="AV896" s="646">
        <f t="shared" si="217"/>
        <v>0</v>
      </c>
      <c r="AW896" s="645">
        <f t="shared" si="217"/>
        <v>0</v>
      </c>
      <c r="AX896" s="222">
        <f t="shared" si="217"/>
        <v>0</v>
      </c>
      <c r="AY896" s="646">
        <f t="shared" si="217"/>
        <v>0</v>
      </c>
      <c r="AZ896" s="645">
        <f t="shared" si="217"/>
        <v>0</v>
      </c>
      <c r="BA896" s="222">
        <f t="shared" si="217"/>
        <v>0</v>
      </c>
      <c r="BB896" s="646">
        <f t="shared" si="217"/>
        <v>0</v>
      </c>
      <c r="BC896" s="645">
        <f t="shared" si="217"/>
        <v>0</v>
      </c>
      <c r="BD896" s="222">
        <f t="shared" si="217"/>
        <v>0</v>
      </c>
      <c r="BE896" s="646">
        <f t="shared" si="217"/>
        <v>0</v>
      </c>
      <c r="BF896" s="645">
        <f t="shared" si="217"/>
        <v>0</v>
      </c>
      <c r="BG896" s="222">
        <f t="shared" si="217"/>
        <v>0</v>
      </c>
      <c r="BH896" s="646">
        <f t="shared" si="217"/>
        <v>0</v>
      </c>
      <c r="BI896" s="645">
        <f t="shared" si="217"/>
        <v>0</v>
      </c>
      <c r="BJ896" s="222">
        <f t="shared" si="217"/>
        <v>0</v>
      </c>
      <c r="BK896" s="646">
        <f t="shared" si="217"/>
        <v>0</v>
      </c>
      <c r="BL896" s="229"/>
      <c r="BM896" s="215"/>
      <c r="BN896" s="125">
        <f t="shared" si="202"/>
        <v>0</v>
      </c>
      <c r="BO896" s="126">
        <f t="shared" si="203"/>
        <v>0</v>
      </c>
      <c r="BP896" s="127">
        <f t="shared" si="204"/>
        <v>0</v>
      </c>
    </row>
    <row r="897" spans="1:68" s="230" customFormat="1" ht="17.25" customHeight="1" outlineLevel="5" x14ac:dyDescent="0.25">
      <c r="A897" s="215"/>
      <c r="B897" s="215"/>
      <c r="C897" s="216"/>
      <c r="D897" s="216"/>
      <c r="E897" s="216"/>
      <c r="F897" s="216"/>
      <c r="G897" s="216"/>
      <c r="H897" s="216"/>
      <c r="I897" s="216"/>
      <c r="J897" s="215"/>
      <c r="K897" s="217"/>
      <c r="L897" s="216"/>
      <c r="M897" s="215"/>
      <c r="N897" s="215"/>
      <c r="O897" s="215"/>
      <c r="P897" s="215"/>
      <c r="Q897" s="215"/>
      <c r="R897" s="215"/>
      <c r="S897" s="215"/>
      <c r="T897" s="215"/>
      <c r="U897" s="215"/>
      <c r="V897" s="215"/>
      <c r="W897" s="215"/>
      <c r="X897" s="215"/>
      <c r="Y897" s="215"/>
      <c r="Z897" s="215"/>
      <c r="AA897" s="215"/>
      <c r="AB897" s="218"/>
      <c r="AC897" s="219" t="s">
        <v>257</v>
      </c>
      <c r="AD897" s="644" t="s">
        <v>247</v>
      </c>
      <c r="AE897" s="645">
        <f t="shared" ref="AE897:BK897" si="218">AE187</f>
        <v>62.38</v>
      </c>
      <c r="AF897" s="222">
        <f t="shared" si="218"/>
        <v>62.38</v>
      </c>
      <c r="AG897" s="646">
        <f t="shared" si="218"/>
        <v>62.38</v>
      </c>
      <c r="AH897" s="647">
        <f t="shared" si="218"/>
        <v>0</v>
      </c>
      <c r="AI897" s="222">
        <f t="shared" si="218"/>
        <v>0</v>
      </c>
      <c r="AJ897" s="646">
        <f t="shared" si="218"/>
        <v>0</v>
      </c>
      <c r="AK897" s="645">
        <f t="shared" si="218"/>
        <v>0</v>
      </c>
      <c r="AL897" s="222">
        <f t="shared" si="218"/>
        <v>0</v>
      </c>
      <c r="AM897" s="646">
        <f t="shared" si="218"/>
        <v>0</v>
      </c>
      <c r="AN897" s="645">
        <f t="shared" si="218"/>
        <v>0</v>
      </c>
      <c r="AO897" s="222">
        <f t="shared" si="218"/>
        <v>0</v>
      </c>
      <c r="AP897" s="646">
        <f t="shared" si="218"/>
        <v>0</v>
      </c>
      <c r="AQ897" s="645">
        <f t="shared" si="218"/>
        <v>0</v>
      </c>
      <c r="AR897" s="222">
        <f t="shared" si="218"/>
        <v>0</v>
      </c>
      <c r="AS897" s="646">
        <f t="shared" si="218"/>
        <v>0</v>
      </c>
      <c r="AT897" s="645">
        <f t="shared" si="218"/>
        <v>0</v>
      </c>
      <c r="AU897" s="222">
        <f t="shared" si="218"/>
        <v>0</v>
      </c>
      <c r="AV897" s="646">
        <f t="shared" si="218"/>
        <v>0</v>
      </c>
      <c r="AW897" s="645">
        <f t="shared" si="218"/>
        <v>0</v>
      </c>
      <c r="AX897" s="222">
        <f t="shared" si="218"/>
        <v>0</v>
      </c>
      <c r="AY897" s="646">
        <f t="shared" si="218"/>
        <v>0</v>
      </c>
      <c r="AZ897" s="645">
        <f t="shared" si="218"/>
        <v>0</v>
      </c>
      <c r="BA897" s="222">
        <f t="shared" si="218"/>
        <v>0</v>
      </c>
      <c r="BB897" s="646">
        <f t="shared" si="218"/>
        <v>0</v>
      </c>
      <c r="BC897" s="645">
        <f t="shared" si="218"/>
        <v>0</v>
      </c>
      <c r="BD897" s="222">
        <f t="shared" si="218"/>
        <v>0</v>
      </c>
      <c r="BE897" s="646">
        <f t="shared" si="218"/>
        <v>0</v>
      </c>
      <c r="BF897" s="645">
        <f t="shared" si="218"/>
        <v>0</v>
      </c>
      <c r="BG897" s="222">
        <f t="shared" si="218"/>
        <v>0</v>
      </c>
      <c r="BH897" s="646">
        <f t="shared" si="218"/>
        <v>0</v>
      </c>
      <c r="BI897" s="645">
        <f t="shared" si="218"/>
        <v>0</v>
      </c>
      <c r="BJ897" s="222">
        <f t="shared" si="218"/>
        <v>0</v>
      </c>
      <c r="BK897" s="646">
        <f t="shared" si="218"/>
        <v>0</v>
      </c>
      <c r="BL897" s="229"/>
      <c r="BM897" s="215"/>
      <c r="BN897" s="125">
        <f t="shared" si="202"/>
        <v>62.38</v>
      </c>
      <c r="BO897" s="126">
        <f t="shared" si="203"/>
        <v>62.38</v>
      </c>
      <c r="BP897" s="127">
        <f t="shared" si="204"/>
        <v>62.38</v>
      </c>
    </row>
    <row r="898" spans="1:68" s="230" customFormat="1" ht="17.25" customHeight="1" outlineLevel="5" x14ac:dyDescent="0.25">
      <c r="A898" s="215"/>
      <c r="B898" s="215"/>
      <c r="C898" s="216"/>
      <c r="D898" s="216"/>
      <c r="E898" s="216"/>
      <c r="F898" s="216"/>
      <c r="G898" s="216"/>
      <c r="H898" s="216"/>
      <c r="I898" s="216"/>
      <c r="J898" s="215"/>
      <c r="K898" s="217"/>
      <c r="L898" s="216"/>
      <c r="M898" s="215"/>
      <c r="N898" s="215"/>
      <c r="O898" s="215"/>
      <c r="P898" s="215"/>
      <c r="Q898" s="215"/>
      <c r="R898" s="215"/>
      <c r="S898" s="215"/>
      <c r="T898" s="215"/>
      <c r="U898" s="215"/>
      <c r="V898" s="215"/>
      <c r="W898" s="215"/>
      <c r="X898" s="215"/>
      <c r="Y898" s="215"/>
      <c r="Z898" s="215"/>
      <c r="AA898" s="215"/>
      <c r="AB898" s="218"/>
      <c r="AC898" s="219" t="s">
        <v>258</v>
      </c>
      <c r="AD898" s="644" t="s">
        <v>247</v>
      </c>
      <c r="AE898" s="645">
        <f t="shared" ref="AE898:BK898" si="219">AE188+AE555</f>
        <v>303.68</v>
      </c>
      <c r="AF898" s="222">
        <f t="shared" si="219"/>
        <v>303.68</v>
      </c>
      <c r="AG898" s="646">
        <f t="shared" si="219"/>
        <v>314.10000000000002</v>
      </c>
      <c r="AH898" s="647">
        <f t="shared" si="219"/>
        <v>0</v>
      </c>
      <c r="AI898" s="222">
        <f t="shared" si="219"/>
        <v>0</v>
      </c>
      <c r="AJ898" s="646">
        <f t="shared" si="219"/>
        <v>0</v>
      </c>
      <c r="AK898" s="645">
        <f t="shared" si="219"/>
        <v>0</v>
      </c>
      <c r="AL898" s="222">
        <f t="shared" si="219"/>
        <v>0</v>
      </c>
      <c r="AM898" s="646">
        <f t="shared" si="219"/>
        <v>0</v>
      </c>
      <c r="AN898" s="645">
        <f t="shared" si="219"/>
        <v>0</v>
      </c>
      <c r="AO898" s="222">
        <f t="shared" si="219"/>
        <v>0</v>
      </c>
      <c r="AP898" s="646">
        <f t="shared" si="219"/>
        <v>0</v>
      </c>
      <c r="AQ898" s="645">
        <f t="shared" si="219"/>
        <v>0</v>
      </c>
      <c r="AR898" s="222">
        <f t="shared" si="219"/>
        <v>0</v>
      </c>
      <c r="AS898" s="646">
        <f t="shared" si="219"/>
        <v>0</v>
      </c>
      <c r="AT898" s="645">
        <f t="shared" si="219"/>
        <v>0</v>
      </c>
      <c r="AU898" s="222">
        <f t="shared" si="219"/>
        <v>0</v>
      </c>
      <c r="AV898" s="646">
        <f t="shared" si="219"/>
        <v>0</v>
      </c>
      <c r="AW898" s="645">
        <f t="shared" si="219"/>
        <v>0</v>
      </c>
      <c r="AX898" s="222">
        <f t="shared" si="219"/>
        <v>0</v>
      </c>
      <c r="AY898" s="646">
        <f t="shared" si="219"/>
        <v>0</v>
      </c>
      <c r="AZ898" s="645">
        <f t="shared" si="219"/>
        <v>0</v>
      </c>
      <c r="BA898" s="222">
        <f t="shared" si="219"/>
        <v>0</v>
      </c>
      <c r="BB898" s="646">
        <f t="shared" si="219"/>
        <v>0</v>
      </c>
      <c r="BC898" s="645">
        <f t="shared" si="219"/>
        <v>0</v>
      </c>
      <c r="BD898" s="222">
        <f t="shared" si="219"/>
        <v>0</v>
      </c>
      <c r="BE898" s="646">
        <f t="shared" si="219"/>
        <v>0</v>
      </c>
      <c r="BF898" s="645">
        <f t="shared" si="219"/>
        <v>0</v>
      </c>
      <c r="BG898" s="222">
        <f t="shared" si="219"/>
        <v>0</v>
      </c>
      <c r="BH898" s="646">
        <f t="shared" si="219"/>
        <v>0</v>
      </c>
      <c r="BI898" s="645">
        <f t="shared" si="219"/>
        <v>0</v>
      </c>
      <c r="BJ898" s="222">
        <f t="shared" si="219"/>
        <v>0</v>
      </c>
      <c r="BK898" s="646">
        <f t="shared" si="219"/>
        <v>0</v>
      </c>
      <c r="BL898" s="229"/>
      <c r="BM898" s="215"/>
      <c r="BN898" s="125">
        <f t="shared" si="202"/>
        <v>303.68</v>
      </c>
      <c r="BO898" s="126">
        <f t="shared" si="203"/>
        <v>303.68</v>
      </c>
      <c r="BP898" s="127">
        <f t="shared" si="204"/>
        <v>314.10000000000002</v>
      </c>
    </row>
    <row r="899" spans="1:68" s="230" customFormat="1" ht="17.25" customHeight="1" outlineLevel="5" x14ac:dyDescent="0.25">
      <c r="A899" s="215"/>
      <c r="B899" s="215"/>
      <c r="C899" s="216"/>
      <c r="D899" s="216"/>
      <c r="E899" s="216"/>
      <c r="F899" s="216"/>
      <c r="G899" s="216"/>
      <c r="H899" s="216"/>
      <c r="I899" s="216"/>
      <c r="J899" s="215"/>
      <c r="K899" s="217"/>
      <c r="L899" s="216"/>
      <c r="M899" s="215"/>
      <c r="N899" s="215"/>
      <c r="O899" s="215"/>
      <c r="P899" s="215"/>
      <c r="Q899" s="215"/>
      <c r="R899" s="215"/>
      <c r="S899" s="215"/>
      <c r="T899" s="215"/>
      <c r="U899" s="215"/>
      <c r="V899" s="215"/>
      <c r="W899" s="215"/>
      <c r="X899" s="215"/>
      <c r="Y899" s="215"/>
      <c r="Z899" s="215"/>
      <c r="AA899" s="215"/>
      <c r="AB899" s="218"/>
      <c r="AC899" s="219" t="s">
        <v>259</v>
      </c>
      <c r="AD899" s="644" t="s">
        <v>247</v>
      </c>
      <c r="AE899" s="645">
        <f t="shared" ref="AE899:BK899" si="220">AE189</f>
        <v>2.86</v>
      </c>
      <c r="AF899" s="222">
        <f t="shared" si="220"/>
        <v>2.86</v>
      </c>
      <c r="AG899" s="646">
        <f t="shared" si="220"/>
        <v>2.86</v>
      </c>
      <c r="AH899" s="647">
        <f t="shared" si="220"/>
        <v>0</v>
      </c>
      <c r="AI899" s="222">
        <f t="shared" si="220"/>
        <v>0</v>
      </c>
      <c r="AJ899" s="646">
        <f t="shared" si="220"/>
        <v>0</v>
      </c>
      <c r="AK899" s="645">
        <f t="shared" si="220"/>
        <v>0</v>
      </c>
      <c r="AL899" s="222">
        <f t="shared" si="220"/>
        <v>0</v>
      </c>
      <c r="AM899" s="646">
        <f t="shared" si="220"/>
        <v>0</v>
      </c>
      <c r="AN899" s="645">
        <f t="shared" si="220"/>
        <v>0</v>
      </c>
      <c r="AO899" s="222">
        <f t="shared" si="220"/>
        <v>0</v>
      </c>
      <c r="AP899" s="646">
        <f t="shared" si="220"/>
        <v>0</v>
      </c>
      <c r="AQ899" s="645">
        <f t="shared" si="220"/>
        <v>0</v>
      </c>
      <c r="AR899" s="222">
        <f t="shared" si="220"/>
        <v>0</v>
      </c>
      <c r="AS899" s="646">
        <f t="shared" si="220"/>
        <v>0</v>
      </c>
      <c r="AT899" s="645">
        <f t="shared" si="220"/>
        <v>0</v>
      </c>
      <c r="AU899" s="222">
        <f t="shared" si="220"/>
        <v>0</v>
      </c>
      <c r="AV899" s="646">
        <f t="shared" si="220"/>
        <v>0</v>
      </c>
      <c r="AW899" s="645">
        <f t="shared" si="220"/>
        <v>0</v>
      </c>
      <c r="AX899" s="222">
        <f t="shared" si="220"/>
        <v>0</v>
      </c>
      <c r="AY899" s="646">
        <f t="shared" si="220"/>
        <v>0</v>
      </c>
      <c r="AZ899" s="645">
        <f t="shared" si="220"/>
        <v>0</v>
      </c>
      <c r="BA899" s="222">
        <f t="shared" si="220"/>
        <v>0</v>
      </c>
      <c r="BB899" s="646">
        <f t="shared" si="220"/>
        <v>0</v>
      </c>
      <c r="BC899" s="645">
        <f t="shared" si="220"/>
        <v>0</v>
      </c>
      <c r="BD899" s="222">
        <f t="shared" si="220"/>
        <v>0</v>
      </c>
      <c r="BE899" s="646">
        <f t="shared" si="220"/>
        <v>0</v>
      </c>
      <c r="BF899" s="645">
        <f t="shared" si="220"/>
        <v>0</v>
      </c>
      <c r="BG899" s="222">
        <f t="shared" si="220"/>
        <v>0</v>
      </c>
      <c r="BH899" s="646">
        <f t="shared" si="220"/>
        <v>0</v>
      </c>
      <c r="BI899" s="645">
        <f t="shared" si="220"/>
        <v>0</v>
      </c>
      <c r="BJ899" s="222">
        <f t="shared" si="220"/>
        <v>0</v>
      </c>
      <c r="BK899" s="646">
        <f t="shared" si="220"/>
        <v>0</v>
      </c>
      <c r="BL899" s="229"/>
      <c r="BM899" s="215"/>
      <c r="BN899" s="125">
        <f t="shared" si="202"/>
        <v>2.86</v>
      </c>
      <c r="BO899" s="126">
        <f t="shared" si="203"/>
        <v>2.86</v>
      </c>
      <c r="BP899" s="127">
        <f t="shared" si="204"/>
        <v>2.86</v>
      </c>
    </row>
    <row r="900" spans="1:68" s="230" customFormat="1" ht="17.25" customHeight="1" outlineLevel="5" x14ac:dyDescent="0.25">
      <c r="A900" s="215"/>
      <c r="B900" s="215"/>
      <c r="C900" s="216"/>
      <c r="D900" s="216"/>
      <c r="E900" s="216"/>
      <c r="F900" s="216"/>
      <c r="G900" s="216"/>
      <c r="H900" s="216"/>
      <c r="I900" s="216"/>
      <c r="J900" s="215"/>
      <c r="K900" s="217"/>
      <c r="L900" s="216"/>
      <c r="M900" s="215"/>
      <c r="N900" s="215"/>
      <c r="O900" s="215"/>
      <c r="P900" s="215"/>
      <c r="Q900" s="215"/>
      <c r="R900" s="215"/>
      <c r="S900" s="215"/>
      <c r="T900" s="215"/>
      <c r="U900" s="215"/>
      <c r="V900" s="215"/>
      <c r="W900" s="215"/>
      <c r="X900" s="215"/>
      <c r="Y900" s="215"/>
      <c r="Z900" s="215"/>
      <c r="AA900" s="215"/>
      <c r="AB900" s="218"/>
      <c r="AC900" s="219" t="s">
        <v>260</v>
      </c>
      <c r="AD900" s="644" t="s">
        <v>247</v>
      </c>
      <c r="AE900" s="645">
        <f>AE190+AE556</f>
        <v>92.35</v>
      </c>
      <c r="AF900" s="222">
        <f>AF190+AF556</f>
        <v>92.35</v>
      </c>
      <c r="AG900" s="646">
        <f>AG190+AG556-0.01</f>
        <v>101.41</v>
      </c>
      <c r="AH900" s="647">
        <f t="shared" ref="AH900:BK900" si="221">AH190+AH556</f>
        <v>0</v>
      </c>
      <c r="AI900" s="222">
        <f t="shared" si="221"/>
        <v>0</v>
      </c>
      <c r="AJ900" s="646">
        <f t="shared" si="221"/>
        <v>0</v>
      </c>
      <c r="AK900" s="645">
        <f t="shared" si="221"/>
        <v>0</v>
      </c>
      <c r="AL900" s="222">
        <f t="shared" si="221"/>
        <v>0</v>
      </c>
      <c r="AM900" s="646">
        <f t="shared" si="221"/>
        <v>0</v>
      </c>
      <c r="AN900" s="645">
        <f t="shared" si="221"/>
        <v>0</v>
      </c>
      <c r="AO900" s="222">
        <f t="shared" si="221"/>
        <v>0</v>
      </c>
      <c r="AP900" s="646">
        <f t="shared" si="221"/>
        <v>0</v>
      </c>
      <c r="AQ900" s="645">
        <f t="shared" si="221"/>
        <v>0</v>
      </c>
      <c r="AR900" s="222">
        <f t="shared" si="221"/>
        <v>0</v>
      </c>
      <c r="AS900" s="646">
        <f t="shared" si="221"/>
        <v>0</v>
      </c>
      <c r="AT900" s="645">
        <f t="shared" si="221"/>
        <v>0</v>
      </c>
      <c r="AU900" s="222">
        <f t="shared" si="221"/>
        <v>0</v>
      </c>
      <c r="AV900" s="646">
        <f t="shared" si="221"/>
        <v>0</v>
      </c>
      <c r="AW900" s="645">
        <f t="shared" si="221"/>
        <v>0</v>
      </c>
      <c r="AX900" s="222">
        <f t="shared" si="221"/>
        <v>0</v>
      </c>
      <c r="AY900" s="646">
        <f t="shared" si="221"/>
        <v>0</v>
      </c>
      <c r="AZ900" s="645">
        <f t="shared" si="221"/>
        <v>0</v>
      </c>
      <c r="BA900" s="222">
        <f t="shared" si="221"/>
        <v>0</v>
      </c>
      <c r="BB900" s="646">
        <f t="shared" si="221"/>
        <v>0</v>
      </c>
      <c r="BC900" s="645">
        <f t="shared" si="221"/>
        <v>0</v>
      </c>
      <c r="BD900" s="222">
        <f t="shared" si="221"/>
        <v>0</v>
      </c>
      <c r="BE900" s="646">
        <f t="shared" si="221"/>
        <v>0</v>
      </c>
      <c r="BF900" s="645">
        <f t="shared" si="221"/>
        <v>0</v>
      </c>
      <c r="BG900" s="222">
        <f t="shared" si="221"/>
        <v>0</v>
      </c>
      <c r="BH900" s="646">
        <f t="shared" si="221"/>
        <v>0</v>
      </c>
      <c r="BI900" s="645">
        <f t="shared" si="221"/>
        <v>0</v>
      </c>
      <c r="BJ900" s="222">
        <f t="shared" si="221"/>
        <v>0</v>
      </c>
      <c r="BK900" s="646">
        <f t="shared" si="221"/>
        <v>0</v>
      </c>
      <c r="BL900" s="229"/>
      <c r="BM900" s="215"/>
      <c r="BN900" s="125">
        <f t="shared" si="202"/>
        <v>92.35</v>
      </c>
      <c r="BO900" s="126">
        <f t="shared" si="203"/>
        <v>92.35</v>
      </c>
      <c r="BP900" s="127">
        <f t="shared" si="204"/>
        <v>101.41</v>
      </c>
    </row>
    <row r="901" spans="1:68" s="230" customFormat="1" ht="17.25" customHeight="1" outlineLevel="5" x14ac:dyDescent="0.25">
      <c r="A901" s="215"/>
      <c r="B901" s="215"/>
      <c r="C901" s="216"/>
      <c r="D901" s="216"/>
      <c r="E901" s="216"/>
      <c r="F901" s="216"/>
      <c r="G901" s="216"/>
      <c r="H901" s="216"/>
      <c r="I901" s="216"/>
      <c r="J901" s="215"/>
      <c r="K901" s="217"/>
      <c r="L901" s="216"/>
      <c r="M901" s="215"/>
      <c r="N901" s="215"/>
      <c r="O901" s="215"/>
      <c r="P901" s="215"/>
      <c r="Q901" s="215"/>
      <c r="R901" s="215"/>
      <c r="S901" s="215"/>
      <c r="T901" s="215"/>
      <c r="U901" s="215"/>
      <c r="V901" s="215"/>
      <c r="W901" s="215"/>
      <c r="X901" s="215"/>
      <c r="Y901" s="215"/>
      <c r="Z901" s="215"/>
      <c r="AA901" s="215"/>
      <c r="AB901" s="218"/>
      <c r="AC901" s="219" t="s">
        <v>261</v>
      </c>
      <c r="AD901" s="644" t="s">
        <v>247</v>
      </c>
      <c r="AE901" s="645">
        <f t="shared" ref="AE901:BK901" si="222">AE191+AE545+AE549</f>
        <v>2059.5100000000002</v>
      </c>
      <c r="AF901" s="222">
        <f t="shared" si="222"/>
        <v>1469.17</v>
      </c>
      <c r="AG901" s="646">
        <f t="shared" si="222"/>
        <v>2254.17</v>
      </c>
      <c r="AH901" s="647">
        <f t="shared" si="222"/>
        <v>0</v>
      </c>
      <c r="AI901" s="222">
        <f t="shared" si="222"/>
        <v>0</v>
      </c>
      <c r="AJ901" s="646">
        <f t="shared" si="222"/>
        <v>0</v>
      </c>
      <c r="AK901" s="645">
        <f t="shared" si="222"/>
        <v>0</v>
      </c>
      <c r="AL901" s="222">
        <f t="shared" si="222"/>
        <v>0</v>
      </c>
      <c r="AM901" s="646">
        <f t="shared" si="222"/>
        <v>0</v>
      </c>
      <c r="AN901" s="645">
        <f t="shared" si="222"/>
        <v>0</v>
      </c>
      <c r="AO901" s="222">
        <f t="shared" si="222"/>
        <v>0</v>
      </c>
      <c r="AP901" s="646">
        <f t="shared" si="222"/>
        <v>0</v>
      </c>
      <c r="AQ901" s="645">
        <f t="shared" si="222"/>
        <v>0</v>
      </c>
      <c r="AR901" s="222">
        <f t="shared" si="222"/>
        <v>0</v>
      </c>
      <c r="AS901" s="646">
        <f t="shared" si="222"/>
        <v>0</v>
      </c>
      <c r="AT901" s="645">
        <f t="shared" si="222"/>
        <v>0</v>
      </c>
      <c r="AU901" s="222">
        <f t="shared" si="222"/>
        <v>0</v>
      </c>
      <c r="AV901" s="646">
        <f t="shared" si="222"/>
        <v>0</v>
      </c>
      <c r="AW901" s="645">
        <f t="shared" si="222"/>
        <v>0</v>
      </c>
      <c r="AX901" s="222">
        <f t="shared" si="222"/>
        <v>0</v>
      </c>
      <c r="AY901" s="646">
        <f t="shared" si="222"/>
        <v>0</v>
      </c>
      <c r="AZ901" s="645">
        <f t="shared" si="222"/>
        <v>0</v>
      </c>
      <c r="BA901" s="222">
        <f t="shared" si="222"/>
        <v>0</v>
      </c>
      <c r="BB901" s="646">
        <f t="shared" si="222"/>
        <v>0</v>
      </c>
      <c r="BC901" s="645">
        <f t="shared" si="222"/>
        <v>0</v>
      </c>
      <c r="BD901" s="222">
        <f t="shared" si="222"/>
        <v>0</v>
      </c>
      <c r="BE901" s="646">
        <f t="shared" si="222"/>
        <v>0</v>
      </c>
      <c r="BF901" s="645">
        <f t="shared" si="222"/>
        <v>0</v>
      </c>
      <c r="BG901" s="222">
        <f t="shared" si="222"/>
        <v>0</v>
      </c>
      <c r="BH901" s="646">
        <f t="shared" si="222"/>
        <v>0</v>
      </c>
      <c r="BI901" s="645">
        <f t="shared" si="222"/>
        <v>0</v>
      </c>
      <c r="BJ901" s="222">
        <f t="shared" si="222"/>
        <v>0</v>
      </c>
      <c r="BK901" s="646">
        <f t="shared" si="222"/>
        <v>0</v>
      </c>
      <c r="BL901" s="229"/>
      <c r="BM901" s="215"/>
      <c r="BN901" s="125">
        <f t="shared" si="202"/>
        <v>2059.5100000000002</v>
      </c>
      <c r="BO901" s="126">
        <f t="shared" si="203"/>
        <v>1469.17</v>
      </c>
      <c r="BP901" s="127">
        <f t="shared" si="204"/>
        <v>2254.17</v>
      </c>
    </row>
    <row r="902" spans="1:68" s="230" customFormat="1" ht="17.25" customHeight="1" outlineLevel="5" x14ac:dyDescent="0.25">
      <c r="A902" s="215"/>
      <c r="B902" s="215"/>
      <c r="C902" s="216"/>
      <c r="D902" s="216"/>
      <c r="E902" s="216"/>
      <c r="F902" s="216"/>
      <c r="G902" s="216"/>
      <c r="H902" s="216"/>
      <c r="I902" s="216"/>
      <c r="J902" s="215"/>
      <c r="K902" s="217"/>
      <c r="L902" s="216"/>
      <c r="M902" s="215"/>
      <c r="N902" s="215"/>
      <c r="O902" s="215"/>
      <c r="P902" s="215"/>
      <c r="Q902" s="215"/>
      <c r="R902" s="215"/>
      <c r="S902" s="215"/>
      <c r="T902" s="215"/>
      <c r="U902" s="215"/>
      <c r="V902" s="215"/>
      <c r="W902" s="215"/>
      <c r="X902" s="215"/>
      <c r="Y902" s="215"/>
      <c r="Z902" s="215"/>
      <c r="AA902" s="215"/>
      <c r="AB902" s="218"/>
      <c r="AC902" s="219" t="s">
        <v>262</v>
      </c>
      <c r="AD902" s="644" t="s">
        <v>247</v>
      </c>
      <c r="AE902" s="645">
        <f t="shared" ref="AE902:BK902" si="223">AE192</f>
        <v>0</v>
      </c>
      <c r="AF902" s="222">
        <f t="shared" si="223"/>
        <v>0</v>
      </c>
      <c r="AG902" s="646">
        <f t="shared" si="223"/>
        <v>0</v>
      </c>
      <c r="AH902" s="647">
        <f t="shared" si="223"/>
        <v>0</v>
      </c>
      <c r="AI902" s="222">
        <f t="shared" si="223"/>
        <v>0</v>
      </c>
      <c r="AJ902" s="646">
        <f t="shared" si="223"/>
        <v>0</v>
      </c>
      <c r="AK902" s="645">
        <f t="shared" si="223"/>
        <v>0</v>
      </c>
      <c r="AL902" s="222">
        <f t="shared" si="223"/>
        <v>0</v>
      </c>
      <c r="AM902" s="646">
        <f t="shared" si="223"/>
        <v>0</v>
      </c>
      <c r="AN902" s="645">
        <f t="shared" si="223"/>
        <v>0</v>
      </c>
      <c r="AO902" s="222">
        <f t="shared" si="223"/>
        <v>0</v>
      </c>
      <c r="AP902" s="646">
        <f t="shared" si="223"/>
        <v>0</v>
      </c>
      <c r="AQ902" s="645">
        <f t="shared" si="223"/>
        <v>0</v>
      </c>
      <c r="AR902" s="222">
        <f t="shared" si="223"/>
        <v>0</v>
      </c>
      <c r="AS902" s="646">
        <f t="shared" si="223"/>
        <v>0</v>
      </c>
      <c r="AT902" s="645">
        <f t="shared" si="223"/>
        <v>0</v>
      </c>
      <c r="AU902" s="222">
        <f t="shared" si="223"/>
        <v>0</v>
      </c>
      <c r="AV902" s="646">
        <f t="shared" si="223"/>
        <v>0</v>
      </c>
      <c r="AW902" s="645">
        <f t="shared" si="223"/>
        <v>0</v>
      </c>
      <c r="AX902" s="222">
        <f t="shared" si="223"/>
        <v>0</v>
      </c>
      <c r="AY902" s="646">
        <f t="shared" si="223"/>
        <v>0</v>
      </c>
      <c r="AZ902" s="645">
        <f t="shared" si="223"/>
        <v>0</v>
      </c>
      <c r="BA902" s="222">
        <f t="shared" si="223"/>
        <v>0</v>
      </c>
      <c r="BB902" s="646">
        <f t="shared" si="223"/>
        <v>0</v>
      </c>
      <c r="BC902" s="645">
        <f t="shared" si="223"/>
        <v>0</v>
      </c>
      <c r="BD902" s="222">
        <f t="shared" si="223"/>
        <v>0</v>
      </c>
      <c r="BE902" s="646">
        <f t="shared" si="223"/>
        <v>0</v>
      </c>
      <c r="BF902" s="645">
        <f t="shared" si="223"/>
        <v>0</v>
      </c>
      <c r="BG902" s="222">
        <f t="shared" si="223"/>
        <v>0</v>
      </c>
      <c r="BH902" s="646">
        <f t="shared" si="223"/>
        <v>0</v>
      </c>
      <c r="BI902" s="645">
        <f t="shared" si="223"/>
        <v>0</v>
      </c>
      <c r="BJ902" s="222">
        <f t="shared" si="223"/>
        <v>0</v>
      </c>
      <c r="BK902" s="646">
        <f t="shared" si="223"/>
        <v>0</v>
      </c>
      <c r="BL902" s="229"/>
      <c r="BM902" s="215"/>
      <c r="BN902" s="125">
        <f t="shared" ref="BN902:BN933" si="224">AE902+AH902+AK902+AN902+AQ902+AT902+AW902+AZ902+BC902+BF902+BI902</f>
        <v>0</v>
      </c>
      <c r="BO902" s="126">
        <f t="shared" ref="BO902:BO933" si="225">AF902+AI902+AL902+AO902+AR902+AU902+AX902+BA902+BD902+BG902+BJ902</f>
        <v>0</v>
      </c>
      <c r="BP902" s="127">
        <f t="shared" ref="BP902:BP933" si="226">AG902+AJ902+AM902+AP902+AS902+AV902+AY902+BB902+BE902+BH902+BK902</f>
        <v>0</v>
      </c>
    </row>
    <row r="903" spans="1:68" s="230" customFormat="1" ht="17.25" customHeight="1" outlineLevel="5" x14ac:dyDescent="0.25">
      <c r="A903" s="215"/>
      <c r="B903" s="215"/>
      <c r="C903" s="216"/>
      <c r="D903" s="216"/>
      <c r="E903" s="216"/>
      <c r="F903" s="216"/>
      <c r="G903" s="216"/>
      <c r="H903" s="216"/>
      <c r="I903" s="216"/>
      <c r="J903" s="215"/>
      <c r="K903" s="217"/>
      <c r="L903" s="216"/>
      <c r="M903" s="215"/>
      <c r="N903" s="215"/>
      <c r="O903" s="215"/>
      <c r="P903" s="215"/>
      <c r="Q903" s="215"/>
      <c r="R903" s="215"/>
      <c r="S903" s="215"/>
      <c r="T903" s="215"/>
      <c r="U903" s="215"/>
      <c r="V903" s="215"/>
      <c r="W903" s="215"/>
      <c r="X903" s="215"/>
      <c r="Y903" s="215"/>
      <c r="Z903" s="215"/>
      <c r="AA903" s="215"/>
      <c r="AB903" s="218"/>
      <c r="AC903" s="219" t="s">
        <v>263</v>
      </c>
      <c r="AD903" s="644" t="s">
        <v>247</v>
      </c>
      <c r="AE903" s="645">
        <f t="shared" ref="AE903:BK903" si="227">AE193</f>
        <v>629.04999999999995</v>
      </c>
      <c r="AF903" s="222">
        <f t="shared" si="227"/>
        <v>629.04999999999995</v>
      </c>
      <c r="AG903" s="646">
        <f t="shared" si="227"/>
        <v>629.04999999999995</v>
      </c>
      <c r="AH903" s="647">
        <f t="shared" si="227"/>
        <v>0</v>
      </c>
      <c r="AI903" s="222">
        <f t="shared" si="227"/>
        <v>0</v>
      </c>
      <c r="AJ903" s="646">
        <f t="shared" si="227"/>
        <v>0</v>
      </c>
      <c r="AK903" s="645">
        <f t="shared" si="227"/>
        <v>0</v>
      </c>
      <c r="AL903" s="222">
        <f t="shared" si="227"/>
        <v>0</v>
      </c>
      <c r="AM903" s="646">
        <f t="shared" si="227"/>
        <v>0</v>
      </c>
      <c r="AN903" s="645">
        <f t="shared" si="227"/>
        <v>0</v>
      </c>
      <c r="AO903" s="222">
        <f t="shared" si="227"/>
        <v>0</v>
      </c>
      <c r="AP903" s="646">
        <f t="shared" si="227"/>
        <v>0</v>
      </c>
      <c r="AQ903" s="645">
        <f t="shared" si="227"/>
        <v>0</v>
      </c>
      <c r="AR903" s="222">
        <f t="shared" si="227"/>
        <v>0</v>
      </c>
      <c r="AS903" s="646">
        <f t="shared" si="227"/>
        <v>0</v>
      </c>
      <c r="AT903" s="645">
        <f t="shared" si="227"/>
        <v>0</v>
      </c>
      <c r="AU903" s="222">
        <f t="shared" si="227"/>
        <v>0</v>
      </c>
      <c r="AV903" s="646">
        <f t="shared" si="227"/>
        <v>0</v>
      </c>
      <c r="AW903" s="645">
        <f t="shared" si="227"/>
        <v>0</v>
      </c>
      <c r="AX903" s="222">
        <f t="shared" si="227"/>
        <v>0</v>
      </c>
      <c r="AY903" s="646">
        <f t="shared" si="227"/>
        <v>0</v>
      </c>
      <c r="AZ903" s="645">
        <f t="shared" si="227"/>
        <v>0</v>
      </c>
      <c r="BA903" s="222">
        <f t="shared" si="227"/>
        <v>0</v>
      </c>
      <c r="BB903" s="646">
        <f t="shared" si="227"/>
        <v>0</v>
      </c>
      <c r="BC903" s="645">
        <f t="shared" si="227"/>
        <v>0</v>
      </c>
      <c r="BD903" s="222">
        <f t="shared" si="227"/>
        <v>0</v>
      </c>
      <c r="BE903" s="646">
        <f t="shared" si="227"/>
        <v>0</v>
      </c>
      <c r="BF903" s="645">
        <f t="shared" si="227"/>
        <v>0</v>
      </c>
      <c r="BG903" s="222">
        <f t="shared" si="227"/>
        <v>0</v>
      </c>
      <c r="BH903" s="646">
        <f t="shared" si="227"/>
        <v>0</v>
      </c>
      <c r="BI903" s="645">
        <f t="shared" si="227"/>
        <v>0</v>
      </c>
      <c r="BJ903" s="222">
        <f t="shared" si="227"/>
        <v>0</v>
      </c>
      <c r="BK903" s="646">
        <f t="shared" si="227"/>
        <v>0</v>
      </c>
      <c r="BL903" s="229"/>
      <c r="BM903" s="215"/>
      <c r="BN903" s="125">
        <f t="shared" si="224"/>
        <v>629.04999999999995</v>
      </c>
      <c r="BO903" s="126">
        <f t="shared" si="225"/>
        <v>629.04999999999995</v>
      </c>
      <c r="BP903" s="127">
        <f t="shared" si="226"/>
        <v>629.04999999999995</v>
      </c>
    </row>
    <row r="904" spans="1:68" s="230" customFormat="1" ht="17.25" customHeight="1" outlineLevel="5" x14ac:dyDescent="0.25">
      <c r="A904" s="215"/>
      <c r="B904" s="215"/>
      <c r="C904" s="216"/>
      <c r="D904" s="216"/>
      <c r="E904" s="216"/>
      <c r="F904" s="216"/>
      <c r="G904" s="216"/>
      <c r="H904" s="216"/>
      <c r="I904" s="216"/>
      <c r="J904" s="215"/>
      <c r="K904" s="217"/>
      <c r="L904" s="216"/>
      <c r="M904" s="215"/>
      <c r="N904" s="215"/>
      <c r="O904" s="215"/>
      <c r="P904" s="215"/>
      <c r="Q904" s="215"/>
      <c r="R904" s="215"/>
      <c r="S904" s="215"/>
      <c r="T904" s="215"/>
      <c r="U904" s="215"/>
      <c r="V904" s="215"/>
      <c r="W904" s="215"/>
      <c r="X904" s="215"/>
      <c r="Y904" s="215"/>
      <c r="Z904" s="215"/>
      <c r="AA904" s="215"/>
      <c r="AB904" s="218"/>
      <c r="AC904" s="219" t="s">
        <v>264</v>
      </c>
      <c r="AD904" s="644" t="s">
        <v>247</v>
      </c>
      <c r="AE904" s="645">
        <f t="shared" ref="AE904:BK904" si="228">AE194</f>
        <v>8295.9</v>
      </c>
      <c r="AF904" s="222">
        <f t="shared" si="228"/>
        <v>3630.16</v>
      </c>
      <c r="AG904" s="646">
        <f t="shared" si="228"/>
        <v>4457.9399999999996</v>
      </c>
      <c r="AH904" s="647">
        <f t="shared" si="228"/>
        <v>0</v>
      </c>
      <c r="AI904" s="222">
        <f t="shared" si="228"/>
        <v>0</v>
      </c>
      <c r="AJ904" s="646">
        <f t="shared" si="228"/>
        <v>0</v>
      </c>
      <c r="AK904" s="645">
        <f t="shared" si="228"/>
        <v>0</v>
      </c>
      <c r="AL904" s="222">
        <f t="shared" si="228"/>
        <v>0</v>
      </c>
      <c r="AM904" s="646">
        <f t="shared" si="228"/>
        <v>0</v>
      </c>
      <c r="AN904" s="645">
        <f t="shared" si="228"/>
        <v>0</v>
      </c>
      <c r="AO904" s="222">
        <f t="shared" si="228"/>
        <v>0</v>
      </c>
      <c r="AP904" s="646">
        <f t="shared" si="228"/>
        <v>0</v>
      </c>
      <c r="AQ904" s="645">
        <f t="shared" si="228"/>
        <v>0</v>
      </c>
      <c r="AR904" s="222">
        <f t="shared" si="228"/>
        <v>0</v>
      </c>
      <c r="AS904" s="646">
        <f t="shared" si="228"/>
        <v>0</v>
      </c>
      <c r="AT904" s="645">
        <f t="shared" si="228"/>
        <v>0</v>
      </c>
      <c r="AU904" s="222">
        <f t="shared" si="228"/>
        <v>0</v>
      </c>
      <c r="AV904" s="646">
        <f t="shared" si="228"/>
        <v>0</v>
      </c>
      <c r="AW904" s="645">
        <f t="shared" si="228"/>
        <v>0</v>
      </c>
      <c r="AX904" s="222">
        <f t="shared" si="228"/>
        <v>0</v>
      </c>
      <c r="AY904" s="646">
        <f t="shared" si="228"/>
        <v>0</v>
      </c>
      <c r="AZ904" s="645">
        <f t="shared" si="228"/>
        <v>0</v>
      </c>
      <c r="BA904" s="222">
        <f t="shared" si="228"/>
        <v>0</v>
      </c>
      <c r="BB904" s="646">
        <f t="shared" si="228"/>
        <v>0</v>
      </c>
      <c r="BC904" s="645">
        <f t="shared" si="228"/>
        <v>0</v>
      </c>
      <c r="BD904" s="222">
        <f t="shared" si="228"/>
        <v>0</v>
      </c>
      <c r="BE904" s="646">
        <f t="shared" si="228"/>
        <v>0</v>
      </c>
      <c r="BF904" s="645">
        <f t="shared" si="228"/>
        <v>0</v>
      </c>
      <c r="BG904" s="222">
        <f t="shared" si="228"/>
        <v>0</v>
      </c>
      <c r="BH904" s="646">
        <f t="shared" si="228"/>
        <v>0</v>
      </c>
      <c r="BI904" s="645">
        <f t="shared" si="228"/>
        <v>0</v>
      </c>
      <c r="BJ904" s="222">
        <f t="shared" si="228"/>
        <v>0</v>
      </c>
      <c r="BK904" s="646">
        <f t="shared" si="228"/>
        <v>0</v>
      </c>
      <c r="BL904" s="229"/>
      <c r="BM904" s="215"/>
      <c r="BN904" s="125">
        <f t="shared" si="224"/>
        <v>8295.9</v>
      </c>
      <c r="BO904" s="126">
        <f t="shared" si="225"/>
        <v>3630.16</v>
      </c>
      <c r="BP904" s="127">
        <f t="shared" si="226"/>
        <v>4457.9399999999996</v>
      </c>
    </row>
    <row r="905" spans="1:68" s="230" customFormat="1" ht="17.25" customHeight="1" outlineLevel="5" x14ac:dyDescent="0.25">
      <c r="A905" s="215"/>
      <c r="B905" s="215"/>
      <c r="C905" s="216"/>
      <c r="D905" s="216"/>
      <c r="E905" s="216"/>
      <c r="F905" s="216"/>
      <c r="G905" s="216"/>
      <c r="H905" s="216"/>
      <c r="I905" s="216"/>
      <c r="J905" s="215"/>
      <c r="K905" s="217"/>
      <c r="L905" s="216"/>
      <c r="M905" s="215"/>
      <c r="N905" s="215"/>
      <c r="O905" s="215"/>
      <c r="P905" s="215"/>
      <c r="Q905" s="215"/>
      <c r="R905" s="215"/>
      <c r="S905" s="215"/>
      <c r="T905" s="215"/>
      <c r="U905" s="215"/>
      <c r="V905" s="215"/>
      <c r="W905" s="215"/>
      <c r="X905" s="215"/>
      <c r="Y905" s="215"/>
      <c r="Z905" s="215"/>
      <c r="AA905" s="215"/>
      <c r="AB905" s="218"/>
      <c r="AC905" s="219" t="s">
        <v>265</v>
      </c>
      <c r="AD905" s="644" t="s">
        <v>247</v>
      </c>
      <c r="AE905" s="645">
        <f t="shared" ref="AE905:BK905" si="229">AE195</f>
        <v>65.37</v>
      </c>
      <c r="AF905" s="222">
        <f t="shared" si="229"/>
        <v>65.37</v>
      </c>
      <c r="AG905" s="646">
        <f t="shared" si="229"/>
        <v>65.37</v>
      </c>
      <c r="AH905" s="647">
        <f t="shared" si="229"/>
        <v>0</v>
      </c>
      <c r="AI905" s="222">
        <f t="shared" si="229"/>
        <v>0</v>
      </c>
      <c r="AJ905" s="646">
        <f t="shared" si="229"/>
        <v>0</v>
      </c>
      <c r="AK905" s="645">
        <f t="shared" si="229"/>
        <v>0</v>
      </c>
      <c r="AL905" s="222">
        <f t="shared" si="229"/>
        <v>0</v>
      </c>
      <c r="AM905" s="646">
        <f t="shared" si="229"/>
        <v>0</v>
      </c>
      <c r="AN905" s="645">
        <f t="shared" si="229"/>
        <v>0</v>
      </c>
      <c r="AO905" s="222">
        <f t="shared" si="229"/>
        <v>0</v>
      </c>
      <c r="AP905" s="646">
        <f t="shared" si="229"/>
        <v>0</v>
      </c>
      <c r="AQ905" s="645">
        <f t="shared" si="229"/>
        <v>0</v>
      </c>
      <c r="AR905" s="222">
        <f t="shared" si="229"/>
        <v>0</v>
      </c>
      <c r="AS905" s="646">
        <f t="shared" si="229"/>
        <v>0</v>
      </c>
      <c r="AT905" s="645">
        <f t="shared" si="229"/>
        <v>0</v>
      </c>
      <c r="AU905" s="222">
        <f t="shared" si="229"/>
        <v>0</v>
      </c>
      <c r="AV905" s="646">
        <f t="shared" si="229"/>
        <v>0</v>
      </c>
      <c r="AW905" s="645">
        <f t="shared" si="229"/>
        <v>0</v>
      </c>
      <c r="AX905" s="222">
        <f t="shared" si="229"/>
        <v>0</v>
      </c>
      <c r="AY905" s="646">
        <f t="shared" si="229"/>
        <v>0</v>
      </c>
      <c r="AZ905" s="645">
        <f t="shared" si="229"/>
        <v>0</v>
      </c>
      <c r="BA905" s="222">
        <f t="shared" si="229"/>
        <v>0</v>
      </c>
      <c r="BB905" s="646">
        <f t="shared" si="229"/>
        <v>0</v>
      </c>
      <c r="BC905" s="645">
        <f t="shared" si="229"/>
        <v>0</v>
      </c>
      <c r="BD905" s="222">
        <f t="shared" si="229"/>
        <v>0</v>
      </c>
      <c r="BE905" s="646">
        <f t="shared" si="229"/>
        <v>0</v>
      </c>
      <c r="BF905" s="645">
        <f t="shared" si="229"/>
        <v>0</v>
      </c>
      <c r="BG905" s="222">
        <f t="shared" si="229"/>
        <v>0</v>
      </c>
      <c r="BH905" s="646">
        <f t="shared" si="229"/>
        <v>0</v>
      </c>
      <c r="BI905" s="645">
        <f t="shared" si="229"/>
        <v>0</v>
      </c>
      <c r="BJ905" s="222">
        <f t="shared" si="229"/>
        <v>0</v>
      </c>
      <c r="BK905" s="646">
        <f t="shared" si="229"/>
        <v>0</v>
      </c>
      <c r="BL905" s="229"/>
      <c r="BM905" s="215"/>
      <c r="BN905" s="125">
        <f t="shared" si="224"/>
        <v>65.37</v>
      </c>
      <c r="BO905" s="126">
        <f t="shared" si="225"/>
        <v>65.37</v>
      </c>
      <c r="BP905" s="127">
        <f t="shared" si="226"/>
        <v>65.37</v>
      </c>
    </row>
    <row r="906" spans="1:68" s="230" customFormat="1" ht="17.25" customHeight="1" outlineLevel="5" x14ac:dyDescent="0.25">
      <c r="A906" s="215"/>
      <c r="B906" s="215"/>
      <c r="C906" s="216"/>
      <c r="D906" s="216"/>
      <c r="E906" s="216"/>
      <c r="F906" s="216"/>
      <c r="G906" s="216"/>
      <c r="H906" s="216"/>
      <c r="I906" s="216"/>
      <c r="J906" s="215"/>
      <c r="K906" s="217"/>
      <c r="L906" s="216"/>
      <c r="M906" s="215"/>
      <c r="N906" s="215"/>
      <c r="O906" s="215"/>
      <c r="P906" s="215"/>
      <c r="Q906" s="215"/>
      <c r="R906" s="215"/>
      <c r="S906" s="215"/>
      <c r="T906" s="215"/>
      <c r="U906" s="215"/>
      <c r="V906" s="215"/>
      <c r="W906" s="215"/>
      <c r="X906" s="215"/>
      <c r="Y906" s="215"/>
      <c r="Z906" s="215"/>
      <c r="AA906" s="215"/>
      <c r="AB906" s="218"/>
      <c r="AC906" s="219" t="s">
        <v>593</v>
      </c>
      <c r="AD906" s="644" t="s">
        <v>247</v>
      </c>
      <c r="AE906" s="645">
        <f t="shared" ref="AE906:BK906" si="230">AE541</f>
        <v>36.619999999999997</v>
      </c>
      <c r="AF906" s="222">
        <f t="shared" si="230"/>
        <v>38</v>
      </c>
      <c r="AG906" s="646">
        <f t="shared" si="230"/>
        <v>40.29</v>
      </c>
      <c r="AH906" s="647">
        <f t="shared" si="230"/>
        <v>0</v>
      </c>
      <c r="AI906" s="222">
        <f t="shared" si="230"/>
        <v>0</v>
      </c>
      <c r="AJ906" s="646">
        <f t="shared" si="230"/>
        <v>0</v>
      </c>
      <c r="AK906" s="645">
        <f t="shared" si="230"/>
        <v>0</v>
      </c>
      <c r="AL906" s="222">
        <f t="shared" si="230"/>
        <v>0</v>
      </c>
      <c r="AM906" s="646">
        <f t="shared" si="230"/>
        <v>0</v>
      </c>
      <c r="AN906" s="645">
        <f t="shared" si="230"/>
        <v>0</v>
      </c>
      <c r="AO906" s="222">
        <f t="shared" si="230"/>
        <v>0</v>
      </c>
      <c r="AP906" s="646">
        <f t="shared" si="230"/>
        <v>0</v>
      </c>
      <c r="AQ906" s="645">
        <f t="shared" si="230"/>
        <v>0</v>
      </c>
      <c r="AR906" s="222">
        <f t="shared" si="230"/>
        <v>0</v>
      </c>
      <c r="AS906" s="646">
        <f t="shared" si="230"/>
        <v>0</v>
      </c>
      <c r="AT906" s="645">
        <f t="shared" si="230"/>
        <v>0</v>
      </c>
      <c r="AU906" s="222">
        <f t="shared" si="230"/>
        <v>0</v>
      </c>
      <c r="AV906" s="646">
        <f t="shared" si="230"/>
        <v>0</v>
      </c>
      <c r="AW906" s="645">
        <f t="shared" si="230"/>
        <v>0</v>
      </c>
      <c r="AX906" s="222">
        <f t="shared" si="230"/>
        <v>0</v>
      </c>
      <c r="AY906" s="646">
        <f t="shared" si="230"/>
        <v>0</v>
      </c>
      <c r="AZ906" s="645">
        <f t="shared" si="230"/>
        <v>0</v>
      </c>
      <c r="BA906" s="222">
        <f t="shared" si="230"/>
        <v>0</v>
      </c>
      <c r="BB906" s="646">
        <f t="shared" si="230"/>
        <v>0</v>
      </c>
      <c r="BC906" s="645">
        <f t="shared" si="230"/>
        <v>0</v>
      </c>
      <c r="BD906" s="222">
        <f t="shared" si="230"/>
        <v>0</v>
      </c>
      <c r="BE906" s="646">
        <f t="shared" si="230"/>
        <v>0</v>
      </c>
      <c r="BF906" s="645">
        <f t="shared" si="230"/>
        <v>0</v>
      </c>
      <c r="BG906" s="222">
        <f t="shared" si="230"/>
        <v>0</v>
      </c>
      <c r="BH906" s="646">
        <f t="shared" si="230"/>
        <v>0</v>
      </c>
      <c r="BI906" s="645">
        <f t="shared" si="230"/>
        <v>0</v>
      </c>
      <c r="BJ906" s="222">
        <f t="shared" si="230"/>
        <v>0</v>
      </c>
      <c r="BK906" s="646">
        <f t="shared" si="230"/>
        <v>0</v>
      </c>
      <c r="BL906" s="229"/>
      <c r="BM906" s="215"/>
      <c r="BN906" s="125">
        <f t="shared" si="224"/>
        <v>36.619999999999997</v>
      </c>
      <c r="BO906" s="126">
        <f t="shared" si="225"/>
        <v>38</v>
      </c>
      <c r="BP906" s="127">
        <f t="shared" si="226"/>
        <v>40.29</v>
      </c>
    </row>
    <row r="907" spans="1:68" s="230" customFormat="1" ht="17.25" customHeight="1" outlineLevel="5" x14ac:dyDescent="0.25">
      <c r="A907" s="215"/>
      <c r="B907" s="215"/>
      <c r="C907" s="216"/>
      <c r="D907" s="216"/>
      <c r="E907" s="216"/>
      <c r="F907" s="216"/>
      <c r="G907" s="216"/>
      <c r="H907" s="216"/>
      <c r="I907" s="216"/>
      <c r="J907" s="215"/>
      <c r="K907" s="217"/>
      <c r="L907" s="216"/>
      <c r="M907" s="215"/>
      <c r="N907" s="215"/>
      <c r="O907" s="215"/>
      <c r="P907" s="215"/>
      <c r="Q907" s="215"/>
      <c r="R907" s="215"/>
      <c r="S907" s="215"/>
      <c r="T907" s="215"/>
      <c r="U907" s="215"/>
      <c r="V907" s="215"/>
      <c r="W907" s="215"/>
      <c r="X907" s="215"/>
      <c r="Y907" s="215"/>
      <c r="Z907" s="215"/>
      <c r="AA907" s="215"/>
      <c r="AB907" s="218"/>
      <c r="AC907" s="219" t="s">
        <v>277</v>
      </c>
      <c r="AD907" s="644" t="s">
        <v>247</v>
      </c>
      <c r="AE907" s="645">
        <f t="shared" ref="AE907:BK907" si="231">AE542</f>
        <v>302.8</v>
      </c>
      <c r="AF907" s="222">
        <f t="shared" si="231"/>
        <v>303</v>
      </c>
      <c r="AG907" s="646">
        <f t="shared" si="231"/>
        <v>814.15</v>
      </c>
      <c r="AH907" s="647">
        <f t="shared" si="231"/>
        <v>0</v>
      </c>
      <c r="AI907" s="222">
        <f t="shared" si="231"/>
        <v>0</v>
      </c>
      <c r="AJ907" s="646">
        <f t="shared" si="231"/>
        <v>0</v>
      </c>
      <c r="AK907" s="645">
        <f t="shared" si="231"/>
        <v>0</v>
      </c>
      <c r="AL907" s="222">
        <f t="shared" si="231"/>
        <v>0</v>
      </c>
      <c r="AM907" s="646">
        <f t="shared" si="231"/>
        <v>0</v>
      </c>
      <c r="AN907" s="645">
        <f t="shared" si="231"/>
        <v>0</v>
      </c>
      <c r="AO907" s="222">
        <f t="shared" si="231"/>
        <v>0</v>
      </c>
      <c r="AP907" s="646">
        <f t="shared" si="231"/>
        <v>0</v>
      </c>
      <c r="AQ907" s="645">
        <f t="shared" si="231"/>
        <v>0</v>
      </c>
      <c r="AR907" s="222">
        <f t="shared" si="231"/>
        <v>0</v>
      </c>
      <c r="AS907" s="646">
        <f t="shared" si="231"/>
        <v>0</v>
      </c>
      <c r="AT907" s="645">
        <f t="shared" si="231"/>
        <v>0</v>
      </c>
      <c r="AU907" s="222">
        <f t="shared" si="231"/>
        <v>0</v>
      </c>
      <c r="AV907" s="646">
        <f t="shared" si="231"/>
        <v>0</v>
      </c>
      <c r="AW907" s="645">
        <f t="shared" si="231"/>
        <v>0</v>
      </c>
      <c r="AX907" s="222">
        <f t="shared" si="231"/>
        <v>0</v>
      </c>
      <c r="AY907" s="646">
        <f t="shared" si="231"/>
        <v>0</v>
      </c>
      <c r="AZ907" s="645">
        <f t="shared" si="231"/>
        <v>0</v>
      </c>
      <c r="BA907" s="222">
        <f t="shared" si="231"/>
        <v>0</v>
      </c>
      <c r="BB907" s="646">
        <f t="shared" si="231"/>
        <v>0</v>
      </c>
      <c r="BC907" s="645">
        <f t="shared" si="231"/>
        <v>0</v>
      </c>
      <c r="BD907" s="222">
        <f t="shared" si="231"/>
        <v>0</v>
      </c>
      <c r="BE907" s="646">
        <f t="shared" si="231"/>
        <v>0</v>
      </c>
      <c r="BF907" s="645">
        <f t="shared" si="231"/>
        <v>0</v>
      </c>
      <c r="BG907" s="222">
        <f t="shared" si="231"/>
        <v>0</v>
      </c>
      <c r="BH907" s="646">
        <f t="shared" si="231"/>
        <v>0</v>
      </c>
      <c r="BI907" s="645">
        <f t="shared" si="231"/>
        <v>0</v>
      </c>
      <c r="BJ907" s="222">
        <f t="shared" si="231"/>
        <v>0</v>
      </c>
      <c r="BK907" s="646">
        <f t="shared" si="231"/>
        <v>0</v>
      </c>
      <c r="BL907" s="229"/>
      <c r="BM907" s="215"/>
      <c r="BN907" s="125">
        <f t="shared" si="224"/>
        <v>302.8</v>
      </c>
      <c r="BO907" s="126">
        <f t="shared" si="225"/>
        <v>303</v>
      </c>
      <c r="BP907" s="127">
        <f t="shared" si="226"/>
        <v>814.15</v>
      </c>
    </row>
    <row r="908" spans="1:68" s="230" customFormat="1" ht="17.25" customHeight="1" outlineLevel="5" x14ac:dyDescent="0.25">
      <c r="A908" s="215"/>
      <c r="B908" s="215"/>
      <c r="C908" s="216"/>
      <c r="D908" s="216"/>
      <c r="E908" s="216"/>
      <c r="F908" s="216"/>
      <c r="G908" s="216"/>
      <c r="H908" s="216"/>
      <c r="I908" s="216"/>
      <c r="J908" s="215"/>
      <c r="K908" s="217"/>
      <c r="L908" s="216"/>
      <c r="M908" s="215"/>
      <c r="N908" s="215"/>
      <c r="O908" s="215"/>
      <c r="P908" s="215"/>
      <c r="Q908" s="215"/>
      <c r="R908" s="215"/>
      <c r="S908" s="215"/>
      <c r="T908" s="215"/>
      <c r="U908" s="215"/>
      <c r="V908" s="215"/>
      <c r="W908" s="215"/>
      <c r="X908" s="215"/>
      <c r="Y908" s="215"/>
      <c r="Z908" s="215"/>
      <c r="AA908" s="215"/>
      <c r="AB908" s="218"/>
      <c r="AC908" s="219" t="s">
        <v>273</v>
      </c>
      <c r="AD908" s="644" t="s">
        <v>247</v>
      </c>
      <c r="AE908" s="645">
        <f t="shared" ref="AE908:BK908" si="232">AE543</f>
        <v>66.010000000000005</v>
      </c>
      <c r="AF908" s="222">
        <f t="shared" si="232"/>
        <v>68</v>
      </c>
      <c r="AG908" s="646">
        <f t="shared" si="232"/>
        <v>72.63</v>
      </c>
      <c r="AH908" s="647">
        <f t="shared" si="232"/>
        <v>0</v>
      </c>
      <c r="AI908" s="222">
        <f t="shared" si="232"/>
        <v>0</v>
      </c>
      <c r="AJ908" s="646">
        <f t="shared" si="232"/>
        <v>0</v>
      </c>
      <c r="AK908" s="645">
        <f t="shared" si="232"/>
        <v>0</v>
      </c>
      <c r="AL908" s="222">
        <f t="shared" si="232"/>
        <v>0</v>
      </c>
      <c r="AM908" s="646">
        <f t="shared" si="232"/>
        <v>0</v>
      </c>
      <c r="AN908" s="645">
        <f t="shared" si="232"/>
        <v>0</v>
      </c>
      <c r="AO908" s="222">
        <f t="shared" si="232"/>
        <v>0</v>
      </c>
      <c r="AP908" s="646">
        <f t="shared" si="232"/>
        <v>0</v>
      </c>
      <c r="AQ908" s="645">
        <f t="shared" si="232"/>
        <v>0</v>
      </c>
      <c r="AR908" s="222">
        <f t="shared" si="232"/>
        <v>0</v>
      </c>
      <c r="AS908" s="646">
        <f t="shared" si="232"/>
        <v>0</v>
      </c>
      <c r="AT908" s="645">
        <f t="shared" si="232"/>
        <v>0</v>
      </c>
      <c r="AU908" s="222">
        <f t="shared" si="232"/>
        <v>0</v>
      </c>
      <c r="AV908" s="646">
        <f t="shared" si="232"/>
        <v>0</v>
      </c>
      <c r="AW908" s="645">
        <f t="shared" si="232"/>
        <v>0</v>
      </c>
      <c r="AX908" s="222">
        <f t="shared" si="232"/>
        <v>0</v>
      </c>
      <c r="AY908" s="646">
        <f t="shared" si="232"/>
        <v>0</v>
      </c>
      <c r="AZ908" s="645">
        <f t="shared" si="232"/>
        <v>0</v>
      </c>
      <c r="BA908" s="222">
        <f t="shared" si="232"/>
        <v>0</v>
      </c>
      <c r="BB908" s="646">
        <f t="shared" si="232"/>
        <v>0</v>
      </c>
      <c r="BC908" s="645">
        <f t="shared" si="232"/>
        <v>0</v>
      </c>
      <c r="BD908" s="222">
        <f t="shared" si="232"/>
        <v>0</v>
      </c>
      <c r="BE908" s="646">
        <f t="shared" si="232"/>
        <v>0</v>
      </c>
      <c r="BF908" s="645">
        <f t="shared" si="232"/>
        <v>0</v>
      </c>
      <c r="BG908" s="222">
        <f t="shared" si="232"/>
        <v>0</v>
      </c>
      <c r="BH908" s="646">
        <f t="shared" si="232"/>
        <v>0</v>
      </c>
      <c r="BI908" s="645">
        <f t="shared" si="232"/>
        <v>0</v>
      </c>
      <c r="BJ908" s="222">
        <f t="shared" si="232"/>
        <v>0</v>
      </c>
      <c r="BK908" s="646">
        <f t="shared" si="232"/>
        <v>0</v>
      </c>
      <c r="BL908" s="229"/>
      <c r="BM908" s="215"/>
      <c r="BN908" s="125">
        <f t="shared" si="224"/>
        <v>66.010000000000005</v>
      </c>
      <c r="BO908" s="126">
        <f t="shared" si="225"/>
        <v>68</v>
      </c>
      <c r="BP908" s="127">
        <f t="shared" si="226"/>
        <v>72.63</v>
      </c>
    </row>
    <row r="909" spans="1:68" s="230" customFormat="1" ht="17.25" customHeight="1" outlineLevel="5" x14ac:dyDescent="0.25">
      <c r="A909" s="215"/>
      <c r="B909" s="215"/>
      <c r="C909" s="216"/>
      <c r="D909" s="216"/>
      <c r="E909" s="216"/>
      <c r="F909" s="216"/>
      <c r="G909" s="216"/>
      <c r="H909" s="216"/>
      <c r="I909" s="216"/>
      <c r="J909" s="215"/>
      <c r="K909" s="217"/>
      <c r="L909" s="216"/>
      <c r="M909" s="215"/>
      <c r="N909" s="215"/>
      <c r="O909" s="215"/>
      <c r="P909" s="215"/>
      <c r="Q909" s="215"/>
      <c r="R909" s="215"/>
      <c r="S909" s="215"/>
      <c r="T909" s="215"/>
      <c r="U909" s="215"/>
      <c r="V909" s="215"/>
      <c r="W909" s="215"/>
      <c r="X909" s="215"/>
      <c r="Y909" s="215"/>
      <c r="Z909" s="215"/>
      <c r="AA909" s="215"/>
      <c r="AB909" s="218"/>
      <c r="AC909" s="219" t="s">
        <v>596</v>
      </c>
      <c r="AD909" s="644" t="s">
        <v>247</v>
      </c>
      <c r="AE909" s="645">
        <f t="shared" ref="AE909:BK909" si="233">AE546</f>
        <v>716.76</v>
      </c>
      <c r="AF909" s="222">
        <f t="shared" si="233"/>
        <v>720</v>
      </c>
      <c r="AG909" s="646">
        <f t="shared" si="233"/>
        <v>888.28</v>
      </c>
      <c r="AH909" s="647">
        <f t="shared" si="233"/>
        <v>0</v>
      </c>
      <c r="AI909" s="222">
        <f t="shared" si="233"/>
        <v>0</v>
      </c>
      <c r="AJ909" s="646">
        <f t="shared" si="233"/>
        <v>0</v>
      </c>
      <c r="AK909" s="645">
        <f t="shared" si="233"/>
        <v>0</v>
      </c>
      <c r="AL909" s="222">
        <f t="shared" si="233"/>
        <v>0</v>
      </c>
      <c r="AM909" s="646">
        <f t="shared" si="233"/>
        <v>0</v>
      </c>
      <c r="AN909" s="645">
        <f t="shared" si="233"/>
        <v>0</v>
      </c>
      <c r="AO909" s="222">
        <f t="shared" si="233"/>
        <v>0</v>
      </c>
      <c r="AP909" s="646">
        <f t="shared" si="233"/>
        <v>0</v>
      </c>
      <c r="AQ909" s="645">
        <f t="shared" si="233"/>
        <v>0</v>
      </c>
      <c r="AR909" s="222">
        <f t="shared" si="233"/>
        <v>0</v>
      </c>
      <c r="AS909" s="646">
        <f t="shared" si="233"/>
        <v>0</v>
      </c>
      <c r="AT909" s="645">
        <f t="shared" si="233"/>
        <v>0</v>
      </c>
      <c r="AU909" s="222">
        <f t="shared" si="233"/>
        <v>0</v>
      </c>
      <c r="AV909" s="646">
        <f t="shared" si="233"/>
        <v>0</v>
      </c>
      <c r="AW909" s="645">
        <f t="shared" si="233"/>
        <v>0</v>
      </c>
      <c r="AX909" s="222">
        <f t="shared" si="233"/>
        <v>0</v>
      </c>
      <c r="AY909" s="646">
        <f t="shared" si="233"/>
        <v>0</v>
      </c>
      <c r="AZ909" s="645">
        <f t="shared" si="233"/>
        <v>0</v>
      </c>
      <c r="BA909" s="222">
        <f t="shared" si="233"/>
        <v>0</v>
      </c>
      <c r="BB909" s="646">
        <f t="shared" si="233"/>
        <v>0</v>
      </c>
      <c r="BC909" s="645">
        <f t="shared" si="233"/>
        <v>0</v>
      </c>
      <c r="BD909" s="222">
        <f t="shared" si="233"/>
        <v>0</v>
      </c>
      <c r="BE909" s="646">
        <f t="shared" si="233"/>
        <v>0</v>
      </c>
      <c r="BF909" s="645">
        <f t="shared" si="233"/>
        <v>0</v>
      </c>
      <c r="BG909" s="222">
        <f t="shared" si="233"/>
        <v>0</v>
      </c>
      <c r="BH909" s="646">
        <f t="shared" si="233"/>
        <v>0</v>
      </c>
      <c r="BI909" s="645">
        <f t="shared" si="233"/>
        <v>0</v>
      </c>
      <c r="BJ909" s="222">
        <f t="shared" si="233"/>
        <v>0</v>
      </c>
      <c r="BK909" s="646">
        <f t="shared" si="233"/>
        <v>0</v>
      </c>
      <c r="BL909" s="229"/>
      <c r="BM909" s="215"/>
      <c r="BN909" s="125">
        <f t="shared" si="224"/>
        <v>716.76</v>
      </c>
      <c r="BO909" s="126">
        <f t="shared" si="225"/>
        <v>720</v>
      </c>
      <c r="BP909" s="127">
        <f t="shared" si="226"/>
        <v>888.28</v>
      </c>
    </row>
    <row r="910" spans="1:68" s="230" customFormat="1" ht="17.25" customHeight="1" outlineLevel="5" x14ac:dyDescent="0.25">
      <c r="A910" s="215"/>
      <c r="B910" s="215"/>
      <c r="C910" s="216"/>
      <c r="D910" s="216"/>
      <c r="E910" s="216"/>
      <c r="F910" s="216"/>
      <c r="G910" s="216"/>
      <c r="H910" s="216"/>
      <c r="I910" s="216"/>
      <c r="J910" s="215"/>
      <c r="K910" s="217"/>
      <c r="L910" s="216"/>
      <c r="M910" s="215"/>
      <c r="N910" s="215"/>
      <c r="O910" s="215"/>
      <c r="P910" s="215"/>
      <c r="Q910" s="215"/>
      <c r="R910" s="215"/>
      <c r="S910" s="215"/>
      <c r="T910" s="215"/>
      <c r="U910" s="215"/>
      <c r="V910" s="215"/>
      <c r="W910" s="215"/>
      <c r="X910" s="215"/>
      <c r="Y910" s="215"/>
      <c r="Z910" s="215"/>
      <c r="AA910" s="215"/>
      <c r="AB910" s="218"/>
      <c r="AC910" s="219" t="s">
        <v>711</v>
      </c>
      <c r="AD910" s="644" t="s">
        <v>247</v>
      </c>
      <c r="AE910" s="645">
        <f t="shared" ref="AE910:BK910" si="234">AE551</f>
        <v>723.32</v>
      </c>
      <c r="AF910" s="222">
        <f t="shared" si="234"/>
        <v>500</v>
      </c>
      <c r="AG910" s="646">
        <f t="shared" si="234"/>
        <v>795.88</v>
      </c>
      <c r="AH910" s="647">
        <f t="shared" si="234"/>
        <v>0</v>
      </c>
      <c r="AI910" s="222">
        <f t="shared" si="234"/>
        <v>0</v>
      </c>
      <c r="AJ910" s="646">
        <f t="shared" si="234"/>
        <v>0</v>
      </c>
      <c r="AK910" s="645">
        <f t="shared" si="234"/>
        <v>0</v>
      </c>
      <c r="AL910" s="222">
        <f t="shared" si="234"/>
        <v>0</v>
      </c>
      <c r="AM910" s="646">
        <f t="shared" si="234"/>
        <v>0</v>
      </c>
      <c r="AN910" s="645">
        <f t="shared" si="234"/>
        <v>0</v>
      </c>
      <c r="AO910" s="222">
        <f t="shared" si="234"/>
        <v>0</v>
      </c>
      <c r="AP910" s="646">
        <f t="shared" si="234"/>
        <v>0</v>
      </c>
      <c r="AQ910" s="645">
        <f t="shared" si="234"/>
        <v>0</v>
      </c>
      <c r="AR910" s="222">
        <f t="shared" si="234"/>
        <v>0</v>
      </c>
      <c r="AS910" s="646">
        <f t="shared" si="234"/>
        <v>0</v>
      </c>
      <c r="AT910" s="645">
        <f t="shared" si="234"/>
        <v>0</v>
      </c>
      <c r="AU910" s="222">
        <f t="shared" si="234"/>
        <v>0</v>
      </c>
      <c r="AV910" s="646">
        <f t="shared" si="234"/>
        <v>0</v>
      </c>
      <c r="AW910" s="645">
        <f t="shared" si="234"/>
        <v>0</v>
      </c>
      <c r="AX910" s="222">
        <f t="shared" si="234"/>
        <v>0</v>
      </c>
      <c r="AY910" s="646">
        <f t="shared" si="234"/>
        <v>0</v>
      </c>
      <c r="AZ910" s="645">
        <f t="shared" si="234"/>
        <v>0</v>
      </c>
      <c r="BA910" s="222">
        <f t="shared" si="234"/>
        <v>2398.59</v>
      </c>
      <c r="BB910" s="646">
        <f t="shared" si="234"/>
        <v>0</v>
      </c>
      <c r="BC910" s="645">
        <f t="shared" si="234"/>
        <v>0</v>
      </c>
      <c r="BD910" s="222">
        <f t="shared" si="234"/>
        <v>0</v>
      </c>
      <c r="BE910" s="646">
        <f t="shared" si="234"/>
        <v>0</v>
      </c>
      <c r="BF910" s="645">
        <f t="shared" si="234"/>
        <v>0</v>
      </c>
      <c r="BG910" s="222">
        <f t="shared" si="234"/>
        <v>0</v>
      </c>
      <c r="BH910" s="646">
        <f t="shared" si="234"/>
        <v>0</v>
      </c>
      <c r="BI910" s="645">
        <f t="shared" si="234"/>
        <v>0</v>
      </c>
      <c r="BJ910" s="222">
        <f t="shared" si="234"/>
        <v>0</v>
      </c>
      <c r="BK910" s="646">
        <f t="shared" si="234"/>
        <v>0</v>
      </c>
      <c r="BL910" s="229"/>
      <c r="BM910" s="215"/>
      <c r="BN910" s="125">
        <f t="shared" si="224"/>
        <v>723.32</v>
      </c>
      <c r="BO910" s="126">
        <f t="shared" si="225"/>
        <v>2898.59</v>
      </c>
      <c r="BP910" s="127">
        <f t="shared" si="226"/>
        <v>795.88</v>
      </c>
    </row>
    <row r="911" spans="1:68" s="230" customFormat="1" ht="17.25" customHeight="1" outlineLevel="5" x14ac:dyDescent="0.25">
      <c r="A911" s="215"/>
      <c r="B911" s="215"/>
      <c r="C911" s="216"/>
      <c r="D911" s="216"/>
      <c r="E911" s="216"/>
      <c r="F911" s="216"/>
      <c r="G911" s="216"/>
      <c r="H911" s="216"/>
      <c r="I911" s="216"/>
      <c r="J911" s="215"/>
      <c r="K911" s="217"/>
      <c r="L911" s="216"/>
      <c r="M911" s="215"/>
      <c r="N911" s="215"/>
      <c r="O911" s="215"/>
      <c r="P911" s="215"/>
      <c r="Q911" s="215"/>
      <c r="R911" s="215"/>
      <c r="S911" s="215"/>
      <c r="T911" s="215"/>
      <c r="U911" s="215"/>
      <c r="V911" s="215"/>
      <c r="W911" s="215"/>
      <c r="X911" s="215"/>
      <c r="Y911" s="215"/>
      <c r="Z911" s="215"/>
      <c r="AA911" s="215"/>
      <c r="AB911" s="218"/>
      <c r="AC911" s="219" t="s">
        <v>601</v>
      </c>
      <c r="AD911" s="644" t="s">
        <v>247</v>
      </c>
      <c r="AE911" s="645">
        <f t="shared" ref="AE911:BK911" si="235">AE552</f>
        <v>19.2</v>
      </c>
      <c r="AF911" s="222">
        <f t="shared" si="235"/>
        <v>19.2</v>
      </c>
      <c r="AG911" s="646">
        <f t="shared" si="235"/>
        <v>19.97</v>
      </c>
      <c r="AH911" s="647">
        <f t="shared" si="235"/>
        <v>0</v>
      </c>
      <c r="AI911" s="222">
        <f t="shared" si="235"/>
        <v>0</v>
      </c>
      <c r="AJ911" s="646">
        <f t="shared" si="235"/>
        <v>0</v>
      </c>
      <c r="AK911" s="645">
        <f t="shared" si="235"/>
        <v>0</v>
      </c>
      <c r="AL911" s="222">
        <f t="shared" si="235"/>
        <v>0</v>
      </c>
      <c r="AM911" s="646">
        <f t="shared" si="235"/>
        <v>0</v>
      </c>
      <c r="AN911" s="645">
        <f t="shared" si="235"/>
        <v>0</v>
      </c>
      <c r="AO911" s="222">
        <f t="shared" si="235"/>
        <v>0</v>
      </c>
      <c r="AP911" s="646">
        <f t="shared" si="235"/>
        <v>0</v>
      </c>
      <c r="AQ911" s="645">
        <f t="shared" si="235"/>
        <v>0</v>
      </c>
      <c r="AR911" s="222">
        <f t="shared" si="235"/>
        <v>0</v>
      </c>
      <c r="AS911" s="646">
        <f t="shared" si="235"/>
        <v>0</v>
      </c>
      <c r="AT911" s="645">
        <f t="shared" si="235"/>
        <v>0</v>
      </c>
      <c r="AU911" s="222">
        <f t="shared" si="235"/>
        <v>0</v>
      </c>
      <c r="AV911" s="646">
        <f t="shared" si="235"/>
        <v>0</v>
      </c>
      <c r="AW911" s="645">
        <f t="shared" si="235"/>
        <v>0</v>
      </c>
      <c r="AX911" s="222">
        <f t="shared" si="235"/>
        <v>0</v>
      </c>
      <c r="AY911" s="646">
        <f t="shared" si="235"/>
        <v>0</v>
      </c>
      <c r="AZ911" s="645">
        <f t="shared" si="235"/>
        <v>0</v>
      </c>
      <c r="BA911" s="222">
        <f t="shared" si="235"/>
        <v>0</v>
      </c>
      <c r="BB911" s="646">
        <f t="shared" si="235"/>
        <v>0</v>
      </c>
      <c r="BC911" s="645">
        <f t="shared" si="235"/>
        <v>0</v>
      </c>
      <c r="BD911" s="222">
        <f t="shared" si="235"/>
        <v>0</v>
      </c>
      <c r="BE911" s="646">
        <f t="shared" si="235"/>
        <v>0</v>
      </c>
      <c r="BF911" s="645">
        <f t="shared" si="235"/>
        <v>0</v>
      </c>
      <c r="BG911" s="222">
        <f t="shared" si="235"/>
        <v>0</v>
      </c>
      <c r="BH911" s="646">
        <f t="shared" si="235"/>
        <v>0</v>
      </c>
      <c r="BI911" s="645">
        <f t="shared" si="235"/>
        <v>0</v>
      </c>
      <c r="BJ911" s="222">
        <f t="shared" si="235"/>
        <v>0</v>
      </c>
      <c r="BK911" s="646">
        <f t="shared" si="235"/>
        <v>0</v>
      </c>
      <c r="BL911" s="229"/>
      <c r="BM911" s="215"/>
      <c r="BN911" s="125">
        <f t="shared" si="224"/>
        <v>19.2</v>
      </c>
      <c r="BO911" s="126">
        <f t="shared" si="225"/>
        <v>19.2</v>
      </c>
      <c r="BP911" s="127">
        <f t="shared" si="226"/>
        <v>19.97</v>
      </c>
    </row>
    <row r="912" spans="1:68" s="230" customFormat="1" ht="17.25" customHeight="1" outlineLevel="5" x14ac:dyDescent="0.25">
      <c r="A912" s="215"/>
      <c r="B912" s="215"/>
      <c r="C912" s="216"/>
      <c r="D912" s="216"/>
      <c r="E912" s="216"/>
      <c r="F912" s="216"/>
      <c r="G912" s="216"/>
      <c r="H912" s="216"/>
      <c r="I912" s="216"/>
      <c r="J912" s="215"/>
      <c r="K912" s="217"/>
      <c r="L912" s="216"/>
      <c r="M912" s="215"/>
      <c r="N912" s="215"/>
      <c r="O912" s="215"/>
      <c r="P912" s="215"/>
      <c r="Q912" s="215"/>
      <c r="R912" s="215"/>
      <c r="S912" s="215"/>
      <c r="T912" s="215"/>
      <c r="U912" s="215"/>
      <c r="V912" s="215"/>
      <c r="W912" s="215"/>
      <c r="X912" s="215"/>
      <c r="Y912" s="215"/>
      <c r="Z912" s="215"/>
      <c r="AA912" s="215"/>
      <c r="AB912" s="218"/>
      <c r="AC912" s="219" t="s">
        <v>602</v>
      </c>
      <c r="AD912" s="644" t="s">
        <v>247</v>
      </c>
      <c r="AE912" s="645">
        <f t="shared" ref="AE912:BK912" si="236">AE553</f>
        <v>244.58</v>
      </c>
      <c r="AF912" s="222">
        <f t="shared" si="236"/>
        <v>244.58</v>
      </c>
      <c r="AG912" s="646">
        <f t="shared" si="236"/>
        <v>264.08999999999997</v>
      </c>
      <c r="AH912" s="647">
        <f t="shared" si="236"/>
        <v>0</v>
      </c>
      <c r="AI912" s="222">
        <f t="shared" si="236"/>
        <v>0</v>
      </c>
      <c r="AJ912" s="646">
        <f t="shared" si="236"/>
        <v>0</v>
      </c>
      <c r="AK912" s="645">
        <f t="shared" si="236"/>
        <v>0</v>
      </c>
      <c r="AL912" s="222">
        <f t="shared" si="236"/>
        <v>0</v>
      </c>
      <c r="AM912" s="646">
        <f t="shared" si="236"/>
        <v>0</v>
      </c>
      <c r="AN912" s="645">
        <f t="shared" si="236"/>
        <v>0</v>
      </c>
      <c r="AO912" s="222">
        <f t="shared" si="236"/>
        <v>0</v>
      </c>
      <c r="AP912" s="646">
        <f t="shared" si="236"/>
        <v>0</v>
      </c>
      <c r="AQ912" s="645">
        <f t="shared" si="236"/>
        <v>0</v>
      </c>
      <c r="AR912" s="222">
        <f t="shared" si="236"/>
        <v>0</v>
      </c>
      <c r="AS912" s="646">
        <f t="shared" si="236"/>
        <v>0</v>
      </c>
      <c r="AT912" s="645">
        <f t="shared" si="236"/>
        <v>0</v>
      </c>
      <c r="AU912" s="222">
        <f t="shared" si="236"/>
        <v>0</v>
      </c>
      <c r="AV912" s="646">
        <f t="shared" si="236"/>
        <v>0</v>
      </c>
      <c r="AW912" s="645">
        <f t="shared" si="236"/>
        <v>0</v>
      </c>
      <c r="AX912" s="222">
        <f t="shared" si="236"/>
        <v>0</v>
      </c>
      <c r="AY912" s="646">
        <f t="shared" si="236"/>
        <v>0</v>
      </c>
      <c r="AZ912" s="645">
        <f t="shared" si="236"/>
        <v>0</v>
      </c>
      <c r="BA912" s="222">
        <f t="shared" si="236"/>
        <v>0</v>
      </c>
      <c r="BB912" s="646">
        <f t="shared" si="236"/>
        <v>0</v>
      </c>
      <c r="BC912" s="645">
        <f t="shared" si="236"/>
        <v>0</v>
      </c>
      <c r="BD912" s="222">
        <f t="shared" si="236"/>
        <v>0</v>
      </c>
      <c r="BE912" s="646">
        <f t="shared" si="236"/>
        <v>0</v>
      </c>
      <c r="BF912" s="645">
        <f t="shared" si="236"/>
        <v>0</v>
      </c>
      <c r="BG912" s="222">
        <f t="shared" si="236"/>
        <v>0</v>
      </c>
      <c r="BH912" s="646">
        <f t="shared" si="236"/>
        <v>0</v>
      </c>
      <c r="BI912" s="645">
        <f t="shared" si="236"/>
        <v>0</v>
      </c>
      <c r="BJ912" s="222">
        <f t="shared" si="236"/>
        <v>0</v>
      </c>
      <c r="BK912" s="646">
        <f t="shared" si="236"/>
        <v>0</v>
      </c>
      <c r="BL912" s="229"/>
      <c r="BM912" s="215"/>
      <c r="BN912" s="125">
        <f t="shared" si="224"/>
        <v>244.58</v>
      </c>
      <c r="BO912" s="126">
        <f t="shared" si="225"/>
        <v>244.58</v>
      </c>
      <c r="BP912" s="127">
        <f t="shared" si="226"/>
        <v>264.08999999999997</v>
      </c>
    </row>
    <row r="913" spans="1:68" s="230" customFormat="1" ht="17.25" customHeight="1" outlineLevel="5" x14ac:dyDescent="0.25">
      <c r="A913" s="215"/>
      <c r="B913" s="215"/>
      <c r="C913" s="216"/>
      <c r="D913" s="216"/>
      <c r="E913" s="216"/>
      <c r="F913" s="216"/>
      <c r="G913" s="216"/>
      <c r="H913" s="216"/>
      <c r="I913" s="216"/>
      <c r="J913" s="215"/>
      <c r="K913" s="217"/>
      <c r="L913" s="216"/>
      <c r="M913" s="215"/>
      <c r="N913" s="215"/>
      <c r="O913" s="215"/>
      <c r="P913" s="215"/>
      <c r="Q913" s="215"/>
      <c r="R913" s="215"/>
      <c r="S913" s="215"/>
      <c r="T913" s="215"/>
      <c r="U913" s="215"/>
      <c r="V913" s="215"/>
      <c r="W913" s="215"/>
      <c r="X913" s="215"/>
      <c r="Y913" s="215"/>
      <c r="Z913" s="215"/>
      <c r="AA913" s="215"/>
      <c r="AB913" s="218"/>
      <c r="AC913" s="219" t="s">
        <v>372</v>
      </c>
      <c r="AD913" s="644" t="s">
        <v>247</v>
      </c>
      <c r="AE913" s="645">
        <f t="shared" ref="AE913:BK913" si="237">AE554</f>
        <v>80.37</v>
      </c>
      <c r="AF913" s="222">
        <f t="shared" si="237"/>
        <v>80.37</v>
      </c>
      <c r="AG913" s="646">
        <f t="shared" si="237"/>
        <v>88.44</v>
      </c>
      <c r="AH913" s="647">
        <f t="shared" si="237"/>
        <v>0</v>
      </c>
      <c r="AI913" s="222">
        <f t="shared" si="237"/>
        <v>0</v>
      </c>
      <c r="AJ913" s="646">
        <f t="shared" si="237"/>
        <v>0</v>
      </c>
      <c r="AK913" s="645">
        <f t="shared" si="237"/>
        <v>0</v>
      </c>
      <c r="AL913" s="222">
        <f t="shared" si="237"/>
        <v>0</v>
      </c>
      <c r="AM913" s="646">
        <f t="shared" si="237"/>
        <v>0</v>
      </c>
      <c r="AN913" s="645">
        <f t="shared" si="237"/>
        <v>0</v>
      </c>
      <c r="AO913" s="222">
        <f t="shared" si="237"/>
        <v>0</v>
      </c>
      <c r="AP913" s="646">
        <f t="shared" si="237"/>
        <v>0</v>
      </c>
      <c r="AQ913" s="645">
        <f t="shared" si="237"/>
        <v>0</v>
      </c>
      <c r="AR913" s="222">
        <f t="shared" si="237"/>
        <v>0</v>
      </c>
      <c r="AS913" s="646">
        <f t="shared" si="237"/>
        <v>0</v>
      </c>
      <c r="AT913" s="645">
        <f t="shared" si="237"/>
        <v>0</v>
      </c>
      <c r="AU913" s="222">
        <f t="shared" si="237"/>
        <v>0</v>
      </c>
      <c r="AV913" s="646">
        <f t="shared" si="237"/>
        <v>0</v>
      </c>
      <c r="AW913" s="645">
        <f t="shared" si="237"/>
        <v>0</v>
      </c>
      <c r="AX913" s="222">
        <f t="shared" si="237"/>
        <v>0</v>
      </c>
      <c r="AY913" s="646">
        <f t="shared" si="237"/>
        <v>0</v>
      </c>
      <c r="AZ913" s="645">
        <f t="shared" si="237"/>
        <v>0</v>
      </c>
      <c r="BA913" s="222">
        <f t="shared" si="237"/>
        <v>0</v>
      </c>
      <c r="BB913" s="646">
        <f t="shared" si="237"/>
        <v>0</v>
      </c>
      <c r="BC913" s="645">
        <f t="shared" si="237"/>
        <v>0</v>
      </c>
      <c r="BD913" s="222">
        <f t="shared" si="237"/>
        <v>0</v>
      </c>
      <c r="BE913" s="646">
        <f t="shared" si="237"/>
        <v>0</v>
      </c>
      <c r="BF913" s="645">
        <f t="shared" si="237"/>
        <v>0</v>
      </c>
      <c r="BG913" s="222">
        <f t="shared" si="237"/>
        <v>0</v>
      </c>
      <c r="BH913" s="646">
        <f t="shared" si="237"/>
        <v>0</v>
      </c>
      <c r="BI913" s="645">
        <f t="shared" si="237"/>
        <v>0</v>
      </c>
      <c r="BJ913" s="222">
        <f t="shared" si="237"/>
        <v>0</v>
      </c>
      <c r="BK913" s="646">
        <f t="shared" si="237"/>
        <v>0</v>
      </c>
      <c r="BL913" s="229"/>
      <c r="BM913" s="215"/>
      <c r="BN913" s="125">
        <f t="shared" si="224"/>
        <v>80.37</v>
      </c>
      <c r="BO913" s="126">
        <f t="shared" si="225"/>
        <v>80.37</v>
      </c>
      <c r="BP913" s="127">
        <f t="shared" si="226"/>
        <v>88.44</v>
      </c>
    </row>
    <row r="914" spans="1:68" s="230" customFormat="1" ht="17.25" customHeight="1" outlineLevel="5" x14ac:dyDescent="0.25">
      <c r="A914" s="215"/>
      <c r="B914" s="215"/>
      <c r="C914" s="216"/>
      <c r="D914" s="216"/>
      <c r="E914" s="216"/>
      <c r="F914" s="216"/>
      <c r="G914" s="216"/>
      <c r="H914" s="216"/>
      <c r="I914" s="216"/>
      <c r="J914" s="215"/>
      <c r="K914" s="217"/>
      <c r="L914" s="216"/>
      <c r="M914" s="215"/>
      <c r="N914" s="215"/>
      <c r="O914" s="215"/>
      <c r="P914" s="215"/>
      <c r="Q914" s="215"/>
      <c r="R914" s="215"/>
      <c r="S914" s="215"/>
      <c r="T914" s="215"/>
      <c r="U914" s="215"/>
      <c r="V914" s="215"/>
      <c r="W914" s="215"/>
      <c r="X914" s="215"/>
      <c r="Y914" s="215"/>
      <c r="Z914" s="215"/>
      <c r="AA914" s="215"/>
      <c r="AB914" s="218"/>
      <c r="AC914" s="219" t="s">
        <v>604</v>
      </c>
      <c r="AD914" s="644" t="s">
        <v>247</v>
      </c>
      <c r="AE914" s="645">
        <f t="shared" ref="AE914:BK914" si="238">AE557</f>
        <v>48.11</v>
      </c>
      <c r="AF914" s="222">
        <f t="shared" si="238"/>
        <v>48.11</v>
      </c>
      <c r="AG914" s="646">
        <f t="shared" si="238"/>
        <v>30.36</v>
      </c>
      <c r="AH914" s="647">
        <f t="shared" si="238"/>
        <v>0</v>
      </c>
      <c r="AI914" s="222">
        <f t="shared" si="238"/>
        <v>0</v>
      </c>
      <c r="AJ914" s="646">
        <f t="shared" si="238"/>
        <v>0</v>
      </c>
      <c r="AK914" s="645">
        <f t="shared" si="238"/>
        <v>0</v>
      </c>
      <c r="AL914" s="222">
        <f t="shared" si="238"/>
        <v>0</v>
      </c>
      <c r="AM914" s="646">
        <f t="shared" si="238"/>
        <v>0</v>
      </c>
      <c r="AN914" s="645">
        <f t="shared" si="238"/>
        <v>0</v>
      </c>
      <c r="AO914" s="222">
        <f t="shared" si="238"/>
        <v>0</v>
      </c>
      <c r="AP914" s="646">
        <f t="shared" si="238"/>
        <v>0</v>
      </c>
      <c r="AQ914" s="645">
        <f t="shared" si="238"/>
        <v>0</v>
      </c>
      <c r="AR914" s="222">
        <f t="shared" si="238"/>
        <v>0</v>
      </c>
      <c r="AS914" s="646">
        <f t="shared" si="238"/>
        <v>0</v>
      </c>
      <c r="AT914" s="645">
        <f t="shared" si="238"/>
        <v>0</v>
      </c>
      <c r="AU914" s="222">
        <f t="shared" si="238"/>
        <v>0</v>
      </c>
      <c r="AV914" s="646">
        <f t="shared" si="238"/>
        <v>0</v>
      </c>
      <c r="AW914" s="645">
        <f t="shared" si="238"/>
        <v>0</v>
      </c>
      <c r="AX914" s="222">
        <f t="shared" si="238"/>
        <v>0</v>
      </c>
      <c r="AY914" s="646">
        <f t="shared" si="238"/>
        <v>0</v>
      </c>
      <c r="AZ914" s="645">
        <f t="shared" si="238"/>
        <v>0</v>
      </c>
      <c r="BA914" s="222">
        <f t="shared" si="238"/>
        <v>0</v>
      </c>
      <c r="BB914" s="646">
        <f t="shared" si="238"/>
        <v>0</v>
      </c>
      <c r="BC914" s="645">
        <f t="shared" si="238"/>
        <v>0</v>
      </c>
      <c r="BD914" s="222">
        <f t="shared" si="238"/>
        <v>0</v>
      </c>
      <c r="BE914" s="646">
        <f t="shared" si="238"/>
        <v>0</v>
      </c>
      <c r="BF914" s="645">
        <f t="shared" si="238"/>
        <v>0</v>
      </c>
      <c r="BG914" s="222">
        <f t="shared" si="238"/>
        <v>0</v>
      </c>
      <c r="BH914" s="646">
        <f t="shared" si="238"/>
        <v>0</v>
      </c>
      <c r="BI914" s="645">
        <f t="shared" si="238"/>
        <v>0</v>
      </c>
      <c r="BJ914" s="222">
        <f t="shared" si="238"/>
        <v>0</v>
      </c>
      <c r="BK914" s="646">
        <f t="shared" si="238"/>
        <v>0</v>
      </c>
      <c r="BL914" s="229"/>
      <c r="BM914" s="215"/>
      <c r="BN914" s="125">
        <f t="shared" si="224"/>
        <v>48.11</v>
      </c>
      <c r="BO914" s="126">
        <f t="shared" si="225"/>
        <v>48.11</v>
      </c>
      <c r="BP914" s="127">
        <f t="shared" si="226"/>
        <v>30.36</v>
      </c>
    </row>
    <row r="915" spans="1:68" s="230" customFormat="1" ht="17.25" customHeight="1" outlineLevel="5" x14ac:dyDescent="0.25">
      <c r="A915" s="215"/>
      <c r="B915" s="215"/>
      <c r="C915" s="216"/>
      <c r="D915" s="216"/>
      <c r="E915" s="216"/>
      <c r="F915" s="216"/>
      <c r="G915" s="216"/>
      <c r="H915" s="216"/>
      <c r="I915" s="216"/>
      <c r="J915" s="215"/>
      <c r="K915" s="217"/>
      <c r="L915" s="216"/>
      <c r="M915" s="215"/>
      <c r="N915" s="215"/>
      <c r="O915" s="215"/>
      <c r="P915" s="215"/>
      <c r="Q915" s="215"/>
      <c r="R915" s="215"/>
      <c r="S915" s="215"/>
      <c r="T915" s="215"/>
      <c r="U915" s="215"/>
      <c r="V915" s="215"/>
      <c r="W915" s="215"/>
      <c r="X915" s="215"/>
      <c r="Y915" s="215"/>
      <c r="Z915" s="215"/>
      <c r="AA915" s="215"/>
      <c r="AB915" s="218"/>
      <c r="AC915" s="219" t="s">
        <v>605</v>
      </c>
      <c r="AD915" s="644" t="s">
        <v>247</v>
      </c>
      <c r="AE915" s="645">
        <f t="shared" ref="AE915:BK915" si="239">AE558</f>
        <v>9.67</v>
      </c>
      <c r="AF915" s="222">
        <f t="shared" si="239"/>
        <v>9.67</v>
      </c>
      <c r="AG915" s="646">
        <f t="shared" si="239"/>
        <v>10.64</v>
      </c>
      <c r="AH915" s="647">
        <f t="shared" si="239"/>
        <v>0</v>
      </c>
      <c r="AI915" s="222">
        <f t="shared" si="239"/>
        <v>0</v>
      </c>
      <c r="AJ915" s="646">
        <f t="shared" si="239"/>
        <v>0</v>
      </c>
      <c r="AK915" s="645">
        <f t="shared" si="239"/>
        <v>0</v>
      </c>
      <c r="AL915" s="222">
        <f t="shared" si="239"/>
        <v>0</v>
      </c>
      <c r="AM915" s="646">
        <f t="shared" si="239"/>
        <v>0</v>
      </c>
      <c r="AN915" s="645">
        <f t="shared" si="239"/>
        <v>0</v>
      </c>
      <c r="AO915" s="222">
        <f t="shared" si="239"/>
        <v>0</v>
      </c>
      <c r="AP915" s="646">
        <f t="shared" si="239"/>
        <v>0</v>
      </c>
      <c r="AQ915" s="645">
        <f t="shared" si="239"/>
        <v>0</v>
      </c>
      <c r="AR915" s="222">
        <f t="shared" si="239"/>
        <v>0</v>
      </c>
      <c r="AS915" s="646">
        <f t="shared" si="239"/>
        <v>0</v>
      </c>
      <c r="AT915" s="645">
        <f t="shared" si="239"/>
        <v>0</v>
      </c>
      <c r="AU915" s="222">
        <f t="shared" si="239"/>
        <v>0</v>
      </c>
      <c r="AV915" s="646">
        <f t="shared" si="239"/>
        <v>0</v>
      </c>
      <c r="AW915" s="645">
        <f t="shared" si="239"/>
        <v>0</v>
      </c>
      <c r="AX915" s="222">
        <f t="shared" si="239"/>
        <v>0</v>
      </c>
      <c r="AY915" s="646">
        <f t="shared" si="239"/>
        <v>0</v>
      </c>
      <c r="AZ915" s="645">
        <f t="shared" si="239"/>
        <v>0</v>
      </c>
      <c r="BA915" s="222">
        <f t="shared" si="239"/>
        <v>0</v>
      </c>
      <c r="BB915" s="646">
        <f t="shared" si="239"/>
        <v>0</v>
      </c>
      <c r="BC915" s="645">
        <f t="shared" si="239"/>
        <v>0</v>
      </c>
      <c r="BD915" s="222">
        <f t="shared" si="239"/>
        <v>0</v>
      </c>
      <c r="BE915" s="646">
        <f t="shared" si="239"/>
        <v>0</v>
      </c>
      <c r="BF915" s="645">
        <f t="shared" si="239"/>
        <v>0</v>
      </c>
      <c r="BG915" s="222">
        <f t="shared" si="239"/>
        <v>0</v>
      </c>
      <c r="BH915" s="646">
        <f t="shared" si="239"/>
        <v>0</v>
      </c>
      <c r="BI915" s="645">
        <f t="shared" si="239"/>
        <v>0</v>
      </c>
      <c r="BJ915" s="222">
        <f t="shared" si="239"/>
        <v>0</v>
      </c>
      <c r="BK915" s="646">
        <f t="shared" si="239"/>
        <v>0</v>
      </c>
      <c r="BL915" s="229"/>
      <c r="BM915" s="215"/>
      <c r="BN915" s="125">
        <f t="shared" si="224"/>
        <v>9.67</v>
      </c>
      <c r="BO915" s="126">
        <f t="shared" si="225"/>
        <v>9.67</v>
      </c>
      <c r="BP915" s="127">
        <f t="shared" si="226"/>
        <v>10.64</v>
      </c>
    </row>
    <row r="916" spans="1:68" s="230" customFormat="1" ht="17.25" customHeight="1" outlineLevel="5" x14ac:dyDescent="0.25">
      <c r="A916" s="215"/>
      <c r="B916" s="215"/>
      <c r="C916" s="216"/>
      <c r="D916" s="216"/>
      <c r="E916" s="216"/>
      <c r="F916" s="216"/>
      <c r="G916" s="216"/>
      <c r="H916" s="216"/>
      <c r="I916" s="216"/>
      <c r="J916" s="215"/>
      <c r="K916" s="217"/>
      <c r="L916" s="216"/>
      <c r="M916" s="215"/>
      <c r="N916" s="215"/>
      <c r="O916" s="215"/>
      <c r="P916" s="215"/>
      <c r="Q916" s="215"/>
      <c r="R916" s="215"/>
      <c r="S916" s="215"/>
      <c r="T916" s="215"/>
      <c r="U916" s="215"/>
      <c r="V916" s="215"/>
      <c r="W916" s="215"/>
      <c r="X916" s="215"/>
      <c r="Y916" s="215"/>
      <c r="Z916" s="215"/>
      <c r="AA916" s="215"/>
      <c r="AB916" s="218"/>
      <c r="AC916" s="219" t="s">
        <v>606</v>
      </c>
      <c r="AD916" s="644" t="s">
        <v>247</v>
      </c>
      <c r="AE916" s="645">
        <f t="shared" ref="AE916:BK916" si="240">AE559</f>
        <v>18.940000000000001</v>
      </c>
      <c r="AF916" s="222">
        <f t="shared" si="240"/>
        <v>18.940000000000001</v>
      </c>
      <c r="AG916" s="646">
        <f t="shared" si="240"/>
        <v>20.84</v>
      </c>
      <c r="AH916" s="647">
        <f t="shared" si="240"/>
        <v>0</v>
      </c>
      <c r="AI916" s="222">
        <f t="shared" si="240"/>
        <v>0</v>
      </c>
      <c r="AJ916" s="646">
        <f t="shared" si="240"/>
        <v>0</v>
      </c>
      <c r="AK916" s="645">
        <f t="shared" si="240"/>
        <v>0</v>
      </c>
      <c r="AL916" s="222">
        <f t="shared" si="240"/>
        <v>0</v>
      </c>
      <c r="AM916" s="646">
        <f t="shared" si="240"/>
        <v>0</v>
      </c>
      <c r="AN916" s="645">
        <f t="shared" si="240"/>
        <v>0</v>
      </c>
      <c r="AO916" s="222">
        <f t="shared" si="240"/>
        <v>0</v>
      </c>
      <c r="AP916" s="646">
        <f t="shared" si="240"/>
        <v>0</v>
      </c>
      <c r="AQ916" s="645">
        <f t="shared" si="240"/>
        <v>0</v>
      </c>
      <c r="AR916" s="222">
        <f t="shared" si="240"/>
        <v>0</v>
      </c>
      <c r="AS916" s="646">
        <f t="shared" si="240"/>
        <v>0</v>
      </c>
      <c r="AT916" s="645">
        <f t="shared" si="240"/>
        <v>0</v>
      </c>
      <c r="AU916" s="222">
        <f t="shared" si="240"/>
        <v>0</v>
      </c>
      <c r="AV916" s="646">
        <f t="shared" si="240"/>
        <v>0</v>
      </c>
      <c r="AW916" s="645">
        <f t="shared" si="240"/>
        <v>0</v>
      </c>
      <c r="AX916" s="222">
        <f t="shared" si="240"/>
        <v>0</v>
      </c>
      <c r="AY916" s="646">
        <f t="shared" si="240"/>
        <v>0</v>
      </c>
      <c r="AZ916" s="645">
        <f t="shared" si="240"/>
        <v>0</v>
      </c>
      <c r="BA916" s="222">
        <f t="shared" si="240"/>
        <v>0</v>
      </c>
      <c r="BB916" s="646">
        <f t="shared" si="240"/>
        <v>0</v>
      </c>
      <c r="BC916" s="645">
        <f t="shared" si="240"/>
        <v>0</v>
      </c>
      <c r="BD916" s="222">
        <f t="shared" si="240"/>
        <v>0</v>
      </c>
      <c r="BE916" s="646">
        <f t="shared" si="240"/>
        <v>0</v>
      </c>
      <c r="BF916" s="645">
        <f t="shared" si="240"/>
        <v>0</v>
      </c>
      <c r="BG916" s="222">
        <f t="shared" si="240"/>
        <v>0</v>
      </c>
      <c r="BH916" s="646">
        <f t="shared" si="240"/>
        <v>0</v>
      </c>
      <c r="BI916" s="645">
        <f t="shared" si="240"/>
        <v>0</v>
      </c>
      <c r="BJ916" s="222">
        <f t="shared" si="240"/>
        <v>0</v>
      </c>
      <c r="BK916" s="646">
        <f t="shared" si="240"/>
        <v>0</v>
      </c>
      <c r="BL916" s="229"/>
      <c r="BM916" s="215"/>
      <c r="BN916" s="125">
        <f t="shared" si="224"/>
        <v>18.940000000000001</v>
      </c>
      <c r="BO916" s="126">
        <f t="shared" si="225"/>
        <v>18.940000000000001</v>
      </c>
      <c r="BP916" s="127">
        <f t="shared" si="226"/>
        <v>20.84</v>
      </c>
    </row>
    <row r="917" spans="1:68" s="230" customFormat="1" ht="17.25" customHeight="1" outlineLevel="5" x14ac:dyDescent="0.25">
      <c r="A917" s="215"/>
      <c r="B917" s="215"/>
      <c r="C917" s="216"/>
      <c r="D917" s="216"/>
      <c r="E917" s="216"/>
      <c r="F917" s="216"/>
      <c r="G917" s="216"/>
      <c r="H917" s="216"/>
      <c r="I917" s="216"/>
      <c r="J917" s="215"/>
      <c r="K917" s="217"/>
      <c r="L917" s="216"/>
      <c r="M917" s="215"/>
      <c r="N917" s="215"/>
      <c r="O917" s="215"/>
      <c r="P917" s="215"/>
      <c r="Q917" s="215"/>
      <c r="R917" s="215"/>
      <c r="S917" s="215"/>
      <c r="T917" s="215"/>
      <c r="U917" s="215"/>
      <c r="V917" s="215"/>
      <c r="W917" s="215"/>
      <c r="X917" s="215"/>
      <c r="Y917" s="215"/>
      <c r="Z917" s="215"/>
      <c r="AA917" s="215"/>
      <c r="AB917" s="218"/>
      <c r="AC917" s="219" t="s">
        <v>607</v>
      </c>
      <c r="AD917" s="644" t="s">
        <v>247</v>
      </c>
      <c r="AE917" s="645">
        <f t="shared" ref="AE917:BK917" si="241">AE560</f>
        <v>131.88999999999999</v>
      </c>
      <c r="AF917" s="222">
        <f t="shared" si="241"/>
        <v>131.88999999999999</v>
      </c>
      <c r="AG917" s="646">
        <f t="shared" si="241"/>
        <v>145.12</v>
      </c>
      <c r="AH917" s="647">
        <f t="shared" si="241"/>
        <v>0</v>
      </c>
      <c r="AI917" s="222">
        <f t="shared" si="241"/>
        <v>0</v>
      </c>
      <c r="AJ917" s="646">
        <f t="shared" si="241"/>
        <v>0</v>
      </c>
      <c r="AK917" s="645">
        <f t="shared" si="241"/>
        <v>0</v>
      </c>
      <c r="AL917" s="222">
        <f t="shared" si="241"/>
        <v>0</v>
      </c>
      <c r="AM917" s="646">
        <f t="shared" si="241"/>
        <v>0</v>
      </c>
      <c r="AN917" s="645">
        <f t="shared" si="241"/>
        <v>0</v>
      </c>
      <c r="AO917" s="222">
        <f t="shared" si="241"/>
        <v>0</v>
      </c>
      <c r="AP917" s="646">
        <f t="shared" si="241"/>
        <v>0</v>
      </c>
      <c r="AQ917" s="645">
        <f t="shared" si="241"/>
        <v>0</v>
      </c>
      <c r="AR917" s="222">
        <f t="shared" si="241"/>
        <v>0</v>
      </c>
      <c r="AS917" s="646">
        <f t="shared" si="241"/>
        <v>0</v>
      </c>
      <c r="AT917" s="645">
        <f t="shared" si="241"/>
        <v>0</v>
      </c>
      <c r="AU917" s="222">
        <f t="shared" si="241"/>
        <v>0</v>
      </c>
      <c r="AV917" s="646">
        <f t="shared" si="241"/>
        <v>0</v>
      </c>
      <c r="AW917" s="645">
        <f t="shared" si="241"/>
        <v>0</v>
      </c>
      <c r="AX917" s="222">
        <f t="shared" si="241"/>
        <v>0</v>
      </c>
      <c r="AY917" s="646">
        <f t="shared" si="241"/>
        <v>0</v>
      </c>
      <c r="AZ917" s="645">
        <f t="shared" si="241"/>
        <v>0</v>
      </c>
      <c r="BA917" s="222">
        <f t="shared" si="241"/>
        <v>0</v>
      </c>
      <c r="BB917" s="646">
        <f t="shared" si="241"/>
        <v>0</v>
      </c>
      <c r="BC917" s="645">
        <f t="shared" si="241"/>
        <v>0</v>
      </c>
      <c r="BD917" s="222">
        <f t="shared" si="241"/>
        <v>0</v>
      </c>
      <c r="BE917" s="646">
        <f t="shared" si="241"/>
        <v>0</v>
      </c>
      <c r="BF917" s="645">
        <f t="shared" si="241"/>
        <v>0</v>
      </c>
      <c r="BG917" s="222">
        <f t="shared" si="241"/>
        <v>0</v>
      </c>
      <c r="BH917" s="646">
        <f t="shared" si="241"/>
        <v>0</v>
      </c>
      <c r="BI917" s="645">
        <f t="shared" si="241"/>
        <v>0</v>
      </c>
      <c r="BJ917" s="222">
        <f t="shared" si="241"/>
        <v>0</v>
      </c>
      <c r="BK917" s="646">
        <f t="shared" si="241"/>
        <v>0</v>
      </c>
      <c r="BL917" s="229"/>
      <c r="BM917" s="215"/>
      <c r="BN917" s="125">
        <f t="shared" si="224"/>
        <v>131.88999999999999</v>
      </c>
      <c r="BO917" s="126">
        <f t="shared" si="225"/>
        <v>131.88999999999999</v>
      </c>
      <c r="BP917" s="127">
        <f t="shared" si="226"/>
        <v>145.12</v>
      </c>
    </row>
    <row r="918" spans="1:68" s="230" customFormat="1" ht="17.25" customHeight="1" outlineLevel="5" x14ac:dyDescent="0.25">
      <c r="A918" s="215"/>
      <c r="B918" s="215"/>
      <c r="C918" s="216"/>
      <c r="D918" s="216"/>
      <c r="E918" s="216"/>
      <c r="F918" s="216"/>
      <c r="G918" s="216"/>
      <c r="H918" s="216"/>
      <c r="I918" s="216"/>
      <c r="J918" s="215"/>
      <c r="K918" s="217"/>
      <c r="L918" s="216"/>
      <c r="M918" s="215"/>
      <c r="N918" s="215"/>
      <c r="O918" s="215"/>
      <c r="P918" s="215"/>
      <c r="Q918" s="215"/>
      <c r="R918" s="215"/>
      <c r="S918" s="215"/>
      <c r="T918" s="215"/>
      <c r="U918" s="215"/>
      <c r="V918" s="215"/>
      <c r="W918" s="215"/>
      <c r="X918" s="215"/>
      <c r="Y918" s="215"/>
      <c r="Z918" s="215"/>
      <c r="AA918" s="215"/>
      <c r="AB918" s="218"/>
      <c r="AC918" s="219" t="s">
        <v>608</v>
      </c>
      <c r="AD918" s="644" t="s">
        <v>247</v>
      </c>
      <c r="AE918" s="645">
        <f t="shared" ref="AE918:BK918" si="242">AE561</f>
        <v>539.54999999999995</v>
      </c>
      <c r="AF918" s="222">
        <f t="shared" si="242"/>
        <v>539.54999999999995</v>
      </c>
      <c r="AG918" s="646">
        <f t="shared" si="242"/>
        <v>593.67999999999995</v>
      </c>
      <c r="AH918" s="647">
        <f t="shared" si="242"/>
        <v>0</v>
      </c>
      <c r="AI918" s="222">
        <f t="shared" si="242"/>
        <v>0</v>
      </c>
      <c r="AJ918" s="646">
        <f t="shared" si="242"/>
        <v>0</v>
      </c>
      <c r="AK918" s="645">
        <f t="shared" si="242"/>
        <v>0</v>
      </c>
      <c r="AL918" s="222">
        <f t="shared" si="242"/>
        <v>0</v>
      </c>
      <c r="AM918" s="646">
        <f t="shared" si="242"/>
        <v>0</v>
      </c>
      <c r="AN918" s="645">
        <f t="shared" si="242"/>
        <v>0</v>
      </c>
      <c r="AO918" s="222">
        <f t="shared" si="242"/>
        <v>0</v>
      </c>
      <c r="AP918" s="646">
        <f t="shared" si="242"/>
        <v>0</v>
      </c>
      <c r="AQ918" s="645">
        <f t="shared" si="242"/>
        <v>0</v>
      </c>
      <c r="AR918" s="222">
        <f t="shared" si="242"/>
        <v>0</v>
      </c>
      <c r="AS918" s="646">
        <f t="shared" si="242"/>
        <v>0</v>
      </c>
      <c r="AT918" s="645">
        <f t="shared" si="242"/>
        <v>0</v>
      </c>
      <c r="AU918" s="222">
        <f t="shared" si="242"/>
        <v>0</v>
      </c>
      <c r="AV918" s="646">
        <f t="shared" si="242"/>
        <v>0</v>
      </c>
      <c r="AW918" s="645">
        <f t="shared" si="242"/>
        <v>0</v>
      </c>
      <c r="AX918" s="222">
        <f t="shared" si="242"/>
        <v>0</v>
      </c>
      <c r="AY918" s="646">
        <f t="shared" si="242"/>
        <v>0</v>
      </c>
      <c r="AZ918" s="645">
        <f t="shared" si="242"/>
        <v>0</v>
      </c>
      <c r="BA918" s="222">
        <f t="shared" si="242"/>
        <v>0</v>
      </c>
      <c r="BB918" s="646">
        <f t="shared" si="242"/>
        <v>0</v>
      </c>
      <c r="BC918" s="645">
        <f t="shared" si="242"/>
        <v>0</v>
      </c>
      <c r="BD918" s="222">
        <f t="shared" si="242"/>
        <v>0</v>
      </c>
      <c r="BE918" s="646">
        <f t="shared" si="242"/>
        <v>0</v>
      </c>
      <c r="BF918" s="645">
        <f t="shared" si="242"/>
        <v>0</v>
      </c>
      <c r="BG918" s="222">
        <f t="shared" si="242"/>
        <v>0</v>
      </c>
      <c r="BH918" s="646">
        <f t="shared" si="242"/>
        <v>0</v>
      </c>
      <c r="BI918" s="645">
        <f t="shared" si="242"/>
        <v>0</v>
      </c>
      <c r="BJ918" s="222">
        <f t="shared" si="242"/>
        <v>0</v>
      </c>
      <c r="BK918" s="646">
        <f t="shared" si="242"/>
        <v>0</v>
      </c>
      <c r="BL918" s="229"/>
      <c r="BM918" s="215"/>
      <c r="BN918" s="125">
        <f t="shared" si="224"/>
        <v>539.54999999999995</v>
      </c>
      <c r="BO918" s="126">
        <f t="shared" si="225"/>
        <v>539.54999999999995</v>
      </c>
      <c r="BP918" s="127">
        <f t="shared" si="226"/>
        <v>593.67999999999995</v>
      </c>
    </row>
    <row r="919" spans="1:68" s="230" customFormat="1" ht="17.25" customHeight="1" outlineLevel="5" x14ac:dyDescent="0.25">
      <c r="A919" s="215"/>
      <c r="B919" s="215"/>
      <c r="C919" s="216"/>
      <c r="D919" s="216"/>
      <c r="E919" s="216"/>
      <c r="F919" s="216"/>
      <c r="G919" s="216"/>
      <c r="H919" s="216"/>
      <c r="I919" s="216"/>
      <c r="J919" s="215"/>
      <c r="K919" s="217"/>
      <c r="L919" s="216"/>
      <c r="M919" s="215"/>
      <c r="N919" s="215"/>
      <c r="O919" s="215"/>
      <c r="P919" s="215"/>
      <c r="Q919" s="215"/>
      <c r="R919" s="215"/>
      <c r="S919" s="215"/>
      <c r="T919" s="215"/>
      <c r="U919" s="215"/>
      <c r="V919" s="215"/>
      <c r="W919" s="215"/>
      <c r="X919" s="215"/>
      <c r="Y919" s="215"/>
      <c r="Z919" s="215"/>
      <c r="AA919" s="215"/>
      <c r="AB919" s="218"/>
      <c r="AC919" s="219" t="s">
        <v>609</v>
      </c>
      <c r="AD919" s="644" t="s">
        <v>247</v>
      </c>
      <c r="AE919" s="645">
        <f t="shared" ref="AE919:BK919" si="243">AE562</f>
        <v>1197.77</v>
      </c>
      <c r="AF919" s="222">
        <f t="shared" si="243"/>
        <v>1197.77</v>
      </c>
      <c r="AG919" s="646">
        <f t="shared" si="243"/>
        <v>1317.93</v>
      </c>
      <c r="AH919" s="647">
        <f t="shared" si="243"/>
        <v>0</v>
      </c>
      <c r="AI919" s="222">
        <f t="shared" si="243"/>
        <v>0</v>
      </c>
      <c r="AJ919" s="646">
        <f t="shared" si="243"/>
        <v>0</v>
      </c>
      <c r="AK919" s="645">
        <f t="shared" si="243"/>
        <v>0</v>
      </c>
      <c r="AL919" s="222">
        <f t="shared" si="243"/>
        <v>0</v>
      </c>
      <c r="AM919" s="646">
        <f t="shared" si="243"/>
        <v>0</v>
      </c>
      <c r="AN919" s="645">
        <f t="shared" si="243"/>
        <v>0</v>
      </c>
      <c r="AO919" s="222">
        <f t="shared" si="243"/>
        <v>0</v>
      </c>
      <c r="AP919" s="646">
        <f t="shared" si="243"/>
        <v>0</v>
      </c>
      <c r="AQ919" s="645">
        <f t="shared" si="243"/>
        <v>0</v>
      </c>
      <c r="AR919" s="222">
        <f t="shared" si="243"/>
        <v>0</v>
      </c>
      <c r="AS919" s="646">
        <f t="shared" si="243"/>
        <v>0</v>
      </c>
      <c r="AT919" s="645">
        <f t="shared" si="243"/>
        <v>0</v>
      </c>
      <c r="AU919" s="222">
        <f t="shared" si="243"/>
        <v>0</v>
      </c>
      <c r="AV919" s="646">
        <f t="shared" si="243"/>
        <v>0</v>
      </c>
      <c r="AW919" s="645">
        <f t="shared" si="243"/>
        <v>0</v>
      </c>
      <c r="AX919" s="222">
        <f t="shared" si="243"/>
        <v>0</v>
      </c>
      <c r="AY919" s="646">
        <f t="shared" si="243"/>
        <v>0</v>
      </c>
      <c r="AZ919" s="645">
        <f t="shared" si="243"/>
        <v>0</v>
      </c>
      <c r="BA919" s="222">
        <f t="shared" si="243"/>
        <v>0</v>
      </c>
      <c r="BB919" s="646">
        <f t="shared" si="243"/>
        <v>0</v>
      </c>
      <c r="BC919" s="645">
        <f t="shared" si="243"/>
        <v>0</v>
      </c>
      <c r="BD919" s="222">
        <f t="shared" si="243"/>
        <v>0</v>
      </c>
      <c r="BE919" s="646">
        <f t="shared" si="243"/>
        <v>0</v>
      </c>
      <c r="BF919" s="645">
        <f t="shared" si="243"/>
        <v>0</v>
      </c>
      <c r="BG919" s="222">
        <f t="shared" si="243"/>
        <v>0</v>
      </c>
      <c r="BH919" s="646">
        <f t="shared" si="243"/>
        <v>0</v>
      </c>
      <c r="BI919" s="645">
        <f t="shared" si="243"/>
        <v>0</v>
      </c>
      <c r="BJ919" s="222">
        <f t="shared" si="243"/>
        <v>0</v>
      </c>
      <c r="BK919" s="646">
        <f t="shared" si="243"/>
        <v>0</v>
      </c>
      <c r="BL919" s="229"/>
      <c r="BM919" s="215"/>
      <c r="BN919" s="125">
        <f t="shared" si="224"/>
        <v>1197.77</v>
      </c>
      <c r="BO919" s="126">
        <f t="shared" si="225"/>
        <v>1197.77</v>
      </c>
      <c r="BP919" s="127">
        <f t="shared" si="226"/>
        <v>1317.93</v>
      </c>
    </row>
    <row r="920" spans="1:68" s="214" customFormat="1" ht="23.25" customHeight="1" outlineLevel="4" x14ac:dyDescent="0.25">
      <c r="A920" s="10" t="b">
        <f>SETTING_OTHER_STRAIGHT="да"</f>
        <v>1</v>
      </c>
      <c r="B920" s="5"/>
      <c r="C920" s="10" t="s">
        <v>83</v>
      </c>
      <c r="D920" s="10" t="s">
        <v>84</v>
      </c>
      <c r="E920" s="10" t="s">
        <v>73</v>
      </c>
      <c r="F920" s="10" t="s">
        <v>74</v>
      </c>
      <c r="G920" s="10" t="str">
        <f>IF('[1]Общие настройки'!$M$13="Oracle","Прочие прямые расходы","Другие производственные расходы")</f>
        <v>Другие производственные расходы</v>
      </c>
      <c r="H920" s="10" t="s">
        <v>73</v>
      </c>
      <c r="I920" s="10" t="s">
        <v>73</v>
      </c>
      <c r="J920" s="5"/>
      <c r="K920" s="12" t="s">
        <v>73</v>
      </c>
      <c r="L920" s="10" t="s">
        <v>192</v>
      </c>
      <c r="M920" s="5" t="str">
        <f t="array" ref="M920">Y806</f>
        <v>1ХВС::1.1</v>
      </c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65" t="str">
        <f>AB879&amp;".8"</f>
        <v>3.1.1.1.6.8</v>
      </c>
      <c r="AC920" s="231" t="s">
        <v>266</v>
      </c>
      <c r="AD920" s="370" t="s">
        <v>111</v>
      </c>
      <c r="AE920" s="175">
        <f t="shared" ref="AE920:BK920" si="244">SUM(AE921:AE972)</f>
        <v>114588.78000000001</v>
      </c>
      <c r="AF920" s="73">
        <f t="shared" si="244"/>
        <v>51619.11</v>
      </c>
      <c r="AG920" s="176">
        <f t="shared" si="244"/>
        <v>110282.11</v>
      </c>
      <c r="AH920" s="443">
        <f t="shared" si="244"/>
        <v>3232.0069999999996</v>
      </c>
      <c r="AI920" s="73">
        <f t="shared" si="244"/>
        <v>1082.32</v>
      </c>
      <c r="AJ920" s="176">
        <f t="shared" si="244"/>
        <v>5557.0279999999993</v>
      </c>
      <c r="AK920" s="175">
        <f t="shared" si="244"/>
        <v>2763.4399999999996</v>
      </c>
      <c r="AL920" s="73">
        <f t="shared" si="244"/>
        <v>1956.08</v>
      </c>
      <c r="AM920" s="176">
        <f t="shared" si="244"/>
        <v>5110.43</v>
      </c>
      <c r="AN920" s="175">
        <f t="shared" si="244"/>
        <v>4264.1299999999992</v>
      </c>
      <c r="AO920" s="73">
        <f t="shared" si="244"/>
        <v>905.87399999999991</v>
      </c>
      <c r="AP920" s="176">
        <f t="shared" si="244"/>
        <v>6103.5700000000006</v>
      </c>
      <c r="AQ920" s="175">
        <f t="shared" si="244"/>
        <v>2379.5700000000002</v>
      </c>
      <c r="AR920" s="73">
        <f t="shared" si="244"/>
        <v>1.72</v>
      </c>
      <c r="AS920" s="176">
        <f t="shared" si="244"/>
        <v>4239.05</v>
      </c>
      <c r="AT920" s="175">
        <f t="shared" si="244"/>
        <v>2685.2499999999995</v>
      </c>
      <c r="AU920" s="73">
        <f t="shared" si="244"/>
        <v>0</v>
      </c>
      <c r="AV920" s="176">
        <f t="shared" si="244"/>
        <v>4768.67</v>
      </c>
      <c r="AW920" s="175">
        <f t="shared" si="244"/>
        <v>8755.6820000000007</v>
      </c>
      <c r="AX920" s="73">
        <f t="shared" si="244"/>
        <v>0</v>
      </c>
      <c r="AY920" s="176">
        <f t="shared" si="244"/>
        <v>12230.085000000003</v>
      </c>
      <c r="AZ920" s="175">
        <f t="shared" si="244"/>
        <v>16635.566000000003</v>
      </c>
      <c r="BA920" s="73">
        <f t="shared" si="244"/>
        <v>2223.7799999999997</v>
      </c>
      <c r="BB920" s="176">
        <f t="shared" si="244"/>
        <v>16872.017</v>
      </c>
      <c r="BC920" s="175">
        <f t="shared" si="244"/>
        <v>17007.47</v>
      </c>
      <c r="BD920" s="73">
        <f t="shared" si="244"/>
        <v>112.92999999999999</v>
      </c>
      <c r="BE920" s="176">
        <f t="shared" si="244"/>
        <v>19395.86</v>
      </c>
      <c r="BF920" s="175">
        <f t="shared" si="244"/>
        <v>5139.4880000000003</v>
      </c>
      <c r="BG920" s="73">
        <f t="shared" si="244"/>
        <v>940.88</v>
      </c>
      <c r="BH920" s="176">
        <f t="shared" si="244"/>
        <v>6528.0550000000003</v>
      </c>
      <c r="BI920" s="175">
        <f t="shared" si="244"/>
        <v>3034.42</v>
      </c>
      <c r="BJ920" s="73">
        <f t="shared" si="244"/>
        <v>2409.88</v>
      </c>
      <c r="BK920" s="176">
        <f t="shared" si="244"/>
        <v>4948.96</v>
      </c>
      <c r="BL920" s="6"/>
      <c r="BM920" s="5"/>
      <c r="BN920" s="125">
        <f t="shared" si="224"/>
        <v>180485.80300000004</v>
      </c>
      <c r="BO920" s="126">
        <f t="shared" si="225"/>
        <v>61252.574000000001</v>
      </c>
      <c r="BP920" s="127">
        <f t="shared" si="226"/>
        <v>196035.83499999999</v>
      </c>
    </row>
    <row r="921" spans="1:68" s="230" customFormat="1" ht="19.5" customHeight="1" outlineLevel="5" x14ac:dyDescent="0.25">
      <c r="A921" s="216"/>
      <c r="B921" s="215"/>
      <c r="C921" s="216"/>
      <c r="D921" s="216"/>
      <c r="E921" s="216"/>
      <c r="F921" s="216"/>
      <c r="G921" s="216"/>
      <c r="H921" s="216"/>
      <c r="I921" s="216"/>
      <c r="J921" s="215"/>
      <c r="K921" s="217"/>
      <c r="L921" s="216"/>
      <c r="M921" s="215"/>
      <c r="N921" s="215"/>
      <c r="O921" s="215"/>
      <c r="P921" s="215"/>
      <c r="Q921" s="215"/>
      <c r="R921" s="215"/>
      <c r="S921" s="215"/>
      <c r="T921" s="215"/>
      <c r="U921" s="215"/>
      <c r="V921" s="215"/>
      <c r="W921" s="215"/>
      <c r="X921" s="215"/>
      <c r="Y921" s="215"/>
      <c r="Z921" s="215"/>
      <c r="AA921" s="215"/>
      <c r="AB921" s="232"/>
      <c r="AC921" s="219" t="s">
        <v>267</v>
      </c>
      <c r="AD921" s="644" t="s">
        <v>247</v>
      </c>
      <c r="AE921" s="645">
        <f t="shared" ref="AE921:AJ921" si="245">AE197+AE572+AE568</f>
        <v>1058.1199999999999</v>
      </c>
      <c r="AF921" s="222">
        <f t="shared" si="245"/>
        <v>233.85</v>
      </c>
      <c r="AG921" s="646">
        <f t="shared" si="245"/>
        <v>5597.58</v>
      </c>
      <c r="AH921" s="647">
        <f t="shared" si="245"/>
        <v>23.14</v>
      </c>
      <c r="AI921" s="222">
        <f t="shared" si="245"/>
        <v>0</v>
      </c>
      <c r="AJ921" s="646">
        <f t="shared" si="245"/>
        <v>40.090000000000003</v>
      </c>
      <c r="AK921" s="645">
        <f>AK197+AK572+AK568+0.01</f>
        <v>36.019999999999996</v>
      </c>
      <c r="AL921" s="222">
        <f t="shared" ref="AL921:BB921" si="246">AL197+AL572+AL568</f>
        <v>35</v>
      </c>
      <c r="AM921" s="646">
        <f t="shared" si="246"/>
        <v>114.48</v>
      </c>
      <c r="AN921" s="645">
        <f t="shared" si="246"/>
        <v>81.510000000000005</v>
      </c>
      <c r="AO921" s="222">
        <f t="shared" si="246"/>
        <v>160.4</v>
      </c>
      <c r="AP921" s="646">
        <f t="shared" si="246"/>
        <v>134.72</v>
      </c>
      <c r="AQ921" s="645">
        <f t="shared" si="246"/>
        <v>77.28</v>
      </c>
      <c r="AR921" s="222">
        <f t="shared" si="246"/>
        <v>0</v>
      </c>
      <c r="AS921" s="646">
        <f t="shared" si="246"/>
        <v>112.75</v>
      </c>
      <c r="AT921" s="645">
        <f t="shared" si="246"/>
        <v>89.31</v>
      </c>
      <c r="AU921" s="222">
        <f t="shared" si="246"/>
        <v>0</v>
      </c>
      <c r="AV921" s="646">
        <f t="shared" si="246"/>
        <v>179.18</v>
      </c>
      <c r="AW921" s="645">
        <f t="shared" si="246"/>
        <v>393.86599999999999</v>
      </c>
      <c r="AX921" s="222">
        <f t="shared" si="246"/>
        <v>0</v>
      </c>
      <c r="AY921" s="646">
        <f t="shared" si="246"/>
        <v>573.42099999999994</v>
      </c>
      <c r="AZ921" s="645">
        <f t="shared" si="246"/>
        <v>0</v>
      </c>
      <c r="BA921" s="222">
        <f t="shared" si="246"/>
        <v>1086.58</v>
      </c>
      <c r="BB921" s="646">
        <f t="shared" si="246"/>
        <v>197.78299999999999</v>
      </c>
      <c r="BC921" s="645">
        <f>BC197+BC572+BC568+0.01</f>
        <v>268.81</v>
      </c>
      <c r="BD921" s="222">
        <f t="shared" ref="BD921:BK921" si="247">BD197+BD572+BD568</f>
        <v>0</v>
      </c>
      <c r="BE921" s="646">
        <f t="shared" si="247"/>
        <v>397.97</v>
      </c>
      <c r="BF921" s="645">
        <f t="shared" si="247"/>
        <v>28.63</v>
      </c>
      <c r="BG921" s="222">
        <f t="shared" si="247"/>
        <v>0</v>
      </c>
      <c r="BH921" s="646">
        <f t="shared" si="247"/>
        <v>135.17000000000002</v>
      </c>
      <c r="BI921" s="645">
        <f t="shared" si="247"/>
        <v>30.799999999999997</v>
      </c>
      <c r="BJ921" s="222">
        <f t="shared" si="247"/>
        <v>78.16</v>
      </c>
      <c r="BK921" s="646">
        <f t="shared" si="247"/>
        <v>175.16</v>
      </c>
      <c r="BL921" s="229"/>
      <c r="BM921" s="215"/>
      <c r="BN921" s="125">
        <f t="shared" si="224"/>
        <v>2087.4859999999999</v>
      </c>
      <c r="BO921" s="126">
        <f t="shared" si="225"/>
        <v>1593.99</v>
      </c>
      <c r="BP921" s="127">
        <f t="shared" si="226"/>
        <v>7658.304000000001</v>
      </c>
    </row>
    <row r="922" spans="1:68" s="230" customFormat="1" ht="19.5" customHeight="1" outlineLevel="5" x14ac:dyDescent="0.25">
      <c r="A922" s="216"/>
      <c r="B922" s="215"/>
      <c r="C922" s="216"/>
      <c r="D922" s="216"/>
      <c r="E922" s="216"/>
      <c r="F922" s="216"/>
      <c r="G922" s="216"/>
      <c r="H922" s="216"/>
      <c r="I922" s="216"/>
      <c r="J922" s="215"/>
      <c r="K922" s="217"/>
      <c r="L922" s="216"/>
      <c r="M922" s="215"/>
      <c r="N922" s="215"/>
      <c r="O922" s="215"/>
      <c r="P922" s="215"/>
      <c r="Q922" s="215"/>
      <c r="R922" s="215"/>
      <c r="S922" s="215"/>
      <c r="T922" s="215"/>
      <c r="U922" s="215"/>
      <c r="V922" s="215"/>
      <c r="W922" s="215"/>
      <c r="X922" s="215"/>
      <c r="Y922" s="215"/>
      <c r="Z922" s="215"/>
      <c r="AA922" s="215"/>
      <c r="AB922" s="232"/>
      <c r="AC922" s="219" t="s">
        <v>268</v>
      </c>
      <c r="AD922" s="644" t="s">
        <v>247</v>
      </c>
      <c r="AE922" s="645">
        <f t="shared" ref="AE922:BK922" si="248">AE198+AE564</f>
        <v>8849.57</v>
      </c>
      <c r="AF922" s="222">
        <f t="shared" si="248"/>
        <v>13254.47</v>
      </c>
      <c r="AG922" s="646">
        <f t="shared" si="248"/>
        <v>9947</v>
      </c>
      <c r="AH922" s="647">
        <f t="shared" si="248"/>
        <v>94.52</v>
      </c>
      <c r="AI922" s="222">
        <f t="shared" si="248"/>
        <v>0</v>
      </c>
      <c r="AJ922" s="646">
        <f t="shared" si="248"/>
        <v>101.26</v>
      </c>
      <c r="AK922" s="645">
        <f t="shared" si="248"/>
        <v>235.81</v>
      </c>
      <c r="AL922" s="222">
        <f t="shared" si="248"/>
        <v>126.28</v>
      </c>
      <c r="AM922" s="646">
        <f t="shared" si="248"/>
        <v>259.47000000000003</v>
      </c>
      <c r="AN922" s="645">
        <f t="shared" si="248"/>
        <v>301.34999999999997</v>
      </c>
      <c r="AO922" s="222">
        <f t="shared" si="248"/>
        <v>0</v>
      </c>
      <c r="AP922" s="646">
        <f t="shared" si="248"/>
        <v>600.73</v>
      </c>
      <c r="AQ922" s="645">
        <f t="shared" si="248"/>
        <v>51.87</v>
      </c>
      <c r="AR922" s="222">
        <f t="shared" si="248"/>
        <v>0</v>
      </c>
      <c r="AS922" s="646">
        <f t="shared" si="248"/>
        <v>57.069999999999993</v>
      </c>
      <c r="AT922" s="645">
        <f t="shared" si="248"/>
        <v>215.06</v>
      </c>
      <c r="AU922" s="222">
        <f t="shared" si="248"/>
        <v>0</v>
      </c>
      <c r="AV922" s="646">
        <f t="shared" si="248"/>
        <v>236.63</v>
      </c>
      <c r="AW922" s="645">
        <f t="shared" si="248"/>
        <v>148.678</v>
      </c>
      <c r="AX922" s="222">
        <f t="shared" si="248"/>
        <v>0</v>
      </c>
      <c r="AY922" s="646">
        <f t="shared" si="248"/>
        <v>743.14599999999996</v>
      </c>
      <c r="AZ922" s="645">
        <f t="shared" si="248"/>
        <v>1171.973</v>
      </c>
      <c r="BA922" s="222">
        <f t="shared" si="248"/>
        <v>825.78</v>
      </c>
      <c r="BB922" s="646">
        <f t="shared" si="248"/>
        <v>1651.558</v>
      </c>
      <c r="BC922" s="645">
        <f t="shared" si="248"/>
        <v>538.24</v>
      </c>
      <c r="BD922" s="222">
        <f t="shared" si="248"/>
        <v>0</v>
      </c>
      <c r="BE922" s="646">
        <f t="shared" si="248"/>
        <v>889.64</v>
      </c>
      <c r="BF922" s="645">
        <f t="shared" si="248"/>
        <v>176.63</v>
      </c>
      <c r="BG922" s="222">
        <f t="shared" si="248"/>
        <v>17.72</v>
      </c>
      <c r="BH922" s="646">
        <f t="shared" si="248"/>
        <v>253.29000000000002</v>
      </c>
      <c r="BI922" s="645">
        <f t="shared" si="248"/>
        <v>299.07</v>
      </c>
      <c r="BJ922" s="222">
        <f t="shared" si="248"/>
        <v>187.54</v>
      </c>
      <c r="BK922" s="646">
        <f t="shared" si="248"/>
        <v>715.03</v>
      </c>
      <c r="BL922" s="229"/>
      <c r="BM922" s="215"/>
      <c r="BN922" s="125">
        <f t="shared" si="224"/>
        <v>12082.770999999999</v>
      </c>
      <c r="BO922" s="126">
        <f t="shared" si="225"/>
        <v>14411.79</v>
      </c>
      <c r="BP922" s="127">
        <f t="shared" si="226"/>
        <v>15454.823999999999</v>
      </c>
    </row>
    <row r="923" spans="1:68" s="230" customFormat="1" ht="19.5" customHeight="1" outlineLevel="5" x14ac:dyDescent="0.25">
      <c r="A923" s="216"/>
      <c r="B923" s="215"/>
      <c r="C923" s="216"/>
      <c r="D923" s="216"/>
      <c r="E923" s="216"/>
      <c r="F923" s="216"/>
      <c r="G923" s="216"/>
      <c r="H923" s="216"/>
      <c r="I923" s="216"/>
      <c r="J923" s="215"/>
      <c r="K923" s="217"/>
      <c r="L923" s="216"/>
      <c r="M923" s="215"/>
      <c r="N923" s="215"/>
      <c r="O923" s="215"/>
      <c r="P923" s="215"/>
      <c r="Q923" s="215"/>
      <c r="R923" s="215"/>
      <c r="S923" s="215"/>
      <c r="T923" s="215"/>
      <c r="U923" s="215"/>
      <c r="V923" s="215"/>
      <c r="W923" s="215"/>
      <c r="X923" s="215"/>
      <c r="Y923" s="215"/>
      <c r="Z923" s="215"/>
      <c r="AA923" s="215"/>
      <c r="AB923" s="232"/>
      <c r="AC923" s="219" t="s">
        <v>269</v>
      </c>
      <c r="AD923" s="644" t="s">
        <v>247</v>
      </c>
      <c r="AE923" s="645">
        <f t="shared" ref="AE923:BK923" si="249">AE199</f>
        <v>0</v>
      </c>
      <c r="AF923" s="222">
        <f t="shared" si="249"/>
        <v>0</v>
      </c>
      <c r="AG923" s="646">
        <f t="shared" si="249"/>
        <v>0</v>
      </c>
      <c r="AH923" s="647">
        <f t="shared" si="249"/>
        <v>0</v>
      </c>
      <c r="AI923" s="222">
        <f t="shared" si="249"/>
        <v>0</v>
      </c>
      <c r="AJ923" s="646">
        <f t="shared" si="249"/>
        <v>0</v>
      </c>
      <c r="AK923" s="645">
        <f t="shared" si="249"/>
        <v>0</v>
      </c>
      <c r="AL923" s="222">
        <f t="shared" si="249"/>
        <v>0</v>
      </c>
      <c r="AM923" s="646">
        <f t="shared" si="249"/>
        <v>0</v>
      </c>
      <c r="AN923" s="645">
        <f t="shared" si="249"/>
        <v>0</v>
      </c>
      <c r="AO923" s="222">
        <f t="shared" si="249"/>
        <v>12.45</v>
      </c>
      <c r="AP923" s="646">
        <f t="shared" si="249"/>
        <v>0</v>
      </c>
      <c r="AQ923" s="645">
        <f t="shared" si="249"/>
        <v>0</v>
      </c>
      <c r="AR923" s="222">
        <f t="shared" si="249"/>
        <v>0</v>
      </c>
      <c r="AS923" s="646">
        <f t="shared" si="249"/>
        <v>0</v>
      </c>
      <c r="AT923" s="645">
        <f t="shared" si="249"/>
        <v>0</v>
      </c>
      <c r="AU923" s="222">
        <f t="shared" si="249"/>
        <v>0</v>
      </c>
      <c r="AV923" s="646">
        <f t="shared" si="249"/>
        <v>0</v>
      </c>
      <c r="AW923" s="645">
        <f t="shared" si="249"/>
        <v>19.260000000000002</v>
      </c>
      <c r="AX923" s="222">
        <f t="shared" si="249"/>
        <v>0</v>
      </c>
      <c r="AY923" s="646">
        <f t="shared" si="249"/>
        <v>21.192</v>
      </c>
      <c r="AZ923" s="645">
        <f t="shared" si="249"/>
        <v>9.6300000000000008</v>
      </c>
      <c r="BA923" s="222">
        <f t="shared" si="249"/>
        <v>0</v>
      </c>
      <c r="BB923" s="646">
        <f t="shared" si="249"/>
        <v>10.596</v>
      </c>
      <c r="BC923" s="645">
        <f t="shared" si="249"/>
        <v>0</v>
      </c>
      <c r="BD923" s="222">
        <f t="shared" si="249"/>
        <v>0</v>
      </c>
      <c r="BE923" s="646">
        <f t="shared" si="249"/>
        <v>0</v>
      </c>
      <c r="BF923" s="645">
        <f t="shared" si="249"/>
        <v>9.6300000000000008</v>
      </c>
      <c r="BG923" s="222">
        <f t="shared" si="249"/>
        <v>1.1299999999999999</v>
      </c>
      <c r="BH923" s="646">
        <f t="shared" si="249"/>
        <v>10.6</v>
      </c>
      <c r="BI923" s="645">
        <f t="shared" si="249"/>
        <v>0</v>
      </c>
      <c r="BJ923" s="222">
        <f t="shared" si="249"/>
        <v>0</v>
      </c>
      <c r="BK923" s="646">
        <f t="shared" si="249"/>
        <v>0</v>
      </c>
      <c r="BL923" s="229"/>
      <c r="BM923" s="215"/>
      <c r="BN923" s="125">
        <f t="shared" si="224"/>
        <v>38.520000000000003</v>
      </c>
      <c r="BO923" s="126">
        <f t="shared" si="225"/>
        <v>13.579999999999998</v>
      </c>
      <c r="BP923" s="127">
        <f t="shared" si="226"/>
        <v>42.387999999999998</v>
      </c>
    </row>
    <row r="924" spans="1:68" s="230" customFormat="1" ht="19.5" customHeight="1" outlineLevel="5" x14ac:dyDescent="0.25">
      <c r="A924" s="216"/>
      <c r="B924" s="215"/>
      <c r="C924" s="216"/>
      <c r="D924" s="216"/>
      <c r="E924" s="216"/>
      <c r="F924" s="216"/>
      <c r="G924" s="216"/>
      <c r="H924" s="216"/>
      <c r="I924" s="216"/>
      <c r="J924" s="215"/>
      <c r="K924" s="217"/>
      <c r="L924" s="216"/>
      <c r="M924" s="215"/>
      <c r="N924" s="215"/>
      <c r="O924" s="215"/>
      <c r="P924" s="215"/>
      <c r="Q924" s="215"/>
      <c r="R924" s="215"/>
      <c r="S924" s="215"/>
      <c r="T924" s="215"/>
      <c r="U924" s="215"/>
      <c r="V924" s="215"/>
      <c r="W924" s="215"/>
      <c r="X924" s="215"/>
      <c r="Y924" s="215"/>
      <c r="Z924" s="215"/>
      <c r="AA924" s="215"/>
      <c r="AB924" s="232"/>
      <c r="AC924" s="219" t="s">
        <v>270</v>
      </c>
      <c r="AD924" s="644" t="s">
        <v>247</v>
      </c>
      <c r="AE924" s="645">
        <f t="shared" ref="AE924:BK924" si="250">AE200</f>
        <v>721.72</v>
      </c>
      <c r="AF924" s="222">
        <f t="shared" si="250"/>
        <v>580</v>
      </c>
      <c r="AG924" s="646">
        <f t="shared" si="250"/>
        <v>780.61</v>
      </c>
      <c r="AH924" s="647">
        <f t="shared" si="250"/>
        <v>0</v>
      </c>
      <c r="AI924" s="222">
        <f t="shared" si="250"/>
        <v>0</v>
      </c>
      <c r="AJ924" s="646">
        <f t="shared" si="250"/>
        <v>0</v>
      </c>
      <c r="AK924" s="645">
        <f t="shared" si="250"/>
        <v>0</v>
      </c>
      <c r="AL924" s="222">
        <f t="shared" si="250"/>
        <v>0</v>
      </c>
      <c r="AM924" s="646">
        <f t="shared" si="250"/>
        <v>0</v>
      </c>
      <c r="AN924" s="645">
        <f t="shared" si="250"/>
        <v>0</v>
      </c>
      <c r="AO924" s="222">
        <f t="shared" si="250"/>
        <v>0</v>
      </c>
      <c r="AP924" s="646">
        <f t="shared" si="250"/>
        <v>0</v>
      </c>
      <c r="AQ924" s="645">
        <f t="shared" si="250"/>
        <v>0</v>
      </c>
      <c r="AR924" s="222">
        <f t="shared" si="250"/>
        <v>0</v>
      </c>
      <c r="AS924" s="646">
        <f t="shared" si="250"/>
        <v>0</v>
      </c>
      <c r="AT924" s="645">
        <f t="shared" si="250"/>
        <v>0</v>
      </c>
      <c r="AU924" s="222">
        <f t="shared" si="250"/>
        <v>0</v>
      </c>
      <c r="AV924" s="646">
        <f t="shared" si="250"/>
        <v>0</v>
      </c>
      <c r="AW924" s="645">
        <f t="shared" si="250"/>
        <v>0</v>
      </c>
      <c r="AX924" s="222">
        <f t="shared" si="250"/>
        <v>0</v>
      </c>
      <c r="AY924" s="646">
        <f t="shared" si="250"/>
        <v>0</v>
      </c>
      <c r="AZ924" s="645">
        <f t="shared" si="250"/>
        <v>0</v>
      </c>
      <c r="BA924" s="222">
        <f t="shared" si="250"/>
        <v>0</v>
      </c>
      <c r="BB924" s="646">
        <f t="shared" si="250"/>
        <v>0</v>
      </c>
      <c r="BC924" s="645">
        <f t="shared" si="250"/>
        <v>0</v>
      </c>
      <c r="BD924" s="222">
        <f t="shared" si="250"/>
        <v>0</v>
      </c>
      <c r="BE924" s="646">
        <f t="shared" si="250"/>
        <v>0</v>
      </c>
      <c r="BF924" s="645">
        <f t="shared" si="250"/>
        <v>0</v>
      </c>
      <c r="BG924" s="222">
        <f t="shared" si="250"/>
        <v>0</v>
      </c>
      <c r="BH924" s="646">
        <f t="shared" si="250"/>
        <v>0</v>
      </c>
      <c r="BI924" s="645">
        <f t="shared" si="250"/>
        <v>0</v>
      </c>
      <c r="BJ924" s="222">
        <f t="shared" si="250"/>
        <v>0</v>
      </c>
      <c r="BK924" s="646">
        <f t="shared" si="250"/>
        <v>0</v>
      </c>
      <c r="BL924" s="229"/>
      <c r="BM924" s="215"/>
      <c r="BN924" s="125">
        <f t="shared" si="224"/>
        <v>721.72</v>
      </c>
      <c r="BO924" s="126">
        <f t="shared" si="225"/>
        <v>580</v>
      </c>
      <c r="BP924" s="127">
        <f t="shared" si="226"/>
        <v>780.61</v>
      </c>
    </row>
    <row r="925" spans="1:68" s="246" customFormat="1" ht="19.5" customHeight="1" outlineLevel="5" x14ac:dyDescent="0.25">
      <c r="A925" s="242"/>
      <c r="B925" s="229"/>
      <c r="C925" s="242"/>
      <c r="D925" s="242"/>
      <c r="E925" s="242"/>
      <c r="F925" s="242"/>
      <c r="G925" s="242"/>
      <c r="H925" s="242"/>
      <c r="I925" s="242"/>
      <c r="J925" s="229"/>
      <c r="K925" s="243"/>
      <c r="L925" s="242"/>
      <c r="M925" s="229"/>
      <c r="N925" s="229"/>
      <c r="O925" s="229"/>
      <c r="P925" s="229"/>
      <c r="Q925" s="229"/>
      <c r="R925" s="229"/>
      <c r="S925" s="229"/>
      <c r="T925" s="229"/>
      <c r="U925" s="229"/>
      <c r="V925" s="229"/>
      <c r="W925" s="229"/>
      <c r="X925" s="229"/>
      <c r="Y925" s="229"/>
      <c r="Z925" s="229"/>
      <c r="AA925" s="229"/>
      <c r="AB925" s="232"/>
      <c r="AC925" s="219" t="s">
        <v>271</v>
      </c>
      <c r="AD925" s="644" t="s">
        <v>247</v>
      </c>
      <c r="AE925" s="645">
        <f t="shared" ref="AE925:BK925" si="251">AE201</f>
        <v>8790.31</v>
      </c>
      <c r="AF925" s="222">
        <f t="shared" si="251"/>
        <v>1020</v>
      </c>
      <c r="AG925" s="646">
        <f t="shared" si="251"/>
        <v>0</v>
      </c>
      <c r="AH925" s="647">
        <f t="shared" si="251"/>
        <v>0</v>
      </c>
      <c r="AI925" s="222">
        <f t="shared" si="251"/>
        <v>0</v>
      </c>
      <c r="AJ925" s="646">
        <f t="shared" si="251"/>
        <v>0</v>
      </c>
      <c r="AK925" s="645">
        <f t="shared" si="251"/>
        <v>0</v>
      </c>
      <c r="AL925" s="222">
        <f t="shared" si="251"/>
        <v>85.82</v>
      </c>
      <c r="AM925" s="646">
        <f t="shared" si="251"/>
        <v>0</v>
      </c>
      <c r="AN925" s="645">
        <f t="shared" si="251"/>
        <v>0</v>
      </c>
      <c r="AO925" s="222">
        <f t="shared" si="251"/>
        <v>21.1</v>
      </c>
      <c r="AP925" s="646">
        <f t="shared" si="251"/>
        <v>0</v>
      </c>
      <c r="AQ925" s="645">
        <f t="shared" si="251"/>
        <v>0</v>
      </c>
      <c r="AR925" s="222">
        <f t="shared" si="251"/>
        <v>0</v>
      </c>
      <c r="AS925" s="646">
        <f t="shared" si="251"/>
        <v>0</v>
      </c>
      <c r="AT925" s="645">
        <f t="shared" si="251"/>
        <v>127.49</v>
      </c>
      <c r="AU925" s="222">
        <f t="shared" si="251"/>
        <v>0</v>
      </c>
      <c r="AV925" s="646">
        <f t="shared" si="251"/>
        <v>140.28</v>
      </c>
      <c r="AW925" s="645">
        <f t="shared" si="251"/>
        <v>130.82599999999999</v>
      </c>
      <c r="AX925" s="222">
        <f t="shared" si="251"/>
        <v>0</v>
      </c>
      <c r="AY925" s="646">
        <f t="shared" si="251"/>
        <v>161.60499999999999</v>
      </c>
      <c r="AZ925" s="645">
        <f t="shared" si="251"/>
        <v>0</v>
      </c>
      <c r="BA925" s="222">
        <f t="shared" si="251"/>
        <v>0</v>
      </c>
      <c r="BB925" s="646">
        <f t="shared" si="251"/>
        <v>0</v>
      </c>
      <c r="BC925" s="645">
        <f t="shared" si="251"/>
        <v>1122.4000000000001</v>
      </c>
      <c r="BD925" s="222">
        <f t="shared" si="251"/>
        <v>0</v>
      </c>
      <c r="BE925" s="646">
        <f t="shared" si="251"/>
        <v>1445.22</v>
      </c>
      <c r="BF925" s="645">
        <f t="shared" si="251"/>
        <v>408.27</v>
      </c>
      <c r="BG925" s="222">
        <f t="shared" si="251"/>
        <v>311.81</v>
      </c>
      <c r="BH925" s="646">
        <f t="shared" si="251"/>
        <v>449.23</v>
      </c>
      <c r="BI925" s="645">
        <f t="shared" si="251"/>
        <v>180.28</v>
      </c>
      <c r="BJ925" s="222">
        <f t="shared" si="251"/>
        <v>0</v>
      </c>
      <c r="BK925" s="646">
        <f t="shared" si="251"/>
        <v>198.36</v>
      </c>
      <c r="BL925" s="229"/>
      <c r="BM925" s="229"/>
      <c r="BN925" s="125">
        <f t="shared" si="224"/>
        <v>10759.575999999999</v>
      </c>
      <c r="BO925" s="126">
        <f t="shared" si="225"/>
        <v>1438.7299999999998</v>
      </c>
      <c r="BP925" s="127">
        <f t="shared" si="226"/>
        <v>2394.6950000000002</v>
      </c>
    </row>
    <row r="926" spans="1:68" s="230" customFormat="1" ht="19.5" customHeight="1" outlineLevel="5" x14ac:dyDescent="0.25">
      <c r="A926" s="216"/>
      <c r="B926" s="215"/>
      <c r="C926" s="216"/>
      <c r="D926" s="216"/>
      <c r="E926" s="216"/>
      <c r="F926" s="216"/>
      <c r="G926" s="216"/>
      <c r="H926" s="216"/>
      <c r="I926" s="216"/>
      <c r="J926" s="215"/>
      <c r="K926" s="217"/>
      <c r="L926" s="216"/>
      <c r="M926" s="215"/>
      <c r="N926" s="215"/>
      <c r="O926" s="215"/>
      <c r="P926" s="215"/>
      <c r="Q926" s="215"/>
      <c r="R926" s="215"/>
      <c r="S926" s="215"/>
      <c r="T926" s="215"/>
      <c r="U926" s="215"/>
      <c r="V926" s="215"/>
      <c r="W926" s="215"/>
      <c r="X926" s="215"/>
      <c r="Y926" s="215"/>
      <c r="Z926" s="215"/>
      <c r="AA926" s="215"/>
      <c r="AB926" s="232"/>
      <c r="AC926" s="219" t="s">
        <v>272</v>
      </c>
      <c r="AD926" s="644" t="s">
        <v>247</v>
      </c>
      <c r="AE926" s="645">
        <f t="shared" ref="AE926:BK926" si="252">AE202</f>
        <v>31.5</v>
      </c>
      <c r="AF926" s="222">
        <f t="shared" si="252"/>
        <v>4.72</v>
      </c>
      <c r="AG926" s="646">
        <f t="shared" si="252"/>
        <v>34.4</v>
      </c>
      <c r="AH926" s="647">
        <f t="shared" si="252"/>
        <v>0</v>
      </c>
      <c r="AI926" s="222">
        <f t="shared" si="252"/>
        <v>0</v>
      </c>
      <c r="AJ926" s="646">
        <f t="shared" si="252"/>
        <v>0</v>
      </c>
      <c r="AK926" s="645">
        <f t="shared" si="252"/>
        <v>0</v>
      </c>
      <c r="AL926" s="222">
        <f t="shared" si="252"/>
        <v>0</v>
      </c>
      <c r="AM926" s="646">
        <f t="shared" si="252"/>
        <v>0</v>
      </c>
      <c r="AN926" s="645">
        <f t="shared" si="252"/>
        <v>0</v>
      </c>
      <c r="AO926" s="222">
        <f t="shared" si="252"/>
        <v>0</v>
      </c>
      <c r="AP926" s="646">
        <f t="shared" si="252"/>
        <v>0</v>
      </c>
      <c r="AQ926" s="645">
        <f t="shared" si="252"/>
        <v>0</v>
      </c>
      <c r="AR926" s="222">
        <f t="shared" si="252"/>
        <v>0</v>
      </c>
      <c r="AS926" s="646">
        <f t="shared" si="252"/>
        <v>0</v>
      </c>
      <c r="AT926" s="645">
        <f t="shared" si="252"/>
        <v>0</v>
      </c>
      <c r="AU926" s="222">
        <f t="shared" si="252"/>
        <v>0</v>
      </c>
      <c r="AV926" s="646">
        <f t="shared" si="252"/>
        <v>0</v>
      </c>
      <c r="AW926" s="645">
        <f t="shared" si="252"/>
        <v>0</v>
      </c>
      <c r="AX926" s="222">
        <f t="shared" si="252"/>
        <v>0</v>
      </c>
      <c r="AY926" s="646">
        <f t="shared" si="252"/>
        <v>0</v>
      </c>
      <c r="AZ926" s="645">
        <f t="shared" si="252"/>
        <v>0</v>
      </c>
      <c r="BA926" s="222">
        <f t="shared" si="252"/>
        <v>0</v>
      </c>
      <c r="BB926" s="646">
        <f t="shared" si="252"/>
        <v>0</v>
      </c>
      <c r="BC926" s="645">
        <f t="shared" si="252"/>
        <v>0</v>
      </c>
      <c r="BD926" s="222">
        <f t="shared" si="252"/>
        <v>0</v>
      </c>
      <c r="BE926" s="646">
        <f t="shared" si="252"/>
        <v>0</v>
      </c>
      <c r="BF926" s="645">
        <f t="shared" si="252"/>
        <v>0</v>
      </c>
      <c r="BG926" s="222">
        <f t="shared" si="252"/>
        <v>0</v>
      </c>
      <c r="BH926" s="646">
        <f t="shared" si="252"/>
        <v>0</v>
      </c>
      <c r="BI926" s="645">
        <f t="shared" si="252"/>
        <v>0</v>
      </c>
      <c r="BJ926" s="222">
        <f t="shared" si="252"/>
        <v>0</v>
      </c>
      <c r="BK926" s="646">
        <f t="shared" si="252"/>
        <v>0</v>
      </c>
      <c r="BL926" s="229"/>
      <c r="BM926" s="215"/>
      <c r="BN926" s="125">
        <f t="shared" si="224"/>
        <v>31.5</v>
      </c>
      <c r="BO926" s="126">
        <f t="shared" si="225"/>
        <v>4.72</v>
      </c>
      <c r="BP926" s="127">
        <f t="shared" si="226"/>
        <v>34.4</v>
      </c>
    </row>
    <row r="927" spans="1:68" s="230" customFormat="1" ht="19.5" customHeight="1" outlineLevel="5" x14ac:dyDescent="0.25">
      <c r="A927" s="216"/>
      <c r="B927" s="215"/>
      <c r="C927" s="216"/>
      <c r="D927" s="216"/>
      <c r="E927" s="216"/>
      <c r="F927" s="216"/>
      <c r="G927" s="216"/>
      <c r="H927" s="216"/>
      <c r="I927" s="216"/>
      <c r="J927" s="215"/>
      <c r="K927" s="217"/>
      <c r="L927" s="216"/>
      <c r="M927" s="215"/>
      <c r="N927" s="215"/>
      <c r="O927" s="215"/>
      <c r="P927" s="215"/>
      <c r="Q927" s="215"/>
      <c r="R927" s="215"/>
      <c r="S927" s="215"/>
      <c r="T927" s="215"/>
      <c r="U927" s="215"/>
      <c r="V927" s="215"/>
      <c r="W927" s="215"/>
      <c r="X927" s="215"/>
      <c r="Y927" s="215"/>
      <c r="Z927" s="215"/>
      <c r="AA927" s="215"/>
      <c r="AB927" s="232"/>
      <c r="AC927" s="219" t="s">
        <v>273</v>
      </c>
      <c r="AD927" s="644" t="s">
        <v>247</v>
      </c>
      <c r="AE927" s="645">
        <f t="shared" ref="AE927:BK927" si="253">AE203</f>
        <v>66.010000000000005</v>
      </c>
      <c r="AF927" s="222">
        <f t="shared" si="253"/>
        <v>67.680000000000007</v>
      </c>
      <c r="AG927" s="646">
        <f t="shared" si="253"/>
        <v>72.819999999999993</v>
      </c>
      <c r="AH927" s="647">
        <f t="shared" si="253"/>
        <v>0</v>
      </c>
      <c r="AI927" s="222">
        <f t="shared" si="253"/>
        <v>0</v>
      </c>
      <c r="AJ927" s="646">
        <f t="shared" si="253"/>
        <v>0</v>
      </c>
      <c r="AK927" s="645">
        <f t="shared" si="253"/>
        <v>0</v>
      </c>
      <c r="AL927" s="222">
        <f t="shared" si="253"/>
        <v>0</v>
      </c>
      <c r="AM927" s="646">
        <f t="shared" si="253"/>
        <v>0</v>
      </c>
      <c r="AN927" s="645">
        <f t="shared" si="253"/>
        <v>0</v>
      </c>
      <c r="AO927" s="222">
        <f t="shared" si="253"/>
        <v>0</v>
      </c>
      <c r="AP927" s="646">
        <f t="shared" si="253"/>
        <v>0</v>
      </c>
      <c r="AQ927" s="645">
        <f t="shared" si="253"/>
        <v>0</v>
      </c>
      <c r="AR927" s="222">
        <f t="shared" si="253"/>
        <v>0</v>
      </c>
      <c r="AS927" s="646">
        <f t="shared" si="253"/>
        <v>0</v>
      </c>
      <c r="AT927" s="645">
        <f t="shared" si="253"/>
        <v>0</v>
      </c>
      <c r="AU927" s="222">
        <f t="shared" si="253"/>
        <v>0</v>
      </c>
      <c r="AV927" s="646">
        <f t="shared" si="253"/>
        <v>0</v>
      </c>
      <c r="AW927" s="645">
        <f t="shared" si="253"/>
        <v>0</v>
      </c>
      <c r="AX927" s="222">
        <f t="shared" si="253"/>
        <v>0</v>
      </c>
      <c r="AY927" s="646">
        <f t="shared" si="253"/>
        <v>0</v>
      </c>
      <c r="AZ927" s="645">
        <f t="shared" si="253"/>
        <v>0</v>
      </c>
      <c r="BA927" s="222">
        <f t="shared" si="253"/>
        <v>0</v>
      </c>
      <c r="BB927" s="646">
        <f t="shared" si="253"/>
        <v>0</v>
      </c>
      <c r="BC927" s="645">
        <f t="shared" si="253"/>
        <v>0</v>
      </c>
      <c r="BD927" s="222">
        <f t="shared" si="253"/>
        <v>0</v>
      </c>
      <c r="BE927" s="646">
        <f t="shared" si="253"/>
        <v>0</v>
      </c>
      <c r="BF927" s="645">
        <f t="shared" si="253"/>
        <v>0</v>
      </c>
      <c r="BG927" s="222">
        <f t="shared" si="253"/>
        <v>0</v>
      </c>
      <c r="BH927" s="646">
        <f t="shared" si="253"/>
        <v>0</v>
      </c>
      <c r="BI927" s="645">
        <f t="shared" si="253"/>
        <v>0</v>
      </c>
      <c r="BJ927" s="222">
        <f t="shared" si="253"/>
        <v>0</v>
      </c>
      <c r="BK927" s="646">
        <f t="shared" si="253"/>
        <v>0</v>
      </c>
      <c r="BL927" s="229"/>
      <c r="BM927" s="215"/>
      <c r="BN927" s="125">
        <f t="shared" si="224"/>
        <v>66.010000000000005</v>
      </c>
      <c r="BO927" s="126">
        <f t="shared" si="225"/>
        <v>67.680000000000007</v>
      </c>
      <c r="BP927" s="127">
        <f t="shared" si="226"/>
        <v>72.819999999999993</v>
      </c>
    </row>
    <row r="928" spans="1:68" s="230" customFormat="1" ht="19.5" customHeight="1" outlineLevel="5" x14ac:dyDescent="0.25">
      <c r="A928" s="216"/>
      <c r="B928" s="215"/>
      <c r="C928" s="216"/>
      <c r="D928" s="216"/>
      <c r="E928" s="216"/>
      <c r="F928" s="216"/>
      <c r="G928" s="216"/>
      <c r="H928" s="216"/>
      <c r="I928" s="216"/>
      <c r="J928" s="215"/>
      <c r="K928" s="217"/>
      <c r="L928" s="216"/>
      <c r="M928" s="215"/>
      <c r="N928" s="215"/>
      <c r="O928" s="215"/>
      <c r="P928" s="215"/>
      <c r="Q928" s="215"/>
      <c r="R928" s="215"/>
      <c r="S928" s="215"/>
      <c r="T928" s="215"/>
      <c r="U928" s="215"/>
      <c r="V928" s="215"/>
      <c r="W928" s="215"/>
      <c r="X928" s="215"/>
      <c r="Y928" s="215"/>
      <c r="Z928" s="215"/>
      <c r="AA928" s="215"/>
      <c r="AB928" s="232"/>
      <c r="AC928" s="219" t="s">
        <v>274</v>
      </c>
      <c r="AD928" s="644" t="s">
        <v>247</v>
      </c>
      <c r="AE928" s="645">
        <f t="shared" ref="AE928:BK928" si="254">AE204</f>
        <v>2196.4299999999998</v>
      </c>
      <c r="AF928" s="222">
        <f t="shared" si="254"/>
        <v>550</v>
      </c>
      <c r="AG928" s="646">
        <f t="shared" si="254"/>
        <v>2232.85</v>
      </c>
      <c r="AH928" s="647">
        <f t="shared" si="254"/>
        <v>33.549999999999997</v>
      </c>
      <c r="AI928" s="222">
        <f t="shared" si="254"/>
        <v>0</v>
      </c>
      <c r="AJ928" s="646">
        <f t="shared" si="254"/>
        <v>34.89</v>
      </c>
      <c r="AK928" s="645">
        <f t="shared" si="254"/>
        <v>0</v>
      </c>
      <c r="AL928" s="222">
        <f t="shared" si="254"/>
        <v>0</v>
      </c>
      <c r="AM928" s="646">
        <f t="shared" si="254"/>
        <v>0</v>
      </c>
      <c r="AN928" s="645">
        <f t="shared" si="254"/>
        <v>0</v>
      </c>
      <c r="AO928" s="222">
        <f t="shared" si="254"/>
        <v>0</v>
      </c>
      <c r="AP928" s="646">
        <f t="shared" si="254"/>
        <v>0</v>
      </c>
      <c r="AQ928" s="645">
        <f t="shared" si="254"/>
        <v>0</v>
      </c>
      <c r="AR928" s="222">
        <f t="shared" si="254"/>
        <v>0</v>
      </c>
      <c r="AS928" s="646">
        <f t="shared" si="254"/>
        <v>0</v>
      </c>
      <c r="AT928" s="645">
        <f t="shared" si="254"/>
        <v>0</v>
      </c>
      <c r="AU928" s="222">
        <f t="shared" si="254"/>
        <v>0</v>
      </c>
      <c r="AV928" s="646">
        <f t="shared" si="254"/>
        <v>0</v>
      </c>
      <c r="AW928" s="645">
        <f t="shared" si="254"/>
        <v>0</v>
      </c>
      <c r="AX928" s="222">
        <f t="shared" si="254"/>
        <v>0</v>
      </c>
      <c r="AY928" s="646">
        <f t="shared" si="254"/>
        <v>0</v>
      </c>
      <c r="AZ928" s="645">
        <f t="shared" si="254"/>
        <v>0</v>
      </c>
      <c r="BA928" s="222">
        <f t="shared" si="254"/>
        <v>0</v>
      </c>
      <c r="BB928" s="646">
        <f t="shared" si="254"/>
        <v>0</v>
      </c>
      <c r="BC928" s="645">
        <f t="shared" si="254"/>
        <v>0</v>
      </c>
      <c r="BD928" s="222">
        <f t="shared" si="254"/>
        <v>0</v>
      </c>
      <c r="BE928" s="646">
        <f t="shared" si="254"/>
        <v>0</v>
      </c>
      <c r="BF928" s="645">
        <f t="shared" si="254"/>
        <v>0</v>
      </c>
      <c r="BG928" s="222">
        <f t="shared" si="254"/>
        <v>0</v>
      </c>
      <c r="BH928" s="646">
        <f t="shared" si="254"/>
        <v>0</v>
      </c>
      <c r="BI928" s="645">
        <f t="shared" si="254"/>
        <v>0</v>
      </c>
      <c r="BJ928" s="222">
        <f t="shared" si="254"/>
        <v>0</v>
      </c>
      <c r="BK928" s="646">
        <f t="shared" si="254"/>
        <v>0</v>
      </c>
      <c r="BL928" s="229"/>
      <c r="BM928" s="215"/>
      <c r="BN928" s="125">
        <f t="shared" si="224"/>
        <v>2229.98</v>
      </c>
      <c r="BO928" s="126">
        <f t="shared" si="225"/>
        <v>550</v>
      </c>
      <c r="BP928" s="127">
        <f t="shared" si="226"/>
        <v>2267.7399999999998</v>
      </c>
    </row>
    <row r="929" spans="1:68" s="230" customFormat="1" ht="19.5" customHeight="1" outlineLevel="5" x14ac:dyDescent="0.25">
      <c r="A929" s="216"/>
      <c r="B929" s="215"/>
      <c r="C929" s="216"/>
      <c r="D929" s="216"/>
      <c r="E929" s="216"/>
      <c r="F929" s="216"/>
      <c r="G929" s="216"/>
      <c r="H929" s="216"/>
      <c r="I929" s="216"/>
      <c r="J929" s="215"/>
      <c r="K929" s="217"/>
      <c r="L929" s="216"/>
      <c r="M929" s="215"/>
      <c r="N929" s="215"/>
      <c r="O929" s="215"/>
      <c r="P929" s="215"/>
      <c r="Q929" s="215"/>
      <c r="R929" s="215"/>
      <c r="S929" s="215"/>
      <c r="T929" s="215"/>
      <c r="U929" s="215"/>
      <c r="V929" s="215"/>
      <c r="W929" s="215"/>
      <c r="X929" s="215"/>
      <c r="Y929" s="215"/>
      <c r="Z929" s="215"/>
      <c r="AA929" s="215"/>
      <c r="AB929" s="232"/>
      <c r="AC929" s="219" t="s">
        <v>275</v>
      </c>
      <c r="AD929" s="644" t="s">
        <v>247</v>
      </c>
      <c r="AE929" s="645">
        <f t="shared" ref="AE929:BK929" si="255">AE205+AE594</f>
        <v>14.18</v>
      </c>
      <c r="AF929" s="222">
        <f t="shared" si="255"/>
        <v>1.52</v>
      </c>
      <c r="AG929" s="646">
        <f t="shared" si="255"/>
        <v>2213.69</v>
      </c>
      <c r="AH929" s="647">
        <f t="shared" si="255"/>
        <v>0</v>
      </c>
      <c r="AI929" s="222">
        <f t="shared" si="255"/>
        <v>0</v>
      </c>
      <c r="AJ929" s="646">
        <f t="shared" si="255"/>
        <v>0</v>
      </c>
      <c r="AK929" s="645">
        <f t="shared" si="255"/>
        <v>0</v>
      </c>
      <c r="AL929" s="222">
        <f t="shared" si="255"/>
        <v>0</v>
      </c>
      <c r="AM929" s="646">
        <f t="shared" si="255"/>
        <v>0</v>
      </c>
      <c r="AN929" s="645">
        <f t="shared" si="255"/>
        <v>0</v>
      </c>
      <c r="AO929" s="222">
        <f t="shared" si="255"/>
        <v>2.65</v>
      </c>
      <c r="AP929" s="646">
        <f t="shared" si="255"/>
        <v>0</v>
      </c>
      <c r="AQ929" s="645">
        <f t="shared" si="255"/>
        <v>0</v>
      </c>
      <c r="AR929" s="222">
        <f t="shared" si="255"/>
        <v>0</v>
      </c>
      <c r="AS929" s="646">
        <f t="shared" si="255"/>
        <v>0</v>
      </c>
      <c r="AT929" s="645">
        <f t="shared" si="255"/>
        <v>7.2</v>
      </c>
      <c r="AU929" s="222">
        <f t="shared" si="255"/>
        <v>0</v>
      </c>
      <c r="AV929" s="646">
        <f t="shared" si="255"/>
        <v>7.92</v>
      </c>
      <c r="AW929" s="645">
        <f t="shared" si="255"/>
        <v>0</v>
      </c>
      <c r="AX929" s="222">
        <f t="shared" si="255"/>
        <v>0</v>
      </c>
      <c r="AY929" s="646">
        <f t="shared" si="255"/>
        <v>0</v>
      </c>
      <c r="AZ929" s="645">
        <f t="shared" si="255"/>
        <v>0</v>
      </c>
      <c r="BA929" s="222">
        <f t="shared" si="255"/>
        <v>0</v>
      </c>
      <c r="BB929" s="646">
        <f t="shared" si="255"/>
        <v>0</v>
      </c>
      <c r="BC929" s="645">
        <f t="shared" si="255"/>
        <v>6.7</v>
      </c>
      <c r="BD929" s="222">
        <f t="shared" si="255"/>
        <v>0</v>
      </c>
      <c r="BE929" s="646">
        <f t="shared" si="255"/>
        <v>7.14</v>
      </c>
      <c r="BF929" s="645">
        <f t="shared" si="255"/>
        <v>0</v>
      </c>
      <c r="BG929" s="222">
        <f t="shared" si="255"/>
        <v>0</v>
      </c>
      <c r="BH929" s="646">
        <f t="shared" si="255"/>
        <v>0</v>
      </c>
      <c r="BI929" s="645">
        <f t="shared" si="255"/>
        <v>6.7</v>
      </c>
      <c r="BJ929" s="222">
        <f t="shared" si="255"/>
        <v>0</v>
      </c>
      <c r="BK929" s="646">
        <f t="shared" si="255"/>
        <v>7.38</v>
      </c>
      <c r="BL929" s="229"/>
      <c r="BM929" s="215"/>
      <c r="BN929" s="125">
        <f t="shared" si="224"/>
        <v>34.78</v>
      </c>
      <c r="BO929" s="126">
        <f t="shared" si="225"/>
        <v>4.17</v>
      </c>
      <c r="BP929" s="127">
        <f t="shared" si="226"/>
        <v>2236.13</v>
      </c>
    </row>
    <row r="930" spans="1:68" s="230" customFormat="1" ht="19.5" customHeight="1" outlineLevel="5" x14ac:dyDescent="0.25">
      <c r="A930" s="216"/>
      <c r="B930" s="215"/>
      <c r="C930" s="216"/>
      <c r="D930" s="216"/>
      <c r="E930" s="216"/>
      <c r="F930" s="216"/>
      <c r="G930" s="216"/>
      <c r="H930" s="216"/>
      <c r="I930" s="216"/>
      <c r="J930" s="215"/>
      <c r="K930" s="217"/>
      <c r="L930" s="216"/>
      <c r="M930" s="215"/>
      <c r="N930" s="215"/>
      <c r="O930" s="215"/>
      <c r="P930" s="215"/>
      <c r="Q930" s="215"/>
      <c r="R930" s="215"/>
      <c r="S930" s="215"/>
      <c r="T930" s="215"/>
      <c r="U930" s="215"/>
      <c r="V930" s="215"/>
      <c r="W930" s="215"/>
      <c r="X930" s="215"/>
      <c r="Y930" s="215"/>
      <c r="Z930" s="215"/>
      <c r="AA930" s="215"/>
      <c r="AB930" s="232"/>
      <c r="AC930" s="219" t="s">
        <v>276</v>
      </c>
      <c r="AD930" s="644" t="s">
        <v>247</v>
      </c>
      <c r="AE930" s="645">
        <f t="shared" ref="AE930:BK930" si="256">AE206</f>
        <v>497.13</v>
      </c>
      <c r="AF930" s="222">
        <f t="shared" si="256"/>
        <v>540.63</v>
      </c>
      <c r="AG930" s="646">
        <f t="shared" si="256"/>
        <v>581.65</v>
      </c>
      <c r="AH930" s="647">
        <f t="shared" si="256"/>
        <v>0</v>
      </c>
      <c r="AI930" s="222">
        <f t="shared" si="256"/>
        <v>0</v>
      </c>
      <c r="AJ930" s="646">
        <f t="shared" si="256"/>
        <v>0</v>
      </c>
      <c r="AK930" s="645">
        <f t="shared" si="256"/>
        <v>0</v>
      </c>
      <c r="AL930" s="222">
        <f t="shared" si="256"/>
        <v>0</v>
      </c>
      <c r="AM930" s="646">
        <f t="shared" si="256"/>
        <v>0</v>
      </c>
      <c r="AN930" s="645">
        <f t="shared" si="256"/>
        <v>0</v>
      </c>
      <c r="AO930" s="222">
        <f t="shared" si="256"/>
        <v>0</v>
      </c>
      <c r="AP930" s="646">
        <f t="shared" si="256"/>
        <v>0</v>
      </c>
      <c r="AQ930" s="645">
        <f t="shared" si="256"/>
        <v>0</v>
      </c>
      <c r="AR930" s="222">
        <f t="shared" si="256"/>
        <v>0</v>
      </c>
      <c r="AS930" s="646">
        <f t="shared" si="256"/>
        <v>0</v>
      </c>
      <c r="AT930" s="645">
        <f t="shared" si="256"/>
        <v>0</v>
      </c>
      <c r="AU930" s="222">
        <f t="shared" si="256"/>
        <v>0</v>
      </c>
      <c r="AV930" s="646">
        <f t="shared" si="256"/>
        <v>0</v>
      </c>
      <c r="AW930" s="645">
        <f t="shared" si="256"/>
        <v>0</v>
      </c>
      <c r="AX930" s="222">
        <f t="shared" si="256"/>
        <v>0</v>
      </c>
      <c r="AY930" s="646">
        <f t="shared" si="256"/>
        <v>0</v>
      </c>
      <c r="AZ930" s="645">
        <f t="shared" si="256"/>
        <v>0</v>
      </c>
      <c r="BA930" s="222">
        <f t="shared" si="256"/>
        <v>0</v>
      </c>
      <c r="BB930" s="646">
        <f t="shared" si="256"/>
        <v>0</v>
      </c>
      <c r="BC930" s="645">
        <f t="shared" si="256"/>
        <v>0</v>
      </c>
      <c r="BD930" s="222">
        <f t="shared" si="256"/>
        <v>0</v>
      </c>
      <c r="BE930" s="646">
        <f t="shared" si="256"/>
        <v>0</v>
      </c>
      <c r="BF930" s="645">
        <f t="shared" si="256"/>
        <v>0</v>
      </c>
      <c r="BG930" s="222">
        <f t="shared" si="256"/>
        <v>0</v>
      </c>
      <c r="BH930" s="646">
        <f t="shared" si="256"/>
        <v>0</v>
      </c>
      <c r="BI930" s="645">
        <f t="shared" si="256"/>
        <v>0</v>
      </c>
      <c r="BJ930" s="222">
        <f t="shared" si="256"/>
        <v>0</v>
      </c>
      <c r="BK930" s="646">
        <f t="shared" si="256"/>
        <v>0</v>
      </c>
      <c r="BL930" s="229"/>
      <c r="BM930" s="215"/>
      <c r="BN930" s="125">
        <f t="shared" si="224"/>
        <v>497.13</v>
      </c>
      <c r="BO930" s="126">
        <f t="shared" si="225"/>
        <v>540.63</v>
      </c>
      <c r="BP930" s="127">
        <f t="shared" si="226"/>
        <v>581.65</v>
      </c>
    </row>
    <row r="931" spans="1:68" s="230" customFormat="1" ht="19.5" customHeight="1" outlineLevel="5" x14ac:dyDescent="0.25">
      <c r="A931" s="216"/>
      <c r="B931" s="215"/>
      <c r="C931" s="216"/>
      <c r="D931" s="216"/>
      <c r="E931" s="216"/>
      <c r="F931" s="216"/>
      <c r="G931" s="216"/>
      <c r="H931" s="216"/>
      <c r="I931" s="216"/>
      <c r="J931" s="215"/>
      <c r="K931" s="217"/>
      <c r="L931" s="216"/>
      <c r="M931" s="215"/>
      <c r="N931" s="215"/>
      <c r="O931" s="215"/>
      <c r="P931" s="215"/>
      <c r="Q931" s="215"/>
      <c r="R931" s="215"/>
      <c r="S931" s="215"/>
      <c r="T931" s="215"/>
      <c r="U931" s="215"/>
      <c r="V931" s="215"/>
      <c r="W931" s="215"/>
      <c r="X931" s="215"/>
      <c r="Y931" s="215"/>
      <c r="Z931" s="215"/>
      <c r="AA931" s="215"/>
      <c r="AB931" s="232"/>
      <c r="AC931" s="219" t="s">
        <v>277</v>
      </c>
      <c r="AD931" s="644" t="s">
        <v>247</v>
      </c>
      <c r="AE931" s="645">
        <f t="shared" ref="AE931:BK931" si="257">AE207+AE570</f>
        <v>706.46</v>
      </c>
      <c r="AF931" s="222">
        <f t="shared" si="257"/>
        <v>680.71</v>
      </c>
      <c r="AG931" s="646">
        <f t="shared" si="257"/>
        <v>814.14</v>
      </c>
      <c r="AH931" s="647">
        <f t="shared" si="257"/>
        <v>9.34</v>
      </c>
      <c r="AI931" s="222">
        <f t="shared" si="257"/>
        <v>0</v>
      </c>
      <c r="AJ931" s="646">
        <f t="shared" si="257"/>
        <v>9.7100000000000009</v>
      </c>
      <c r="AK931" s="645">
        <f t="shared" si="257"/>
        <v>3.44</v>
      </c>
      <c r="AL931" s="222">
        <f t="shared" si="257"/>
        <v>26.19</v>
      </c>
      <c r="AM931" s="646">
        <f t="shared" si="257"/>
        <v>3.97</v>
      </c>
      <c r="AN931" s="645">
        <f t="shared" si="257"/>
        <v>19.420000000000002</v>
      </c>
      <c r="AO931" s="222">
        <f t="shared" si="257"/>
        <v>5.28</v>
      </c>
      <c r="AP931" s="646">
        <f t="shared" si="257"/>
        <v>94.710000000000008</v>
      </c>
      <c r="AQ931" s="645">
        <f t="shared" si="257"/>
        <v>3.95</v>
      </c>
      <c r="AR931" s="222">
        <f t="shared" si="257"/>
        <v>0</v>
      </c>
      <c r="AS931" s="646">
        <f t="shared" si="257"/>
        <v>4.3499999999999996</v>
      </c>
      <c r="AT931" s="645">
        <f t="shared" si="257"/>
        <v>25.83</v>
      </c>
      <c r="AU931" s="222">
        <f t="shared" si="257"/>
        <v>0</v>
      </c>
      <c r="AV931" s="646">
        <f t="shared" si="257"/>
        <v>30.46</v>
      </c>
      <c r="AW931" s="645">
        <f t="shared" si="257"/>
        <v>5.0739999999999998</v>
      </c>
      <c r="AX931" s="222">
        <f t="shared" si="257"/>
        <v>0</v>
      </c>
      <c r="AY931" s="646">
        <f t="shared" si="257"/>
        <v>5.6779999999999999</v>
      </c>
      <c r="AZ931" s="645">
        <f t="shared" si="257"/>
        <v>21.382000000000001</v>
      </c>
      <c r="BA931" s="222">
        <f t="shared" si="257"/>
        <v>0</v>
      </c>
      <c r="BB931" s="646">
        <f t="shared" si="257"/>
        <v>28.021000000000001</v>
      </c>
      <c r="BC931" s="645">
        <f t="shared" si="257"/>
        <v>71.14</v>
      </c>
      <c r="BD931" s="222">
        <f t="shared" si="257"/>
        <v>0</v>
      </c>
      <c r="BE931" s="646">
        <f t="shared" si="257"/>
        <v>75.8</v>
      </c>
      <c r="BF931" s="645">
        <f t="shared" si="257"/>
        <v>0</v>
      </c>
      <c r="BG931" s="222">
        <f t="shared" si="257"/>
        <v>0</v>
      </c>
      <c r="BH931" s="646">
        <f t="shared" si="257"/>
        <v>0</v>
      </c>
      <c r="BI931" s="645">
        <f t="shared" si="257"/>
        <v>60.28</v>
      </c>
      <c r="BJ931" s="222">
        <f t="shared" si="257"/>
        <v>29.21</v>
      </c>
      <c r="BK931" s="646">
        <f t="shared" si="257"/>
        <v>68.540000000000006</v>
      </c>
      <c r="BL931" s="229"/>
      <c r="BM931" s="215"/>
      <c r="BN931" s="125">
        <f t="shared" si="224"/>
        <v>926.31600000000003</v>
      </c>
      <c r="BO931" s="126">
        <f t="shared" si="225"/>
        <v>741.3900000000001</v>
      </c>
      <c r="BP931" s="127">
        <f t="shared" si="226"/>
        <v>1135.3790000000001</v>
      </c>
    </row>
    <row r="932" spans="1:68" s="230" customFormat="1" ht="19.5" customHeight="1" outlineLevel="5" x14ac:dyDescent="0.25">
      <c r="A932" s="216"/>
      <c r="B932" s="215"/>
      <c r="C932" s="216"/>
      <c r="D932" s="216"/>
      <c r="E932" s="216"/>
      <c r="F932" s="216"/>
      <c r="G932" s="216"/>
      <c r="H932" s="216"/>
      <c r="I932" s="216"/>
      <c r="J932" s="215"/>
      <c r="K932" s="217"/>
      <c r="L932" s="216"/>
      <c r="M932" s="215"/>
      <c r="N932" s="215"/>
      <c r="O932" s="215"/>
      <c r="P932" s="215"/>
      <c r="Q932" s="215"/>
      <c r="R932" s="215"/>
      <c r="S932" s="215"/>
      <c r="T932" s="215"/>
      <c r="U932" s="215"/>
      <c r="V932" s="215"/>
      <c r="W932" s="215"/>
      <c r="X932" s="215"/>
      <c r="Y932" s="215"/>
      <c r="Z932" s="215"/>
      <c r="AA932" s="215"/>
      <c r="AB932" s="232"/>
      <c r="AC932" s="219" t="s">
        <v>712</v>
      </c>
      <c r="AD932" s="644" t="s">
        <v>247</v>
      </c>
      <c r="AE932" s="645">
        <f t="shared" ref="AE932:BK932" si="258">AE208+AE567</f>
        <v>2127.8199999999997</v>
      </c>
      <c r="AF932" s="222">
        <f t="shared" si="258"/>
        <v>1680</v>
      </c>
      <c r="AG932" s="646">
        <f t="shared" si="258"/>
        <v>3058.1600000000003</v>
      </c>
      <c r="AH932" s="647">
        <f t="shared" si="258"/>
        <v>115.54</v>
      </c>
      <c r="AI932" s="222">
        <f t="shared" si="258"/>
        <v>0</v>
      </c>
      <c r="AJ932" s="646">
        <f t="shared" si="258"/>
        <v>15.569999999999999</v>
      </c>
      <c r="AK932" s="645">
        <f t="shared" si="258"/>
        <v>0</v>
      </c>
      <c r="AL932" s="222">
        <f t="shared" si="258"/>
        <v>0</v>
      </c>
      <c r="AM932" s="646">
        <f t="shared" si="258"/>
        <v>0</v>
      </c>
      <c r="AN932" s="645">
        <f t="shared" si="258"/>
        <v>0</v>
      </c>
      <c r="AO932" s="222">
        <f t="shared" si="258"/>
        <v>0</v>
      </c>
      <c r="AP932" s="646">
        <f t="shared" si="258"/>
        <v>0</v>
      </c>
      <c r="AQ932" s="645">
        <f t="shared" si="258"/>
        <v>0</v>
      </c>
      <c r="AR932" s="222">
        <f t="shared" si="258"/>
        <v>0</v>
      </c>
      <c r="AS932" s="646">
        <f t="shared" si="258"/>
        <v>0</v>
      </c>
      <c r="AT932" s="645">
        <f t="shared" si="258"/>
        <v>0</v>
      </c>
      <c r="AU932" s="222">
        <f t="shared" si="258"/>
        <v>0</v>
      </c>
      <c r="AV932" s="646">
        <f t="shared" si="258"/>
        <v>0</v>
      </c>
      <c r="AW932" s="645">
        <f t="shared" si="258"/>
        <v>0</v>
      </c>
      <c r="AX932" s="222">
        <f t="shared" si="258"/>
        <v>0</v>
      </c>
      <c r="AY932" s="646">
        <f t="shared" si="258"/>
        <v>0</v>
      </c>
      <c r="AZ932" s="645">
        <f t="shared" si="258"/>
        <v>0</v>
      </c>
      <c r="BA932" s="222">
        <f t="shared" si="258"/>
        <v>106.85</v>
      </c>
      <c r="BB932" s="646">
        <f t="shared" si="258"/>
        <v>0</v>
      </c>
      <c r="BC932" s="645">
        <f t="shared" si="258"/>
        <v>0</v>
      </c>
      <c r="BD932" s="222">
        <f t="shared" si="258"/>
        <v>0</v>
      </c>
      <c r="BE932" s="646">
        <f t="shared" si="258"/>
        <v>0</v>
      </c>
      <c r="BF932" s="645">
        <f t="shared" si="258"/>
        <v>0</v>
      </c>
      <c r="BG932" s="222">
        <f t="shared" si="258"/>
        <v>0</v>
      </c>
      <c r="BH932" s="646">
        <f t="shared" si="258"/>
        <v>0</v>
      </c>
      <c r="BI932" s="645">
        <f t="shared" si="258"/>
        <v>0</v>
      </c>
      <c r="BJ932" s="222">
        <f t="shared" si="258"/>
        <v>0</v>
      </c>
      <c r="BK932" s="646">
        <f t="shared" si="258"/>
        <v>0</v>
      </c>
      <c r="BL932" s="229"/>
      <c r="BM932" s="215"/>
      <c r="BN932" s="125">
        <f t="shared" si="224"/>
        <v>2243.3599999999997</v>
      </c>
      <c r="BO932" s="126">
        <f t="shared" si="225"/>
        <v>1786.85</v>
      </c>
      <c r="BP932" s="127">
        <f t="shared" si="226"/>
        <v>3073.7300000000005</v>
      </c>
    </row>
    <row r="933" spans="1:68" s="230" customFormat="1" ht="19.5" customHeight="1" outlineLevel="5" x14ac:dyDescent="0.25">
      <c r="A933" s="216"/>
      <c r="B933" s="215"/>
      <c r="C933" s="216"/>
      <c r="D933" s="216"/>
      <c r="E933" s="216"/>
      <c r="F933" s="216"/>
      <c r="G933" s="216"/>
      <c r="H933" s="216"/>
      <c r="I933" s="216"/>
      <c r="J933" s="215"/>
      <c r="K933" s="217"/>
      <c r="L933" s="216"/>
      <c r="M933" s="215"/>
      <c r="N933" s="215"/>
      <c r="O933" s="215"/>
      <c r="P933" s="215"/>
      <c r="Q933" s="215"/>
      <c r="R933" s="215"/>
      <c r="S933" s="215"/>
      <c r="T933" s="215"/>
      <c r="U933" s="215"/>
      <c r="V933" s="215"/>
      <c r="W933" s="215"/>
      <c r="X933" s="215"/>
      <c r="Y933" s="215"/>
      <c r="Z933" s="215"/>
      <c r="AA933" s="215"/>
      <c r="AB933" s="232"/>
      <c r="AC933" s="219" t="s">
        <v>254</v>
      </c>
      <c r="AD933" s="644" t="s">
        <v>247</v>
      </c>
      <c r="AE933" s="645">
        <f t="shared" ref="AE933:BK933" si="259">AE209</f>
        <v>53.3</v>
      </c>
      <c r="AF933" s="222">
        <f t="shared" si="259"/>
        <v>42.45</v>
      </c>
      <c r="AG933" s="646">
        <f t="shared" si="259"/>
        <v>43.71</v>
      </c>
      <c r="AH933" s="647">
        <f t="shared" si="259"/>
        <v>0</v>
      </c>
      <c r="AI933" s="222">
        <f t="shared" si="259"/>
        <v>0</v>
      </c>
      <c r="AJ933" s="646">
        <f t="shared" si="259"/>
        <v>0</v>
      </c>
      <c r="AK933" s="645">
        <f t="shared" si="259"/>
        <v>0</v>
      </c>
      <c r="AL933" s="222">
        <f t="shared" si="259"/>
        <v>0</v>
      </c>
      <c r="AM933" s="646">
        <f t="shared" si="259"/>
        <v>0</v>
      </c>
      <c r="AN933" s="645">
        <f t="shared" si="259"/>
        <v>0</v>
      </c>
      <c r="AO933" s="222">
        <f t="shared" si="259"/>
        <v>73.87</v>
      </c>
      <c r="AP933" s="646">
        <f t="shared" si="259"/>
        <v>0</v>
      </c>
      <c r="AQ933" s="645">
        <f t="shared" si="259"/>
        <v>0</v>
      </c>
      <c r="AR933" s="222">
        <f t="shared" si="259"/>
        <v>0</v>
      </c>
      <c r="AS933" s="646">
        <f t="shared" si="259"/>
        <v>0</v>
      </c>
      <c r="AT933" s="645">
        <f t="shared" si="259"/>
        <v>0</v>
      </c>
      <c r="AU933" s="222">
        <f t="shared" si="259"/>
        <v>0</v>
      </c>
      <c r="AV933" s="646">
        <f t="shared" si="259"/>
        <v>0</v>
      </c>
      <c r="AW933" s="645">
        <f t="shared" si="259"/>
        <v>0</v>
      </c>
      <c r="AX933" s="222">
        <f t="shared" si="259"/>
        <v>0</v>
      </c>
      <c r="AY933" s="646">
        <f t="shared" si="259"/>
        <v>0</v>
      </c>
      <c r="AZ933" s="645">
        <f t="shared" si="259"/>
        <v>0</v>
      </c>
      <c r="BA933" s="222">
        <f t="shared" si="259"/>
        <v>0</v>
      </c>
      <c r="BB933" s="646">
        <f t="shared" si="259"/>
        <v>0</v>
      </c>
      <c r="BC933" s="645">
        <f t="shared" si="259"/>
        <v>0</v>
      </c>
      <c r="BD933" s="222">
        <f t="shared" si="259"/>
        <v>0</v>
      </c>
      <c r="BE933" s="646">
        <f t="shared" si="259"/>
        <v>0</v>
      </c>
      <c r="BF933" s="645">
        <f t="shared" si="259"/>
        <v>0</v>
      </c>
      <c r="BG933" s="222">
        <f t="shared" si="259"/>
        <v>0</v>
      </c>
      <c r="BH933" s="646">
        <f t="shared" si="259"/>
        <v>0</v>
      </c>
      <c r="BI933" s="645">
        <f t="shared" si="259"/>
        <v>0</v>
      </c>
      <c r="BJ933" s="222">
        <f t="shared" si="259"/>
        <v>0</v>
      </c>
      <c r="BK933" s="646">
        <f t="shared" si="259"/>
        <v>0</v>
      </c>
      <c r="BL933" s="229"/>
      <c r="BM933" s="215"/>
      <c r="BN933" s="125">
        <f t="shared" si="224"/>
        <v>53.3</v>
      </c>
      <c r="BO933" s="126">
        <f t="shared" si="225"/>
        <v>116.32000000000001</v>
      </c>
      <c r="BP933" s="127">
        <f t="shared" si="226"/>
        <v>43.71</v>
      </c>
    </row>
    <row r="934" spans="1:68" s="230" customFormat="1" ht="19.5" customHeight="1" outlineLevel="5" x14ac:dyDescent="0.25">
      <c r="A934" s="216"/>
      <c r="B934" s="215"/>
      <c r="C934" s="216"/>
      <c r="D934" s="216"/>
      <c r="E934" s="216"/>
      <c r="F934" s="216"/>
      <c r="G934" s="216"/>
      <c r="H934" s="216"/>
      <c r="I934" s="216"/>
      <c r="J934" s="215"/>
      <c r="K934" s="217"/>
      <c r="L934" s="216"/>
      <c r="M934" s="215"/>
      <c r="N934" s="215"/>
      <c r="O934" s="215"/>
      <c r="P934" s="215"/>
      <c r="Q934" s="215"/>
      <c r="R934" s="215"/>
      <c r="S934" s="215"/>
      <c r="T934" s="215"/>
      <c r="U934" s="215"/>
      <c r="V934" s="215"/>
      <c r="W934" s="215"/>
      <c r="X934" s="215"/>
      <c r="Y934" s="215"/>
      <c r="Z934" s="215"/>
      <c r="AA934" s="215"/>
      <c r="AB934" s="247"/>
      <c r="AC934" s="219" t="s">
        <v>279</v>
      </c>
      <c r="AD934" s="644" t="s">
        <v>247</v>
      </c>
      <c r="AE934" s="645">
        <f t="shared" ref="AE934:BK934" si="260">AE210+AE565</f>
        <v>8346.4500000000007</v>
      </c>
      <c r="AF934" s="222">
        <f t="shared" si="260"/>
        <v>4484.1899999999996</v>
      </c>
      <c r="AG934" s="646">
        <f t="shared" si="260"/>
        <v>9932.7200000000012</v>
      </c>
      <c r="AH934" s="647">
        <f t="shared" si="260"/>
        <v>0</v>
      </c>
      <c r="AI934" s="222">
        <f t="shared" si="260"/>
        <v>0</v>
      </c>
      <c r="AJ934" s="646">
        <f t="shared" si="260"/>
        <v>196</v>
      </c>
      <c r="AK934" s="645">
        <f t="shared" si="260"/>
        <v>492.39</v>
      </c>
      <c r="AL934" s="222">
        <f t="shared" si="260"/>
        <v>257</v>
      </c>
      <c r="AM934" s="646">
        <f t="shared" si="260"/>
        <v>784</v>
      </c>
      <c r="AN934" s="645">
        <f t="shared" si="260"/>
        <v>536.61</v>
      </c>
      <c r="AO934" s="222">
        <f t="shared" si="260"/>
        <v>31.654</v>
      </c>
      <c r="AP934" s="646">
        <f t="shared" si="260"/>
        <v>647.30999999999995</v>
      </c>
      <c r="AQ934" s="645">
        <f t="shared" si="260"/>
        <v>175.07999999999998</v>
      </c>
      <c r="AR934" s="222">
        <f t="shared" si="260"/>
        <v>0</v>
      </c>
      <c r="AS934" s="646">
        <f t="shared" si="260"/>
        <v>653.12</v>
      </c>
      <c r="AT934" s="645">
        <f t="shared" si="260"/>
        <v>285.88</v>
      </c>
      <c r="AU934" s="222">
        <f t="shared" si="260"/>
        <v>0</v>
      </c>
      <c r="AV934" s="646">
        <f t="shared" si="260"/>
        <v>516.5</v>
      </c>
      <c r="AW934" s="645">
        <f t="shared" si="260"/>
        <v>745.93200000000002</v>
      </c>
      <c r="AX934" s="222">
        <f t="shared" si="260"/>
        <v>0</v>
      </c>
      <c r="AY934" s="646">
        <f t="shared" si="260"/>
        <v>1235.1199999999999</v>
      </c>
      <c r="AZ934" s="645">
        <f t="shared" si="260"/>
        <v>157.685</v>
      </c>
      <c r="BA934" s="222">
        <f t="shared" si="260"/>
        <v>0</v>
      </c>
      <c r="BB934" s="646">
        <f t="shared" si="260"/>
        <v>324.28899999999999</v>
      </c>
      <c r="BC934" s="645">
        <f t="shared" si="260"/>
        <v>678.66000000000008</v>
      </c>
      <c r="BD934" s="222">
        <f t="shared" si="260"/>
        <v>0</v>
      </c>
      <c r="BE934" s="646">
        <f t="shared" si="260"/>
        <v>820.63</v>
      </c>
      <c r="BF934" s="645">
        <f t="shared" si="260"/>
        <v>2.73</v>
      </c>
      <c r="BG934" s="222">
        <f t="shared" si="260"/>
        <v>0</v>
      </c>
      <c r="BH934" s="646">
        <f t="shared" si="260"/>
        <v>41.25</v>
      </c>
      <c r="BI934" s="645">
        <f t="shared" si="260"/>
        <v>6.59</v>
      </c>
      <c r="BJ934" s="222">
        <f t="shared" si="260"/>
        <v>0</v>
      </c>
      <c r="BK934" s="646">
        <f t="shared" si="260"/>
        <v>133.69999999999999</v>
      </c>
      <c r="BL934" s="229"/>
      <c r="BM934" s="215"/>
      <c r="BN934" s="125">
        <f t="shared" ref="BN934:BN965" si="261">AE934+AH934+AK934+AN934+AQ934+AT934+AW934+AZ934+BC934+BF934+BI934</f>
        <v>11428.007</v>
      </c>
      <c r="BO934" s="126">
        <f t="shared" ref="BO934:BO965" si="262">AF934+AI934+AL934+AO934+AR934+AU934+AX934+BA934+BD934+BG934+BJ934</f>
        <v>4772.8440000000001</v>
      </c>
      <c r="BP934" s="127">
        <f t="shared" ref="BP934:BP965" si="263">AG934+AJ934+AM934+AP934+AS934+AV934+AY934+BB934+BE934+BH934+BK934</f>
        <v>15284.639000000001</v>
      </c>
    </row>
    <row r="935" spans="1:68" s="230" customFormat="1" ht="19.5" customHeight="1" outlineLevel="5" x14ac:dyDescent="0.25">
      <c r="A935" s="216"/>
      <c r="B935" s="215"/>
      <c r="C935" s="216"/>
      <c r="D935" s="216"/>
      <c r="E935" s="216"/>
      <c r="F935" s="216"/>
      <c r="G935" s="216"/>
      <c r="H935" s="216"/>
      <c r="I935" s="216"/>
      <c r="J935" s="215"/>
      <c r="K935" s="217"/>
      <c r="L935" s="216"/>
      <c r="M935" s="215"/>
      <c r="N935" s="215"/>
      <c r="O935" s="215"/>
      <c r="P935" s="215"/>
      <c r="Q935" s="215"/>
      <c r="R935" s="215"/>
      <c r="S935" s="215"/>
      <c r="T935" s="215"/>
      <c r="U935" s="215"/>
      <c r="V935" s="215"/>
      <c r="W935" s="215"/>
      <c r="X935" s="215"/>
      <c r="Y935" s="215"/>
      <c r="Z935" s="215"/>
      <c r="AA935" s="215"/>
      <c r="AB935" s="247"/>
      <c r="AC935" s="219" t="s">
        <v>280</v>
      </c>
      <c r="AD935" s="644" t="s">
        <v>247</v>
      </c>
      <c r="AE935" s="645">
        <f t="shared" ref="AE935:BK935" si="264">AE211</f>
        <v>917.28</v>
      </c>
      <c r="AF935" s="222">
        <f t="shared" si="264"/>
        <v>923.53</v>
      </c>
      <c r="AG935" s="646">
        <f t="shared" si="264"/>
        <v>993.59</v>
      </c>
      <c r="AH935" s="647">
        <f t="shared" si="264"/>
        <v>0</v>
      </c>
      <c r="AI935" s="222">
        <f t="shared" si="264"/>
        <v>0</v>
      </c>
      <c r="AJ935" s="646">
        <f t="shared" si="264"/>
        <v>0</v>
      </c>
      <c r="AK935" s="645">
        <f t="shared" si="264"/>
        <v>29.24</v>
      </c>
      <c r="AL935" s="222">
        <f t="shared" si="264"/>
        <v>0</v>
      </c>
      <c r="AM935" s="646">
        <f t="shared" si="264"/>
        <v>32.15</v>
      </c>
      <c r="AN935" s="645">
        <f t="shared" si="264"/>
        <v>11.8</v>
      </c>
      <c r="AO935" s="222">
        <f t="shared" si="264"/>
        <v>126.62</v>
      </c>
      <c r="AP935" s="646">
        <f t="shared" si="264"/>
        <v>12.98</v>
      </c>
      <c r="AQ935" s="645">
        <f t="shared" si="264"/>
        <v>0</v>
      </c>
      <c r="AR935" s="222">
        <f t="shared" si="264"/>
        <v>0</v>
      </c>
      <c r="AS935" s="646">
        <f t="shared" si="264"/>
        <v>0</v>
      </c>
      <c r="AT935" s="645">
        <f t="shared" si="264"/>
        <v>7.0000000000000007E-2</v>
      </c>
      <c r="AU935" s="222">
        <f t="shared" si="264"/>
        <v>0</v>
      </c>
      <c r="AV935" s="646">
        <f t="shared" si="264"/>
        <v>7.0000000000000007E-2</v>
      </c>
      <c r="AW935" s="645">
        <f t="shared" si="264"/>
        <v>0</v>
      </c>
      <c r="AX935" s="222">
        <f t="shared" si="264"/>
        <v>0</v>
      </c>
      <c r="AY935" s="646">
        <f t="shared" si="264"/>
        <v>0</v>
      </c>
      <c r="AZ935" s="645">
        <f t="shared" si="264"/>
        <v>0</v>
      </c>
      <c r="BA935" s="222">
        <f t="shared" si="264"/>
        <v>0</v>
      </c>
      <c r="BB935" s="646">
        <f t="shared" si="264"/>
        <v>0</v>
      </c>
      <c r="BC935" s="645">
        <f t="shared" si="264"/>
        <v>0</v>
      </c>
      <c r="BD935" s="222">
        <f t="shared" si="264"/>
        <v>0</v>
      </c>
      <c r="BE935" s="646">
        <f t="shared" si="264"/>
        <v>0</v>
      </c>
      <c r="BF935" s="645">
        <f t="shared" si="264"/>
        <v>0</v>
      </c>
      <c r="BG935" s="222">
        <f t="shared" si="264"/>
        <v>0</v>
      </c>
      <c r="BH935" s="646">
        <f t="shared" si="264"/>
        <v>0</v>
      </c>
      <c r="BI935" s="645">
        <f t="shared" si="264"/>
        <v>0</v>
      </c>
      <c r="BJ935" s="222">
        <f t="shared" si="264"/>
        <v>0</v>
      </c>
      <c r="BK935" s="646">
        <f t="shared" si="264"/>
        <v>0</v>
      </c>
      <c r="BL935" s="229"/>
      <c r="BM935" s="215"/>
      <c r="BN935" s="125">
        <f t="shared" si="261"/>
        <v>958.39</v>
      </c>
      <c r="BO935" s="126">
        <f t="shared" si="262"/>
        <v>1050.1500000000001</v>
      </c>
      <c r="BP935" s="127">
        <f t="shared" si="263"/>
        <v>1038.79</v>
      </c>
    </row>
    <row r="936" spans="1:68" s="230" customFormat="1" ht="19.5" customHeight="1" outlineLevel="5" x14ac:dyDescent="0.25">
      <c r="A936" s="216"/>
      <c r="B936" s="215"/>
      <c r="C936" s="216"/>
      <c r="D936" s="216"/>
      <c r="E936" s="216"/>
      <c r="F936" s="216"/>
      <c r="G936" s="216"/>
      <c r="H936" s="216"/>
      <c r="I936" s="216"/>
      <c r="J936" s="215"/>
      <c r="K936" s="217"/>
      <c r="L936" s="216"/>
      <c r="M936" s="215"/>
      <c r="N936" s="215"/>
      <c r="O936" s="215"/>
      <c r="P936" s="215"/>
      <c r="Q936" s="215"/>
      <c r="R936" s="215"/>
      <c r="S936" s="215"/>
      <c r="T936" s="215"/>
      <c r="U936" s="215"/>
      <c r="V936" s="215"/>
      <c r="W936" s="215"/>
      <c r="X936" s="215"/>
      <c r="Y936" s="215"/>
      <c r="Z936" s="215"/>
      <c r="AA936" s="215"/>
      <c r="AB936" s="247"/>
      <c r="AC936" s="219" t="s">
        <v>281</v>
      </c>
      <c r="AD936" s="644" t="s">
        <v>247</v>
      </c>
      <c r="AE936" s="645">
        <f t="shared" ref="AE936:BK936" si="265">AE212</f>
        <v>2878.87</v>
      </c>
      <c r="AF936" s="222">
        <f t="shared" si="265"/>
        <v>0</v>
      </c>
      <c r="AG936" s="646">
        <f t="shared" si="265"/>
        <v>0</v>
      </c>
      <c r="AH936" s="647">
        <f t="shared" si="265"/>
        <v>0</v>
      </c>
      <c r="AI936" s="222">
        <f t="shared" si="265"/>
        <v>0</v>
      </c>
      <c r="AJ936" s="646">
        <f t="shared" si="265"/>
        <v>0</v>
      </c>
      <c r="AK936" s="645">
        <f t="shared" si="265"/>
        <v>88.62</v>
      </c>
      <c r="AL936" s="222">
        <f t="shared" si="265"/>
        <v>30.5</v>
      </c>
      <c r="AM936" s="646">
        <f t="shared" si="265"/>
        <v>97.51</v>
      </c>
      <c r="AN936" s="645">
        <f t="shared" si="265"/>
        <v>9.82</v>
      </c>
      <c r="AO936" s="222">
        <f t="shared" si="265"/>
        <v>0</v>
      </c>
      <c r="AP936" s="646">
        <f t="shared" si="265"/>
        <v>10.8</v>
      </c>
      <c r="AQ936" s="645">
        <f t="shared" si="265"/>
        <v>14.36</v>
      </c>
      <c r="AR936" s="222">
        <f t="shared" si="265"/>
        <v>0</v>
      </c>
      <c r="AS936" s="646">
        <f t="shared" si="265"/>
        <v>15.8</v>
      </c>
      <c r="AT936" s="645">
        <f t="shared" si="265"/>
        <v>2.31</v>
      </c>
      <c r="AU936" s="222">
        <f t="shared" si="265"/>
        <v>0</v>
      </c>
      <c r="AV936" s="646">
        <f t="shared" si="265"/>
        <v>2.54</v>
      </c>
      <c r="AW936" s="645">
        <f t="shared" si="265"/>
        <v>146.084</v>
      </c>
      <c r="AX936" s="222">
        <f t="shared" si="265"/>
        <v>0</v>
      </c>
      <c r="AY936" s="646">
        <f t="shared" si="265"/>
        <v>29.658999999999999</v>
      </c>
      <c r="AZ936" s="645">
        <f t="shared" si="265"/>
        <v>103.855</v>
      </c>
      <c r="BA936" s="222">
        <f t="shared" si="265"/>
        <v>8.06</v>
      </c>
      <c r="BB936" s="646">
        <f t="shared" si="265"/>
        <v>24.847999999999999</v>
      </c>
      <c r="BC936" s="645">
        <f t="shared" si="265"/>
        <v>99.25</v>
      </c>
      <c r="BD936" s="222">
        <f t="shared" si="265"/>
        <v>0</v>
      </c>
      <c r="BE936" s="646">
        <f t="shared" si="265"/>
        <v>59.84</v>
      </c>
      <c r="BF936" s="645">
        <f t="shared" si="265"/>
        <v>8.9550000000000001</v>
      </c>
      <c r="BG936" s="222">
        <f t="shared" si="265"/>
        <v>0</v>
      </c>
      <c r="BH936" s="646">
        <f t="shared" si="265"/>
        <v>6.1849999999999996</v>
      </c>
      <c r="BI936" s="645">
        <f t="shared" si="265"/>
        <v>5.76</v>
      </c>
      <c r="BJ936" s="222">
        <f t="shared" si="265"/>
        <v>0</v>
      </c>
      <c r="BK936" s="646">
        <f t="shared" si="265"/>
        <v>6.33</v>
      </c>
      <c r="BL936" s="229"/>
      <c r="BM936" s="215"/>
      <c r="BN936" s="125">
        <f t="shared" si="261"/>
        <v>3357.884</v>
      </c>
      <c r="BO936" s="126">
        <f t="shared" si="262"/>
        <v>38.56</v>
      </c>
      <c r="BP936" s="127">
        <f t="shared" si="263"/>
        <v>253.512</v>
      </c>
    </row>
    <row r="937" spans="1:68" s="230" customFormat="1" ht="19.5" customHeight="1" outlineLevel="5" x14ac:dyDescent="0.25">
      <c r="A937" s="216"/>
      <c r="B937" s="215"/>
      <c r="C937" s="216"/>
      <c r="D937" s="216"/>
      <c r="E937" s="216"/>
      <c r="F937" s="216"/>
      <c r="G937" s="216"/>
      <c r="H937" s="216"/>
      <c r="I937" s="216"/>
      <c r="J937" s="215"/>
      <c r="K937" s="217"/>
      <c r="L937" s="216"/>
      <c r="M937" s="215"/>
      <c r="N937" s="215"/>
      <c r="O937" s="215"/>
      <c r="P937" s="215"/>
      <c r="Q937" s="215"/>
      <c r="R937" s="215"/>
      <c r="S937" s="215"/>
      <c r="T937" s="215"/>
      <c r="U937" s="215"/>
      <c r="V937" s="215"/>
      <c r="W937" s="215"/>
      <c r="X937" s="215"/>
      <c r="Y937" s="215"/>
      <c r="Z937" s="215"/>
      <c r="AA937" s="215"/>
      <c r="AB937" s="247"/>
      <c r="AC937" s="219" t="s">
        <v>282</v>
      </c>
      <c r="AD937" s="644" t="s">
        <v>247</v>
      </c>
      <c r="AE937" s="645">
        <f t="shared" ref="AE937:BK937" si="266">AE213</f>
        <v>0</v>
      </c>
      <c r="AF937" s="222">
        <f t="shared" si="266"/>
        <v>0</v>
      </c>
      <c r="AG937" s="646">
        <f t="shared" si="266"/>
        <v>0</v>
      </c>
      <c r="AH937" s="647">
        <f t="shared" si="266"/>
        <v>0</v>
      </c>
      <c r="AI937" s="222">
        <f t="shared" si="266"/>
        <v>0</v>
      </c>
      <c r="AJ937" s="646">
        <f t="shared" si="266"/>
        <v>0</v>
      </c>
      <c r="AK937" s="645">
        <f t="shared" si="266"/>
        <v>0</v>
      </c>
      <c r="AL937" s="222">
        <f t="shared" si="266"/>
        <v>4.33</v>
      </c>
      <c r="AM937" s="646">
        <f t="shared" si="266"/>
        <v>0</v>
      </c>
      <c r="AN937" s="645">
        <f t="shared" si="266"/>
        <v>0</v>
      </c>
      <c r="AO937" s="222">
        <f t="shared" si="266"/>
        <v>96.03</v>
      </c>
      <c r="AP937" s="646">
        <f t="shared" si="266"/>
        <v>0</v>
      </c>
      <c r="AQ937" s="645">
        <f t="shared" si="266"/>
        <v>0</v>
      </c>
      <c r="AR937" s="222">
        <f t="shared" si="266"/>
        <v>0</v>
      </c>
      <c r="AS937" s="646">
        <f t="shared" si="266"/>
        <v>0</v>
      </c>
      <c r="AT937" s="645">
        <f t="shared" si="266"/>
        <v>0</v>
      </c>
      <c r="AU937" s="222">
        <f t="shared" si="266"/>
        <v>0</v>
      </c>
      <c r="AV937" s="646">
        <f t="shared" si="266"/>
        <v>0</v>
      </c>
      <c r="AW937" s="645">
        <f t="shared" si="266"/>
        <v>0</v>
      </c>
      <c r="AX937" s="222">
        <f t="shared" si="266"/>
        <v>0</v>
      </c>
      <c r="AY937" s="646">
        <f t="shared" si="266"/>
        <v>0</v>
      </c>
      <c r="AZ937" s="645">
        <f t="shared" si="266"/>
        <v>0</v>
      </c>
      <c r="BA937" s="222">
        <f t="shared" si="266"/>
        <v>0</v>
      </c>
      <c r="BB937" s="646">
        <f t="shared" si="266"/>
        <v>0</v>
      </c>
      <c r="BC937" s="645">
        <f t="shared" si="266"/>
        <v>0</v>
      </c>
      <c r="BD937" s="222">
        <f t="shared" si="266"/>
        <v>0</v>
      </c>
      <c r="BE937" s="646">
        <f t="shared" si="266"/>
        <v>0</v>
      </c>
      <c r="BF937" s="645">
        <f t="shared" si="266"/>
        <v>0</v>
      </c>
      <c r="BG937" s="222">
        <f t="shared" si="266"/>
        <v>0</v>
      </c>
      <c r="BH937" s="646">
        <f t="shared" si="266"/>
        <v>0</v>
      </c>
      <c r="BI937" s="645">
        <f t="shared" si="266"/>
        <v>0</v>
      </c>
      <c r="BJ937" s="222">
        <f t="shared" si="266"/>
        <v>0</v>
      </c>
      <c r="BK937" s="646">
        <f t="shared" si="266"/>
        <v>0</v>
      </c>
      <c r="BL937" s="229"/>
      <c r="BM937" s="215"/>
      <c r="BN937" s="125">
        <f t="shared" si="261"/>
        <v>0</v>
      </c>
      <c r="BO937" s="126">
        <f t="shared" si="262"/>
        <v>100.36</v>
      </c>
      <c r="BP937" s="127">
        <f t="shared" si="263"/>
        <v>0</v>
      </c>
    </row>
    <row r="938" spans="1:68" s="230" customFormat="1" ht="19.5" customHeight="1" outlineLevel="5" x14ac:dyDescent="0.25">
      <c r="A938" s="216"/>
      <c r="B938" s="215"/>
      <c r="C938" s="216"/>
      <c r="D938" s="216"/>
      <c r="E938" s="216"/>
      <c r="F938" s="216"/>
      <c r="G938" s="216"/>
      <c r="H938" s="216"/>
      <c r="I938" s="216"/>
      <c r="J938" s="215"/>
      <c r="K938" s="217"/>
      <c r="L938" s="216"/>
      <c r="M938" s="215"/>
      <c r="N938" s="215"/>
      <c r="O938" s="215"/>
      <c r="P938" s="215"/>
      <c r="Q938" s="215"/>
      <c r="R938" s="215"/>
      <c r="S938" s="215"/>
      <c r="T938" s="215"/>
      <c r="U938" s="215"/>
      <c r="V938" s="215"/>
      <c r="W938" s="215"/>
      <c r="X938" s="215"/>
      <c r="Y938" s="215"/>
      <c r="Z938" s="215"/>
      <c r="AA938" s="215"/>
      <c r="AB938" s="247"/>
      <c r="AC938" s="219" t="s">
        <v>248</v>
      </c>
      <c r="AD938" s="644" t="s">
        <v>247</v>
      </c>
      <c r="AE938" s="645">
        <f t="shared" ref="AE938:BK938" si="267">AE214+AE591</f>
        <v>0</v>
      </c>
      <c r="AF938" s="222">
        <f t="shared" si="267"/>
        <v>0</v>
      </c>
      <c r="AG938" s="646">
        <f t="shared" si="267"/>
        <v>0</v>
      </c>
      <c r="AH938" s="647">
        <f t="shared" si="267"/>
        <v>16.52</v>
      </c>
      <c r="AI938" s="222">
        <f t="shared" si="267"/>
        <v>0</v>
      </c>
      <c r="AJ938" s="646">
        <f t="shared" si="267"/>
        <v>17.18</v>
      </c>
      <c r="AK938" s="645">
        <f t="shared" si="267"/>
        <v>9.06</v>
      </c>
      <c r="AL938" s="222">
        <f t="shared" si="267"/>
        <v>29.4</v>
      </c>
      <c r="AM938" s="646">
        <f t="shared" si="267"/>
        <v>9.9700000000000006</v>
      </c>
      <c r="AN938" s="645">
        <f t="shared" si="267"/>
        <v>16.3</v>
      </c>
      <c r="AO938" s="222">
        <f t="shared" si="267"/>
        <v>21.1</v>
      </c>
      <c r="AP938" s="646">
        <f t="shared" si="267"/>
        <v>17.940000000000001</v>
      </c>
      <c r="AQ938" s="645">
        <f t="shared" si="267"/>
        <v>23.66</v>
      </c>
      <c r="AR938" s="222">
        <f t="shared" si="267"/>
        <v>0</v>
      </c>
      <c r="AS938" s="646">
        <f t="shared" si="267"/>
        <v>26.04</v>
      </c>
      <c r="AT938" s="645">
        <f t="shared" si="267"/>
        <v>0</v>
      </c>
      <c r="AU938" s="222">
        <f t="shared" si="267"/>
        <v>0</v>
      </c>
      <c r="AV938" s="646">
        <f t="shared" si="267"/>
        <v>0</v>
      </c>
      <c r="AW938" s="645">
        <f t="shared" si="267"/>
        <v>20.619</v>
      </c>
      <c r="AX938" s="222">
        <f t="shared" si="267"/>
        <v>0</v>
      </c>
      <c r="AY938" s="646">
        <f t="shared" si="267"/>
        <v>20</v>
      </c>
      <c r="AZ938" s="645">
        <f t="shared" si="267"/>
        <v>21.6</v>
      </c>
      <c r="BA938" s="222">
        <f t="shared" si="267"/>
        <v>0</v>
      </c>
      <c r="BB938" s="646">
        <f t="shared" si="267"/>
        <v>23.766999999999999</v>
      </c>
      <c r="BC938" s="645">
        <f t="shared" si="267"/>
        <v>71.45</v>
      </c>
      <c r="BD938" s="222">
        <f t="shared" si="267"/>
        <v>0</v>
      </c>
      <c r="BE938" s="646">
        <f t="shared" si="267"/>
        <v>21.46</v>
      </c>
      <c r="BF938" s="645">
        <f t="shared" si="267"/>
        <v>8.7639999999999993</v>
      </c>
      <c r="BG938" s="222">
        <f t="shared" si="267"/>
        <v>0</v>
      </c>
      <c r="BH938" s="646">
        <f t="shared" si="267"/>
        <v>9.6349999999999998</v>
      </c>
      <c r="BI938" s="645">
        <f t="shared" si="267"/>
        <v>9.06</v>
      </c>
      <c r="BJ938" s="222">
        <f t="shared" si="267"/>
        <v>0</v>
      </c>
      <c r="BK938" s="646">
        <f t="shared" si="267"/>
        <v>9.9700000000000006</v>
      </c>
      <c r="BL938" s="229"/>
      <c r="BM938" s="215"/>
      <c r="BN938" s="125">
        <f t="shared" si="261"/>
        <v>197.03300000000002</v>
      </c>
      <c r="BO938" s="126">
        <f t="shared" si="262"/>
        <v>50.5</v>
      </c>
      <c r="BP938" s="127">
        <f t="shared" si="263"/>
        <v>155.96199999999999</v>
      </c>
    </row>
    <row r="939" spans="1:68" s="230" customFormat="1" ht="19.5" customHeight="1" outlineLevel="5" x14ac:dyDescent="0.25">
      <c r="A939" s="216"/>
      <c r="B939" s="215"/>
      <c r="C939" s="216"/>
      <c r="D939" s="216"/>
      <c r="E939" s="216"/>
      <c r="F939" s="216"/>
      <c r="G939" s="216"/>
      <c r="H939" s="216"/>
      <c r="I939" s="216"/>
      <c r="J939" s="215"/>
      <c r="K939" s="217"/>
      <c r="L939" s="216"/>
      <c r="M939" s="215"/>
      <c r="N939" s="215"/>
      <c r="O939" s="215"/>
      <c r="P939" s="215"/>
      <c r="Q939" s="215"/>
      <c r="R939" s="215"/>
      <c r="S939" s="215"/>
      <c r="T939" s="215"/>
      <c r="U939" s="215"/>
      <c r="V939" s="215"/>
      <c r="W939" s="215"/>
      <c r="X939" s="215"/>
      <c r="Y939" s="215"/>
      <c r="Z939" s="215"/>
      <c r="AA939" s="215"/>
      <c r="AB939" s="247"/>
      <c r="AC939" s="219" t="s">
        <v>255</v>
      </c>
      <c r="AD939" s="644" t="s">
        <v>247</v>
      </c>
      <c r="AE939" s="645">
        <f t="shared" ref="AE939:BK939" si="268">AE215+AE579</f>
        <v>0</v>
      </c>
      <c r="AF939" s="222">
        <f t="shared" si="268"/>
        <v>0</v>
      </c>
      <c r="AG939" s="646">
        <f t="shared" si="268"/>
        <v>0</v>
      </c>
      <c r="AH939" s="647">
        <f t="shared" si="268"/>
        <v>5.23</v>
      </c>
      <c r="AI939" s="222">
        <f t="shared" si="268"/>
        <v>0</v>
      </c>
      <c r="AJ939" s="646">
        <f t="shared" si="268"/>
        <v>5.46</v>
      </c>
      <c r="AK939" s="645">
        <f t="shared" si="268"/>
        <v>123.65</v>
      </c>
      <c r="AL939" s="222">
        <f t="shared" si="268"/>
        <v>80</v>
      </c>
      <c r="AM939" s="646">
        <f t="shared" si="268"/>
        <v>136.05000000000001</v>
      </c>
      <c r="AN939" s="645">
        <f t="shared" si="268"/>
        <v>39.880000000000003</v>
      </c>
      <c r="AO939" s="222">
        <f t="shared" si="268"/>
        <v>36.93</v>
      </c>
      <c r="AP939" s="646">
        <f t="shared" si="268"/>
        <v>43.89</v>
      </c>
      <c r="AQ939" s="645">
        <f t="shared" si="268"/>
        <v>0</v>
      </c>
      <c r="AR939" s="222">
        <f t="shared" si="268"/>
        <v>0</v>
      </c>
      <c r="AS939" s="646">
        <f t="shared" si="268"/>
        <v>0</v>
      </c>
      <c r="AT939" s="645">
        <f t="shared" si="268"/>
        <v>279.73</v>
      </c>
      <c r="AU939" s="222">
        <f t="shared" si="268"/>
        <v>0</v>
      </c>
      <c r="AV939" s="646">
        <f t="shared" si="268"/>
        <v>347.45</v>
      </c>
      <c r="AW939" s="645">
        <f t="shared" si="268"/>
        <v>657.274</v>
      </c>
      <c r="AX939" s="222">
        <f t="shared" si="268"/>
        <v>0</v>
      </c>
      <c r="AY939" s="646">
        <f t="shared" si="268"/>
        <v>723.21</v>
      </c>
      <c r="AZ939" s="645">
        <f t="shared" si="268"/>
        <v>605.59699999999998</v>
      </c>
      <c r="BA939" s="222">
        <f t="shared" si="268"/>
        <v>0</v>
      </c>
      <c r="BB939" s="646">
        <f t="shared" si="268"/>
        <v>666.351</v>
      </c>
      <c r="BC939" s="645">
        <f t="shared" si="268"/>
        <v>7439.62</v>
      </c>
      <c r="BD939" s="222">
        <f t="shared" si="268"/>
        <v>0</v>
      </c>
      <c r="BE939" s="646">
        <f t="shared" si="268"/>
        <v>8560.7800000000007</v>
      </c>
      <c r="BF939" s="645">
        <f t="shared" si="268"/>
        <v>0</v>
      </c>
      <c r="BG939" s="222">
        <f t="shared" si="268"/>
        <v>0</v>
      </c>
      <c r="BH939" s="646">
        <f t="shared" si="268"/>
        <v>0</v>
      </c>
      <c r="BI939" s="645">
        <f t="shared" si="268"/>
        <v>281.53999999999996</v>
      </c>
      <c r="BJ939" s="222">
        <f t="shared" si="268"/>
        <v>48.63</v>
      </c>
      <c r="BK939" s="646">
        <f t="shared" si="268"/>
        <v>340.25</v>
      </c>
      <c r="BL939" s="229"/>
      <c r="BM939" s="215"/>
      <c r="BN939" s="125">
        <f t="shared" si="261"/>
        <v>9432.5210000000006</v>
      </c>
      <c r="BO939" s="126">
        <f t="shared" si="262"/>
        <v>165.56</v>
      </c>
      <c r="BP939" s="127">
        <f t="shared" si="263"/>
        <v>10823.441000000001</v>
      </c>
    </row>
    <row r="940" spans="1:68" s="230" customFormat="1" ht="19.5" customHeight="1" outlineLevel="5" x14ac:dyDescent="0.25">
      <c r="A940" s="216"/>
      <c r="B940" s="215"/>
      <c r="C940" s="216"/>
      <c r="D940" s="216"/>
      <c r="E940" s="216"/>
      <c r="F940" s="216"/>
      <c r="G940" s="216"/>
      <c r="H940" s="216"/>
      <c r="I940" s="216"/>
      <c r="J940" s="215"/>
      <c r="K940" s="217"/>
      <c r="L940" s="216"/>
      <c r="M940" s="215"/>
      <c r="N940" s="215"/>
      <c r="O940" s="215"/>
      <c r="P940" s="215"/>
      <c r="Q940" s="215"/>
      <c r="R940" s="215"/>
      <c r="S940" s="215"/>
      <c r="T940" s="215"/>
      <c r="U940" s="215"/>
      <c r="V940" s="215"/>
      <c r="W940" s="215"/>
      <c r="X940" s="215"/>
      <c r="Y940" s="215"/>
      <c r="Z940" s="215"/>
      <c r="AA940" s="215"/>
      <c r="AB940" s="247"/>
      <c r="AC940" s="219" t="s">
        <v>253</v>
      </c>
      <c r="AD940" s="644" t="s">
        <v>247</v>
      </c>
      <c r="AE940" s="645">
        <f t="shared" ref="AE940:BK940" si="269">AE216+AE576</f>
        <v>0</v>
      </c>
      <c r="AF940" s="222">
        <f t="shared" si="269"/>
        <v>0</v>
      </c>
      <c r="AG940" s="646">
        <f t="shared" si="269"/>
        <v>0</v>
      </c>
      <c r="AH940" s="647">
        <f t="shared" si="269"/>
        <v>0</v>
      </c>
      <c r="AI940" s="222">
        <f t="shared" si="269"/>
        <v>0</v>
      </c>
      <c r="AJ940" s="646">
        <f t="shared" si="269"/>
        <v>0</v>
      </c>
      <c r="AK940" s="645">
        <f t="shared" si="269"/>
        <v>36.770000000000003</v>
      </c>
      <c r="AL940" s="222">
        <f t="shared" si="269"/>
        <v>0</v>
      </c>
      <c r="AM940" s="646">
        <f t="shared" si="269"/>
        <v>40.46</v>
      </c>
      <c r="AN940" s="645">
        <f t="shared" si="269"/>
        <v>261.67</v>
      </c>
      <c r="AO940" s="222">
        <f t="shared" si="269"/>
        <v>0</v>
      </c>
      <c r="AP940" s="646">
        <f t="shared" si="269"/>
        <v>287.90999999999997</v>
      </c>
      <c r="AQ940" s="645">
        <f t="shared" si="269"/>
        <v>86.99</v>
      </c>
      <c r="AR940" s="222">
        <f t="shared" si="269"/>
        <v>0</v>
      </c>
      <c r="AS940" s="646">
        <f t="shared" si="269"/>
        <v>95.710000000000008</v>
      </c>
      <c r="AT940" s="645">
        <f t="shared" si="269"/>
        <v>74.61</v>
      </c>
      <c r="AU940" s="222">
        <f t="shared" si="269"/>
        <v>0</v>
      </c>
      <c r="AV940" s="646">
        <f t="shared" si="269"/>
        <v>82.09</v>
      </c>
      <c r="AW940" s="645">
        <f t="shared" si="269"/>
        <v>201.15100000000001</v>
      </c>
      <c r="AX940" s="222">
        <f t="shared" si="269"/>
        <v>0</v>
      </c>
      <c r="AY940" s="646">
        <f t="shared" si="269"/>
        <v>200.232</v>
      </c>
      <c r="AZ940" s="645">
        <f t="shared" si="269"/>
        <v>1873.5070000000001</v>
      </c>
      <c r="BA940" s="222">
        <f t="shared" si="269"/>
        <v>0</v>
      </c>
      <c r="BB940" s="646">
        <f t="shared" si="269"/>
        <v>910.98099999999999</v>
      </c>
      <c r="BC940" s="645">
        <f t="shared" si="269"/>
        <v>806.75</v>
      </c>
      <c r="BD940" s="222">
        <f t="shared" si="269"/>
        <v>0</v>
      </c>
      <c r="BE940" s="646">
        <f t="shared" si="269"/>
        <v>213.57</v>
      </c>
      <c r="BF940" s="645">
        <f t="shared" si="269"/>
        <v>0</v>
      </c>
      <c r="BG940" s="222">
        <f t="shared" si="269"/>
        <v>0</v>
      </c>
      <c r="BH940" s="646">
        <f t="shared" si="269"/>
        <v>0</v>
      </c>
      <c r="BI940" s="645">
        <f t="shared" si="269"/>
        <v>0</v>
      </c>
      <c r="BJ940" s="222">
        <f t="shared" si="269"/>
        <v>0</v>
      </c>
      <c r="BK940" s="646">
        <f t="shared" si="269"/>
        <v>0</v>
      </c>
      <c r="BL940" s="229"/>
      <c r="BM940" s="215"/>
      <c r="BN940" s="125">
        <f t="shared" si="261"/>
        <v>3341.4480000000003</v>
      </c>
      <c r="BO940" s="126">
        <f t="shared" si="262"/>
        <v>0</v>
      </c>
      <c r="BP940" s="127">
        <f t="shared" si="263"/>
        <v>1830.9529999999997</v>
      </c>
    </row>
    <row r="941" spans="1:68" s="230" customFormat="1" ht="31.5" customHeight="1" outlineLevel="5" x14ac:dyDescent="0.25">
      <c r="A941" s="216"/>
      <c r="B941" s="215"/>
      <c r="C941" s="216"/>
      <c r="D941" s="216"/>
      <c r="E941" s="216"/>
      <c r="F941" s="216"/>
      <c r="G941" s="216"/>
      <c r="H941" s="216"/>
      <c r="I941" s="216"/>
      <c r="J941" s="215"/>
      <c r="K941" s="217"/>
      <c r="L941" s="216"/>
      <c r="M941" s="215"/>
      <c r="N941" s="215"/>
      <c r="O941" s="215"/>
      <c r="P941" s="215"/>
      <c r="Q941" s="215"/>
      <c r="R941" s="215"/>
      <c r="S941" s="215"/>
      <c r="T941" s="215"/>
      <c r="U941" s="215"/>
      <c r="V941" s="215"/>
      <c r="W941" s="215"/>
      <c r="X941" s="215"/>
      <c r="Y941" s="215"/>
      <c r="Z941" s="215"/>
      <c r="AA941" s="215"/>
      <c r="AB941" s="247"/>
      <c r="AC941" s="219" t="s">
        <v>283</v>
      </c>
      <c r="AD941" s="644" t="s">
        <v>247</v>
      </c>
      <c r="AE941" s="645">
        <f t="shared" ref="AE941:BK941" si="270">AE217</f>
        <v>0</v>
      </c>
      <c r="AF941" s="222">
        <f t="shared" si="270"/>
        <v>0</v>
      </c>
      <c r="AG941" s="646">
        <f t="shared" si="270"/>
        <v>0</v>
      </c>
      <c r="AH941" s="647">
        <f t="shared" si="270"/>
        <v>0</v>
      </c>
      <c r="AI941" s="222">
        <f t="shared" si="270"/>
        <v>0</v>
      </c>
      <c r="AJ941" s="646">
        <f t="shared" si="270"/>
        <v>0</v>
      </c>
      <c r="AK941" s="645">
        <f t="shared" si="270"/>
        <v>0</v>
      </c>
      <c r="AL941" s="222">
        <f t="shared" si="270"/>
        <v>22.57</v>
      </c>
      <c r="AM941" s="646">
        <f t="shared" si="270"/>
        <v>0</v>
      </c>
      <c r="AN941" s="645">
        <f t="shared" si="270"/>
        <v>0</v>
      </c>
      <c r="AO941" s="222">
        <f t="shared" si="270"/>
        <v>0</v>
      </c>
      <c r="AP941" s="646">
        <f t="shared" si="270"/>
        <v>0</v>
      </c>
      <c r="AQ941" s="645">
        <f t="shared" si="270"/>
        <v>0</v>
      </c>
      <c r="AR941" s="222">
        <f t="shared" si="270"/>
        <v>0</v>
      </c>
      <c r="AS941" s="646">
        <f t="shared" si="270"/>
        <v>0</v>
      </c>
      <c r="AT941" s="645">
        <f t="shared" si="270"/>
        <v>0</v>
      </c>
      <c r="AU941" s="222">
        <f t="shared" si="270"/>
        <v>0</v>
      </c>
      <c r="AV941" s="646">
        <f t="shared" si="270"/>
        <v>0</v>
      </c>
      <c r="AW941" s="645">
        <f t="shared" si="270"/>
        <v>0</v>
      </c>
      <c r="AX941" s="222">
        <f t="shared" si="270"/>
        <v>0</v>
      </c>
      <c r="AY941" s="646">
        <f t="shared" si="270"/>
        <v>0</v>
      </c>
      <c r="AZ941" s="645">
        <f t="shared" si="270"/>
        <v>0</v>
      </c>
      <c r="BA941" s="222">
        <f t="shared" si="270"/>
        <v>0</v>
      </c>
      <c r="BB941" s="646">
        <f t="shared" si="270"/>
        <v>0</v>
      </c>
      <c r="BC941" s="645">
        <f t="shared" si="270"/>
        <v>0</v>
      </c>
      <c r="BD941" s="222">
        <f t="shared" si="270"/>
        <v>0</v>
      </c>
      <c r="BE941" s="646">
        <f t="shared" si="270"/>
        <v>0</v>
      </c>
      <c r="BF941" s="645">
        <f t="shared" si="270"/>
        <v>0</v>
      </c>
      <c r="BG941" s="222">
        <f t="shared" si="270"/>
        <v>0</v>
      </c>
      <c r="BH941" s="646">
        <f t="shared" si="270"/>
        <v>0</v>
      </c>
      <c r="BI941" s="645">
        <f t="shared" si="270"/>
        <v>0</v>
      </c>
      <c r="BJ941" s="222">
        <f t="shared" si="270"/>
        <v>0</v>
      </c>
      <c r="BK941" s="646">
        <f t="shared" si="270"/>
        <v>0</v>
      </c>
      <c r="BL941" s="229"/>
      <c r="BM941" s="215"/>
      <c r="BN941" s="125">
        <f t="shared" si="261"/>
        <v>0</v>
      </c>
      <c r="BO941" s="126">
        <f t="shared" si="262"/>
        <v>22.57</v>
      </c>
      <c r="BP941" s="127">
        <f t="shared" si="263"/>
        <v>0</v>
      </c>
    </row>
    <row r="942" spans="1:68" s="230" customFormat="1" ht="19.5" customHeight="1" outlineLevel="5" x14ac:dyDescent="0.25">
      <c r="A942" s="216"/>
      <c r="B942" s="215"/>
      <c r="C942" s="216"/>
      <c r="D942" s="216"/>
      <c r="E942" s="216"/>
      <c r="F942" s="216"/>
      <c r="G942" s="216"/>
      <c r="H942" s="216"/>
      <c r="I942" s="216"/>
      <c r="J942" s="215"/>
      <c r="K942" s="217"/>
      <c r="L942" s="216"/>
      <c r="M942" s="215"/>
      <c r="N942" s="215"/>
      <c r="O942" s="215"/>
      <c r="P942" s="215"/>
      <c r="Q942" s="215"/>
      <c r="R942" s="215"/>
      <c r="S942" s="215"/>
      <c r="T942" s="215"/>
      <c r="U942" s="215"/>
      <c r="V942" s="215"/>
      <c r="W942" s="215"/>
      <c r="X942" s="215"/>
      <c r="Y942" s="215"/>
      <c r="Z942" s="215"/>
      <c r="AA942" s="215"/>
      <c r="AB942" s="247"/>
      <c r="AC942" s="219" t="s">
        <v>284</v>
      </c>
      <c r="AD942" s="644" t="s">
        <v>247</v>
      </c>
      <c r="AE942" s="645">
        <f t="shared" ref="AE942:BK942" si="271">AE218</f>
        <v>0</v>
      </c>
      <c r="AF942" s="222">
        <f t="shared" si="271"/>
        <v>0</v>
      </c>
      <c r="AG942" s="646">
        <f t="shared" si="271"/>
        <v>0</v>
      </c>
      <c r="AH942" s="647">
        <f t="shared" si="271"/>
        <v>0</v>
      </c>
      <c r="AI942" s="222">
        <f t="shared" si="271"/>
        <v>0</v>
      </c>
      <c r="AJ942" s="646">
        <f t="shared" si="271"/>
        <v>0</v>
      </c>
      <c r="AK942" s="645">
        <f t="shared" si="271"/>
        <v>17.63</v>
      </c>
      <c r="AL942" s="222">
        <f t="shared" si="271"/>
        <v>42.05</v>
      </c>
      <c r="AM942" s="646">
        <f t="shared" si="271"/>
        <v>21.06</v>
      </c>
      <c r="AN942" s="645">
        <f t="shared" si="271"/>
        <v>21.98</v>
      </c>
      <c r="AO942" s="222">
        <f t="shared" si="271"/>
        <v>0</v>
      </c>
      <c r="AP942" s="646">
        <f t="shared" si="271"/>
        <v>24.19</v>
      </c>
      <c r="AQ942" s="645">
        <f t="shared" si="271"/>
        <v>0</v>
      </c>
      <c r="AR942" s="222">
        <f t="shared" si="271"/>
        <v>0</v>
      </c>
      <c r="AS942" s="646">
        <f t="shared" si="271"/>
        <v>0</v>
      </c>
      <c r="AT942" s="645">
        <f t="shared" si="271"/>
        <v>20.84</v>
      </c>
      <c r="AU942" s="222">
        <f t="shared" si="271"/>
        <v>0</v>
      </c>
      <c r="AV942" s="646">
        <f t="shared" si="271"/>
        <v>30.84</v>
      </c>
      <c r="AW942" s="645">
        <f t="shared" si="271"/>
        <v>0</v>
      </c>
      <c r="AX942" s="222">
        <f t="shared" si="271"/>
        <v>0</v>
      </c>
      <c r="AY942" s="646">
        <f t="shared" si="271"/>
        <v>0</v>
      </c>
      <c r="AZ942" s="645">
        <f t="shared" si="271"/>
        <v>0</v>
      </c>
      <c r="BA942" s="222">
        <f t="shared" si="271"/>
        <v>0</v>
      </c>
      <c r="BB942" s="646">
        <f t="shared" si="271"/>
        <v>0</v>
      </c>
      <c r="BC942" s="645">
        <f t="shared" si="271"/>
        <v>0</v>
      </c>
      <c r="BD942" s="222">
        <f t="shared" si="271"/>
        <v>0</v>
      </c>
      <c r="BE942" s="646">
        <f t="shared" si="271"/>
        <v>52.38</v>
      </c>
      <c r="BF942" s="645">
        <f t="shared" si="271"/>
        <v>23.655000000000001</v>
      </c>
      <c r="BG942" s="222">
        <f t="shared" si="271"/>
        <v>0</v>
      </c>
      <c r="BH942" s="646">
        <f t="shared" si="271"/>
        <v>0</v>
      </c>
      <c r="BI942" s="645">
        <f t="shared" si="271"/>
        <v>38.770000000000003</v>
      </c>
      <c r="BJ942" s="222">
        <f t="shared" si="271"/>
        <v>0</v>
      </c>
      <c r="BK942" s="646">
        <f t="shared" si="271"/>
        <v>0</v>
      </c>
      <c r="BL942" s="229"/>
      <c r="BM942" s="215"/>
      <c r="BN942" s="125">
        <f t="shared" si="261"/>
        <v>122.875</v>
      </c>
      <c r="BO942" s="126">
        <f t="shared" si="262"/>
        <v>42.05</v>
      </c>
      <c r="BP942" s="127">
        <f t="shared" si="263"/>
        <v>128.47</v>
      </c>
    </row>
    <row r="943" spans="1:68" s="230" customFormat="1" ht="19.5" customHeight="1" outlineLevel="5" x14ac:dyDescent="0.25">
      <c r="A943" s="216"/>
      <c r="B943" s="215"/>
      <c r="C943" s="216"/>
      <c r="D943" s="216"/>
      <c r="E943" s="216"/>
      <c r="F943" s="216"/>
      <c r="G943" s="216"/>
      <c r="H943" s="216"/>
      <c r="I943" s="216"/>
      <c r="J943" s="215"/>
      <c r="K943" s="217"/>
      <c r="L943" s="216"/>
      <c r="M943" s="215"/>
      <c r="N943" s="215"/>
      <c r="O943" s="215"/>
      <c r="P943" s="215"/>
      <c r="Q943" s="215"/>
      <c r="R943" s="215"/>
      <c r="S943" s="215"/>
      <c r="T943" s="215"/>
      <c r="U943" s="215"/>
      <c r="V943" s="215"/>
      <c r="W943" s="215"/>
      <c r="X943" s="215"/>
      <c r="Y943" s="215"/>
      <c r="Z943" s="215"/>
      <c r="AA943" s="215"/>
      <c r="AB943" s="247"/>
      <c r="AC943" s="219" t="s">
        <v>285</v>
      </c>
      <c r="AD943" s="644" t="s">
        <v>247</v>
      </c>
      <c r="AE943" s="645">
        <f t="shared" ref="AE943:BK943" si="272">AE219+AE592</f>
        <v>0</v>
      </c>
      <c r="AF943" s="222">
        <f t="shared" si="272"/>
        <v>0</v>
      </c>
      <c r="AG943" s="646">
        <f t="shared" si="272"/>
        <v>0</v>
      </c>
      <c r="AH943" s="647">
        <f t="shared" si="272"/>
        <v>49.51</v>
      </c>
      <c r="AI943" s="222">
        <f t="shared" si="272"/>
        <v>664.31</v>
      </c>
      <c r="AJ943" s="646">
        <f t="shared" si="272"/>
        <v>51.49</v>
      </c>
      <c r="AK943" s="645">
        <f t="shared" si="272"/>
        <v>0</v>
      </c>
      <c r="AL943" s="222">
        <f t="shared" si="272"/>
        <v>0</v>
      </c>
      <c r="AM943" s="646">
        <f t="shared" si="272"/>
        <v>0</v>
      </c>
      <c r="AN943" s="645">
        <f t="shared" si="272"/>
        <v>0</v>
      </c>
      <c r="AO943" s="222">
        <f t="shared" si="272"/>
        <v>0</v>
      </c>
      <c r="AP943" s="646">
        <f t="shared" si="272"/>
        <v>0</v>
      </c>
      <c r="AQ943" s="645">
        <f t="shared" si="272"/>
        <v>0</v>
      </c>
      <c r="AR943" s="222">
        <f t="shared" si="272"/>
        <v>0</v>
      </c>
      <c r="AS943" s="646">
        <f t="shared" si="272"/>
        <v>0</v>
      </c>
      <c r="AT943" s="645">
        <f t="shared" si="272"/>
        <v>0</v>
      </c>
      <c r="AU943" s="222">
        <f t="shared" si="272"/>
        <v>0</v>
      </c>
      <c r="AV943" s="646">
        <f t="shared" si="272"/>
        <v>0</v>
      </c>
      <c r="AW943" s="645">
        <f t="shared" si="272"/>
        <v>0</v>
      </c>
      <c r="AX943" s="222">
        <f t="shared" si="272"/>
        <v>0</v>
      </c>
      <c r="AY943" s="646">
        <f t="shared" si="272"/>
        <v>0</v>
      </c>
      <c r="AZ943" s="645">
        <f t="shared" si="272"/>
        <v>0</v>
      </c>
      <c r="BA943" s="222">
        <f t="shared" si="272"/>
        <v>193.66</v>
      </c>
      <c r="BB943" s="646">
        <f t="shared" si="272"/>
        <v>100.9</v>
      </c>
      <c r="BC943" s="645">
        <f t="shared" si="272"/>
        <v>0</v>
      </c>
      <c r="BD943" s="222">
        <f t="shared" si="272"/>
        <v>0</v>
      </c>
      <c r="BE943" s="646">
        <f t="shared" si="272"/>
        <v>0</v>
      </c>
      <c r="BF943" s="645">
        <f t="shared" si="272"/>
        <v>0</v>
      </c>
      <c r="BG943" s="222">
        <f t="shared" si="272"/>
        <v>0</v>
      </c>
      <c r="BH943" s="646">
        <f t="shared" si="272"/>
        <v>0</v>
      </c>
      <c r="BI943" s="645">
        <f t="shared" si="272"/>
        <v>0</v>
      </c>
      <c r="BJ943" s="222">
        <f t="shared" si="272"/>
        <v>0</v>
      </c>
      <c r="BK943" s="646">
        <f t="shared" si="272"/>
        <v>0</v>
      </c>
      <c r="BL943" s="229"/>
      <c r="BM943" s="215"/>
      <c r="BN943" s="125">
        <f t="shared" si="261"/>
        <v>49.51</v>
      </c>
      <c r="BO943" s="126">
        <f t="shared" si="262"/>
        <v>857.96999999999991</v>
      </c>
      <c r="BP943" s="127">
        <f t="shared" si="263"/>
        <v>152.39000000000001</v>
      </c>
    </row>
    <row r="944" spans="1:68" s="230" customFormat="1" ht="19.5" customHeight="1" outlineLevel="5" x14ac:dyDescent="0.25">
      <c r="A944" s="216"/>
      <c r="B944" s="215"/>
      <c r="C944" s="216"/>
      <c r="D944" s="216"/>
      <c r="E944" s="216"/>
      <c r="F944" s="216"/>
      <c r="G944" s="216"/>
      <c r="H944" s="216"/>
      <c r="I944" s="216"/>
      <c r="J944" s="215"/>
      <c r="K944" s="217"/>
      <c r="L944" s="216"/>
      <c r="M944" s="215"/>
      <c r="N944" s="215"/>
      <c r="O944" s="215"/>
      <c r="P944" s="215"/>
      <c r="Q944" s="215"/>
      <c r="R944" s="215"/>
      <c r="S944" s="215"/>
      <c r="T944" s="215"/>
      <c r="U944" s="215"/>
      <c r="V944" s="215"/>
      <c r="W944" s="215"/>
      <c r="X944" s="215"/>
      <c r="Y944" s="215"/>
      <c r="Z944" s="215"/>
      <c r="AA944" s="215"/>
      <c r="AB944" s="247"/>
      <c r="AC944" s="219" t="s">
        <v>286</v>
      </c>
      <c r="AD944" s="644" t="s">
        <v>247</v>
      </c>
      <c r="AE944" s="645">
        <f t="shared" ref="AE944:BK944" si="273">AE220+AE584</f>
        <v>0</v>
      </c>
      <c r="AF944" s="222">
        <f t="shared" si="273"/>
        <v>0</v>
      </c>
      <c r="AG944" s="646">
        <f t="shared" si="273"/>
        <v>0</v>
      </c>
      <c r="AH944" s="647">
        <f t="shared" si="273"/>
        <v>0</v>
      </c>
      <c r="AI944" s="222">
        <f t="shared" si="273"/>
        <v>0</v>
      </c>
      <c r="AJ944" s="646">
        <f t="shared" si="273"/>
        <v>0</v>
      </c>
      <c r="AK944" s="645">
        <f t="shared" si="273"/>
        <v>0</v>
      </c>
      <c r="AL944" s="222">
        <f t="shared" si="273"/>
        <v>0</v>
      </c>
      <c r="AM944" s="646">
        <f t="shared" si="273"/>
        <v>0</v>
      </c>
      <c r="AN944" s="645">
        <f t="shared" si="273"/>
        <v>0</v>
      </c>
      <c r="AO944" s="222">
        <f t="shared" si="273"/>
        <v>0</v>
      </c>
      <c r="AP944" s="646">
        <f t="shared" si="273"/>
        <v>0</v>
      </c>
      <c r="AQ944" s="645">
        <f t="shared" si="273"/>
        <v>0</v>
      </c>
      <c r="AR944" s="222">
        <f t="shared" si="273"/>
        <v>0</v>
      </c>
      <c r="AS944" s="646">
        <f t="shared" si="273"/>
        <v>0</v>
      </c>
      <c r="AT944" s="645">
        <f t="shared" si="273"/>
        <v>22.189999999999998</v>
      </c>
      <c r="AU944" s="222">
        <f t="shared" si="273"/>
        <v>0</v>
      </c>
      <c r="AV944" s="646">
        <f t="shared" si="273"/>
        <v>24.41</v>
      </c>
      <c r="AW944" s="645">
        <f t="shared" si="273"/>
        <v>132.99</v>
      </c>
      <c r="AX944" s="222">
        <f t="shared" si="273"/>
        <v>0</v>
      </c>
      <c r="AY944" s="646">
        <f t="shared" si="273"/>
        <v>146.33199999999999</v>
      </c>
      <c r="AZ944" s="645">
        <f t="shared" si="273"/>
        <v>0</v>
      </c>
      <c r="BA944" s="222">
        <f t="shared" si="273"/>
        <v>0</v>
      </c>
      <c r="BB944" s="646">
        <f t="shared" si="273"/>
        <v>0</v>
      </c>
      <c r="BC944" s="645">
        <f t="shared" si="273"/>
        <v>0</v>
      </c>
      <c r="BD944" s="222">
        <f t="shared" si="273"/>
        <v>0</v>
      </c>
      <c r="BE944" s="646">
        <f t="shared" si="273"/>
        <v>0</v>
      </c>
      <c r="BF944" s="645">
        <f t="shared" si="273"/>
        <v>0</v>
      </c>
      <c r="BG944" s="222">
        <f t="shared" si="273"/>
        <v>0</v>
      </c>
      <c r="BH944" s="646">
        <f t="shared" si="273"/>
        <v>0</v>
      </c>
      <c r="BI944" s="645">
        <f t="shared" si="273"/>
        <v>0</v>
      </c>
      <c r="BJ944" s="222">
        <f t="shared" si="273"/>
        <v>0</v>
      </c>
      <c r="BK944" s="646">
        <f t="shared" si="273"/>
        <v>0</v>
      </c>
      <c r="BL944" s="229"/>
      <c r="BM944" s="215"/>
      <c r="BN944" s="125">
        <f t="shared" si="261"/>
        <v>155.18</v>
      </c>
      <c r="BO944" s="126">
        <f t="shared" si="262"/>
        <v>0</v>
      </c>
      <c r="BP944" s="127">
        <f t="shared" si="263"/>
        <v>170.74199999999999</v>
      </c>
    </row>
    <row r="945" spans="1:68" s="230" customFormat="1" ht="19.5" customHeight="1" outlineLevel="5" x14ac:dyDescent="0.25">
      <c r="A945" s="216"/>
      <c r="B945" s="215"/>
      <c r="C945" s="216"/>
      <c r="D945" s="216"/>
      <c r="E945" s="216"/>
      <c r="F945" s="216"/>
      <c r="G945" s="216"/>
      <c r="H945" s="216"/>
      <c r="I945" s="216"/>
      <c r="J945" s="215"/>
      <c r="K945" s="217"/>
      <c r="L945" s="216"/>
      <c r="M945" s="215"/>
      <c r="N945" s="215"/>
      <c r="O945" s="215"/>
      <c r="P945" s="215"/>
      <c r="Q945" s="215"/>
      <c r="R945" s="215"/>
      <c r="S945" s="215"/>
      <c r="T945" s="215"/>
      <c r="U945" s="215"/>
      <c r="V945" s="215"/>
      <c r="W945" s="215"/>
      <c r="X945" s="215"/>
      <c r="Y945" s="215"/>
      <c r="Z945" s="215"/>
      <c r="AA945" s="215"/>
      <c r="AB945" s="247"/>
      <c r="AC945" s="219" t="s">
        <v>287</v>
      </c>
      <c r="AD945" s="644" t="s">
        <v>247</v>
      </c>
      <c r="AE945" s="645">
        <f t="shared" ref="AE945:BK945" si="274">AE221+AE571</f>
        <v>0</v>
      </c>
      <c r="AF945" s="222">
        <f t="shared" si="274"/>
        <v>0</v>
      </c>
      <c r="AG945" s="646">
        <f t="shared" si="274"/>
        <v>0</v>
      </c>
      <c r="AH945" s="647">
        <f t="shared" si="274"/>
        <v>9.6300000000000008</v>
      </c>
      <c r="AI945" s="222">
        <f t="shared" si="274"/>
        <v>0</v>
      </c>
      <c r="AJ945" s="646">
        <f t="shared" si="274"/>
        <v>0</v>
      </c>
      <c r="AK945" s="645">
        <f t="shared" si="274"/>
        <v>9.6300000000000008</v>
      </c>
      <c r="AL945" s="222">
        <f t="shared" si="274"/>
        <v>11.35</v>
      </c>
      <c r="AM945" s="646">
        <f t="shared" si="274"/>
        <v>10.6</v>
      </c>
      <c r="AN945" s="645">
        <f t="shared" si="274"/>
        <v>28.89</v>
      </c>
      <c r="AO945" s="222">
        <f t="shared" si="274"/>
        <v>0</v>
      </c>
      <c r="AP945" s="646">
        <f t="shared" si="274"/>
        <v>31.79</v>
      </c>
      <c r="AQ945" s="645">
        <f t="shared" si="274"/>
        <v>9.6300000000000008</v>
      </c>
      <c r="AR945" s="222">
        <f t="shared" si="274"/>
        <v>0</v>
      </c>
      <c r="AS945" s="646">
        <f t="shared" si="274"/>
        <v>10.6</v>
      </c>
      <c r="AT945" s="645">
        <f t="shared" si="274"/>
        <v>32.58</v>
      </c>
      <c r="AU945" s="222">
        <f t="shared" si="274"/>
        <v>0</v>
      </c>
      <c r="AV945" s="646">
        <f t="shared" si="274"/>
        <v>18.84</v>
      </c>
      <c r="AW945" s="645">
        <f t="shared" si="274"/>
        <v>9.6300000000000008</v>
      </c>
      <c r="AX945" s="222">
        <f t="shared" si="274"/>
        <v>0</v>
      </c>
      <c r="AY945" s="646">
        <f t="shared" si="274"/>
        <v>10.596</v>
      </c>
      <c r="AZ945" s="645">
        <f t="shared" si="274"/>
        <v>19.260000000000002</v>
      </c>
      <c r="BA945" s="222">
        <f t="shared" si="274"/>
        <v>0</v>
      </c>
      <c r="BB945" s="646">
        <f t="shared" si="274"/>
        <v>21.192</v>
      </c>
      <c r="BC945" s="645">
        <f t="shared" si="274"/>
        <v>0</v>
      </c>
      <c r="BD945" s="222">
        <f t="shared" si="274"/>
        <v>0</v>
      </c>
      <c r="BE945" s="646">
        <f t="shared" si="274"/>
        <v>0</v>
      </c>
      <c r="BF945" s="645">
        <f t="shared" si="274"/>
        <v>0</v>
      </c>
      <c r="BG945" s="222">
        <f t="shared" si="274"/>
        <v>0</v>
      </c>
      <c r="BH945" s="646">
        <f t="shared" si="274"/>
        <v>0</v>
      </c>
      <c r="BI945" s="645">
        <f t="shared" si="274"/>
        <v>0</v>
      </c>
      <c r="BJ945" s="222">
        <f t="shared" si="274"/>
        <v>0</v>
      </c>
      <c r="BK945" s="646">
        <f t="shared" si="274"/>
        <v>0</v>
      </c>
      <c r="BL945" s="229"/>
      <c r="BM945" s="215"/>
      <c r="BN945" s="125">
        <f t="shared" si="261"/>
        <v>119.25000000000001</v>
      </c>
      <c r="BO945" s="126">
        <f t="shared" si="262"/>
        <v>11.35</v>
      </c>
      <c r="BP945" s="127">
        <f t="shared" si="263"/>
        <v>103.61799999999999</v>
      </c>
    </row>
    <row r="946" spans="1:68" s="230" customFormat="1" ht="19.5" customHeight="1" outlineLevel="5" x14ac:dyDescent="0.25">
      <c r="A946" s="216"/>
      <c r="B946" s="215"/>
      <c r="C946" s="216"/>
      <c r="D946" s="216"/>
      <c r="E946" s="216"/>
      <c r="F946" s="216"/>
      <c r="G946" s="216"/>
      <c r="H946" s="216"/>
      <c r="I946" s="216"/>
      <c r="J946" s="215"/>
      <c r="K946" s="217"/>
      <c r="L946" s="216"/>
      <c r="M946" s="215"/>
      <c r="N946" s="215"/>
      <c r="O946" s="215"/>
      <c r="P946" s="215"/>
      <c r="Q946" s="215"/>
      <c r="R946" s="215"/>
      <c r="S946" s="215"/>
      <c r="T946" s="215"/>
      <c r="U946" s="215"/>
      <c r="V946" s="215"/>
      <c r="W946" s="215"/>
      <c r="X946" s="215"/>
      <c r="Y946" s="215"/>
      <c r="Z946" s="215"/>
      <c r="AA946" s="215"/>
      <c r="AB946" s="247"/>
      <c r="AC946" s="219" t="s">
        <v>288</v>
      </c>
      <c r="AD946" s="644" t="s">
        <v>247</v>
      </c>
      <c r="AE946" s="645">
        <f t="shared" ref="AE946:BK946" si="275">AE222+AE578</f>
        <v>0</v>
      </c>
      <c r="AF946" s="222">
        <f t="shared" si="275"/>
        <v>0</v>
      </c>
      <c r="AG946" s="646">
        <f t="shared" si="275"/>
        <v>0</v>
      </c>
      <c r="AH946" s="647">
        <f t="shared" si="275"/>
        <v>0</v>
      </c>
      <c r="AI946" s="222">
        <f t="shared" si="275"/>
        <v>0</v>
      </c>
      <c r="AJ946" s="646">
        <f t="shared" si="275"/>
        <v>0</v>
      </c>
      <c r="AK946" s="645">
        <f t="shared" si="275"/>
        <v>44.01</v>
      </c>
      <c r="AL946" s="222">
        <f t="shared" si="275"/>
        <v>1.9</v>
      </c>
      <c r="AM946" s="646">
        <f t="shared" si="275"/>
        <v>48.43</v>
      </c>
      <c r="AN946" s="645">
        <f t="shared" si="275"/>
        <v>3.28</v>
      </c>
      <c r="AO946" s="222">
        <f t="shared" si="275"/>
        <v>0</v>
      </c>
      <c r="AP946" s="646">
        <f t="shared" si="275"/>
        <v>3.6100000000000003</v>
      </c>
      <c r="AQ946" s="645">
        <f t="shared" si="275"/>
        <v>79.2</v>
      </c>
      <c r="AR946" s="222">
        <f t="shared" si="275"/>
        <v>0</v>
      </c>
      <c r="AS946" s="646">
        <f t="shared" si="275"/>
        <v>87.14</v>
      </c>
      <c r="AT946" s="645">
        <f t="shared" si="275"/>
        <v>110.62</v>
      </c>
      <c r="AU946" s="222">
        <f t="shared" si="275"/>
        <v>0</v>
      </c>
      <c r="AV946" s="646">
        <f t="shared" si="275"/>
        <v>121.72</v>
      </c>
      <c r="AW946" s="645">
        <f t="shared" si="275"/>
        <v>68.125999999999991</v>
      </c>
      <c r="AX946" s="222">
        <f t="shared" si="275"/>
        <v>0</v>
      </c>
      <c r="AY946" s="646">
        <f t="shared" si="275"/>
        <v>2.9569999999999999</v>
      </c>
      <c r="AZ946" s="645">
        <f t="shared" si="275"/>
        <v>136.816</v>
      </c>
      <c r="BA946" s="222">
        <f t="shared" si="275"/>
        <v>0</v>
      </c>
      <c r="BB946" s="646">
        <f t="shared" si="275"/>
        <v>150.542</v>
      </c>
      <c r="BC946" s="645">
        <f t="shared" si="275"/>
        <v>10.28</v>
      </c>
      <c r="BD946" s="222">
        <f t="shared" si="275"/>
        <v>0</v>
      </c>
      <c r="BE946" s="646">
        <f t="shared" si="275"/>
        <v>0</v>
      </c>
      <c r="BF946" s="645">
        <f t="shared" si="275"/>
        <v>0</v>
      </c>
      <c r="BG946" s="222">
        <f t="shared" si="275"/>
        <v>0</v>
      </c>
      <c r="BH946" s="646">
        <f t="shared" si="275"/>
        <v>0</v>
      </c>
      <c r="BI946" s="645">
        <f t="shared" si="275"/>
        <v>0</v>
      </c>
      <c r="BJ946" s="222">
        <f t="shared" si="275"/>
        <v>0</v>
      </c>
      <c r="BK946" s="646">
        <f t="shared" si="275"/>
        <v>0</v>
      </c>
      <c r="BL946" s="229"/>
      <c r="BM946" s="215"/>
      <c r="BN946" s="125">
        <f t="shared" si="261"/>
        <v>452.33199999999999</v>
      </c>
      <c r="BO946" s="126">
        <f t="shared" si="262"/>
        <v>1.9</v>
      </c>
      <c r="BP946" s="127">
        <f t="shared" si="263"/>
        <v>414.399</v>
      </c>
    </row>
    <row r="947" spans="1:68" s="230" customFormat="1" ht="19.5" customHeight="1" outlineLevel="5" x14ac:dyDescent="0.25">
      <c r="A947" s="216"/>
      <c r="B947" s="215"/>
      <c r="C947" s="216"/>
      <c r="D947" s="216"/>
      <c r="E947" s="216"/>
      <c r="F947" s="216"/>
      <c r="G947" s="216"/>
      <c r="H947" s="216"/>
      <c r="I947" s="216"/>
      <c r="J947" s="215"/>
      <c r="K947" s="217"/>
      <c r="L947" s="216"/>
      <c r="M947" s="215"/>
      <c r="N947" s="215"/>
      <c r="O947" s="215"/>
      <c r="P947" s="215"/>
      <c r="Q947" s="215"/>
      <c r="R947" s="215"/>
      <c r="S947" s="215"/>
      <c r="T947" s="215"/>
      <c r="U947" s="215"/>
      <c r="V947" s="215"/>
      <c r="W947" s="215"/>
      <c r="X947" s="215"/>
      <c r="Y947" s="215"/>
      <c r="Z947" s="215"/>
      <c r="AA947" s="215"/>
      <c r="AB947" s="247"/>
      <c r="AC947" s="219" t="s">
        <v>289</v>
      </c>
      <c r="AD947" s="644" t="s">
        <v>247</v>
      </c>
      <c r="AE947" s="645">
        <f t="shared" ref="AE947:BK947" si="276">AE223+AE569</f>
        <v>0</v>
      </c>
      <c r="AF947" s="222">
        <f t="shared" si="276"/>
        <v>0</v>
      </c>
      <c r="AG947" s="646">
        <f t="shared" si="276"/>
        <v>0</v>
      </c>
      <c r="AH947" s="647">
        <f t="shared" si="276"/>
        <v>11.8</v>
      </c>
      <c r="AI947" s="222">
        <f t="shared" si="276"/>
        <v>0</v>
      </c>
      <c r="AJ947" s="646">
        <f t="shared" si="276"/>
        <v>12.27</v>
      </c>
      <c r="AK947" s="645">
        <f t="shared" si="276"/>
        <v>47.02</v>
      </c>
      <c r="AL947" s="222">
        <f t="shared" si="276"/>
        <v>49.91</v>
      </c>
      <c r="AM947" s="646">
        <f t="shared" si="276"/>
        <v>59.19</v>
      </c>
      <c r="AN947" s="645">
        <f t="shared" si="276"/>
        <v>20.189999999999998</v>
      </c>
      <c r="AO947" s="222">
        <f t="shared" si="276"/>
        <v>237.98</v>
      </c>
      <c r="AP947" s="646">
        <f t="shared" si="276"/>
        <v>74.7</v>
      </c>
      <c r="AQ947" s="645">
        <f t="shared" si="276"/>
        <v>18.09</v>
      </c>
      <c r="AR947" s="222">
        <f t="shared" si="276"/>
        <v>0</v>
      </c>
      <c r="AS947" s="646">
        <f t="shared" si="276"/>
        <v>19.899999999999999</v>
      </c>
      <c r="AT947" s="645">
        <f t="shared" si="276"/>
        <v>43.400000000000006</v>
      </c>
      <c r="AU947" s="222">
        <f t="shared" si="276"/>
        <v>0</v>
      </c>
      <c r="AV947" s="646">
        <f t="shared" si="276"/>
        <v>47.76</v>
      </c>
      <c r="AW947" s="645">
        <f t="shared" si="276"/>
        <v>27.731000000000002</v>
      </c>
      <c r="AX947" s="222">
        <f t="shared" si="276"/>
        <v>0</v>
      </c>
      <c r="AY947" s="646">
        <f t="shared" si="276"/>
        <v>34.908000000000001</v>
      </c>
      <c r="AZ947" s="645">
        <f t="shared" si="276"/>
        <v>268.45</v>
      </c>
      <c r="BA947" s="222">
        <f t="shared" si="276"/>
        <v>0</v>
      </c>
      <c r="BB947" s="646">
        <f t="shared" si="276"/>
        <v>418.99200000000002</v>
      </c>
      <c r="BC947" s="645">
        <f t="shared" si="276"/>
        <v>121.77000000000001</v>
      </c>
      <c r="BD947" s="222">
        <f t="shared" si="276"/>
        <v>0</v>
      </c>
      <c r="BE947" s="646">
        <f t="shared" si="276"/>
        <v>271.31</v>
      </c>
      <c r="BF947" s="645">
        <f t="shared" si="276"/>
        <v>18.09</v>
      </c>
      <c r="BG947" s="222">
        <f t="shared" si="276"/>
        <v>13.07</v>
      </c>
      <c r="BH947" s="646">
        <f t="shared" si="276"/>
        <v>22.77</v>
      </c>
      <c r="BI947" s="645">
        <f t="shared" si="276"/>
        <v>104.34</v>
      </c>
      <c r="BJ947" s="222">
        <f t="shared" si="276"/>
        <v>68.569999999999993</v>
      </c>
      <c r="BK947" s="646">
        <f t="shared" si="276"/>
        <v>133.92000000000002</v>
      </c>
      <c r="BL947" s="229"/>
      <c r="BM947" s="215"/>
      <c r="BN947" s="125">
        <f t="shared" si="261"/>
        <v>680.88100000000009</v>
      </c>
      <c r="BO947" s="126">
        <f t="shared" si="262"/>
        <v>369.53</v>
      </c>
      <c r="BP947" s="127">
        <f t="shared" si="263"/>
        <v>1095.72</v>
      </c>
    </row>
    <row r="948" spans="1:68" s="246" customFormat="1" ht="34.5" hidden="1" customHeight="1" outlineLevel="5" x14ac:dyDescent="0.25">
      <c r="A948" s="242"/>
      <c r="B948" s="229"/>
      <c r="C948" s="242"/>
      <c r="D948" s="242"/>
      <c r="E948" s="242"/>
      <c r="F948" s="242"/>
      <c r="G948" s="242"/>
      <c r="H948" s="242"/>
      <c r="I948" s="242"/>
      <c r="J948" s="229"/>
      <c r="K948" s="243"/>
      <c r="L948" s="242"/>
      <c r="M948" s="229"/>
      <c r="N948" s="229"/>
      <c r="O948" s="229"/>
      <c r="P948" s="229"/>
      <c r="Q948" s="229"/>
      <c r="R948" s="229"/>
      <c r="S948" s="229"/>
      <c r="T948" s="229"/>
      <c r="U948" s="229"/>
      <c r="V948" s="229"/>
      <c r="W948" s="229"/>
      <c r="X948" s="229"/>
      <c r="Y948" s="229"/>
      <c r="Z948" s="229"/>
      <c r="AA948" s="229"/>
      <c r="AB948" s="247"/>
      <c r="AC948" s="219" t="s">
        <v>290</v>
      </c>
      <c r="AD948" s="644" t="s">
        <v>247</v>
      </c>
      <c r="AE948" s="645">
        <f t="shared" ref="AE948:BK948" si="277">AE224</f>
        <v>0</v>
      </c>
      <c r="AF948" s="222">
        <f t="shared" si="277"/>
        <v>0</v>
      </c>
      <c r="AG948" s="646">
        <f t="shared" si="277"/>
        <v>0</v>
      </c>
      <c r="AH948" s="647">
        <f t="shared" si="277"/>
        <v>0</v>
      </c>
      <c r="AI948" s="222">
        <f t="shared" si="277"/>
        <v>0</v>
      </c>
      <c r="AJ948" s="646">
        <f t="shared" si="277"/>
        <v>0</v>
      </c>
      <c r="AK948" s="645">
        <f t="shared" si="277"/>
        <v>0</v>
      </c>
      <c r="AL948" s="222">
        <f t="shared" si="277"/>
        <v>0</v>
      </c>
      <c r="AM948" s="646">
        <f t="shared" si="277"/>
        <v>0</v>
      </c>
      <c r="AN948" s="645">
        <f t="shared" si="277"/>
        <v>0</v>
      </c>
      <c r="AO948" s="222">
        <f t="shared" si="277"/>
        <v>0</v>
      </c>
      <c r="AP948" s="646">
        <f t="shared" si="277"/>
        <v>0</v>
      </c>
      <c r="AQ948" s="645">
        <f t="shared" si="277"/>
        <v>0</v>
      </c>
      <c r="AR948" s="222">
        <f t="shared" si="277"/>
        <v>0</v>
      </c>
      <c r="AS948" s="646">
        <f t="shared" si="277"/>
        <v>0</v>
      </c>
      <c r="AT948" s="645">
        <f t="shared" si="277"/>
        <v>0</v>
      </c>
      <c r="AU948" s="222">
        <f t="shared" si="277"/>
        <v>0</v>
      </c>
      <c r="AV948" s="646">
        <f t="shared" si="277"/>
        <v>0</v>
      </c>
      <c r="AW948" s="645">
        <f t="shared" si="277"/>
        <v>0</v>
      </c>
      <c r="AX948" s="222">
        <f t="shared" si="277"/>
        <v>0</v>
      </c>
      <c r="AY948" s="646">
        <f t="shared" si="277"/>
        <v>0</v>
      </c>
      <c r="AZ948" s="645">
        <f t="shared" si="277"/>
        <v>0</v>
      </c>
      <c r="BA948" s="222">
        <f t="shared" si="277"/>
        <v>0</v>
      </c>
      <c r="BB948" s="646">
        <f t="shared" si="277"/>
        <v>0</v>
      </c>
      <c r="BC948" s="645">
        <f t="shared" si="277"/>
        <v>0</v>
      </c>
      <c r="BD948" s="222">
        <f t="shared" si="277"/>
        <v>0</v>
      </c>
      <c r="BE948" s="646">
        <f t="shared" si="277"/>
        <v>0</v>
      </c>
      <c r="BF948" s="645">
        <f t="shared" si="277"/>
        <v>0</v>
      </c>
      <c r="BG948" s="222">
        <f t="shared" si="277"/>
        <v>0</v>
      </c>
      <c r="BH948" s="646">
        <f t="shared" si="277"/>
        <v>0</v>
      </c>
      <c r="BI948" s="645">
        <f t="shared" si="277"/>
        <v>0</v>
      </c>
      <c r="BJ948" s="222">
        <f t="shared" si="277"/>
        <v>0</v>
      </c>
      <c r="BK948" s="646">
        <f t="shared" si="277"/>
        <v>0</v>
      </c>
      <c r="BL948" s="229"/>
      <c r="BM948" s="229"/>
      <c r="BN948" s="125">
        <f t="shared" si="261"/>
        <v>0</v>
      </c>
      <c r="BO948" s="126">
        <f t="shared" si="262"/>
        <v>0</v>
      </c>
      <c r="BP948" s="127">
        <f t="shared" si="263"/>
        <v>0</v>
      </c>
    </row>
    <row r="949" spans="1:68" s="230" customFormat="1" ht="19.5" customHeight="1" outlineLevel="5" x14ac:dyDescent="0.25">
      <c r="A949" s="216"/>
      <c r="B949" s="215"/>
      <c r="C949" s="216"/>
      <c r="D949" s="216"/>
      <c r="E949" s="216"/>
      <c r="F949" s="216"/>
      <c r="G949" s="216"/>
      <c r="H949" s="216"/>
      <c r="I949" s="216"/>
      <c r="J949" s="215"/>
      <c r="K949" s="217"/>
      <c r="L949" s="216"/>
      <c r="M949" s="215"/>
      <c r="N949" s="215"/>
      <c r="O949" s="215"/>
      <c r="P949" s="215"/>
      <c r="Q949" s="215"/>
      <c r="R949" s="215"/>
      <c r="S949" s="215"/>
      <c r="T949" s="215"/>
      <c r="U949" s="215"/>
      <c r="V949" s="215"/>
      <c r="W949" s="215"/>
      <c r="X949" s="215"/>
      <c r="Y949" s="215"/>
      <c r="Z949" s="215"/>
      <c r="AA949" s="215"/>
      <c r="AB949" s="247"/>
      <c r="AC949" s="219" t="s">
        <v>291</v>
      </c>
      <c r="AD949" s="644" t="s">
        <v>247</v>
      </c>
      <c r="AE949" s="645">
        <f t="shared" ref="AE949:BK949" si="278">AE225</f>
        <v>0</v>
      </c>
      <c r="AF949" s="222">
        <f t="shared" si="278"/>
        <v>0</v>
      </c>
      <c r="AG949" s="646">
        <f t="shared" si="278"/>
        <v>0</v>
      </c>
      <c r="AH949" s="647">
        <f t="shared" si="278"/>
        <v>0</v>
      </c>
      <c r="AI949" s="222">
        <f t="shared" si="278"/>
        <v>0</v>
      </c>
      <c r="AJ949" s="646">
        <f t="shared" si="278"/>
        <v>0</v>
      </c>
      <c r="AK949" s="645">
        <f t="shared" si="278"/>
        <v>0</v>
      </c>
      <c r="AL949" s="222">
        <f t="shared" si="278"/>
        <v>0</v>
      </c>
      <c r="AM949" s="646">
        <f t="shared" si="278"/>
        <v>0</v>
      </c>
      <c r="AN949" s="645">
        <f t="shared" si="278"/>
        <v>32.33</v>
      </c>
      <c r="AO949" s="222">
        <f t="shared" si="278"/>
        <v>0</v>
      </c>
      <c r="AP949" s="646">
        <f t="shared" si="278"/>
        <v>45.95</v>
      </c>
      <c r="AQ949" s="645">
        <f t="shared" si="278"/>
        <v>0</v>
      </c>
      <c r="AR949" s="222">
        <f t="shared" si="278"/>
        <v>0</v>
      </c>
      <c r="AS949" s="646">
        <f t="shared" si="278"/>
        <v>0</v>
      </c>
      <c r="AT949" s="645">
        <f t="shared" si="278"/>
        <v>0</v>
      </c>
      <c r="AU949" s="222">
        <f t="shared" si="278"/>
        <v>0</v>
      </c>
      <c r="AV949" s="646">
        <f t="shared" si="278"/>
        <v>0</v>
      </c>
      <c r="AW949" s="645">
        <f t="shared" si="278"/>
        <v>0</v>
      </c>
      <c r="AX949" s="222">
        <f t="shared" si="278"/>
        <v>0</v>
      </c>
      <c r="AY949" s="646">
        <f t="shared" si="278"/>
        <v>0</v>
      </c>
      <c r="AZ949" s="645">
        <f t="shared" si="278"/>
        <v>0</v>
      </c>
      <c r="BA949" s="222">
        <f t="shared" si="278"/>
        <v>0</v>
      </c>
      <c r="BB949" s="646">
        <f t="shared" si="278"/>
        <v>0</v>
      </c>
      <c r="BC949" s="645">
        <f t="shared" si="278"/>
        <v>0</v>
      </c>
      <c r="BD949" s="222">
        <f t="shared" si="278"/>
        <v>0</v>
      </c>
      <c r="BE949" s="646">
        <f t="shared" si="278"/>
        <v>0</v>
      </c>
      <c r="BF949" s="645">
        <f t="shared" si="278"/>
        <v>0</v>
      </c>
      <c r="BG949" s="222">
        <f t="shared" si="278"/>
        <v>0</v>
      </c>
      <c r="BH949" s="646">
        <f t="shared" si="278"/>
        <v>0</v>
      </c>
      <c r="BI949" s="645">
        <f t="shared" si="278"/>
        <v>0</v>
      </c>
      <c r="BJ949" s="222">
        <f t="shared" si="278"/>
        <v>0</v>
      </c>
      <c r="BK949" s="646">
        <f t="shared" si="278"/>
        <v>0</v>
      </c>
      <c r="BL949" s="229"/>
      <c r="BM949" s="215"/>
      <c r="BN949" s="125">
        <f t="shared" si="261"/>
        <v>32.33</v>
      </c>
      <c r="BO949" s="126">
        <f t="shared" si="262"/>
        <v>0</v>
      </c>
      <c r="BP949" s="127">
        <f t="shared" si="263"/>
        <v>45.95</v>
      </c>
    </row>
    <row r="950" spans="1:68" s="230" customFormat="1" ht="19.5" customHeight="1" outlineLevel="5" x14ac:dyDescent="0.25">
      <c r="A950" s="216"/>
      <c r="B950" s="215"/>
      <c r="C950" s="216"/>
      <c r="D950" s="216"/>
      <c r="E950" s="216"/>
      <c r="F950" s="216"/>
      <c r="G950" s="216"/>
      <c r="H950" s="216"/>
      <c r="I950" s="216"/>
      <c r="J950" s="215"/>
      <c r="K950" s="217"/>
      <c r="L950" s="216"/>
      <c r="M950" s="215"/>
      <c r="N950" s="215"/>
      <c r="O950" s="215"/>
      <c r="P950" s="215"/>
      <c r="Q950" s="215"/>
      <c r="R950" s="215"/>
      <c r="S950" s="215"/>
      <c r="T950" s="215"/>
      <c r="U950" s="215"/>
      <c r="V950" s="215"/>
      <c r="W950" s="215"/>
      <c r="X950" s="215"/>
      <c r="Y950" s="215"/>
      <c r="Z950" s="215"/>
      <c r="AA950" s="215"/>
      <c r="AB950" s="247"/>
      <c r="AC950" s="219" t="s">
        <v>292</v>
      </c>
      <c r="AD950" s="644" t="s">
        <v>247</v>
      </c>
      <c r="AE950" s="645">
        <f t="shared" ref="AE950:BK950" si="279">AE226</f>
        <v>0</v>
      </c>
      <c r="AF950" s="222">
        <f t="shared" si="279"/>
        <v>0</v>
      </c>
      <c r="AG950" s="646">
        <f t="shared" si="279"/>
        <v>0</v>
      </c>
      <c r="AH950" s="647">
        <f t="shared" si="279"/>
        <v>0</v>
      </c>
      <c r="AI950" s="222">
        <f t="shared" si="279"/>
        <v>0</v>
      </c>
      <c r="AJ950" s="646">
        <f t="shared" si="279"/>
        <v>0</v>
      </c>
      <c r="AK950" s="645">
        <f t="shared" si="279"/>
        <v>0</v>
      </c>
      <c r="AL950" s="222">
        <f t="shared" si="279"/>
        <v>0</v>
      </c>
      <c r="AM950" s="646">
        <f t="shared" si="279"/>
        <v>0</v>
      </c>
      <c r="AN950" s="645">
        <f t="shared" si="279"/>
        <v>46.09</v>
      </c>
      <c r="AO950" s="222">
        <f t="shared" si="279"/>
        <v>69.650000000000006</v>
      </c>
      <c r="AP950" s="646">
        <f t="shared" si="279"/>
        <v>50.71</v>
      </c>
      <c r="AQ950" s="645">
        <f t="shared" si="279"/>
        <v>0</v>
      </c>
      <c r="AR950" s="222">
        <f t="shared" si="279"/>
        <v>0</v>
      </c>
      <c r="AS950" s="646">
        <f t="shared" si="279"/>
        <v>0</v>
      </c>
      <c r="AT950" s="645">
        <f t="shared" si="279"/>
        <v>0</v>
      </c>
      <c r="AU950" s="222">
        <f t="shared" si="279"/>
        <v>0</v>
      </c>
      <c r="AV950" s="646">
        <f t="shared" si="279"/>
        <v>0</v>
      </c>
      <c r="AW950" s="645">
        <f t="shared" si="279"/>
        <v>0</v>
      </c>
      <c r="AX950" s="222">
        <f t="shared" si="279"/>
        <v>0</v>
      </c>
      <c r="AY950" s="646">
        <f t="shared" si="279"/>
        <v>0</v>
      </c>
      <c r="AZ950" s="645">
        <f t="shared" si="279"/>
        <v>0</v>
      </c>
      <c r="BA950" s="222">
        <f t="shared" si="279"/>
        <v>0</v>
      </c>
      <c r="BB950" s="646">
        <f t="shared" si="279"/>
        <v>0</v>
      </c>
      <c r="BC950" s="645">
        <f t="shared" si="279"/>
        <v>0</v>
      </c>
      <c r="BD950" s="222">
        <f t="shared" si="279"/>
        <v>0</v>
      </c>
      <c r="BE950" s="646">
        <f t="shared" si="279"/>
        <v>0</v>
      </c>
      <c r="BF950" s="645">
        <f t="shared" si="279"/>
        <v>0</v>
      </c>
      <c r="BG950" s="222">
        <f t="shared" si="279"/>
        <v>0</v>
      </c>
      <c r="BH950" s="646">
        <f t="shared" si="279"/>
        <v>0</v>
      </c>
      <c r="BI950" s="645">
        <f t="shared" si="279"/>
        <v>0</v>
      </c>
      <c r="BJ950" s="222">
        <f t="shared" si="279"/>
        <v>0</v>
      </c>
      <c r="BK950" s="646">
        <f t="shared" si="279"/>
        <v>0</v>
      </c>
      <c r="BL950" s="229"/>
      <c r="BM950" s="215"/>
      <c r="BN950" s="125">
        <f t="shared" si="261"/>
        <v>46.09</v>
      </c>
      <c r="BO950" s="126">
        <f t="shared" si="262"/>
        <v>69.650000000000006</v>
      </c>
      <c r="BP950" s="127">
        <f t="shared" si="263"/>
        <v>50.71</v>
      </c>
    </row>
    <row r="951" spans="1:68" s="246" customFormat="1" ht="31.5" customHeight="1" outlineLevel="5" x14ac:dyDescent="0.25">
      <c r="A951" s="242"/>
      <c r="B951" s="229"/>
      <c r="C951" s="242"/>
      <c r="D951" s="242"/>
      <c r="E951" s="242"/>
      <c r="F951" s="242"/>
      <c r="G951" s="242"/>
      <c r="H951" s="242"/>
      <c r="I951" s="242"/>
      <c r="J951" s="229"/>
      <c r="K951" s="243"/>
      <c r="L951" s="242"/>
      <c r="M951" s="229"/>
      <c r="N951" s="229"/>
      <c r="O951" s="229"/>
      <c r="P951" s="229"/>
      <c r="Q951" s="229"/>
      <c r="R951" s="229"/>
      <c r="S951" s="229"/>
      <c r="T951" s="229"/>
      <c r="U951" s="229"/>
      <c r="V951" s="229"/>
      <c r="W951" s="229"/>
      <c r="X951" s="229"/>
      <c r="Y951" s="229"/>
      <c r="Z951" s="229"/>
      <c r="AA951" s="229"/>
      <c r="AB951" s="247"/>
      <c r="AC951" s="219" t="s">
        <v>293</v>
      </c>
      <c r="AD951" s="644" t="s">
        <v>247</v>
      </c>
      <c r="AE951" s="645">
        <f t="shared" ref="AE951:BK951" si="280">AE227+AE586</f>
        <v>0</v>
      </c>
      <c r="AF951" s="222">
        <f t="shared" si="280"/>
        <v>0</v>
      </c>
      <c r="AG951" s="646">
        <f t="shared" si="280"/>
        <v>0</v>
      </c>
      <c r="AH951" s="647">
        <f t="shared" si="280"/>
        <v>6.33</v>
      </c>
      <c r="AI951" s="222">
        <f t="shared" si="280"/>
        <v>0</v>
      </c>
      <c r="AJ951" s="646">
        <f t="shared" si="280"/>
        <v>6.58</v>
      </c>
      <c r="AK951" s="645">
        <f t="shared" si="280"/>
        <v>21.66</v>
      </c>
      <c r="AL951" s="222">
        <f t="shared" si="280"/>
        <v>43.76</v>
      </c>
      <c r="AM951" s="646">
        <f t="shared" si="280"/>
        <v>23.83</v>
      </c>
      <c r="AN951" s="645">
        <f t="shared" si="280"/>
        <v>62.97</v>
      </c>
      <c r="AO951" s="222">
        <f t="shared" si="280"/>
        <v>0</v>
      </c>
      <c r="AP951" s="646">
        <f t="shared" si="280"/>
        <v>69.28</v>
      </c>
      <c r="AQ951" s="645">
        <f t="shared" si="280"/>
        <v>32.380000000000003</v>
      </c>
      <c r="AR951" s="222">
        <f t="shared" si="280"/>
        <v>0</v>
      </c>
      <c r="AS951" s="646">
        <f t="shared" si="280"/>
        <v>35.619999999999997</v>
      </c>
      <c r="AT951" s="645">
        <f t="shared" si="280"/>
        <v>68.72</v>
      </c>
      <c r="AU951" s="222">
        <f t="shared" si="280"/>
        <v>0</v>
      </c>
      <c r="AV951" s="646">
        <f t="shared" si="280"/>
        <v>75.47</v>
      </c>
      <c r="AW951" s="645">
        <f t="shared" si="280"/>
        <v>436.40600000000001</v>
      </c>
      <c r="AX951" s="222">
        <f t="shared" si="280"/>
        <v>0</v>
      </c>
      <c r="AY951" s="646">
        <f t="shared" si="280"/>
        <v>425.75400000000002</v>
      </c>
      <c r="AZ951" s="645">
        <f t="shared" si="280"/>
        <v>91.968000000000004</v>
      </c>
      <c r="BA951" s="222">
        <f t="shared" si="280"/>
        <v>0</v>
      </c>
      <c r="BB951" s="646">
        <f t="shared" si="280"/>
        <v>101.19399999999999</v>
      </c>
      <c r="BC951" s="645">
        <f t="shared" si="280"/>
        <v>70</v>
      </c>
      <c r="BD951" s="222">
        <f t="shared" si="280"/>
        <v>0</v>
      </c>
      <c r="BE951" s="646">
        <f t="shared" si="280"/>
        <v>286.90999999999997</v>
      </c>
      <c r="BF951" s="645">
        <f t="shared" si="280"/>
        <v>0</v>
      </c>
      <c r="BG951" s="222">
        <f t="shared" si="280"/>
        <v>0</v>
      </c>
      <c r="BH951" s="646">
        <f t="shared" si="280"/>
        <v>0</v>
      </c>
      <c r="BI951" s="645">
        <f t="shared" si="280"/>
        <v>18.5</v>
      </c>
      <c r="BJ951" s="222">
        <f t="shared" si="280"/>
        <v>2.1549999999999998</v>
      </c>
      <c r="BK951" s="646">
        <f t="shared" si="280"/>
        <v>20.36</v>
      </c>
      <c r="BL951" s="229"/>
      <c r="BM951" s="229"/>
      <c r="BN951" s="125">
        <f t="shared" si="261"/>
        <v>808.93399999999997</v>
      </c>
      <c r="BO951" s="126">
        <f t="shared" si="262"/>
        <v>45.914999999999999</v>
      </c>
      <c r="BP951" s="127">
        <f t="shared" si="263"/>
        <v>1044.9979999999998</v>
      </c>
    </row>
    <row r="952" spans="1:68" s="230" customFormat="1" ht="39.75" customHeight="1" outlineLevel="5" x14ac:dyDescent="0.25">
      <c r="A952" s="216"/>
      <c r="B952" s="215"/>
      <c r="C952" s="216"/>
      <c r="D952" s="216"/>
      <c r="E952" s="216"/>
      <c r="F952" s="216"/>
      <c r="G952" s="216"/>
      <c r="H952" s="216"/>
      <c r="I952" s="216"/>
      <c r="J952" s="215"/>
      <c r="K952" s="217"/>
      <c r="L952" s="216"/>
      <c r="M952" s="215"/>
      <c r="N952" s="215"/>
      <c r="O952" s="215"/>
      <c r="P952" s="215"/>
      <c r="Q952" s="215"/>
      <c r="R952" s="215"/>
      <c r="S952" s="215"/>
      <c r="T952" s="215"/>
      <c r="U952" s="215"/>
      <c r="V952" s="215"/>
      <c r="W952" s="215"/>
      <c r="X952" s="215"/>
      <c r="Y952" s="215"/>
      <c r="Z952" s="215"/>
      <c r="AA952" s="215"/>
      <c r="AB952" s="247"/>
      <c r="AC952" s="219" t="s">
        <v>294</v>
      </c>
      <c r="AD952" s="644" t="s">
        <v>247</v>
      </c>
      <c r="AE952" s="645">
        <f t="shared" ref="AE952:BK952" si="281">AE228+AE574</f>
        <v>0</v>
      </c>
      <c r="AF952" s="222">
        <f t="shared" si="281"/>
        <v>0</v>
      </c>
      <c r="AG952" s="646">
        <f t="shared" si="281"/>
        <v>0</v>
      </c>
      <c r="AH952" s="647">
        <f t="shared" si="281"/>
        <v>5.78</v>
      </c>
      <c r="AI952" s="222">
        <f t="shared" si="281"/>
        <v>0</v>
      </c>
      <c r="AJ952" s="646">
        <f t="shared" si="281"/>
        <v>43.7</v>
      </c>
      <c r="AK952" s="645">
        <f t="shared" si="281"/>
        <v>8.8000000000000007</v>
      </c>
      <c r="AL952" s="222">
        <f t="shared" si="281"/>
        <v>19.37</v>
      </c>
      <c r="AM952" s="646">
        <f t="shared" si="281"/>
        <v>10.67</v>
      </c>
      <c r="AN952" s="645">
        <f t="shared" si="281"/>
        <v>0</v>
      </c>
      <c r="AO952" s="222">
        <f t="shared" si="281"/>
        <v>0</v>
      </c>
      <c r="AP952" s="646">
        <f t="shared" si="281"/>
        <v>3.29</v>
      </c>
      <c r="AQ952" s="645">
        <f t="shared" si="281"/>
        <v>0</v>
      </c>
      <c r="AR952" s="222">
        <f t="shared" si="281"/>
        <v>0</v>
      </c>
      <c r="AS952" s="646">
        <f t="shared" si="281"/>
        <v>1.3</v>
      </c>
      <c r="AT952" s="645">
        <f t="shared" si="281"/>
        <v>0</v>
      </c>
      <c r="AU952" s="222">
        <f t="shared" si="281"/>
        <v>0</v>
      </c>
      <c r="AV952" s="646">
        <f t="shared" si="281"/>
        <v>1.34</v>
      </c>
      <c r="AW952" s="645">
        <f t="shared" si="281"/>
        <v>1.49</v>
      </c>
      <c r="AX952" s="222">
        <f t="shared" si="281"/>
        <v>0</v>
      </c>
      <c r="AY952" s="646">
        <f t="shared" si="281"/>
        <v>2.9219999999999997</v>
      </c>
      <c r="AZ952" s="645">
        <f t="shared" si="281"/>
        <v>28.6</v>
      </c>
      <c r="BA952" s="222">
        <f t="shared" si="281"/>
        <v>0</v>
      </c>
      <c r="BB952" s="646">
        <f t="shared" si="281"/>
        <v>7.3010000000000002</v>
      </c>
      <c r="BC952" s="645">
        <f t="shared" si="281"/>
        <v>10.199999999999999</v>
      </c>
      <c r="BD952" s="222">
        <f t="shared" si="281"/>
        <v>0</v>
      </c>
      <c r="BE952" s="646">
        <f t="shared" si="281"/>
        <v>48.28</v>
      </c>
      <c r="BF952" s="645">
        <f t="shared" si="281"/>
        <v>0</v>
      </c>
      <c r="BG952" s="222">
        <f t="shared" si="281"/>
        <v>0</v>
      </c>
      <c r="BH952" s="646">
        <f t="shared" si="281"/>
        <v>1.44</v>
      </c>
      <c r="BI952" s="645">
        <f t="shared" si="281"/>
        <v>12.3</v>
      </c>
      <c r="BJ952" s="222">
        <f t="shared" si="281"/>
        <v>0</v>
      </c>
      <c r="BK952" s="646">
        <f t="shared" si="281"/>
        <v>29.54</v>
      </c>
      <c r="BL952" s="229"/>
      <c r="BM952" s="215"/>
      <c r="BN952" s="125">
        <f t="shared" si="261"/>
        <v>67.17</v>
      </c>
      <c r="BO952" s="126">
        <f t="shared" si="262"/>
        <v>19.37</v>
      </c>
      <c r="BP952" s="127">
        <f t="shared" si="263"/>
        <v>149.78299999999999</v>
      </c>
    </row>
    <row r="953" spans="1:68" s="230" customFormat="1" ht="19.5" customHeight="1" outlineLevel="5" x14ac:dyDescent="0.25">
      <c r="A953" s="216"/>
      <c r="B953" s="215"/>
      <c r="C953" s="216"/>
      <c r="D953" s="216"/>
      <c r="E953" s="216"/>
      <c r="F953" s="216"/>
      <c r="G953" s="216"/>
      <c r="H953" s="216"/>
      <c r="I953" s="216"/>
      <c r="J953" s="215"/>
      <c r="K953" s="217"/>
      <c r="L953" s="216"/>
      <c r="M953" s="215"/>
      <c r="N953" s="215"/>
      <c r="O953" s="215"/>
      <c r="P953" s="215"/>
      <c r="Q953" s="215"/>
      <c r="R953" s="215"/>
      <c r="S953" s="215"/>
      <c r="T953" s="215"/>
      <c r="U953" s="215"/>
      <c r="V953" s="215"/>
      <c r="W953" s="215"/>
      <c r="X953" s="215"/>
      <c r="Y953" s="215"/>
      <c r="Z953" s="215"/>
      <c r="AA953" s="215"/>
      <c r="AB953" s="247"/>
      <c r="AC953" s="219" t="s">
        <v>295</v>
      </c>
      <c r="AD953" s="644" t="s">
        <v>247</v>
      </c>
      <c r="AE953" s="645">
        <f t="shared" ref="AE953:BK953" si="282">AE229+AE593</f>
        <v>0</v>
      </c>
      <c r="AF953" s="222">
        <f t="shared" si="282"/>
        <v>0</v>
      </c>
      <c r="AG953" s="646">
        <f t="shared" si="282"/>
        <v>0</v>
      </c>
      <c r="AH953" s="647">
        <f t="shared" si="282"/>
        <v>0</v>
      </c>
      <c r="AI953" s="222">
        <f t="shared" si="282"/>
        <v>0</v>
      </c>
      <c r="AJ953" s="646">
        <f t="shared" si="282"/>
        <v>0</v>
      </c>
      <c r="AK953" s="645">
        <f t="shared" si="282"/>
        <v>42.55</v>
      </c>
      <c r="AL953" s="222">
        <f t="shared" si="282"/>
        <v>0</v>
      </c>
      <c r="AM953" s="646">
        <f t="shared" si="282"/>
        <v>46.82</v>
      </c>
      <c r="AN953" s="645">
        <f t="shared" si="282"/>
        <v>0</v>
      </c>
      <c r="AO953" s="222">
        <f t="shared" si="282"/>
        <v>0</v>
      </c>
      <c r="AP953" s="646">
        <f t="shared" si="282"/>
        <v>0</v>
      </c>
      <c r="AQ953" s="645">
        <f t="shared" si="282"/>
        <v>0</v>
      </c>
      <c r="AR953" s="222">
        <f t="shared" si="282"/>
        <v>0</v>
      </c>
      <c r="AS953" s="646">
        <f t="shared" si="282"/>
        <v>0</v>
      </c>
      <c r="AT953" s="645">
        <f t="shared" si="282"/>
        <v>0</v>
      </c>
      <c r="AU953" s="222">
        <f t="shared" si="282"/>
        <v>0</v>
      </c>
      <c r="AV953" s="646">
        <f t="shared" si="282"/>
        <v>0</v>
      </c>
      <c r="AW953" s="645">
        <f t="shared" si="282"/>
        <v>0</v>
      </c>
      <c r="AX953" s="222">
        <f t="shared" si="282"/>
        <v>0</v>
      </c>
      <c r="AY953" s="646">
        <f t="shared" si="282"/>
        <v>0</v>
      </c>
      <c r="AZ953" s="645">
        <f t="shared" si="282"/>
        <v>5.4</v>
      </c>
      <c r="BA953" s="222">
        <f t="shared" si="282"/>
        <v>0</v>
      </c>
      <c r="BB953" s="646">
        <f t="shared" si="282"/>
        <v>109.607</v>
      </c>
      <c r="BC953" s="645">
        <f t="shared" si="282"/>
        <v>14.5</v>
      </c>
      <c r="BD953" s="222">
        <f t="shared" si="282"/>
        <v>0</v>
      </c>
      <c r="BE953" s="646">
        <f t="shared" si="282"/>
        <v>0</v>
      </c>
      <c r="BF953" s="645">
        <f t="shared" si="282"/>
        <v>0</v>
      </c>
      <c r="BG953" s="222">
        <f t="shared" si="282"/>
        <v>0</v>
      </c>
      <c r="BH953" s="646">
        <f t="shared" si="282"/>
        <v>0</v>
      </c>
      <c r="BI953" s="645">
        <f t="shared" si="282"/>
        <v>0</v>
      </c>
      <c r="BJ953" s="222">
        <f t="shared" si="282"/>
        <v>0</v>
      </c>
      <c r="BK953" s="646">
        <f t="shared" si="282"/>
        <v>0</v>
      </c>
      <c r="BL953" s="229"/>
      <c r="BM953" s="215"/>
      <c r="BN953" s="125">
        <f t="shared" si="261"/>
        <v>62.449999999999996</v>
      </c>
      <c r="BO953" s="126">
        <f t="shared" si="262"/>
        <v>0</v>
      </c>
      <c r="BP953" s="127">
        <f t="shared" si="263"/>
        <v>156.42699999999999</v>
      </c>
    </row>
    <row r="954" spans="1:68" s="230" customFormat="1" ht="19.5" customHeight="1" outlineLevel="5" x14ac:dyDescent="0.25">
      <c r="A954" s="216"/>
      <c r="B954" s="215"/>
      <c r="C954" s="216"/>
      <c r="D954" s="216"/>
      <c r="E954" s="216"/>
      <c r="F954" s="216"/>
      <c r="G954" s="216"/>
      <c r="H954" s="216"/>
      <c r="I954" s="216"/>
      <c r="J954" s="215"/>
      <c r="K954" s="217"/>
      <c r="L954" s="216"/>
      <c r="M954" s="215"/>
      <c r="N954" s="215"/>
      <c r="O954" s="215"/>
      <c r="P954" s="215"/>
      <c r="Q954" s="215"/>
      <c r="R954" s="215"/>
      <c r="S954" s="215"/>
      <c r="T954" s="215"/>
      <c r="U954" s="215"/>
      <c r="V954" s="215"/>
      <c r="W954" s="215"/>
      <c r="X954" s="215"/>
      <c r="Y954" s="215"/>
      <c r="Z954" s="215"/>
      <c r="AA954" s="215"/>
      <c r="AB954" s="247"/>
      <c r="AC954" s="219" t="s">
        <v>246</v>
      </c>
      <c r="AD954" s="644" t="s">
        <v>247</v>
      </c>
      <c r="AE954" s="645">
        <f t="shared" ref="AE954:BK954" si="283">AE230</f>
        <v>0</v>
      </c>
      <c r="AF954" s="222">
        <f t="shared" si="283"/>
        <v>0</v>
      </c>
      <c r="AG954" s="646">
        <f t="shared" si="283"/>
        <v>0</v>
      </c>
      <c r="AH954" s="647">
        <f t="shared" si="283"/>
        <v>0</v>
      </c>
      <c r="AI954" s="222">
        <f t="shared" si="283"/>
        <v>0</v>
      </c>
      <c r="AJ954" s="646">
        <f t="shared" si="283"/>
        <v>0</v>
      </c>
      <c r="AK954" s="645">
        <f t="shared" si="283"/>
        <v>0</v>
      </c>
      <c r="AL954" s="222">
        <f t="shared" si="283"/>
        <v>0</v>
      </c>
      <c r="AM954" s="646">
        <f t="shared" si="283"/>
        <v>0</v>
      </c>
      <c r="AN954" s="645">
        <f t="shared" si="283"/>
        <v>5.24</v>
      </c>
      <c r="AO954" s="222">
        <f t="shared" si="283"/>
        <v>10.16</v>
      </c>
      <c r="AP954" s="646">
        <f t="shared" si="283"/>
        <v>5.76</v>
      </c>
      <c r="AQ954" s="645">
        <f t="shared" si="283"/>
        <v>0</v>
      </c>
      <c r="AR954" s="222">
        <f t="shared" si="283"/>
        <v>0</v>
      </c>
      <c r="AS954" s="646">
        <f t="shared" si="283"/>
        <v>0</v>
      </c>
      <c r="AT954" s="645">
        <f t="shared" si="283"/>
        <v>0</v>
      </c>
      <c r="AU954" s="222">
        <f t="shared" si="283"/>
        <v>0</v>
      </c>
      <c r="AV954" s="646">
        <f t="shared" si="283"/>
        <v>0</v>
      </c>
      <c r="AW954" s="645">
        <f t="shared" si="283"/>
        <v>0</v>
      </c>
      <c r="AX954" s="222">
        <f t="shared" si="283"/>
        <v>0</v>
      </c>
      <c r="AY954" s="646">
        <f t="shared" si="283"/>
        <v>0</v>
      </c>
      <c r="AZ954" s="645">
        <f t="shared" si="283"/>
        <v>0</v>
      </c>
      <c r="BA954" s="222">
        <f t="shared" si="283"/>
        <v>0</v>
      </c>
      <c r="BB954" s="646">
        <f t="shared" si="283"/>
        <v>0</v>
      </c>
      <c r="BC954" s="645">
        <f t="shared" si="283"/>
        <v>20.86</v>
      </c>
      <c r="BD954" s="222">
        <f t="shared" si="283"/>
        <v>0</v>
      </c>
      <c r="BE954" s="646">
        <f t="shared" si="283"/>
        <v>2.08</v>
      </c>
      <c r="BF954" s="645">
        <f t="shared" si="283"/>
        <v>0</v>
      </c>
      <c r="BG954" s="222">
        <f t="shared" si="283"/>
        <v>0</v>
      </c>
      <c r="BH954" s="646">
        <f t="shared" si="283"/>
        <v>0</v>
      </c>
      <c r="BI954" s="645">
        <f t="shared" si="283"/>
        <v>0</v>
      </c>
      <c r="BJ954" s="222">
        <f t="shared" si="283"/>
        <v>0</v>
      </c>
      <c r="BK954" s="646">
        <f t="shared" si="283"/>
        <v>0</v>
      </c>
      <c r="BL954" s="229"/>
      <c r="BM954" s="215"/>
      <c r="BN954" s="125">
        <f t="shared" si="261"/>
        <v>26.1</v>
      </c>
      <c r="BO954" s="126">
        <f t="shared" si="262"/>
        <v>10.16</v>
      </c>
      <c r="BP954" s="127">
        <f t="shared" si="263"/>
        <v>7.84</v>
      </c>
    </row>
    <row r="955" spans="1:68" s="230" customFormat="1" ht="30" customHeight="1" outlineLevel="5" x14ac:dyDescent="0.25">
      <c r="A955" s="216"/>
      <c r="B955" s="215"/>
      <c r="C955" s="216"/>
      <c r="D955" s="216"/>
      <c r="E955" s="216"/>
      <c r="F955" s="216"/>
      <c r="G955" s="216"/>
      <c r="H955" s="216"/>
      <c r="I955" s="216"/>
      <c r="J955" s="215"/>
      <c r="K955" s="217"/>
      <c r="L955" s="216"/>
      <c r="M955" s="215"/>
      <c r="N955" s="215"/>
      <c r="O955" s="215"/>
      <c r="P955" s="215"/>
      <c r="Q955" s="215"/>
      <c r="R955" s="215"/>
      <c r="S955" s="215"/>
      <c r="T955" s="215"/>
      <c r="U955" s="215"/>
      <c r="V955" s="215"/>
      <c r="W955" s="215"/>
      <c r="X955" s="215"/>
      <c r="Y955" s="215"/>
      <c r="Z955" s="215"/>
      <c r="AA955" s="215"/>
      <c r="AB955" s="247"/>
      <c r="AC955" s="219" t="s">
        <v>296</v>
      </c>
      <c r="AD955" s="644" t="s">
        <v>247</v>
      </c>
      <c r="AE955" s="645">
        <f t="shared" ref="AE955:BK955" si="284">AE231</f>
        <v>0</v>
      </c>
      <c r="AF955" s="222">
        <f t="shared" si="284"/>
        <v>0</v>
      </c>
      <c r="AG955" s="646">
        <f t="shared" si="284"/>
        <v>0</v>
      </c>
      <c r="AH955" s="647">
        <f t="shared" si="284"/>
        <v>0</v>
      </c>
      <c r="AI955" s="222">
        <f t="shared" si="284"/>
        <v>0</v>
      </c>
      <c r="AJ955" s="646">
        <f t="shared" si="284"/>
        <v>0</v>
      </c>
      <c r="AK955" s="645">
        <f t="shared" si="284"/>
        <v>7.5</v>
      </c>
      <c r="AL955" s="222">
        <f t="shared" si="284"/>
        <v>0</v>
      </c>
      <c r="AM955" s="646">
        <f t="shared" si="284"/>
        <v>7.54</v>
      </c>
      <c r="AN955" s="645">
        <f t="shared" si="284"/>
        <v>0</v>
      </c>
      <c r="AO955" s="222">
        <f t="shared" si="284"/>
        <v>0</v>
      </c>
      <c r="AP955" s="646">
        <f t="shared" si="284"/>
        <v>0</v>
      </c>
      <c r="AQ955" s="645">
        <f t="shared" si="284"/>
        <v>0</v>
      </c>
      <c r="AR955" s="222">
        <f t="shared" si="284"/>
        <v>0</v>
      </c>
      <c r="AS955" s="646">
        <f t="shared" si="284"/>
        <v>0</v>
      </c>
      <c r="AT955" s="645">
        <f t="shared" si="284"/>
        <v>0</v>
      </c>
      <c r="AU955" s="222">
        <f t="shared" si="284"/>
        <v>0</v>
      </c>
      <c r="AV955" s="646">
        <f t="shared" si="284"/>
        <v>3.13</v>
      </c>
      <c r="AW955" s="645">
        <f t="shared" si="284"/>
        <v>0</v>
      </c>
      <c r="AX955" s="222">
        <f t="shared" si="284"/>
        <v>0</v>
      </c>
      <c r="AY955" s="646">
        <f t="shared" si="284"/>
        <v>0</v>
      </c>
      <c r="AZ955" s="645">
        <f t="shared" si="284"/>
        <v>0</v>
      </c>
      <c r="BA955" s="222">
        <f t="shared" si="284"/>
        <v>0</v>
      </c>
      <c r="BB955" s="646">
        <f t="shared" si="284"/>
        <v>0</v>
      </c>
      <c r="BC955" s="645">
        <f t="shared" si="284"/>
        <v>12.31</v>
      </c>
      <c r="BD955" s="222">
        <f t="shared" si="284"/>
        <v>0</v>
      </c>
      <c r="BE955" s="646">
        <f t="shared" si="284"/>
        <v>48.76</v>
      </c>
      <c r="BF955" s="645">
        <f t="shared" si="284"/>
        <v>0</v>
      </c>
      <c r="BG955" s="222">
        <f t="shared" si="284"/>
        <v>0</v>
      </c>
      <c r="BH955" s="646">
        <f t="shared" si="284"/>
        <v>1.4350000000000001</v>
      </c>
      <c r="BI955" s="645">
        <f t="shared" si="284"/>
        <v>0</v>
      </c>
      <c r="BJ955" s="222">
        <f t="shared" si="284"/>
        <v>0</v>
      </c>
      <c r="BK955" s="646">
        <f t="shared" si="284"/>
        <v>0</v>
      </c>
      <c r="BL955" s="229"/>
      <c r="BM955" s="215"/>
      <c r="BN955" s="125">
        <f t="shared" si="261"/>
        <v>19.810000000000002</v>
      </c>
      <c r="BO955" s="126">
        <f t="shared" si="262"/>
        <v>0</v>
      </c>
      <c r="BP955" s="127">
        <f t="shared" si="263"/>
        <v>60.865000000000002</v>
      </c>
    </row>
    <row r="956" spans="1:68" s="230" customFormat="1" ht="30.75" hidden="1" customHeight="1" outlineLevel="5" x14ac:dyDescent="0.25">
      <c r="A956" s="216"/>
      <c r="B956" s="215"/>
      <c r="C956" s="216"/>
      <c r="D956" s="216"/>
      <c r="E956" s="216"/>
      <c r="F956" s="216"/>
      <c r="G956" s="216"/>
      <c r="H956" s="216"/>
      <c r="I956" s="216"/>
      <c r="J956" s="215"/>
      <c r="K956" s="217"/>
      <c r="L956" s="216"/>
      <c r="M956" s="215"/>
      <c r="N956" s="215"/>
      <c r="O956" s="215"/>
      <c r="P956" s="215"/>
      <c r="Q956" s="215"/>
      <c r="R956" s="215"/>
      <c r="S956" s="215"/>
      <c r="T956" s="215"/>
      <c r="U956" s="215"/>
      <c r="V956" s="215"/>
      <c r="W956" s="215"/>
      <c r="X956" s="215"/>
      <c r="Y956" s="215"/>
      <c r="Z956" s="215"/>
      <c r="AA956" s="215"/>
      <c r="AB956" s="247"/>
      <c r="AC956" s="250" t="s">
        <v>297</v>
      </c>
      <c r="AD956" s="644" t="s">
        <v>247</v>
      </c>
      <c r="AE956" s="645">
        <f t="shared" ref="AE956:BK956" si="285">AE232</f>
        <v>0</v>
      </c>
      <c r="AF956" s="222">
        <f t="shared" si="285"/>
        <v>0</v>
      </c>
      <c r="AG956" s="646">
        <f t="shared" si="285"/>
        <v>0</v>
      </c>
      <c r="AH956" s="647">
        <f t="shared" si="285"/>
        <v>0</v>
      </c>
      <c r="AI956" s="222">
        <f t="shared" si="285"/>
        <v>0</v>
      </c>
      <c r="AJ956" s="646">
        <f t="shared" si="285"/>
        <v>0</v>
      </c>
      <c r="AK956" s="645">
        <f t="shared" si="285"/>
        <v>0</v>
      </c>
      <c r="AL956" s="222">
        <f t="shared" si="285"/>
        <v>0</v>
      </c>
      <c r="AM956" s="646">
        <f t="shared" si="285"/>
        <v>0</v>
      </c>
      <c r="AN956" s="645">
        <f t="shared" si="285"/>
        <v>0</v>
      </c>
      <c r="AO956" s="222">
        <f t="shared" si="285"/>
        <v>0</v>
      </c>
      <c r="AP956" s="646">
        <f t="shared" si="285"/>
        <v>0</v>
      </c>
      <c r="AQ956" s="645">
        <f t="shared" si="285"/>
        <v>0</v>
      </c>
      <c r="AR956" s="222">
        <f t="shared" si="285"/>
        <v>0</v>
      </c>
      <c r="AS956" s="646">
        <f t="shared" si="285"/>
        <v>0</v>
      </c>
      <c r="AT956" s="645">
        <f t="shared" si="285"/>
        <v>0</v>
      </c>
      <c r="AU956" s="222">
        <f t="shared" si="285"/>
        <v>0</v>
      </c>
      <c r="AV956" s="646">
        <f t="shared" si="285"/>
        <v>0</v>
      </c>
      <c r="AW956" s="645">
        <f t="shared" si="285"/>
        <v>0</v>
      </c>
      <c r="AX956" s="222">
        <f t="shared" si="285"/>
        <v>0</v>
      </c>
      <c r="AY956" s="646">
        <f t="shared" si="285"/>
        <v>0</v>
      </c>
      <c r="AZ956" s="645">
        <f t="shared" si="285"/>
        <v>0</v>
      </c>
      <c r="BA956" s="222">
        <f t="shared" si="285"/>
        <v>0</v>
      </c>
      <c r="BB956" s="646">
        <f t="shared" si="285"/>
        <v>0</v>
      </c>
      <c r="BC956" s="645">
        <f t="shared" si="285"/>
        <v>0</v>
      </c>
      <c r="BD956" s="222">
        <f t="shared" si="285"/>
        <v>0</v>
      </c>
      <c r="BE956" s="646">
        <f t="shared" si="285"/>
        <v>0</v>
      </c>
      <c r="BF956" s="645">
        <f t="shared" si="285"/>
        <v>0</v>
      </c>
      <c r="BG956" s="222">
        <f t="shared" si="285"/>
        <v>0</v>
      </c>
      <c r="BH956" s="646">
        <f t="shared" si="285"/>
        <v>0</v>
      </c>
      <c r="BI956" s="645">
        <f t="shared" si="285"/>
        <v>0</v>
      </c>
      <c r="BJ956" s="222">
        <f t="shared" si="285"/>
        <v>0</v>
      </c>
      <c r="BK956" s="646">
        <f t="shared" si="285"/>
        <v>0</v>
      </c>
      <c r="BL956" s="229"/>
      <c r="BM956" s="215"/>
      <c r="BN956" s="125">
        <f t="shared" si="261"/>
        <v>0</v>
      </c>
      <c r="BO956" s="126">
        <f t="shared" si="262"/>
        <v>0</v>
      </c>
      <c r="BP956" s="127">
        <f t="shared" si="263"/>
        <v>0</v>
      </c>
    </row>
    <row r="957" spans="1:68" s="230" customFormat="1" ht="19.5" customHeight="1" outlineLevel="5" x14ac:dyDescent="0.25">
      <c r="A957" s="216"/>
      <c r="B957" s="215"/>
      <c r="C957" s="216"/>
      <c r="D957" s="216"/>
      <c r="E957" s="216"/>
      <c r="F957" s="216"/>
      <c r="G957" s="216"/>
      <c r="H957" s="216"/>
      <c r="I957" s="216"/>
      <c r="J957" s="215"/>
      <c r="K957" s="217"/>
      <c r="L957" s="216"/>
      <c r="M957" s="215"/>
      <c r="N957" s="215"/>
      <c r="O957" s="215"/>
      <c r="P957" s="215"/>
      <c r="Q957" s="215"/>
      <c r="R957" s="215"/>
      <c r="S957" s="215"/>
      <c r="T957" s="215"/>
      <c r="U957" s="215"/>
      <c r="V957" s="215"/>
      <c r="W957" s="215"/>
      <c r="X957" s="215"/>
      <c r="Y957" s="215"/>
      <c r="Z957" s="215"/>
      <c r="AA957" s="215"/>
      <c r="AB957" s="247"/>
      <c r="AC957" s="219" t="s">
        <v>298</v>
      </c>
      <c r="AD957" s="644" t="s">
        <v>247</v>
      </c>
      <c r="AE957" s="645">
        <f t="shared" ref="AE957:BK957" si="286">AE233+AE573</f>
        <v>0</v>
      </c>
      <c r="AF957" s="222">
        <f t="shared" si="286"/>
        <v>0</v>
      </c>
      <c r="AG957" s="646">
        <f t="shared" si="286"/>
        <v>0</v>
      </c>
      <c r="AH957" s="647">
        <f t="shared" si="286"/>
        <v>58.49</v>
      </c>
      <c r="AI957" s="222">
        <f t="shared" si="286"/>
        <v>0</v>
      </c>
      <c r="AJ957" s="646">
        <f t="shared" si="286"/>
        <v>60.83</v>
      </c>
      <c r="AK957" s="645">
        <f t="shared" si="286"/>
        <v>39.549999999999997</v>
      </c>
      <c r="AL957" s="222">
        <f t="shared" si="286"/>
        <v>0</v>
      </c>
      <c r="AM957" s="646">
        <f t="shared" si="286"/>
        <v>43.52</v>
      </c>
      <c r="AN957" s="645">
        <f t="shared" si="286"/>
        <v>90.9</v>
      </c>
      <c r="AO957" s="222">
        <f t="shared" si="286"/>
        <v>0</v>
      </c>
      <c r="AP957" s="646">
        <f t="shared" si="286"/>
        <v>100.02</v>
      </c>
      <c r="AQ957" s="645">
        <f t="shared" si="286"/>
        <v>19.7</v>
      </c>
      <c r="AR957" s="222">
        <f t="shared" si="286"/>
        <v>1.72</v>
      </c>
      <c r="AS957" s="646">
        <f t="shared" si="286"/>
        <v>29.22</v>
      </c>
      <c r="AT957" s="645">
        <f t="shared" si="286"/>
        <v>9.6999999999999993</v>
      </c>
      <c r="AU957" s="222">
        <f t="shared" si="286"/>
        <v>0</v>
      </c>
      <c r="AV957" s="646">
        <f t="shared" si="286"/>
        <v>10.67</v>
      </c>
      <c r="AW957" s="645">
        <f t="shared" si="286"/>
        <v>89.242000000000004</v>
      </c>
      <c r="AX957" s="222">
        <f t="shared" si="286"/>
        <v>0</v>
      </c>
      <c r="AY957" s="646">
        <f t="shared" si="286"/>
        <v>89</v>
      </c>
      <c r="AZ957" s="645">
        <f t="shared" si="286"/>
        <v>0</v>
      </c>
      <c r="BA957" s="222">
        <f t="shared" si="286"/>
        <v>0</v>
      </c>
      <c r="BB957" s="646">
        <f t="shared" si="286"/>
        <v>0</v>
      </c>
      <c r="BC957" s="645">
        <f t="shared" si="286"/>
        <v>0</v>
      </c>
      <c r="BD957" s="222">
        <f t="shared" si="286"/>
        <v>0</v>
      </c>
      <c r="BE957" s="646">
        <f t="shared" si="286"/>
        <v>0</v>
      </c>
      <c r="BF957" s="645">
        <f t="shared" si="286"/>
        <v>0</v>
      </c>
      <c r="BG957" s="222">
        <f t="shared" si="286"/>
        <v>0</v>
      </c>
      <c r="BH957" s="646">
        <f t="shared" si="286"/>
        <v>0</v>
      </c>
      <c r="BI957" s="645">
        <f t="shared" si="286"/>
        <v>0</v>
      </c>
      <c r="BJ957" s="222">
        <f t="shared" si="286"/>
        <v>0</v>
      </c>
      <c r="BK957" s="646">
        <f t="shared" si="286"/>
        <v>0</v>
      </c>
      <c r="BL957" s="229"/>
      <c r="BM957" s="215"/>
      <c r="BN957" s="125">
        <f t="shared" si="261"/>
        <v>307.58199999999999</v>
      </c>
      <c r="BO957" s="126">
        <f t="shared" si="262"/>
        <v>1.72</v>
      </c>
      <c r="BP957" s="127">
        <f t="shared" si="263"/>
        <v>333.26</v>
      </c>
    </row>
    <row r="958" spans="1:68" s="230" customFormat="1" ht="19.5" customHeight="1" outlineLevel="5" x14ac:dyDescent="0.25">
      <c r="A958" s="216"/>
      <c r="B958" s="215"/>
      <c r="C958" s="216"/>
      <c r="D958" s="216"/>
      <c r="E958" s="216"/>
      <c r="F958" s="216"/>
      <c r="G958" s="216"/>
      <c r="H958" s="216"/>
      <c r="I958" s="216"/>
      <c r="J958" s="215"/>
      <c r="K958" s="217"/>
      <c r="L958" s="216"/>
      <c r="M958" s="215"/>
      <c r="N958" s="215"/>
      <c r="O958" s="215"/>
      <c r="P958" s="215"/>
      <c r="Q958" s="215"/>
      <c r="R958" s="215"/>
      <c r="S958" s="215"/>
      <c r="T958" s="215"/>
      <c r="U958" s="215"/>
      <c r="V958" s="215"/>
      <c r="W958" s="215"/>
      <c r="X958" s="215"/>
      <c r="Y958" s="215"/>
      <c r="Z958" s="215"/>
      <c r="AA958" s="215"/>
      <c r="AB958" s="247"/>
      <c r="AC958" s="219" t="s">
        <v>299</v>
      </c>
      <c r="AD958" s="644" t="s">
        <v>247</v>
      </c>
      <c r="AE958" s="645">
        <f t="shared" ref="AE958:BK958" si="287">AE234</f>
        <v>0</v>
      </c>
      <c r="AF958" s="222">
        <f t="shared" si="287"/>
        <v>0</v>
      </c>
      <c r="AG958" s="646">
        <f t="shared" si="287"/>
        <v>0</v>
      </c>
      <c r="AH958" s="647">
        <f t="shared" si="287"/>
        <v>0</v>
      </c>
      <c r="AI958" s="222">
        <f t="shared" si="287"/>
        <v>0</v>
      </c>
      <c r="AJ958" s="646">
        <f t="shared" si="287"/>
        <v>0</v>
      </c>
      <c r="AK958" s="645">
        <f t="shared" si="287"/>
        <v>0</v>
      </c>
      <c r="AL958" s="222">
        <f t="shared" si="287"/>
        <v>0</v>
      </c>
      <c r="AM958" s="646">
        <f t="shared" si="287"/>
        <v>700</v>
      </c>
      <c r="AN958" s="645">
        <f t="shared" si="287"/>
        <v>0</v>
      </c>
      <c r="AO958" s="222">
        <f t="shared" si="287"/>
        <v>0</v>
      </c>
      <c r="AP958" s="646">
        <f t="shared" si="287"/>
        <v>0</v>
      </c>
      <c r="AQ958" s="645">
        <f t="shared" si="287"/>
        <v>0</v>
      </c>
      <c r="AR958" s="222">
        <f t="shared" si="287"/>
        <v>0</v>
      </c>
      <c r="AS958" s="646">
        <f t="shared" si="287"/>
        <v>0</v>
      </c>
      <c r="AT958" s="645">
        <f t="shared" si="287"/>
        <v>0</v>
      </c>
      <c r="AU958" s="222">
        <f t="shared" si="287"/>
        <v>0</v>
      </c>
      <c r="AV958" s="646">
        <f t="shared" si="287"/>
        <v>277.5</v>
      </c>
      <c r="AW958" s="645">
        <f t="shared" si="287"/>
        <v>0</v>
      </c>
      <c r="AX958" s="222">
        <f t="shared" si="287"/>
        <v>0</v>
      </c>
      <c r="AY958" s="646">
        <f t="shared" si="287"/>
        <v>124.167</v>
      </c>
      <c r="AZ958" s="645">
        <f t="shared" si="287"/>
        <v>0</v>
      </c>
      <c r="BA958" s="222">
        <f t="shared" si="287"/>
        <v>0</v>
      </c>
      <c r="BB958" s="646">
        <f t="shared" si="287"/>
        <v>352.5</v>
      </c>
      <c r="BC958" s="645">
        <f t="shared" si="287"/>
        <v>0</v>
      </c>
      <c r="BD958" s="222">
        <f t="shared" si="287"/>
        <v>0</v>
      </c>
      <c r="BE958" s="646">
        <f t="shared" si="287"/>
        <v>0</v>
      </c>
      <c r="BF958" s="645">
        <f t="shared" si="287"/>
        <v>0</v>
      </c>
      <c r="BG958" s="222">
        <f t="shared" si="287"/>
        <v>0</v>
      </c>
      <c r="BH958" s="646">
        <f t="shared" si="287"/>
        <v>0</v>
      </c>
      <c r="BI958" s="645">
        <f t="shared" si="287"/>
        <v>0</v>
      </c>
      <c r="BJ958" s="222">
        <f t="shared" si="287"/>
        <v>0</v>
      </c>
      <c r="BK958" s="646">
        <f t="shared" si="287"/>
        <v>0</v>
      </c>
      <c r="BL958" s="229"/>
      <c r="BM958" s="215"/>
      <c r="BN958" s="125">
        <f t="shared" si="261"/>
        <v>0</v>
      </c>
      <c r="BO958" s="126">
        <f t="shared" si="262"/>
        <v>0</v>
      </c>
      <c r="BP958" s="127">
        <f t="shared" si="263"/>
        <v>1454.1669999999999</v>
      </c>
    </row>
    <row r="959" spans="1:68" s="230" customFormat="1" ht="19.5" customHeight="1" outlineLevel="5" x14ac:dyDescent="0.25">
      <c r="A959" s="216"/>
      <c r="B959" s="215"/>
      <c r="C959" s="216"/>
      <c r="D959" s="216"/>
      <c r="E959" s="216"/>
      <c r="F959" s="216"/>
      <c r="G959" s="216"/>
      <c r="H959" s="216"/>
      <c r="I959" s="216"/>
      <c r="J959" s="215"/>
      <c r="K959" s="217"/>
      <c r="L959" s="216"/>
      <c r="M959" s="215"/>
      <c r="N959" s="215"/>
      <c r="O959" s="215"/>
      <c r="P959" s="215"/>
      <c r="Q959" s="215"/>
      <c r="R959" s="215"/>
      <c r="S959" s="215"/>
      <c r="T959" s="215"/>
      <c r="U959" s="215"/>
      <c r="V959" s="215"/>
      <c r="W959" s="215"/>
      <c r="X959" s="215"/>
      <c r="Y959" s="215"/>
      <c r="Z959" s="215"/>
      <c r="AA959" s="215"/>
      <c r="AB959" s="247"/>
      <c r="AC959" s="219" t="s">
        <v>300</v>
      </c>
      <c r="AD959" s="644" t="s">
        <v>247</v>
      </c>
      <c r="AE959" s="645">
        <f t="shared" ref="AE959:BC959" si="288">AE235+AE580+AE566</f>
        <v>61524.07</v>
      </c>
      <c r="AF959" s="222">
        <f t="shared" si="288"/>
        <v>27555.360000000001</v>
      </c>
      <c r="AG959" s="646">
        <f t="shared" si="288"/>
        <v>73908.33</v>
      </c>
      <c r="AH959" s="647">
        <f t="shared" si="288"/>
        <v>2635.2</v>
      </c>
      <c r="AI959" s="222">
        <f t="shared" si="288"/>
        <v>418.01</v>
      </c>
      <c r="AJ959" s="646">
        <f t="shared" si="288"/>
        <v>4730.3999999999996</v>
      </c>
      <c r="AK959" s="645">
        <f t="shared" si="288"/>
        <v>1389.6</v>
      </c>
      <c r="AL959" s="222">
        <f t="shared" si="288"/>
        <v>1054.71</v>
      </c>
      <c r="AM959" s="646">
        <f t="shared" si="288"/>
        <v>2464.08</v>
      </c>
      <c r="AN959" s="645">
        <f t="shared" si="288"/>
        <v>1743.1</v>
      </c>
      <c r="AO959" s="222">
        <f t="shared" si="288"/>
        <v>0</v>
      </c>
      <c r="AP959" s="646">
        <f t="shared" si="288"/>
        <v>2656.28</v>
      </c>
      <c r="AQ959" s="645">
        <f t="shared" si="288"/>
        <v>1404.6</v>
      </c>
      <c r="AR959" s="222">
        <f t="shared" si="288"/>
        <v>0</v>
      </c>
      <c r="AS959" s="646">
        <f t="shared" si="288"/>
        <v>2497.8000000000002</v>
      </c>
      <c r="AT959" s="645">
        <f t="shared" si="288"/>
        <v>1173.5999999999999</v>
      </c>
      <c r="AU959" s="222">
        <f t="shared" si="288"/>
        <v>0</v>
      </c>
      <c r="AV959" s="646">
        <f t="shared" si="288"/>
        <v>2476.8000000000002</v>
      </c>
      <c r="AW959" s="645">
        <f t="shared" si="288"/>
        <v>1600.79</v>
      </c>
      <c r="AX959" s="222">
        <f t="shared" si="288"/>
        <v>0</v>
      </c>
      <c r="AY959" s="646">
        <f t="shared" si="288"/>
        <v>2600.0160000000001</v>
      </c>
      <c r="AZ959" s="645">
        <f t="shared" si="288"/>
        <v>261.05</v>
      </c>
      <c r="BA959" s="222">
        <f t="shared" si="288"/>
        <v>0</v>
      </c>
      <c r="BB959" s="646">
        <f t="shared" si="288"/>
        <v>180.048</v>
      </c>
      <c r="BC959" s="645">
        <f t="shared" si="288"/>
        <v>4343.49</v>
      </c>
      <c r="BD959" s="222">
        <f>BD235+BD580+BD566+0.02</f>
        <v>112.92999999999999</v>
      </c>
      <c r="BE959" s="646">
        <f t="shared" ref="BE959:BK959" si="289">BE235+BE580+BE566</f>
        <v>4651.25</v>
      </c>
      <c r="BF959" s="645">
        <f t="shared" si="289"/>
        <v>1317.6</v>
      </c>
      <c r="BG959" s="222">
        <f t="shared" si="289"/>
        <v>515.03</v>
      </c>
      <c r="BH959" s="646">
        <f t="shared" si="289"/>
        <v>2419.1999999999998</v>
      </c>
      <c r="BI959" s="645">
        <f t="shared" si="289"/>
        <v>1402.6</v>
      </c>
      <c r="BJ959" s="222">
        <f t="shared" si="289"/>
        <v>1648.98</v>
      </c>
      <c r="BK959" s="646">
        <f t="shared" si="289"/>
        <v>2458.8000000000002</v>
      </c>
      <c r="BL959" s="229"/>
      <c r="BM959" s="215"/>
      <c r="BN959" s="125">
        <f t="shared" si="261"/>
        <v>78795.700000000026</v>
      </c>
      <c r="BO959" s="126">
        <f t="shared" si="262"/>
        <v>31305.019999999997</v>
      </c>
      <c r="BP959" s="127">
        <f t="shared" si="263"/>
        <v>101043.004</v>
      </c>
    </row>
    <row r="960" spans="1:68" s="230" customFormat="1" ht="19.5" customHeight="1" outlineLevel="5" x14ac:dyDescent="0.25">
      <c r="A960" s="216"/>
      <c r="B960" s="215"/>
      <c r="C960" s="216"/>
      <c r="D960" s="216"/>
      <c r="E960" s="216"/>
      <c r="F960" s="216"/>
      <c r="G960" s="216"/>
      <c r="H960" s="216"/>
      <c r="I960" s="216"/>
      <c r="J960" s="215"/>
      <c r="K960" s="217"/>
      <c r="L960" s="216"/>
      <c r="M960" s="215"/>
      <c r="N960" s="215"/>
      <c r="O960" s="215"/>
      <c r="P960" s="215"/>
      <c r="Q960" s="215"/>
      <c r="R960" s="215"/>
      <c r="S960" s="215"/>
      <c r="T960" s="215"/>
      <c r="U960" s="215"/>
      <c r="V960" s="215"/>
      <c r="W960" s="215"/>
      <c r="X960" s="215"/>
      <c r="Y960" s="215"/>
      <c r="Z960" s="215"/>
      <c r="AA960" s="215"/>
      <c r="AB960" s="247"/>
      <c r="AC960" s="219" t="s">
        <v>301</v>
      </c>
      <c r="AD960" s="644" t="s">
        <v>247</v>
      </c>
      <c r="AE960" s="645">
        <f t="shared" ref="AE960:BK960" si="290">AE236</f>
        <v>0</v>
      </c>
      <c r="AF960" s="222">
        <f t="shared" si="290"/>
        <v>0</v>
      </c>
      <c r="AG960" s="646">
        <f t="shared" si="290"/>
        <v>0</v>
      </c>
      <c r="AH960" s="647">
        <f t="shared" si="290"/>
        <v>0</v>
      </c>
      <c r="AI960" s="222">
        <f t="shared" si="290"/>
        <v>0</v>
      </c>
      <c r="AJ960" s="646">
        <f t="shared" si="290"/>
        <v>0</v>
      </c>
      <c r="AK960" s="645">
        <f t="shared" si="290"/>
        <v>0</v>
      </c>
      <c r="AL960" s="222">
        <f t="shared" si="290"/>
        <v>0</v>
      </c>
      <c r="AM960" s="646">
        <f t="shared" si="290"/>
        <v>0</v>
      </c>
      <c r="AN960" s="645">
        <f t="shared" si="290"/>
        <v>0</v>
      </c>
      <c r="AO960" s="222">
        <f t="shared" si="290"/>
        <v>0</v>
      </c>
      <c r="AP960" s="646">
        <f t="shared" si="290"/>
        <v>0</v>
      </c>
      <c r="AQ960" s="645">
        <f t="shared" si="290"/>
        <v>0</v>
      </c>
      <c r="AR960" s="222">
        <f t="shared" si="290"/>
        <v>0</v>
      </c>
      <c r="AS960" s="646">
        <f t="shared" si="290"/>
        <v>0</v>
      </c>
      <c r="AT960" s="645">
        <f t="shared" si="290"/>
        <v>0</v>
      </c>
      <c r="AU960" s="222">
        <f t="shared" si="290"/>
        <v>0</v>
      </c>
      <c r="AV960" s="646">
        <f t="shared" si="290"/>
        <v>0</v>
      </c>
      <c r="AW960" s="645">
        <f t="shared" si="290"/>
        <v>0</v>
      </c>
      <c r="AX960" s="222">
        <f t="shared" si="290"/>
        <v>0</v>
      </c>
      <c r="AY960" s="646">
        <f t="shared" si="290"/>
        <v>0</v>
      </c>
      <c r="AZ960" s="645">
        <f t="shared" si="290"/>
        <v>0</v>
      </c>
      <c r="BA960" s="222">
        <f t="shared" si="290"/>
        <v>0</v>
      </c>
      <c r="BB960" s="646">
        <f t="shared" si="290"/>
        <v>0</v>
      </c>
      <c r="BC960" s="645">
        <f t="shared" si="290"/>
        <v>0</v>
      </c>
      <c r="BD960" s="222">
        <f t="shared" si="290"/>
        <v>0</v>
      </c>
      <c r="BE960" s="646">
        <f t="shared" si="290"/>
        <v>0</v>
      </c>
      <c r="BF960" s="645">
        <f t="shared" si="290"/>
        <v>0</v>
      </c>
      <c r="BG960" s="222">
        <f t="shared" si="290"/>
        <v>0</v>
      </c>
      <c r="BH960" s="646">
        <f t="shared" si="290"/>
        <v>0</v>
      </c>
      <c r="BI960" s="645">
        <f t="shared" si="290"/>
        <v>0</v>
      </c>
      <c r="BJ960" s="222">
        <f t="shared" si="290"/>
        <v>0</v>
      </c>
      <c r="BK960" s="646">
        <f t="shared" si="290"/>
        <v>0</v>
      </c>
      <c r="BL960" s="229"/>
      <c r="BM960" s="215"/>
      <c r="BN960" s="125">
        <f t="shared" si="261"/>
        <v>0</v>
      </c>
      <c r="BO960" s="126">
        <f t="shared" si="262"/>
        <v>0</v>
      </c>
      <c r="BP960" s="127">
        <f t="shared" si="263"/>
        <v>0</v>
      </c>
    </row>
    <row r="961" spans="1:68" s="230" customFormat="1" ht="19.5" customHeight="1" outlineLevel="5" x14ac:dyDescent="0.25">
      <c r="A961" s="216"/>
      <c r="B961" s="215"/>
      <c r="C961" s="216"/>
      <c r="D961" s="216"/>
      <c r="E961" s="216"/>
      <c r="F961" s="216"/>
      <c r="G961" s="216"/>
      <c r="H961" s="216"/>
      <c r="I961" s="216"/>
      <c r="J961" s="215"/>
      <c r="K961" s="217"/>
      <c r="L961" s="216"/>
      <c r="M961" s="215"/>
      <c r="N961" s="215"/>
      <c r="O961" s="215"/>
      <c r="P961" s="215"/>
      <c r="Q961" s="215"/>
      <c r="R961" s="215"/>
      <c r="S961" s="215"/>
      <c r="T961" s="215"/>
      <c r="U961" s="215"/>
      <c r="V961" s="215"/>
      <c r="W961" s="215"/>
      <c r="X961" s="215"/>
      <c r="Y961" s="215"/>
      <c r="Z961" s="215"/>
      <c r="AA961" s="215"/>
      <c r="AB961" s="247"/>
      <c r="AC961" s="219" t="s">
        <v>302</v>
      </c>
      <c r="AD961" s="644" t="s">
        <v>247</v>
      </c>
      <c r="AE961" s="645">
        <f t="shared" ref="AE961:BK961" si="291">AE237+AE581</f>
        <v>0</v>
      </c>
      <c r="AF961" s="222">
        <f t="shared" si="291"/>
        <v>0</v>
      </c>
      <c r="AG961" s="646">
        <f t="shared" si="291"/>
        <v>0</v>
      </c>
      <c r="AH961" s="647">
        <f t="shared" si="291"/>
        <v>0</v>
      </c>
      <c r="AI961" s="222">
        <f t="shared" si="291"/>
        <v>0</v>
      </c>
      <c r="AJ961" s="646">
        <f t="shared" si="291"/>
        <v>0</v>
      </c>
      <c r="AK961" s="645">
        <f t="shared" si="291"/>
        <v>58.5</v>
      </c>
      <c r="AL961" s="222">
        <f t="shared" si="291"/>
        <v>0</v>
      </c>
      <c r="AM961" s="646">
        <f t="shared" si="291"/>
        <v>64.37</v>
      </c>
      <c r="AN961" s="645">
        <f t="shared" si="291"/>
        <v>58.2</v>
      </c>
      <c r="AO961" s="222">
        <f t="shared" si="291"/>
        <v>0</v>
      </c>
      <c r="AP961" s="646">
        <f t="shared" si="291"/>
        <v>64.040000000000006</v>
      </c>
      <c r="AQ961" s="645">
        <f t="shared" si="291"/>
        <v>23.88</v>
      </c>
      <c r="AR961" s="222">
        <f t="shared" si="291"/>
        <v>0</v>
      </c>
      <c r="AS961" s="646">
        <f t="shared" si="291"/>
        <v>26.27</v>
      </c>
      <c r="AT961" s="645">
        <f t="shared" si="291"/>
        <v>0</v>
      </c>
      <c r="AU961" s="222">
        <f t="shared" si="291"/>
        <v>0</v>
      </c>
      <c r="AV961" s="646">
        <f t="shared" si="291"/>
        <v>0</v>
      </c>
      <c r="AW961" s="645">
        <f t="shared" si="291"/>
        <v>0</v>
      </c>
      <c r="AX961" s="222">
        <f t="shared" si="291"/>
        <v>0</v>
      </c>
      <c r="AY961" s="646">
        <f t="shared" si="291"/>
        <v>0</v>
      </c>
      <c r="AZ961" s="645">
        <f t="shared" si="291"/>
        <v>0</v>
      </c>
      <c r="BA961" s="222">
        <f t="shared" si="291"/>
        <v>0</v>
      </c>
      <c r="BB961" s="646">
        <f t="shared" si="291"/>
        <v>0</v>
      </c>
      <c r="BC961" s="645">
        <f t="shared" si="291"/>
        <v>18.75</v>
      </c>
      <c r="BD961" s="222">
        <f t="shared" si="291"/>
        <v>0</v>
      </c>
      <c r="BE961" s="646">
        <f t="shared" si="291"/>
        <v>0</v>
      </c>
      <c r="BF961" s="645">
        <f t="shared" si="291"/>
        <v>0</v>
      </c>
      <c r="BG961" s="222">
        <f t="shared" si="291"/>
        <v>0</v>
      </c>
      <c r="BH961" s="646">
        <f t="shared" si="291"/>
        <v>0</v>
      </c>
      <c r="BI961" s="645">
        <f t="shared" si="291"/>
        <v>0</v>
      </c>
      <c r="BJ961" s="222">
        <f t="shared" si="291"/>
        <v>0</v>
      </c>
      <c r="BK961" s="646">
        <f t="shared" si="291"/>
        <v>0</v>
      </c>
      <c r="BL961" s="229"/>
      <c r="BM961" s="215"/>
      <c r="BN961" s="125">
        <f t="shared" si="261"/>
        <v>159.33000000000001</v>
      </c>
      <c r="BO961" s="126">
        <f t="shared" si="262"/>
        <v>0</v>
      </c>
      <c r="BP961" s="127">
        <f t="shared" si="263"/>
        <v>154.68000000000004</v>
      </c>
    </row>
    <row r="962" spans="1:68" s="230" customFormat="1" ht="19.5" customHeight="1" outlineLevel="5" x14ac:dyDescent="0.25">
      <c r="A962" s="216"/>
      <c r="B962" s="215"/>
      <c r="C962" s="216"/>
      <c r="D962" s="216"/>
      <c r="E962" s="216"/>
      <c r="F962" s="216"/>
      <c r="G962" s="216"/>
      <c r="H962" s="216"/>
      <c r="I962" s="216"/>
      <c r="J962" s="215"/>
      <c r="K962" s="217"/>
      <c r="L962" s="216"/>
      <c r="M962" s="215"/>
      <c r="N962" s="215"/>
      <c r="O962" s="215"/>
      <c r="P962" s="215"/>
      <c r="Q962" s="215"/>
      <c r="R962" s="215"/>
      <c r="S962" s="215"/>
      <c r="T962" s="215"/>
      <c r="U962" s="215"/>
      <c r="V962" s="215"/>
      <c r="W962" s="215"/>
      <c r="X962" s="215"/>
      <c r="Y962" s="215"/>
      <c r="Z962" s="215"/>
      <c r="AA962" s="215"/>
      <c r="AB962" s="247"/>
      <c r="AC962" s="250" t="s">
        <v>303</v>
      </c>
      <c r="AD962" s="644" t="s">
        <v>247</v>
      </c>
      <c r="AE962" s="645">
        <f t="shared" ref="AE962:BK962" si="292">AE238+AE582</f>
        <v>0</v>
      </c>
      <c r="AF962" s="222">
        <f t="shared" si="292"/>
        <v>0</v>
      </c>
      <c r="AG962" s="646">
        <f t="shared" si="292"/>
        <v>0</v>
      </c>
      <c r="AH962" s="647">
        <f t="shared" si="292"/>
        <v>0</v>
      </c>
      <c r="AI962" s="222">
        <f t="shared" si="292"/>
        <v>0</v>
      </c>
      <c r="AJ962" s="646">
        <f t="shared" si="292"/>
        <v>0</v>
      </c>
      <c r="AK962" s="645">
        <f t="shared" si="292"/>
        <v>0</v>
      </c>
      <c r="AL962" s="222">
        <f t="shared" si="292"/>
        <v>0</v>
      </c>
      <c r="AM962" s="646">
        <f t="shared" si="292"/>
        <v>0</v>
      </c>
      <c r="AN962" s="645">
        <f t="shared" si="292"/>
        <v>45.32</v>
      </c>
      <c r="AO962" s="222">
        <f t="shared" si="292"/>
        <v>0</v>
      </c>
      <c r="AP962" s="646">
        <f t="shared" si="292"/>
        <v>49.86</v>
      </c>
      <c r="AQ962" s="645">
        <f t="shared" si="292"/>
        <v>181.70999999999998</v>
      </c>
      <c r="AR962" s="222">
        <f t="shared" si="292"/>
        <v>0</v>
      </c>
      <c r="AS962" s="646">
        <f t="shared" si="292"/>
        <v>199.93</v>
      </c>
      <c r="AT962" s="645">
        <f t="shared" si="292"/>
        <v>10.83</v>
      </c>
      <c r="AU962" s="222">
        <f t="shared" si="292"/>
        <v>0</v>
      </c>
      <c r="AV962" s="646">
        <f t="shared" si="292"/>
        <v>11.92</v>
      </c>
      <c r="AW962" s="645">
        <f t="shared" si="292"/>
        <v>12.036</v>
      </c>
      <c r="AX962" s="222">
        <f t="shared" si="292"/>
        <v>0</v>
      </c>
      <c r="AY962" s="646">
        <f t="shared" si="292"/>
        <v>12</v>
      </c>
      <c r="AZ962" s="645">
        <f t="shared" si="292"/>
        <v>58.332999999999998</v>
      </c>
      <c r="BA962" s="222">
        <f t="shared" si="292"/>
        <v>0</v>
      </c>
      <c r="BB962" s="646">
        <f t="shared" si="292"/>
        <v>58.33</v>
      </c>
      <c r="BC962" s="645">
        <f t="shared" si="292"/>
        <v>4.16</v>
      </c>
      <c r="BD962" s="222">
        <f t="shared" si="292"/>
        <v>0</v>
      </c>
      <c r="BE962" s="646">
        <f t="shared" si="292"/>
        <v>41.089999999999996</v>
      </c>
      <c r="BF962" s="645">
        <f t="shared" si="292"/>
        <v>0</v>
      </c>
      <c r="BG962" s="222">
        <f t="shared" si="292"/>
        <v>0</v>
      </c>
      <c r="BH962" s="646">
        <f t="shared" si="292"/>
        <v>0</v>
      </c>
      <c r="BI962" s="645">
        <f t="shared" si="292"/>
        <v>0</v>
      </c>
      <c r="BJ962" s="222">
        <f t="shared" si="292"/>
        <v>0</v>
      </c>
      <c r="BK962" s="646">
        <f t="shared" si="292"/>
        <v>0</v>
      </c>
      <c r="BL962" s="229"/>
      <c r="BM962" s="215"/>
      <c r="BN962" s="125">
        <f t="shared" si="261"/>
        <v>312.38900000000001</v>
      </c>
      <c r="BO962" s="126">
        <f t="shared" si="262"/>
        <v>0</v>
      </c>
      <c r="BP962" s="127">
        <f t="shared" si="263"/>
        <v>373.13</v>
      </c>
    </row>
    <row r="963" spans="1:68" s="230" customFormat="1" ht="19.5" customHeight="1" outlineLevel="5" x14ac:dyDescent="0.25">
      <c r="A963" s="216"/>
      <c r="B963" s="215"/>
      <c r="C963" s="216"/>
      <c r="D963" s="216"/>
      <c r="E963" s="216"/>
      <c r="F963" s="216"/>
      <c r="G963" s="216"/>
      <c r="H963" s="216"/>
      <c r="I963" s="216"/>
      <c r="J963" s="215"/>
      <c r="K963" s="217"/>
      <c r="L963" s="216"/>
      <c r="M963" s="215"/>
      <c r="N963" s="215"/>
      <c r="O963" s="215"/>
      <c r="P963" s="215"/>
      <c r="Q963" s="215"/>
      <c r="R963" s="215"/>
      <c r="S963" s="215"/>
      <c r="T963" s="215"/>
      <c r="U963" s="215"/>
      <c r="V963" s="215"/>
      <c r="W963" s="215"/>
      <c r="X963" s="215"/>
      <c r="Y963" s="215"/>
      <c r="Z963" s="215"/>
      <c r="AA963" s="215"/>
      <c r="AB963" s="247"/>
      <c r="AC963" s="219" t="s">
        <v>304</v>
      </c>
      <c r="AD963" s="644" t="s">
        <v>247</v>
      </c>
      <c r="AE963" s="645">
        <f t="shared" ref="AE963:BK963" si="293">AE239+AE585</f>
        <v>0</v>
      </c>
      <c r="AF963" s="222">
        <f t="shared" si="293"/>
        <v>0</v>
      </c>
      <c r="AG963" s="646">
        <f t="shared" si="293"/>
        <v>0</v>
      </c>
      <c r="AH963" s="647">
        <f t="shared" si="293"/>
        <v>0</v>
      </c>
      <c r="AI963" s="222">
        <f t="shared" si="293"/>
        <v>0</v>
      </c>
      <c r="AJ963" s="646">
        <f t="shared" si="293"/>
        <v>0</v>
      </c>
      <c r="AK963" s="645">
        <f t="shared" si="293"/>
        <v>0</v>
      </c>
      <c r="AL963" s="222">
        <f t="shared" si="293"/>
        <v>0</v>
      </c>
      <c r="AM963" s="646">
        <f t="shared" si="293"/>
        <v>97.51</v>
      </c>
      <c r="AN963" s="645">
        <f t="shared" si="293"/>
        <v>0</v>
      </c>
      <c r="AO963" s="222">
        <f t="shared" si="293"/>
        <v>0</v>
      </c>
      <c r="AP963" s="646">
        <f t="shared" si="293"/>
        <v>32.5</v>
      </c>
      <c r="AQ963" s="645">
        <f t="shared" si="293"/>
        <v>0</v>
      </c>
      <c r="AR963" s="222">
        <f t="shared" si="293"/>
        <v>0</v>
      </c>
      <c r="AS963" s="646">
        <f t="shared" si="293"/>
        <v>48.76</v>
      </c>
      <c r="AT963" s="645">
        <f t="shared" si="293"/>
        <v>0</v>
      </c>
      <c r="AU963" s="222">
        <f t="shared" si="293"/>
        <v>0</v>
      </c>
      <c r="AV963" s="646">
        <f t="shared" si="293"/>
        <v>7.74</v>
      </c>
      <c r="AW963" s="645">
        <f t="shared" si="293"/>
        <v>6.0540000000000003</v>
      </c>
      <c r="AX963" s="222">
        <f t="shared" si="293"/>
        <v>0</v>
      </c>
      <c r="AY963" s="646">
        <f t="shared" si="293"/>
        <v>1.2290000000000001</v>
      </c>
      <c r="AZ963" s="645">
        <f t="shared" si="293"/>
        <v>2.4369999999999998</v>
      </c>
      <c r="BA963" s="222">
        <f t="shared" si="293"/>
        <v>2.85</v>
      </c>
      <c r="BB963" s="646">
        <f t="shared" si="293"/>
        <v>10.457000000000001</v>
      </c>
      <c r="BC963" s="645">
        <f t="shared" si="293"/>
        <v>59.120000000000005</v>
      </c>
      <c r="BD963" s="222">
        <f t="shared" si="293"/>
        <v>0</v>
      </c>
      <c r="BE963" s="646">
        <f t="shared" si="293"/>
        <v>34.86</v>
      </c>
      <c r="BF963" s="645">
        <f t="shared" si="293"/>
        <v>3.2440000000000002</v>
      </c>
      <c r="BG963" s="222">
        <f t="shared" si="293"/>
        <v>0</v>
      </c>
      <c r="BH963" s="646">
        <f t="shared" si="293"/>
        <v>3.1</v>
      </c>
      <c r="BI963" s="645">
        <f t="shared" si="293"/>
        <v>0</v>
      </c>
      <c r="BJ963" s="222">
        <f t="shared" si="293"/>
        <v>0</v>
      </c>
      <c r="BK963" s="646">
        <f t="shared" si="293"/>
        <v>6.33</v>
      </c>
      <c r="BL963" s="229"/>
      <c r="BM963" s="215"/>
      <c r="BN963" s="125">
        <f t="shared" si="261"/>
        <v>70.855000000000004</v>
      </c>
      <c r="BO963" s="126">
        <f t="shared" si="262"/>
        <v>2.85</v>
      </c>
      <c r="BP963" s="127">
        <f t="shared" si="263"/>
        <v>242.48599999999999</v>
      </c>
    </row>
    <row r="964" spans="1:68" s="230" customFormat="1" ht="19.5" customHeight="1" outlineLevel="5" x14ac:dyDescent="0.25">
      <c r="A964" s="216"/>
      <c r="B964" s="215"/>
      <c r="C964" s="216"/>
      <c r="D964" s="216"/>
      <c r="E964" s="216"/>
      <c r="F964" s="216"/>
      <c r="G964" s="216"/>
      <c r="H964" s="216"/>
      <c r="I964" s="216"/>
      <c r="J964" s="215"/>
      <c r="K964" s="217"/>
      <c r="L964" s="216"/>
      <c r="M964" s="215"/>
      <c r="N964" s="215"/>
      <c r="O964" s="215"/>
      <c r="P964" s="215"/>
      <c r="Q964" s="215"/>
      <c r="R964" s="215"/>
      <c r="S964" s="215"/>
      <c r="T964" s="215"/>
      <c r="U964" s="215"/>
      <c r="V964" s="215"/>
      <c r="W964" s="215"/>
      <c r="X964" s="215"/>
      <c r="Y964" s="215"/>
      <c r="Z964" s="215"/>
      <c r="AA964" s="215"/>
      <c r="AB964" s="247"/>
      <c r="AC964" s="219" t="s">
        <v>299</v>
      </c>
      <c r="AD964" s="644" t="s">
        <v>247</v>
      </c>
      <c r="AE964" s="645">
        <f t="shared" ref="AE964:BK964" si="294">AE240</f>
        <v>0</v>
      </c>
      <c r="AF964" s="222">
        <f t="shared" si="294"/>
        <v>0</v>
      </c>
      <c r="AG964" s="646">
        <f t="shared" si="294"/>
        <v>0</v>
      </c>
      <c r="AH964" s="647">
        <f t="shared" si="294"/>
        <v>0</v>
      </c>
      <c r="AI964" s="222">
        <f t="shared" si="294"/>
        <v>0</v>
      </c>
      <c r="AJ964" s="646">
        <f t="shared" si="294"/>
        <v>68.599999999999994</v>
      </c>
      <c r="AK964" s="645">
        <f t="shared" si="294"/>
        <v>0</v>
      </c>
      <c r="AL964" s="222">
        <f t="shared" si="294"/>
        <v>0</v>
      </c>
      <c r="AM964" s="646">
        <f t="shared" si="294"/>
        <v>0</v>
      </c>
      <c r="AN964" s="645">
        <f t="shared" si="294"/>
        <v>0</v>
      </c>
      <c r="AO964" s="222">
        <f t="shared" si="294"/>
        <v>0</v>
      </c>
      <c r="AP964" s="646">
        <f t="shared" si="294"/>
        <v>124.17</v>
      </c>
      <c r="AQ964" s="645">
        <f t="shared" si="294"/>
        <v>0</v>
      </c>
      <c r="AR964" s="222">
        <f t="shared" si="294"/>
        <v>0</v>
      </c>
      <c r="AS964" s="646">
        <f t="shared" si="294"/>
        <v>0</v>
      </c>
      <c r="AT964" s="645">
        <f t="shared" si="294"/>
        <v>0</v>
      </c>
      <c r="AU964" s="222">
        <f t="shared" si="294"/>
        <v>0</v>
      </c>
      <c r="AV964" s="646">
        <f t="shared" si="294"/>
        <v>0</v>
      </c>
      <c r="AW964" s="645">
        <f t="shared" si="294"/>
        <v>0</v>
      </c>
      <c r="AX964" s="222">
        <f t="shared" si="294"/>
        <v>0</v>
      </c>
      <c r="AY964" s="646">
        <f t="shared" si="294"/>
        <v>0</v>
      </c>
      <c r="AZ964" s="645">
        <f t="shared" si="294"/>
        <v>0</v>
      </c>
      <c r="BA964" s="222">
        <f t="shared" si="294"/>
        <v>0</v>
      </c>
      <c r="BB964" s="646">
        <f t="shared" si="294"/>
        <v>0</v>
      </c>
      <c r="BC964" s="645">
        <f t="shared" si="294"/>
        <v>0</v>
      </c>
      <c r="BD964" s="222">
        <f t="shared" si="294"/>
        <v>0</v>
      </c>
      <c r="BE964" s="646">
        <f t="shared" si="294"/>
        <v>0</v>
      </c>
      <c r="BF964" s="645">
        <f t="shared" si="294"/>
        <v>0</v>
      </c>
      <c r="BG964" s="222">
        <f t="shared" si="294"/>
        <v>0</v>
      </c>
      <c r="BH964" s="646">
        <f t="shared" si="294"/>
        <v>0</v>
      </c>
      <c r="BI964" s="645">
        <f t="shared" si="294"/>
        <v>0</v>
      </c>
      <c r="BJ964" s="222">
        <f t="shared" si="294"/>
        <v>0</v>
      </c>
      <c r="BK964" s="646">
        <f t="shared" si="294"/>
        <v>0</v>
      </c>
      <c r="BL964" s="229"/>
      <c r="BM964" s="215"/>
      <c r="BN964" s="125">
        <f t="shared" si="261"/>
        <v>0</v>
      </c>
      <c r="BO964" s="126">
        <f t="shared" si="262"/>
        <v>0</v>
      </c>
      <c r="BP964" s="127">
        <f t="shared" si="263"/>
        <v>192.76999999999998</v>
      </c>
    </row>
    <row r="965" spans="1:68" s="230" customFormat="1" ht="19.5" customHeight="1" outlineLevel="5" x14ac:dyDescent="0.25">
      <c r="A965" s="216"/>
      <c r="B965" s="215"/>
      <c r="C965" s="216"/>
      <c r="D965" s="216"/>
      <c r="E965" s="216"/>
      <c r="F965" s="216"/>
      <c r="G965" s="216"/>
      <c r="H965" s="216"/>
      <c r="I965" s="216"/>
      <c r="J965" s="215"/>
      <c r="K965" s="217"/>
      <c r="L965" s="216"/>
      <c r="M965" s="215"/>
      <c r="N965" s="215"/>
      <c r="O965" s="215"/>
      <c r="P965" s="215"/>
      <c r="Q965" s="215"/>
      <c r="R965" s="215"/>
      <c r="S965" s="215"/>
      <c r="T965" s="215"/>
      <c r="U965" s="215"/>
      <c r="V965" s="215"/>
      <c r="W965" s="215"/>
      <c r="X965" s="215"/>
      <c r="Y965" s="215"/>
      <c r="Z965" s="215"/>
      <c r="AA965" s="215"/>
      <c r="AB965" s="247"/>
      <c r="AC965" s="219" t="s">
        <v>305</v>
      </c>
      <c r="AD965" s="644" t="s">
        <v>247</v>
      </c>
      <c r="AE965" s="645">
        <f t="shared" ref="AE965:BK965" si="295">AE241</f>
        <v>0</v>
      </c>
      <c r="AF965" s="222">
        <f t="shared" si="295"/>
        <v>0</v>
      </c>
      <c r="AG965" s="646">
        <f t="shared" si="295"/>
        <v>0</v>
      </c>
      <c r="AH965" s="647">
        <f t="shared" si="295"/>
        <v>0</v>
      </c>
      <c r="AI965" s="222">
        <f t="shared" si="295"/>
        <v>0</v>
      </c>
      <c r="AJ965" s="646">
        <f t="shared" si="295"/>
        <v>0</v>
      </c>
      <c r="AK965" s="645">
        <f t="shared" si="295"/>
        <v>0</v>
      </c>
      <c r="AL965" s="222">
        <f t="shared" si="295"/>
        <v>0</v>
      </c>
      <c r="AM965" s="646">
        <f t="shared" si="295"/>
        <v>0</v>
      </c>
      <c r="AN965" s="645">
        <f t="shared" si="295"/>
        <v>2.74</v>
      </c>
      <c r="AO965" s="222">
        <f t="shared" si="295"/>
        <v>0</v>
      </c>
      <c r="AP965" s="646">
        <f t="shared" si="295"/>
        <v>3.01</v>
      </c>
      <c r="AQ965" s="645">
        <f t="shared" si="295"/>
        <v>0</v>
      </c>
      <c r="AR965" s="222">
        <f t="shared" si="295"/>
        <v>0</v>
      </c>
      <c r="AS965" s="646">
        <f t="shared" si="295"/>
        <v>124.17</v>
      </c>
      <c r="AT965" s="645">
        <f t="shared" si="295"/>
        <v>0</v>
      </c>
      <c r="AU965" s="222">
        <f t="shared" si="295"/>
        <v>0</v>
      </c>
      <c r="AV965" s="646">
        <f t="shared" si="295"/>
        <v>0</v>
      </c>
      <c r="AW965" s="645">
        <f t="shared" si="295"/>
        <v>0.65</v>
      </c>
      <c r="AX965" s="222">
        <f t="shared" si="295"/>
        <v>0</v>
      </c>
      <c r="AY965" s="646">
        <f t="shared" si="295"/>
        <v>1</v>
      </c>
      <c r="AZ965" s="645">
        <f t="shared" si="295"/>
        <v>0</v>
      </c>
      <c r="BA965" s="222">
        <f t="shared" si="295"/>
        <v>0</v>
      </c>
      <c r="BB965" s="646">
        <f t="shared" si="295"/>
        <v>0</v>
      </c>
      <c r="BC965" s="645">
        <f t="shared" si="295"/>
        <v>0</v>
      </c>
      <c r="BD965" s="222">
        <f t="shared" si="295"/>
        <v>0</v>
      </c>
      <c r="BE965" s="646">
        <f t="shared" si="295"/>
        <v>0</v>
      </c>
      <c r="BF965" s="645">
        <f t="shared" si="295"/>
        <v>0</v>
      </c>
      <c r="BG965" s="222">
        <f t="shared" si="295"/>
        <v>0</v>
      </c>
      <c r="BH965" s="646">
        <f t="shared" si="295"/>
        <v>0</v>
      </c>
      <c r="BI965" s="645">
        <f t="shared" si="295"/>
        <v>0</v>
      </c>
      <c r="BJ965" s="222">
        <f t="shared" si="295"/>
        <v>0</v>
      </c>
      <c r="BK965" s="646">
        <f t="shared" si="295"/>
        <v>0</v>
      </c>
      <c r="BL965" s="229"/>
      <c r="BM965" s="215"/>
      <c r="BN965" s="125">
        <f t="shared" si="261"/>
        <v>3.39</v>
      </c>
      <c r="BO965" s="126">
        <f t="shared" si="262"/>
        <v>0</v>
      </c>
      <c r="BP965" s="127">
        <f t="shared" si="263"/>
        <v>128.18</v>
      </c>
    </row>
    <row r="966" spans="1:68" s="246" customFormat="1" ht="19.5" customHeight="1" outlineLevel="5" x14ac:dyDescent="0.25">
      <c r="A966" s="242"/>
      <c r="B966" s="229"/>
      <c r="C966" s="242"/>
      <c r="D966" s="242"/>
      <c r="E966" s="242"/>
      <c r="F966" s="242"/>
      <c r="G966" s="242"/>
      <c r="H966" s="242"/>
      <c r="I966" s="242"/>
      <c r="J966" s="229"/>
      <c r="K966" s="243"/>
      <c r="L966" s="242"/>
      <c r="M966" s="229"/>
      <c r="N966" s="229"/>
      <c r="O966" s="229"/>
      <c r="P966" s="229"/>
      <c r="Q966" s="229"/>
      <c r="R966" s="229"/>
      <c r="S966" s="229"/>
      <c r="T966" s="229"/>
      <c r="U966" s="229"/>
      <c r="V966" s="229"/>
      <c r="W966" s="229"/>
      <c r="X966" s="229"/>
      <c r="Y966" s="229"/>
      <c r="Z966" s="229"/>
      <c r="AA966" s="229"/>
      <c r="AB966" s="247"/>
      <c r="AC966" s="219" t="s">
        <v>306</v>
      </c>
      <c r="AD966" s="644" t="s">
        <v>247</v>
      </c>
      <c r="AE966" s="645">
        <f t="shared" ref="AE966:BK966" si="296">AE242+AE577</f>
        <v>15716.1</v>
      </c>
      <c r="AF966" s="222">
        <f t="shared" si="296"/>
        <v>0</v>
      </c>
      <c r="AG966" s="646">
        <f t="shared" si="296"/>
        <v>0</v>
      </c>
      <c r="AH966" s="647">
        <f t="shared" si="296"/>
        <v>145.49700000000001</v>
      </c>
      <c r="AI966" s="222">
        <f t="shared" si="296"/>
        <v>0</v>
      </c>
      <c r="AJ966" s="646">
        <f t="shared" si="296"/>
        <v>152.71800000000002</v>
      </c>
      <c r="AK966" s="645">
        <f t="shared" si="296"/>
        <v>21.99</v>
      </c>
      <c r="AL966" s="222">
        <f t="shared" si="296"/>
        <v>35.94</v>
      </c>
      <c r="AM966" s="646">
        <f t="shared" si="296"/>
        <v>24.19</v>
      </c>
      <c r="AN966" s="645">
        <f t="shared" si="296"/>
        <v>824.54</v>
      </c>
      <c r="AO966" s="222">
        <f t="shared" si="296"/>
        <v>0</v>
      </c>
      <c r="AP966" s="646">
        <f t="shared" si="296"/>
        <v>907.26</v>
      </c>
      <c r="AQ966" s="645">
        <f t="shared" si="296"/>
        <v>174.53</v>
      </c>
      <c r="AR966" s="222">
        <f t="shared" si="296"/>
        <v>0</v>
      </c>
      <c r="AS966" s="646">
        <f t="shared" si="296"/>
        <v>192.04000000000002</v>
      </c>
      <c r="AT966" s="645">
        <f t="shared" si="296"/>
        <v>2.08</v>
      </c>
      <c r="AU966" s="222">
        <f t="shared" si="296"/>
        <v>0</v>
      </c>
      <c r="AV966" s="646">
        <f t="shared" si="296"/>
        <v>47.8</v>
      </c>
      <c r="AW966" s="645">
        <f t="shared" si="296"/>
        <v>235.85300000000001</v>
      </c>
      <c r="AX966" s="222">
        <f t="shared" si="296"/>
        <v>0</v>
      </c>
      <c r="AY966" s="646">
        <f t="shared" si="296"/>
        <v>259.51299999999998</v>
      </c>
      <c r="AZ966" s="645">
        <f t="shared" si="296"/>
        <v>479.827</v>
      </c>
      <c r="BA966" s="222">
        <f t="shared" si="296"/>
        <v>0</v>
      </c>
      <c r="BB966" s="646">
        <f t="shared" si="296"/>
        <v>527.96</v>
      </c>
      <c r="BC966" s="645">
        <f t="shared" si="296"/>
        <v>888.18999999999994</v>
      </c>
      <c r="BD966" s="222">
        <f t="shared" si="296"/>
        <v>0</v>
      </c>
      <c r="BE966" s="646">
        <f t="shared" si="296"/>
        <v>1448.98</v>
      </c>
      <c r="BF966" s="645">
        <f t="shared" si="296"/>
        <v>419.60999999999996</v>
      </c>
      <c r="BG966" s="222">
        <f t="shared" si="296"/>
        <v>82.12</v>
      </c>
      <c r="BH966" s="646">
        <f t="shared" si="296"/>
        <v>461.71000000000004</v>
      </c>
      <c r="BI966" s="645">
        <f t="shared" si="296"/>
        <v>221.54999999999998</v>
      </c>
      <c r="BJ966" s="222">
        <f t="shared" si="296"/>
        <v>107.57</v>
      </c>
      <c r="BK966" s="646">
        <f t="shared" si="296"/>
        <v>243.76</v>
      </c>
      <c r="BL966" s="229"/>
      <c r="BM966" s="229"/>
      <c r="BN966" s="125">
        <f t="shared" ref="BN966:BN977" si="297">AE966+AH966+AK966+AN966+AQ966+AT966+AW966+AZ966+BC966+BF966+BI966</f>
        <v>19129.767</v>
      </c>
      <c r="BO966" s="126">
        <f t="shared" ref="BO966:BO977" si="298">AF966+AI966+AL966+AO966+AR966+AU966+AX966+BA966+BD966+BG966+BJ966</f>
        <v>225.63</v>
      </c>
      <c r="BP966" s="127">
        <f t="shared" ref="BP966:BP977" si="299">AG966+AJ966+AM966+AP966+AS966+AV966+AY966+BB966+BE966+BH966+BK966</f>
        <v>4265.9309999999996</v>
      </c>
    </row>
    <row r="967" spans="1:68" s="246" customFormat="1" ht="19.5" customHeight="1" outlineLevel="5" x14ac:dyDescent="0.25">
      <c r="A967" s="242"/>
      <c r="B967" s="229"/>
      <c r="C967" s="242"/>
      <c r="D967" s="242"/>
      <c r="E967" s="242"/>
      <c r="F967" s="242"/>
      <c r="G967" s="242"/>
      <c r="H967" s="242"/>
      <c r="I967" s="242"/>
      <c r="J967" s="229"/>
      <c r="K967" s="243"/>
      <c r="L967" s="242"/>
      <c r="M967" s="229"/>
      <c r="N967" s="229"/>
      <c r="O967" s="229"/>
      <c r="P967" s="229"/>
      <c r="Q967" s="229"/>
      <c r="R967" s="229"/>
      <c r="S967" s="229"/>
      <c r="T967" s="229"/>
      <c r="U967" s="229"/>
      <c r="V967" s="229"/>
      <c r="W967" s="229"/>
      <c r="X967" s="229"/>
      <c r="Y967" s="229"/>
      <c r="Z967" s="229"/>
      <c r="AA967" s="229"/>
      <c r="AB967" s="247"/>
      <c r="AC967" s="219" t="s">
        <v>307</v>
      </c>
      <c r="AD967" s="644" t="s">
        <v>247</v>
      </c>
      <c r="AE967" s="645">
        <f t="shared" ref="AE967:BK967" si="300">AE243+AE583</f>
        <v>93.46</v>
      </c>
      <c r="AF967" s="222">
        <f t="shared" si="300"/>
        <v>0</v>
      </c>
      <c r="AG967" s="646">
        <f t="shared" si="300"/>
        <v>70.86</v>
      </c>
      <c r="AH967" s="647">
        <f t="shared" si="300"/>
        <v>11.93</v>
      </c>
      <c r="AI967" s="222">
        <f t="shared" si="300"/>
        <v>0</v>
      </c>
      <c r="AJ967" s="646">
        <f t="shared" si="300"/>
        <v>10.280000000000001</v>
      </c>
      <c r="AK967" s="645">
        <f t="shared" si="300"/>
        <v>0</v>
      </c>
      <c r="AL967" s="222">
        <f t="shared" si="300"/>
        <v>0</v>
      </c>
      <c r="AM967" s="646">
        <f t="shared" si="300"/>
        <v>10.56</v>
      </c>
      <c r="AN967" s="645">
        <f t="shared" si="300"/>
        <v>0</v>
      </c>
      <c r="AO967" s="222">
        <f t="shared" si="300"/>
        <v>0</v>
      </c>
      <c r="AP967" s="646">
        <f t="shared" si="300"/>
        <v>6.16</v>
      </c>
      <c r="AQ967" s="645">
        <f t="shared" si="300"/>
        <v>2.66</v>
      </c>
      <c r="AR967" s="222">
        <f t="shared" si="300"/>
        <v>0</v>
      </c>
      <c r="AS967" s="646">
        <f t="shared" si="300"/>
        <v>1.46</v>
      </c>
      <c r="AT967" s="645">
        <f t="shared" si="300"/>
        <v>83.2</v>
      </c>
      <c r="AU967" s="222">
        <f t="shared" si="300"/>
        <v>0</v>
      </c>
      <c r="AV967" s="646">
        <f t="shared" si="300"/>
        <v>69.610000000000014</v>
      </c>
      <c r="AW967" s="645">
        <f t="shared" si="300"/>
        <v>7.0670000000000002</v>
      </c>
      <c r="AX967" s="222">
        <f t="shared" si="300"/>
        <v>0</v>
      </c>
      <c r="AY967" s="646">
        <f t="shared" si="300"/>
        <v>8.0689999999999991</v>
      </c>
      <c r="AZ967" s="645">
        <f t="shared" si="300"/>
        <v>43.322999999999993</v>
      </c>
      <c r="BA967" s="222">
        <f t="shared" si="300"/>
        <v>0</v>
      </c>
      <c r="BB967" s="646">
        <f t="shared" si="300"/>
        <v>14.67</v>
      </c>
      <c r="BC967" s="645">
        <f t="shared" si="300"/>
        <v>330.82</v>
      </c>
      <c r="BD967" s="222">
        <f t="shared" si="300"/>
        <v>0</v>
      </c>
      <c r="BE967" s="646">
        <f t="shared" si="300"/>
        <v>17.91</v>
      </c>
      <c r="BF967" s="645">
        <f t="shared" si="300"/>
        <v>2.4000000000000004</v>
      </c>
      <c r="BG967" s="222">
        <f t="shared" si="300"/>
        <v>0</v>
      </c>
      <c r="BH967" s="646">
        <f t="shared" si="300"/>
        <v>1.76</v>
      </c>
      <c r="BI967" s="645">
        <f t="shared" si="300"/>
        <v>6</v>
      </c>
      <c r="BJ967" s="222">
        <f t="shared" si="300"/>
        <v>1.66</v>
      </c>
      <c r="BK967" s="646">
        <f t="shared" si="300"/>
        <v>4.4000000000000004</v>
      </c>
      <c r="BL967" s="229"/>
      <c r="BM967" s="229"/>
      <c r="BN967" s="125">
        <f t="shared" si="297"/>
        <v>580.86</v>
      </c>
      <c r="BO967" s="126">
        <f t="shared" si="298"/>
        <v>1.66</v>
      </c>
      <c r="BP967" s="127">
        <f t="shared" si="299"/>
        <v>215.73899999999998</v>
      </c>
    </row>
    <row r="968" spans="1:68" s="230" customFormat="1" ht="19.5" customHeight="1" outlineLevel="5" x14ac:dyDescent="0.25">
      <c r="A968" s="216"/>
      <c r="B968" s="215"/>
      <c r="C968" s="216"/>
      <c r="D968" s="216"/>
      <c r="E968" s="216"/>
      <c r="F968" s="216"/>
      <c r="G968" s="216"/>
      <c r="H968" s="216"/>
      <c r="I968" s="216"/>
      <c r="J968" s="215"/>
      <c r="K968" s="217"/>
      <c r="L968" s="216"/>
      <c r="M968" s="215"/>
      <c r="N968" s="215"/>
      <c r="O968" s="215"/>
      <c r="P968" s="215"/>
      <c r="Q968" s="215"/>
      <c r="R968" s="215"/>
      <c r="S968" s="215"/>
      <c r="T968" s="215"/>
      <c r="U968" s="215"/>
      <c r="V968" s="215"/>
      <c r="W968" s="215"/>
      <c r="X968" s="215"/>
      <c r="Y968" s="215"/>
      <c r="Z968" s="215"/>
      <c r="AA968" s="215"/>
      <c r="AB968" s="247"/>
      <c r="AC968" s="219" t="s">
        <v>308</v>
      </c>
      <c r="AD968" s="644" t="s">
        <v>247</v>
      </c>
      <c r="AE968" s="645">
        <f t="shared" ref="AE968:BK968" si="301">AE244+AE587</f>
        <v>0</v>
      </c>
      <c r="AF968" s="222">
        <f t="shared" si="301"/>
        <v>0</v>
      </c>
      <c r="AG968" s="646">
        <f t="shared" si="301"/>
        <v>0</v>
      </c>
      <c r="AH968" s="647">
        <f t="shared" si="301"/>
        <v>0</v>
      </c>
      <c r="AI968" s="222">
        <f t="shared" si="301"/>
        <v>0</v>
      </c>
      <c r="AJ968" s="646">
        <f t="shared" si="301"/>
        <v>0</v>
      </c>
      <c r="AK968" s="645">
        <f t="shared" si="301"/>
        <v>0</v>
      </c>
      <c r="AL968" s="222">
        <f t="shared" si="301"/>
        <v>0</v>
      </c>
      <c r="AM968" s="646">
        <f t="shared" si="301"/>
        <v>0</v>
      </c>
      <c r="AN968" s="645">
        <f t="shared" si="301"/>
        <v>0</v>
      </c>
      <c r="AO968" s="222">
        <f t="shared" si="301"/>
        <v>0</v>
      </c>
      <c r="AP968" s="646">
        <f t="shared" si="301"/>
        <v>0</v>
      </c>
      <c r="AQ968" s="645">
        <f t="shared" si="301"/>
        <v>0</v>
      </c>
      <c r="AR968" s="222">
        <f t="shared" si="301"/>
        <v>0</v>
      </c>
      <c r="AS968" s="646">
        <f t="shared" si="301"/>
        <v>0</v>
      </c>
      <c r="AT968" s="645">
        <f t="shared" si="301"/>
        <v>0</v>
      </c>
      <c r="AU968" s="222">
        <f t="shared" si="301"/>
        <v>0</v>
      </c>
      <c r="AV968" s="646">
        <f t="shared" si="301"/>
        <v>0</v>
      </c>
      <c r="AW968" s="645">
        <f t="shared" si="301"/>
        <v>3658.8530000000001</v>
      </c>
      <c r="AX968" s="222">
        <f t="shared" si="301"/>
        <v>0</v>
      </c>
      <c r="AY968" s="646">
        <f t="shared" si="301"/>
        <v>4798.3590000000004</v>
      </c>
      <c r="AZ968" s="645">
        <f t="shared" si="301"/>
        <v>7571.9030000000002</v>
      </c>
      <c r="BA968" s="222">
        <f t="shared" si="301"/>
        <v>0</v>
      </c>
      <c r="BB968" s="646">
        <f t="shared" si="301"/>
        <v>10980.13</v>
      </c>
      <c r="BC968" s="645">
        <f t="shared" si="301"/>
        <v>0</v>
      </c>
      <c r="BD968" s="222">
        <f t="shared" si="301"/>
        <v>0</v>
      </c>
      <c r="BE968" s="646">
        <f t="shared" si="301"/>
        <v>0</v>
      </c>
      <c r="BF968" s="645">
        <f t="shared" si="301"/>
        <v>2711.28</v>
      </c>
      <c r="BG968" s="222">
        <f t="shared" si="301"/>
        <v>0</v>
      </c>
      <c r="BH968" s="646">
        <f t="shared" si="301"/>
        <v>2711.28</v>
      </c>
      <c r="BI968" s="645">
        <f t="shared" si="301"/>
        <v>0</v>
      </c>
      <c r="BJ968" s="222">
        <f t="shared" si="301"/>
        <v>0</v>
      </c>
      <c r="BK968" s="646">
        <f t="shared" si="301"/>
        <v>0</v>
      </c>
      <c r="BL968" s="229"/>
      <c r="BM968" s="215"/>
      <c r="BN968" s="125">
        <f t="shared" si="297"/>
        <v>13942.036000000002</v>
      </c>
      <c r="BO968" s="126">
        <f t="shared" si="298"/>
        <v>0</v>
      </c>
      <c r="BP968" s="127">
        <f t="shared" si="299"/>
        <v>18489.769</v>
      </c>
    </row>
    <row r="969" spans="1:68" s="230" customFormat="1" ht="19.5" customHeight="1" outlineLevel="5" x14ac:dyDescent="0.25">
      <c r="A969" s="216"/>
      <c r="B969" s="215"/>
      <c r="C969" s="216"/>
      <c r="D969" s="216"/>
      <c r="E969" s="216"/>
      <c r="F969" s="216"/>
      <c r="G969" s="216"/>
      <c r="H969" s="216"/>
      <c r="I969" s="216"/>
      <c r="J969" s="215"/>
      <c r="K969" s="217"/>
      <c r="L969" s="216"/>
      <c r="M969" s="215"/>
      <c r="N969" s="215"/>
      <c r="O969" s="215"/>
      <c r="P969" s="215"/>
      <c r="Q969" s="215"/>
      <c r="R969" s="215"/>
      <c r="S969" s="215"/>
      <c r="T969" s="215"/>
      <c r="U969" s="215"/>
      <c r="V969" s="215"/>
      <c r="W969" s="215"/>
      <c r="X969" s="215"/>
      <c r="Y969" s="215"/>
      <c r="Z969" s="215"/>
      <c r="AA969" s="215"/>
      <c r="AB969" s="251"/>
      <c r="AC969" s="219" t="s">
        <v>309</v>
      </c>
      <c r="AD969" s="644" t="s">
        <v>247</v>
      </c>
      <c r="AE969" s="645">
        <f t="shared" ref="AE969:BK969" si="302">AE245+AE588</f>
        <v>0</v>
      </c>
      <c r="AF969" s="222">
        <f t="shared" si="302"/>
        <v>0</v>
      </c>
      <c r="AG969" s="646">
        <f t="shared" si="302"/>
        <v>0</v>
      </c>
      <c r="AH969" s="647">
        <f t="shared" si="302"/>
        <v>0</v>
      </c>
      <c r="AI969" s="222">
        <f t="shared" si="302"/>
        <v>0</v>
      </c>
      <c r="AJ969" s="646">
        <f t="shared" si="302"/>
        <v>0</v>
      </c>
      <c r="AK969" s="645">
        <f t="shared" si="302"/>
        <v>0</v>
      </c>
      <c r="AL969" s="222">
        <f t="shared" si="302"/>
        <v>0</v>
      </c>
      <c r="AM969" s="646">
        <f t="shared" si="302"/>
        <v>0</v>
      </c>
      <c r="AN969" s="645">
        <f t="shared" si="302"/>
        <v>0</v>
      </c>
      <c r="AO969" s="222">
        <f t="shared" si="302"/>
        <v>0</v>
      </c>
      <c r="AP969" s="646">
        <f t="shared" si="302"/>
        <v>0</v>
      </c>
      <c r="AQ969" s="645">
        <f t="shared" si="302"/>
        <v>0</v>
      </c>
      <c r="AR969" s="222">
        <f t="shared" si="302"/>
        <v>0</v>
      </c>
      <c r="AS969" s="646">
        <f t="shared" si="302"/>
        <v>0</v>
      </c>
      <c r="AT969" s="645">
        <f t="shared" si="302"/>
        <v>0</v>
      </c>
      <c r="AU969" s="222">
        <f t="shared" si="302"/>
        <v>0</v>
      </c>
      <c r="AV969" s="646">
        <f t="shared" si="302"/>
        <v>0</v>
      </c>
      <c r="AW969" s="645">
        <f t="shared" si="302"/>
        <v>0</v>
      </c>
      <c r="AX969" s="222">
        <f t="shared" si="302"/>
        <v>0</v>
      </c>
      <c r="AY969" s="646">
        <f t="shared" si="302"/>
        <v>0</v>
      </c>
      <c r="AZ969" s="645">
        <f t="shared" si="302"/>
        <v>0</v>
      </c>
      <c r="BA969" s="222">
        <f t="shared" si="302"/>
        <v>0</v>
      </c>
      <c r="BB969" s="646">
        <f t="shared" si="302"/>
        <v>0</v>
      </c>
      <c r="BC969" s="645">
        <f t="shared" si="302"/>
        <v>0</v>
      </c>
      <c r="BD969" s="222">
        <f t="shared" si="302"/>
        <v>0</v>
      </c>
      <c r="BE969" s="646">
        <f t="shared" si="302"/>
        <v>0</v>
      </c>
      <c r="BF969" s="645">
        <f t="shared" si="302"/>
        <v>0</v>
      </c>
      <c r="BG969" s="222">
        <f t="shared" si="302"/>
        <v>0</v>
      </c>
      <c r="BH969" s="646">
        <f t="shared" si="302"/>
        <v>0</v>
      </c>
      <c r="BI969" s="645">
        <f t="shared" si="302"/>
        <v>295.27999999999997</v>
      </c>
      <c r="BJ969" s="222">
        <f t="shared" si="302"/>
        <v>176</v>
      </c>
      <c r="BK969" s="646">
        <f t="shared" si="302"/>
        <v>336.6</v>
      </c>
      <c r="BL969" s="229"/>
      <c r="BM969" s="215"/>
      <c r="BN969" s="125">
        <f t="shared" si="297"/>
        <v>295.27999999999997</v>
      </c>
      <c r="BO969" s="126">
        <f t="shared" si="298"/>
        <v>176</v>
      </c>
      <c r="BP969" s="127">
        <f t="shared" si="299"/>
        <v>336.6</v>
      </c>
    </row>
    <row r="970" spans="1:68" s="230" customFormat="1" ht="19.5" customHeight="1" outlineLevel="5" x14ac:dyDescent="0.25">
      <c r="A970" s="216"/>
      <c r="B970" s="215"/>
      <c r="C970" s="216"/>
      <c r="D970" s="216"/>
      <c r="E970" s="216"/>
      <c r="F970" s="216"/>
      <c r="G970" s="216"/>
      <c r="H970" s="216"/>
      <c r="I970" s="216"/>
      <c r="J970" s="215"/>
      <c r="K970" s="217"/>
      <c r="L970" s="216"/>
      <c r="M970" s="215"/>
      <c r="N970" s="215"/>
      <c r="O970" s="215"/>
      <c r="P970" s="215"/>
      <c r="Q970" s="215"/>
      <c r="R970" s="215"/>
      <c r="S970" s="215"/>
      <c r="T970" s="215"/>
      <c r="U970" s="215"/>
      <c r="V970" s="215"/>
      <c r="W970" s="215"/>
      <c r="X970" s="215"/>
      <c r="Y970" s="215"/>
      <c r="Z970" s="215"/>
      <c r="AA970" s="215"/>
      <c r="AB970" s="251"/>
      <c r="AC970" s="219" t="s">
        <v>310</v>
      </c>
      <c r="AD970" s="644" t="s">
        <v>247</v>
      </c>
      <c r="AE970" s="645">
        <f t="shared" ref="AE970:BK970" si="303">AE246+AE589</f>
        <v>0</v>
      </c>
      <c r="AF970" s="222">
        <f t="shared" si="303"/>
        <v>0</v>
      </c>
      <c r="AG970" s="646">
        <f t="shared" si="303"/>
        <v>0</v>
      </c>
      <c r="AH970" s="647">
        <f t="shared" si="303"/>
        <v>0</v>
      </c>
      <c r="AI970" s="222">
        <f t="shared" si="303"/>
        <v>0</v>
      </c>
      <c r="AJ970" s="646">
        <f t="shared" si="303"/>
        <v>0</v>
      </c>
      <c r="AK970" s="645">
        <f t="shared" si="303"/>
        <v>0</v>
      </c>
      <c r="AL970" s="222">
        <f t="shared" si="303"/>
        <v>0</v>
      </c>
      <c r="AM970" s="646">
        <f t="shared" si="303"/>
        <v>0</v>
      </c>
      <c r="AN970" s="645">
        <f t="shared" si="303"/>
        <v>0</v>
      </c>
      <c r="AO970" s="222">
        <f t="shared" si="303"/>
        <v>0</v>
      </c>
      <c r="AP970" s="646">
        <f t="shared" si="303"/>
        <v>0</v>
      </c>
      <c r="AQ970" s="645">
        <f t="shared" si="303"/>
        <v>0</v>
      </c>
      <c r="AR970" s="222">
        <f t="shared" si="303"/>
        <v>0</v>
      </c>
      <c r="AS970" s="646">
        <f t="shared" si="303"/>
        <v>0</v>
      </c>
      <c r="AT970" s="645">
        <f t="shared" si="303"/>
        <v>0</v>
      </c>
      <c r="AU970" s="222">
        <f t="shared" si="303"/>
        <v>0</v>
      </c>
      <c r="AV970" s="646">
        <f t="shared" si="303"/>
        <v>0</v>
      </c>
      <c r="AW970" s="645">
        <f t="shared" si="303"/>
        <v>0</v>
      </c>
      <c r="AX970" s="222">
        <f t="shared" si="303"/>
        <v>0</v>
      </c>
      <c r="AY970" s="646">
        <f t="shared" si="303"/>
        <v>0</v>
      </c>
      <c r="AZ970" s="645">
        <f t="shared" si="303"/>
        <v>0</v>
      </c>
      <c r="BA970" s="222">
        <f t="shared" si="303"/>
        <v>0</v>
      </c>
      <c r="BB970" s="646">
        <f t="shared" si="303"/>
        <v>0</v>
      </c>
      <c r="BC970" s="645">
        <f t="shared" si="303"/>
        <v>0</v>
      </c>
      <c r="BD970" s="222">
        <f t="shared" si="303"/>
        <v>0</v>
      </c>
      <c r="BE970" s="646">
        <f t="shared" si="303"/>
        <v>0</v>
      </c>
      <c r="BF970" s="645">
        <f t="shared" si="303"/>
        <v>0</v>
      </c>
      <c r="BG970" s="222">
        <f t="shared" si="303"/>
        <v>0</v>
      </c>
      <c r="BH970" s="646">
        <f t="shared" si="303"/>
        <v>0</v>
      </c>
      <c r="BI970" s="645">
        <f t="shared" si="303"/>
        <v>2.7800000000000002</v>
      </c>
      <c r="BJ970" s="222">
        <f t="shared" si="303"/>
        <v>5.5</v>
      </c>
      <c r="BK970" s="646">
        <f t="shared" si="303"/>
        <v>3.0700000000000003</v>
      </c>
      <c r="BL970" s="229"/>
      <c r="BM970" s="215"/>
      <c r="BN970" s="125">
        <f t="shared" si="297"/>
        <v>2.7800000000000002</v>
      </c>
      <c r="BO970" s="126">
        <f t="shared" si="298"/>
        <v>5.5</v>
      </c>
      <c r="BP970" s="127">
        <f t="shared" si="299"/>
        <v>3.0700000000000003</v>
      </c>
    </row>
    <row r="971" spans="1:68" s="230" customFormat="1" ht="19.5" customHeight="1" outlineLevel="5" x14ac:dyDescent="0.25">
      <c r="A971" s="216"/>
      <c r="B971" s="215"/>
      <c r="C971" s="216"/>
      <c r="D971" s="216"/>
      <c r="E971" s="216"/>
      <c r="F971" s="216"/>
      <c r="G971" s="216"/>
      <c r="H971" s="216"/>
      <c r="I971" s="216"/>
      <c r="J971" s="215"/>
      <c r="K971" s="217"/>
      <c r="L971" s="216"/>
      <c r="M971" s="215"/>
      <c r="N971" s="215"/>
      <c r="O971" s="215"/>
      <c r="P971" s="215"/>
      <c r="Q971" s="215"/>
      <c r="R971" s="215"/>
      <c r="S971" s="215"/>
      <c r="T971" s="215"/>
      <c r="U971" s="215"/>
      <c r="V971" s="215"/>
      <c r="W971" s="215"/>
      <c r="X971" s="215"/>
      <c r="Y971" s="215"/>
      <c r="Z971" s="215"/>
      <c r="AA971" s="215"/>
      <c r="AB971" s="251"/>
      <c r="AC971" s="219" t="s">
        <v>311</v>
      </c>
      <c r="AD971" s="644" t="s">
        <v>247</v>
      </c>
      <c r="AE971" s="645">
        <f t="shared" ref="AE971:BK971" si="304">AE247+AE590</f>
        <v>0</v>
      </c>
      <c r="AF971" s="222">
        <f t="shared" si="304"/>
        <v>0</v>
      </c>
      <c r="AG971" s="646">
        <f t="shared" si="304"/>
        <v>0</v>
      </c>
      <c r="AH971" s="647">
        <f t="shared" si="304"/>
        <v>0</v>
      </c>
      <c r="AI971" s="222">
        <f t="shared" si="304"/>
        <v>0</v>
      </c>
      <c r="AJ971" s="646">
        <f t="shared" si="304"/>
        <v>0</v>
      </c>
      <c r="AK971" s="645">
        <f t="shared" si="304"/>
        <v>0</v>
      </c>
      <c r="AL971" s="222">
        <f t="shared" si="304"/>
        <v>0</v>
      </c>
      <c r="AM971" s="646">
        <f t="shared" si="304"/>
        <v>0</v>
      </c>
      <c r="AN971" s="645">
        <f t="shared" si="304"/>
        <v>0</v>
      </c>
      <c r="AO971" s="222">
        <f t="shared" si="304"/>
        <v>0</v>
      </c>
      <c r="AP971" s="646">
        <f t="shared" si="304"/>
        <v>0</v>
      </c>
      <c r="AQ971" s="645">
        <f t="shared" si="304"/>
        <v>0</v>
      </c>
      <c r="AR971" s="222">
        <f t="shared" si="304"/>
        <v>0</v>
      </c>
      <c r="AS971" s="646">
        <f t="shared" si="304"/>
        <v>0</v>
      </c>
      <c r="AT971" s="645">
        <f t="shared" si="304"/>
        <v>0</v>
      </c>
      <c r="AU971" s="222">
        <f t="shared" si="304"/>
        <v>0</v>
      </c>
      <c r="AV971" s="646">
        <f t="shared" si="304"/>
        <v>0</v>
      </c>
      <c r="AW971" s="645">
        <f t="shared" si="304"/>
        <v>0</v>
      </c>
      <c r="AX971" s="222">
        <f t="shared" si="304"/>
        <v>0</v>
      </c>
      <c r="AY971" s="646">
        <f t="shared" si="304"/>
        <v>0</v>
      </c>
      <c r="AZ971" s="645">
        <f t="shared" si="304"/>
        <v>0</v>
      </c>
      <c r="BA971" s="222">
        <f t="shared" si="304"/>
        <v>0</v>
      </c>
      <c r="BB971" s="646">
        <f t="shared" si="304"/>
        <v>0</v>
      </c>
      <c r="BC971" s="645">
        <f t="shared" si="304"/>
        <v>0</v>
      </c>
      <c r="BD971" s="222">
        <f t="shared" si="304"/>
        <v>0</v>
      </c>
      <c r="BE971" s="646">
        <f t="shared" si="304"/>
        <v>0</v>
      </c>
      <c r="BF971" s="645">
        <f t="shared" si="304"/>
        <v>0</v>
      </c>
      <c r="BG971" s="222">
        <f t="shared" si="304"/>
        <v>0</v>
      </c>
      <c r="BH971" s="646">
        <f t="shared" si="304"/>
        <v>0</v>
      </c>
      <c r="BI971" s="645">
        <f t="shared" si="304"/>
        <v>52.22</v>
      </c>
      <c r="BJ971" s="222">
        <f t="shared" si="304"/>
        <v>55.905000000000001</v>
      </c>
      <c r="BK971" s="646">
        <f t="shared" si="304"/>
        <v>57.46</v>
      </c>
      <c r="BL971" s="229"/>
      <c r="BM971" s="215"/>
      <c r="BN971" s="125">
        <f t="shared" si="297"/>
        <v>52.22</v>
      </c>
      <c r="BO971" s="126">
        <f t="shared" si="298"/>
        <v>55.905000000000001</v>
      </c>
      <c r="BP971" s="127">
        <f t="shared" si="299"/>
        <v>57.46</v>
      </c>
    </row>
    <row r="972" spans="1:68" s="230" customFormat="1" ht="19.5" customHeight="1" outlineLevel="5" x14ac:dyDescent="0.25">
      <c r="A972" s="216"/>
      <c r="B972" s="215"/>
      <c r="C972" s="216"/>
      <c r="D972" s="216"/>
      <c r="E972" s="216"/>
      <c r="F972" s="216"/>
      <c r="G972" s="216"/>
      <c r="H972" s="216"/>
      <c r="I972" s="216"/>
      <c r="J972" s="215"/>
      <c r="K972" s="217"/>
      <c r="L972" s="216"/>
      <c r="M972" s="215"/>
      <c r="N972" s="215"/>
      <c r="O972" s="215"/>
      <c r="P972" s="215"/>
      <c r="Q972" s="215"/>
      <c r="R972" s="215"/>
      <c r="S972" s="215"/>
      <c r="T972" s="215"/>
      <c r="U972" s="215"/>
      <c r="V972" s="215"/>
      <c r="W972" s="215"/>
      <c r="X972" s="215"/>
      <c r="Y972" s="215"/>
      <c r="Z972" s="215"/>
      <c r="AA972" s="215"/>
      <c r="AB972" s="247"/>
      <c r="AC972" s="219" t="s">
        <v>312</v>
      </c>
      <c r="AD972" s="644" t="s">
        <v>247</v>
      </c>
      <c r="AE972" s="645">
        <f t="shared" ref="AE972:BK972" si="305">AE248</f>
        <v>0</v>
      </c>
      <c r="AF972" s="222">
        <f t="shared" si="305"/>
        <v>0</v>
      </c>
      <c r="AG972" s="646">
        <f t="shared" si="305"/>
        <v>0</v>
      </c>
      <c r="AH972" s="647">
        <f t="shared" si="305"/>
        <v>0</v>
      </c>
      <c r="AI972" s="222">
        <f t="shared" si="305"/>
        <v>0</v>
      </c>
      <c r="AJ972" s="646">
        <f t="shared" si="305"/>
        <v>0</v>
      </c>
      <c r="AK972" s="645">
        <f t="shared" si="305"/>
        <v>0</v>
      </c>
      <c r="AL972" s="222">
        <f t="shared" si="305"/>
        <v>0</v>
      </c>
      <c r="AM972" s="646">
        <f t="shared" si="305"/>
        <v>0</v>
      </c>
      <c r="AN972" s="645">
        <f t="shared" si="305"/>
        <v>0</v>
      </c>
      <c r="AO972" s="222">
        <f t="shared" si="305"/>
        <v>0</v>
      </c>
      <c r="AP972" s="646">
        <f t="shared" si="305"/>
        <v>0</v>
      </c>
      <c r="AQ972" s="645">
        <f t="shared" si="305"/>
        <v>0</v>
      </c>
      <c r="AR972" s="222">
        <f t="shared" si="305"/>
        <v>0</v>
      </c>
      <c r="AS972" s="646">
        <f t="shared" si="305"/>
        <v>0</v>
      </c>
      <c r="AT972" s="645">
        <f t="shared" si="305"/>
        <v>0</v>
      </c>
      <c r="AU972" s="222">
        <f t="shared" si="305"/>
        <v>0</v>
      </c>
      <c r="AV972" s="646">
        <f t="shared" si="305"/>
        <v>0</v>
      </c>
      <c r="AW972" s="645">
        <f t="shared" si="305"/>
        <v>0</v>
      </c>
      <c r="AX972" s="222">
        <f t="shared" si="305"/>
        <v>0</v>
      </c>
      <c r="AY972" s="646">
        <f t="shared" si="305"/>
        <v>0</v>
      </c>
      <c r="AZ972" s="645">
        <f t="shared" si="305"/>
        <v>3702.97</v>
      </c>
      <c r="BA972" s="222">
        <f t="shared" si="305"/>
        <v>0</v>
      </c>
      <c r="BB972" s="646">
        <f t="shared" si="305"/>
        <v>0</v>
      </c>
      <c r="BC972" s="645">
        <f t="shared" si="305"/>
        <v>0</v>
      </c>
      <c r="BD972" s="222">
        <f t="shared" si="305"/>
        <v>0</v>
      </c>
      <c r="BE972" s="646">
        <f t="shared" si="305"/>
        <v>0</v>
      </c>
      <c r="BF972" s="645">
        <f t="shared" si="305"/>
        <v>0</v>
      </c>
      <c r="BG972" s="222">
        <f t="shared" si="305"/>
        <v>0</v>
      </c>
      <c r="BH972" s="646">
        <f t="shared" si="305"/>
        <v>0</v>
      </c>
      <c r="BI972" s="645">
        <f t="shared" si="305"/>
        <v>0</v>
      </c>
      <c r="BJ972" s="222">
        <f t="shared" si="305"/>
        <v>0</v>
      </c>
      <c r="BK972" s="646">
        <f t="shared" si="305"/>
        <v>0</v>
      </c>
      <c r="BL972" s="229"/>
      <c r="BM972" s="215"/>
      <c r="BN972" s="125">
        <f t="shared" si="297"/>
        <v>3702.97</v>
      </c>
      <c r="BO972" s="126">
        <f t="shared" si="298"/>
        <v>0</v>
      </c>
      <c r="BP972" s="127">
        <f t="shared" si="299"/>
        <v>0</v>
      </c>
    </row>
    <row r="973" spans="1:68" s="171" customFormat="1" ht="27" customHeight="1" outlineLevel="3" x14ac:dyDescent="0.25">
      <c r="A973" s="166"/>
      <c r="B973" s="166"/>
      <c r="C973" s="167" t="s">
        <v>83</v>
      </c>
      <c r="D973" s="167" t="s">
        <v>84</v>
      </c>
      <c r="E973" s="167" t="s">
        <v>73</v>
      </c>
      <c r="F973" s="167" t="s">
        <v>74</v>
      </c>
      <c r="G973" s="167" t="s">
        <v>313</v>
      </c>
      <c r="H973" s="167" t="s">
        <v>73</v>
      </c>
      <c r="I973" s="167" t="s">
        <v>73</v>
      </c>
      <c r="J973" s="166"/>
      <c r="K973" s="168" t="s">
        <v>73</v>
      </c>
      <c r="L973" s="167" t="s">
        <v>192</v>
      </c>
      <c r="M973" s="166" t="str">
        <f t="array" ref="M973">Y806</f>
        <v>1ХВС::1.1</v>
      </c>
      <c r="N973" s="166"/>
      <c r="O973" s="166"/>
      <c r="P973" s="166"/>
      <c r="Q973" s="166"/>
      <c r="R973" s="166"/>
      <c r="S973" s="166"/>
      <c r="T973" s="166"/>
      <c r="U973" s="166"/>
      <c r="V973" s="166"/>
      <c r="W973" s="166"/>
      <c r="X973" s="166"/>
      <c r="Y973" s="166"/>
      <c r="Z973" s="166"/>
      <c r="AA973" s="166"/>
      <c r="AB973" s="623" t="str">
        <f>AB857&amp;".2"</f>
        <v>3.1.1.2</v>
      </c>
      <c r="AC973" s="648" t="s">
        <v>314</v>
      </c>
      <c r="AD973" s="625" t="s">
        <v>111</v>
      </c>
      <c r="AE973" s="626">
        <f t="shared" ref="AE973:BK973" si="306">AE974+AE975+AE976</f>
        <v>270553.58076000004</v>
      </c>
      <c r="AF973" s="627">
        <f t="shared" si="306"/>
        <v>285845.467</v>
      </c>
      <c r="AG973" s="628">
        <f t="shared" si="306"/>
        <v>408319.11476000003</v>
      </c>
      <c r="AH973" s="649">
        <f t="shared" si="306"/>
        <v>1067.2044139999998</v>
      </c>
      <c r="AI973" s="627">
        <f t="shared" si="306"/>
        <v>1606.74</v>
      </c>
      <c r="AJ973" s="650">
        <f t="shared" si="306"/>
        <v>3531.9686160000001</v>
      </c>
      <c r="AK973" s="649">
        <f t="shared" si="306"/>
        <v>12244.744999999999</v>
      </c>
      <c r="AL973" s="627">
        <f t="shared" si="306"/>
        <v>11165.470000000001</v>
      </c>
      <c r="AM973" s="650">
        <f t="shared" si="306"/>
        <v>19832.068999999996</v>
      </c>
      <c r="AN973" s="649">
        <f t="shared" si="306"/>
        <v>16116.636000000002</v>
      </c>
      <c r="AO973" s="627">
        <f t="shared" si="306"/>
        <v>11253.67</v>
      </c>
      <c r="AP973" s="650">
        <f t="shared" si="306"/>
        <v>23029.006000000001</v>
      </c>
      <c r="AQ973" s="649">
        <f t="shared" si="306"/>
        <v>15213.934000000001</v>
      </c>
      <c r="AR973" s="627">
        <f t="shared" si="306"/>
        <v>2636.8993999999998</v>
      </c>
      <c r="AS973" s="650">
        <f t="shared" si="306"/>
        <v>28585.281999999999</v>
      </c>
      <c r="AT973" s="649">
        <f t="shared" si="306"/>
        <v>28203.355</v>
      </c>
      <c r="AU973" s="627">
        <f t="shared" si="306"/>
        <v>44069.55</v>
      </c>
      <c r="AV973" s="650">
        <f t="shared" si="306"/>
        <v>42082.5</v>
      </c>
      <c r="AW973" s="649">
        <f t="shared" si="306"/>
        <v>39188.707274</v>
      </c>
      <c r="AX973" s="627">
        <f t="shared" si="306"/>
        <v>2764.2613573999997</v>
      </c>
      <c r="AY973" s="650">
        <f t="shared" si="306"/>
        <v>49357.490488000003</v>
      </c>
      <c r="AZ973" s="649">
        <f t="shared" si="306"/>
        <v>35254.076728</v>
      </c>
      <c r="BA973" s="627">
        <f t="shared" si="306"/>
        <v>73011.385760000005</v>
      </c>
      <c r="BB973" s="650">
        <f t="shared" si="306"/>
        <v>81053.000833155747</v>
      </c>
      <c r="BC973" s="649">
        <f t="shared" si="306"/>
        <v>84042.57699999999</v>
      </c>
      <c r="BD973" s="627">
        <f t="shared" si="306"/>
        <v>65345.030000000006</v>
      </c>
      <c r="BE973" s="650">
        <f t="shared" si="306"/>
        <v>94197.372200000013</v>
      </c>
      <c r="BF973" s="651">
        <f t="shared" si="306"/>
        <v>22547.49382</v>
      </c>
      <c r="BG973" s="652">
        <f t="shared" si="306"/>
        <v>20737.080839999999</v>
      </c>
      <c r="BH973" s="653">
        <f t="shared" si="306"/>
        <v>27907.41908</v>
      </c>
      <c r="BI973" s="654">
        <f t="shared" si="306"/>
        <v>20253.535960000001</v>
      </c>
      <c r="BJ973" s="652">
        <f t="shared" si="306"/>
        <v>24354.416259999998</v>
      </c>
      <c r="BK973" s="653">
        <f t="shared" si="306"/>
        <v>24544.189159999994</v>
      </c>
      <c r="BL973" s="170"/>
      <c r="BM973" s="166"/>
      <c r="BN973" s="630">
        <f t="shared" si="297"/>
        <v>544685.84595600003</v>
      </c>
      <c r="BO973" s="631">
        <f t="shared" si="298"/>
        <v>542789.97061740002</v>
      </c>
      <c r="BP973" s="632">
        <f t="shared" si="299"/>
        <v>802439.41213715565</v>
      </c>
    </row>
    <row r="974" spans="1:68" ht="27" customHeight="1" outlineLevel="4" x14ac:dyDescent="0.25">
      <c r="C974" s="10" t="s">
        <v>83</v>
      </c>
      <c r="D974" s="10" t="s">
        <v>84</v>
      </c>
      <c r="E974" s="10" t="s">
        <v>73</v>
      </c>
      <c r="F974" s="10" t="s">
        <v>74</v>
      </c>
      <c r="G974" s="10" t="s">
        <v>315</v>
      </c>
      <c r="H974" s="10" t="s">
        <v>73</v>
      </c>
      <c r="I974" s="10" t="s">
        <v>73</v>
      </c>
      <c r="K974" s="12" t="s">
        <v>73</v>
      </c>
      <c r="L974" s="10" t="s">
        <v>192</v>
      </c>
      <c r="M974" s="5" t="str">
        <f t="array" ref="M974">Y806</f>
        <v>1ХВС::1.1</v>
      </c>
      <c r="AB974" s="29" t="str">
        <f>AB973&amp;".1"</f>
        <v>3.1.1.2.1</v>
      </c>
      <c r="AC974" s="174" t="s">
        <v>316</v>
      </c>
      <c r="AD974" s="370" t="s">
        <v>111</v>
      </c>
      <c r="AE974" s="175">
        <f t="shared" ref="AE974:BK974" si="307">AE250+AE596</f>
        <v>23795.32</v>
      </c>
      <c r="AF974" s="73">
        <f t="shared" si="307"/>
        <v>33855.67</v>
      </c>
      <c r="AG974" s="176">
        <f t="shared" si="307"/>
        <v>35383.64</v>
      </c>
      <c r="AH974" s="443">
        <f t="shared" si="307"/>
        <v>275.5</v>
      </c>
      <c r="AI974" s="73">
        <f t="shared" si="307"/>
        <v>80.739999999999995</v>
      </c>
      <c r="AJ974" s="176">
        <f t="shared" si="307"/>
        <v>290.76</v>
      </c>
      <c r="AK974" s="175">
        <f t="shared" si="307"/>
        <v>443.99</v>
      </c>
      <c r="AL974" s="73">
        <f t="shared" si="307"/>
        <v>609.63</v>
      </c>
      <c r="AM974" s="176">
        <f t="shared" si="307"/>
        <v>328.89</v>
      </c>
      <c r="AN974" s="175">
        <f t="shared" si="307"/>
        <v>358.76</v>
      </c>
      <c r="AO974" s="73">
        <f t="shared" si="307"/>
        <v>1625.16</v>
      </c>
      <c r="AP974" s="176">
        <f t="shared" si="307"/>
        <v>398.43</v>
      </c>
      <c r="AQ974" s="175">
        <f t="shared" si="307"/>
        <v>219.41</v>
      </c>
      <c r="AR974" s="73">
        <f t="shared" si="307"/>
        <v>349.12</v>
      </c>
      <c r="AS974" s="176">
        <f t="shared" si="307"/>
        <v>459.25</v>
      </c>
      <c r="AT974" s="175">
        <f t="shared" si="307"/>
        <v>485.77000000000004</v>
      </c>
      <c r="AU974" s="73">
        <f t="shared" si="307"/>
        <v>1573.1499999999999</v>
      </c>
      <c r="AV974" s="176">
        <f t="shared" si="307"/>
        <v>1660.57</v>
      </c>
      <c r="AW974" s="175">
        <f t="shared" si="307"/>
        <v>638.35300000000007</v>
      </c>
      <c r="AX974" s="73">
        <f t="shared" si="307"/>
        <v>0</v>
      </c>
      <c r="AY974" s="176">
        <f t="shared" si="307"/>
        <v>508.60500000000002</v>
      </c>
      <c r="AZ974" s="175">
        <f t="shared" si="307"/>
        <v>1940.4349999999999</v>
      </c>
      <c r="BA974" s="73">
        <f t="shared" si="307"/>
        <v>1363.5</v>
      </c>
      <c r="BB974" s="176">
        <f t="shared" si="307"/>
        <v>2290.21</v>
      </c>
      <c r="BC974" s="175">
        <f t="shared" si="307"/>
        <v>2434.6099999999997</v>
      </c>
      <c r="BD974" s="73">
        <f t="shared" si="307"/>
        <v>1746.9299999999998</v>
      </c>
      <c r="BE974" s="176">
        <f t="shared" si="307"/>
        <v>3552.3157000000001</v>
      </c>
      <c r="BF974" s="175">
        <f t="shared" si="307"/>
        <v>69.295000000000002</v>
      </c>
      <c r="BG974" s="73">
        <f t="shared" si="307"/>
        <v>339.25</v>
      </c>
      <c r="BH974" s="176">
        <f t="shared" si="307"/>
        <v>236.29000000000002</v>
      </c>
      <c r="BI974" s="175">
        <f t="shared" si="307"/>
        <v>491.07400000000001</v>
      </c>
      <c r="BJ974" s="73">
        <f t="shared" si="307"/>
        <v>616.94000000000005</v>
      </c>
      <c r="BK974" s="176">
        <f t="shared" si="307"/>
        <v>592.51</v>
      </c>
      <c r="BN974" s="125">
        <f t="shared" si="297"/>
        <v>31152.517</v>
      </c>
      <c r="BO974" s="126">
        <f t="shared" si="298"/>
        <v>42160.090000000004</v>
      </c>
      <c r="BP974" s="127">
        <f t="shared" si="299"/>
        <v>45701.470700000005</v>
      </c>
    </row>
    <row r="975" spans="1:68" ht="24" customHeight="1" outlineLevel="4" x14ac:dyDescent="0.25">
      <c r="C975" s="10" t="s">
        <v>83</v>
      </c>
      <c r="D975" s="10" t="s">
        <v>84</v>
      </c>
      <c r="E975" s="10" t="s">
        <v>73</v>
      </c>
      <c r="F975" s="10" t="s">
        <v>74</v>
      </c>
      <c r="G975" s="10" t="s">
        <v>317</v>
      </c>
      <c r="H975" s="10" t="s">
        <v>73</v>
      </c>
      <c r="I975" s="10" t="s">
        <v>73</v>
      </c>
      <c r="K975" s="12" t="s">
        <v>73</v>
      </c>
      <c r="L975" s="10" t="s">
        <v>192</v>
      </c>
      <c r="M975" s="5" t="str">
        <f t="array" ref="M975">Y806</f>
        <v>1ХВС::1.1</v>
      </c>
      <c r="AB975" s="29" t="str">
        <f>AB973&amp;".2"</f>
        <v>3.1.1.2.2</v>
      </c>
      <c r="AC975" s="174" t="s">
        <v>318</v>
      </c>
      <c r="AD975" s="370" t="s">
        <v>111</v>
      </c>
      <c r="AE975" s="175">
        <f t="shared" ref="AE975:BK975" si="308">AE251+AE597</f>
        <v>158452.19</v>
      </c>
      <c r="AF975" s="73">
        <f t="shared" si="308"/>
        <v>146547.33000000002</v>
      </c>
      <c r="AG975" s="176">
        <f t="shared" si="308"/>
        <v>191367.55</v>
      </c>
      <c r="AH975" s="443">
        <f t="shared" si="308"/>
        <v>68.89</v>
      </c>
      <c r="AI975" s="73">
        <f t="shared" si="308"/>
        <v>278.44</v>
      </c>
      <c r="AJ975" s="176">
        <f t="shared" si="308"/>
        <v>840.18000000000006</v>
      </c>
      <c r="AK975" s="175">
        <f t="shared" si="308"/>
        <v>5614.78</v>
      </c>
      <c r="AL975" s="73">
        <f t="shared" si="308"/>
        <v>1416.82</v>
      </c>
      <c r="AM975" s="176">
        <f t="shared" si="308"/>
        <v>8270.7199999999993</v>
      </c>
      <c r="AN975" s="175">
        <f t="shared" si="308"/>
        <v>5628.12</v>
      </c>
      <c r="AO975" s="73">
        <f t="shared" si="308"/>
        <v>2411.23</v>
      </c>
      <c r="AP975" s="176">
        <f t="shared" si="308"/>
        <v>11321</v>
      </c>
      <c r="AQ975" s="175">
        <f t="shared" si="308"/>
        <v>9254.9930000000004</v>
      </c>
      <c r="AR975" s="73">
        <f t="shared" si="308"/>
        <v>0</v>
      </c>
      <c r="AS975" s="176">
        <f t="shared" si="308"/>
        <v>18651.38</v>
      </c>
      <c r="AT975" s="175">
        <f t="shared" si="308"/>
        <v>22745.18</v>
      </c>
      <c r="AU975" s="73">
        <f t="shared" si="308"/>
        <v>11021.7</v>
      </c>
      <c r="AV975" s="176">
        <f t="shared" si="308"/>
        <v>18566.87</v>
      </c>
      <c r="AW975" s="175">
        <f t="shared" si="308"/>
        <v>27823.714</v>
      </c>
      <c r="AX975" s="73">
        <f t="shared" si="308"/>
        <v>1139.6600000000001</v>
      </c>
      <c r="AY975" s="176">
        <f t="shared" si="308"/>
        <v>37663.866999999998</v>
      </c>
      <c r="AZ975" s="175">
        <f t="shared" si="308"/>
        <v>16030.55</v>
      </c>
      <c r="BA975" s="73">
        <f t="shared" si="308"/>
        <v>13082.78</v>
      </c>
      <c r="BB975" s="176">
        <f t="shared" si="308"/>
        <v>27475.376</v>
      </c>
      <c r="BC975" s="175">
        <f t="shared" si="308"/>
        <v>63479.420000000006</v>
      </c>
      <c r="BD975" s="73">
        <f t="shared" si="308"/>
        <v>40356.69</v>
      </c>
      <c r="BE975" s="176">
        <f t="shared" si="308"/>
        <v>65756.916500000007</v>
      </c>
      <c r="BF975" s="175">
        <f t="shared" si="308"/>
        <v>19028.060000000001</v>
      </c>
      <c r="BG975" s="73">
        <f t="shared" si="308"/>
        <v>18708.59</v>
      </c>
      <c r="BH975" s="176">
        <f t="shared" si="308"/>
        <v>20760.27</v>
      </c>
      <c r="BI975" s="175">
        <f t="shared" si="308"/>
        <v>16641.723999999998</v>
      </c>
      <c r="BJ975" s="73">
        <f t="shared" si="308"/>
        <v>21018.59</v>
      </c>
      <c r="BK975" s="176">
        <f t="shared" si="308"/>
        <v>20221.239999999998</v>
      </c>
      <c r="BN975" s="125">
        <f t="shared" si="297"/>
        <v>344767.62099999998</v>
      </c>
      <c r="BO975" s="126">
        <f t="shared" si="298"/>
        <v>255981.83000000005</v>
      </c>
      <c r="BP975" s="127">
        <f t="shared" si="299"/>
        <v>420895.36949999997</v>
      </c>
    </row>
    <row r="976" spans="1:68" ht="38.25" customHeight="1" outlineLevel="4" x14ac:dyDescent="0.25">
      <c r="C976" s="10" t="s">
        <v>83</v>
      </c>
      <c r="D976" s="10" t="s">
        <v>84</v>
      </c>
      <c r="E976" s="10" t="s">
        <v>73</v>
      </c>
      <c r="F976" s="10" t="s">
        <v>74</v>
      </c>
      <c r="G976" s="10" t="s">
        <v>201</v>
      </c>
      <c r="H976" s="10" t="s">
        <v>319</v>
      </c>
      <c r="I976" s="10" t="s">
        <v>73</v>
      </c>
      <c r="K976" s="12" t="s">
        <v>73</v>
      </c>
      <c r="L976" s="10" t="s">
        <v>192</v>
      </c>
      <c r="M976" s="5" t="str">
        <f t="array" ref="M976">Y806</f>
        <v>1ХВС::1.1</v>
      </c>
      <c r="AB976" s="29" t="str">
        <f>AB973&amp;".3"</f>
        <v>3.1.1.2.3</v>
      </c>
      <c r="AC976" s="174" t="s">
        <v>320</v>
      </c>
      <c r="AD976" s="370" t="s">
        <v>111</v>
      </c>
      <c r="AE976" s="175">
        <f t="shared" ref="AE976:BK976" si="309">AE977+AE980</f>
        <v>88306.070760000002</v>
      </c>
      <c r="AF976" s="73">
        <f t="shared" si="309"/>
        <v>105442.467</v>
      </c>
      <c r="AG976" s="176">
        <f t="shared" si="309"/>
        <v>181567.92475999999</v>
      </c>
      <c r="AH976" s="179">
        <f t="shared" si="309"/>
        <v>722.81441399999994</v>
      </c>
      <c r="AI976" s="73">
        <f t="shared" si="309"/>
        <v>1247.56</v>
      </c>
      <c r="AJ976" s="74">
        <f t="shared" si="309"/>
        <v>2401.0286160000001</v>
      </c>
      <c r="AK976" s="179">
        <f t="shared" si="309"/>
        <v>6185.9750000000004</v>
      </c>
      <c r="AL976" s="73">
        <f t="shared" si="309"/>
        <v>9139.02</v>
      </c>
      <c r="AM976" s="74">
        <f t="shared" si="309"/>
        <v>11232.458999999999</v>
      </c>
      <c r="AN976" s="179">
        <f t="shared" si="309"/>
        <v>10129.756000000001</v>
      </c>
      <c r="AO976" s="73">
        <f t="shared" si="309"/>
        <v>7217.28</v>
      </c>
      <c r="AP976" s="74">
        <f t="shared" si="309"/>
        <v>11309.576000000001</v>
      </c>
      <c r="AQ976" s="179">
        <f t="shared" si="309"/>
        <v>5739.5309999999999</v>
      </c>
      <c r="AR976" s="73">
        <f t="shared" si="309"/>
        <v>2287.7793999999999</v>
      </c>
      <c r="AS976" s="74">
        <f t="shared" si="309"/>
        <v>9474.652</v>
      </c>
      <c r="AT976" s="179">
        <f t="shared" si="309"/>
        <v>4972.4049999999997</v>
      </c>
      <c r="AU976" s="73">
        <f t="shared" si="309"/>
        <v>31474.7</v>
      </c>
      <c r="AV976" s="74">
        <f t="shared" si="309"/>
        <v>21855.06</v>
      </c>
      <c r="AW976" s="179">
        <f t="shared" si="309"/>
        <v>10726.640273999999</v>
      </c>
      <c r="AX976" s="73">
        <f t="shared" si="309"/>
        <v>1624.6013573999999</v>
      </c>
      <c r="AY976" s="74">
        <f t="shared" si="309"/>
        <v>11185.018488</v>
      </c>
      <c r="AZ976" s="179">
        <f t="shared" si="309"/>
        <v>17283.091727999999</v>
      </c>
      <c r="BA976" s="73">
        <f t="shared" si="309"/>
        <v>58565.105760000006</v>
      </c>
      <c r="BB976" s="74">
        <f t="shared" si="309"/>
        <v>51287.414833155752</v>
      </c>
      <c r="BC976" s="179">
        <f t="shared" si="309"/>
        <v>18128.546999999999</v>
      </c>
      <c r="BD976" s="73">
        <f t="shared" si="309"/>
        <v>23241.410000000003</v>
      </c>
      <c r="BE976" s="74">
        <f t="shared" si="309"/>
        <v>24888.14</v>
      </c>
      <c r="BF976" s="179">
        <f t="shared" si="309"/>
        <v>3450.1388199999997</v>
      </c>
      <c r="BG976" s="73">
        <f t="shared" si="309"/>
        <v>1689.2408400000002</v>
      </c>
      <c r="BH976" s="74">
        <f t="shared" si="309"/>
        <v>6910.8590800000002</v>
      </c>
      <c r="BI976" s="72">
        <f t="shared" si="309"/>
        <v>3120.7379600000004</v>
      </c>
      <c r="BJ976" s="73">
        <f t="shared" si="309"/>
        <v>2718.8862600000002</v>
      </c>
      <c r="BK976" s="74">
        <f t="shared" si="309"/>
        <v>3730.4391599999999</v>
      </c>
      <c r="BN976" s="125">
        <f t="shared" si="297"/>
        <v>168765.70795599997</v>
      </c>
      <c r="BO976" s="126">
        <f t="shared" si="298"/>
        <v>244648.05061740003</v>
      </c>
      <c r="BP976" s="127">
        <f t="shared" si="299"/>
        <v>335842.57193715579</v>
      </c>
    </row>
    <row r="977" spans="1:68" ht="14.25" customHeight="1" outlineLevel="4" x14ac:dyDescent="0.25">
      <c r="C977" s="10" t="s">
        <v>83</v>
      </c>
      <c r="D977" s="10" t="s">
        <v>84</v>
      </c>
      <c r="E977" s="10" t="s">
        <v>73</v>
      </c>
      <c r="F977" s="10" t="s">
        <v>74</v>
      </c>
      <c r="G977" s="10" t="s">
        <v>204</v>
      </c>
      <c r="H977" s="10" t="s">
        <v>319</v>
      </c>
      <c r="I977" s="10" t="s">
        <v>73</v>
      </c>
      <c r="K977" s="12" t="s">
        <v>73</v>
      </c>
      <c r="L977" s="10" t="s">
        <v>192</v>
      </c>
      <c r="M977" s="5" t="str">
        <f t="array" ref="M977">Y806</f>
        <v>1ХВС::1.1</v>
      </c>
      <c r="AB977" s="29" t="str">
        <f>AB976&amp;".1"</f>
        <v>3.1.1.2.3.1</v>
      </c>
      <c r="AC977" s="177" t="s">
        <v>321</v>
      </c>
      <c r="AD977" s="370" t="s">
        <v>111</v>
      </c>
      <c r="AE977" s="445">
        <f t="shared" ref="AE977:BK977" si="310">AE253+AE599</f>
        <v>65683.740000000005</v>
      </c>
      <c r="AF977" s="178">
        <f t="shared" si="310"/>
        <v>81225.727000000014</v>
      </c>
      <c r="AG977" s="446">
        <f t="shared" si="310"/>
        <v>139707.37</v>
      </c>
      <c r="AH977" s="636">
        <f t="shared" si="310"/>
        <v>555.15699999999993</v>
      </c>
      <c r="AI977" s="178">
        <f t="shared" si="310"/>
        <v>958.19</v>
      </c>
      <c r="AJ977" s="446">
        <f t="shared" si="310"/>
        <v>1844.1079999999999</v>
      </c>
      <c r="AK977" s="445">
        <f t="shared" si="310"/>
        <v>4751.1350000000002</v>
      </c>
      <c r="AL977" s="178">
        <f t="shared" si="310"/>
        <v>7019.22</v>
      </c>
      <c r="AM977" s="446">
        <f t="shared" si="310"/>
        <v>8627.0789999999997</v>
      </c>
      <c r="AN977" s="445">
        <f t="shared" si="310"/>
        <v>7780.1460000000006</v>
      </c>
      <c r="AO977" s="178">
        <f t="shared" si="310"/>
        <v>5543.23</v>
      </c>
      <c r="AP977" s="446">
        <f t="shared" si="310"/>
        <v>8686.3060000000005</v>
      </c>
      <c r="AQ977" s="445">
        <f t="shared" si="310"/>
        <v>4408.241</v>
      </c>
      <c r="AR977" s="178">
        <f t="shared" si="310"/>
        <v>1757.1194</v>
      </c>
      <c r="AS977" s="446">
        <f t="shared" si="310"/>
        <v>7277.0020000000004</v>
      </c>
      <c r="AT977" s="445">
        <f t="shared" si="310"/>
        <v>3819.0450000000001</v>
      </c>
      <c r="AU977" s="178">
        <f t="shared" si="310"/>
        <v>24174.11</v>
      </c>
      <c r="AV977" s="446">
        <f t="shared" si="310"/>
        <v>16785.760000000002</v>
      </c>
      <c r="AW977" s="445">
        <f t="shared" si="310"/>
        <v>8238.5869999999995</v>
      </c>
      <c r="AX977" s="178">
        <f t="shared" si="310"/>
        <v>1247.7737</v>
      </c>
      <c r="AY977" s="446">
        <f t="shared" si="310"/>
        <v>8590.6440000000002</v>
      </c>
      <c r="AZ977" s="445">
        <f t="shared" si="310"/>
        <v>13274.263999999999</v>
      </c>
      <c r="BA977" s="178">
        <f t="shared" si="310"/>
        <v>44980.880000000005</v>
      </c>
      <c r="BB977" s="446">
        <f t="shared" si="310"/>
        <v>39391.255632224078</v>
      </c>
      <c r="BC977" s="445">
        <f t="shared" si="310"/>
        <v>13923.617</v>
      </c>
      <c r="BD977" s="178">
        <f t="shared" si="310"/>
        <v>17850.550000000003</v>
      </c>
      <c r="BE977" s="446">
        <f t="shared" si="310"/>
        <v>19115.32</v>
      </c>
      <c r="BF977" s="445">
        <f t="shared" si="310"/>
        <v>2649.8739999999998</v>
      </c>
      <c r="BG977" s="178">
        <f t="shared" si="310"/>
        <v>1297.42</v>
      </c>
      <c r="BH977" s="446">
        <f t="shared" si="310"/>
        <v>5307.88</v>
      </c>
      <c r="BI977" s="445">
        <f t="shared" si="310"/>
        <v>2396.88</v>
      </c>
      <c r="BJ977" s="178">
        <f t="shared" si="310"/>
        <v>2088.2400000000002</v>
      </c>
      <c r="BK977" s="446">
        <f t="shared" si="310"/>
        <v>2865.16</v>
      </c>
      <c r="BN977" s="125">
        <f t="shared" si="297"/>
        <v>127480.686</v>
      </c>
      <c r="BO977" s="126">
        <f t="shared" si="298"/>
        <v>188142.4601</v>
      </c>
      <c r="BP977" s="127">
        <f t="shared" si="299"/>
        <v>258197.88463222413</v>
      </c>
    </row>
    <row r="978" spans="1:68" s="115" customFormat="1" ht="15" customHeight="1" outlineLevel="4" x14ac:dyDescent="0.25">
      <c r="A978" s="100"/>
      <c r="B978" s="100"/>
      <c r="C978" s="99" t="s">
        <v>206</v>
      </c>
      <c r="D978" s="99" t="s">
        <v>207</v>
      </c>
      <c r="E978" s="99" t="s">
        <v>73</v>
      </c>
      <c r="F978" s="99" t="s">
        <v>74</v>
      </c>
      <c r="G978" s="99" t="s">
        <v>73</v>
      </c>
      <c r="H978" s="99" t="s">
        <v>319</v>
      </c>
      <c r="I978" s="99" t="s">
        <v>73</v>
      </c>
      <c r="J978" s="100"/>
      <c r="K978" s="102" t="s">
        <v>73</v>
      </c>
      <c r="L978" s="99" t="s">
        <v>192</v>
      </c>
      <c r="M978" s="100" t="str">
        <f t="array" ref="M978">Y806</f>
        <v>1ХВС::1.1</v>
      </c>
      <c r="N978" s="100"/>
      <c r="O978" s="100"/>
      <c r="P978" s="100"/>
      <c r="Q978" s="100"/>
      <c r="R978" s="100"/>
      <c r="S978" s="100"/>
      <c r="T978" s="100"/>
      <c r="U978" s="100"/>
      <c r="V978" s="100"/>
      <c r="W978" s="100"/>
      <c r="X978" s="100"/>
      <c r="Y978" s="100"/>
      <c r="Z978" s="100"/>
      <c r="AA978" s="100"/>
      <c r="AB978" s="103" t="str">
        <f>AB977&amp;".1"</f>
        <v>3.1.1.2.3.1.1</v>
      </c>
      <c r="AC978" s="188" t="s">
        <v>208</v>
      </c>
      <c r="AD978" s="637" t="s">
        <v>209</v>
      </c>
      <c r="AE978" s="638">
        <f t="shared" ref="AE978:BK978" si="311">AE977/AE979/12*1000</f>
        <v>59886.706783369809</v>
      </c>
      <c r="AF978" s="191">
        <f t="shared" si="311"/>
        <v>64729.94724427021</v>
      </c>
      <c r="AG978" s="639">
        <f t="shared" si="311"/>
        <v>77869.579515305566</v>
      </c>
      <c r="AH978" s="640">
        <f t="shared" si="311"/>
        <v>50285.960144927536</v>
      </c>
      <c r="AI978" s="191">
        <f t="shared" si="311"/>
        <v>39924.583333333336</v>
      </c>
      <c r="AJ978" s="192">
        <f t="shared" si="311"/>
        <v>49255.02136752136</v>
      </c>
      <c r="AK978" s="640">
        <f t="shared" si="311"/>
        <v>62646.822257383967</v>
      </c>
      <c r="AL978" s="191">
        <f t="shared" si="311"/>
        <v>40733.635097493039</v>
      </c>
      <c r="AM978" s="192">
        <f t="shared" si="311"/>
        <v>48906.343537414963</v>
      </c>
      <c r="AN978" s="640">
        <f t="shared" si="311"/>
        <v>71246.75824175826</v>
      </c>
      <c r="AO978" s="191">
        <f t="shared" si="311"/>
        <v>28426.820512820512</v>
      </c>
      <c r="AP978" s="192">
        <f t="shared" si="311"/>
        <v>46700.569892473119</v>
      </c>
      <c r="AQ978" s="640">
        <f t="shared" si="311"/>
        <v>51450.058356676003</v>
      </c>
      <c r="AR978" s="191">
        <f t="shared" si="311"/>
        <v>34453.321568627449</v>
      </c>
      <c r="AS978" s="192">
        <f t="shared" si="311"/>
        <v>48904.583333333343</v>
      </c>
      <c r="AT978" s="640">
        <f t="shared" si="311"/>
        <v>30868.452958292924</v>
      </c>
      <c r="AU978" s="191">
        <f t="shared" si="311"/>
        <v>43689.203354297693</v>
      </c>
      <c r="AV978" s="192">
        <f t="shared" si="311"/>
        <v>48569.907407407423</v>
      </c>
      <c r="AW978" s="640">
        <f t="shared" si="311"/>
        <v>61740.010491606721</v>
      </c>
      <c r="AX978" s="191">
        <f t="shared" si="311"/>
        <v>34660.380555555552</v>
      </c>
      <c r="AY978" s="192">
        <f t="shared" si="311"/>
        <v>47725.8</v>
      </c>
      <c r="AZ978" s="640">
        <f t="shared" si="311"/>
        <v>39366.144721233686</v>
      </c>
      <c r="BA978" s="191">
        <f t="shared" si="311"/>
        <v>47663.13717169076</v>
      </c>
      <c r="BB978" s="192">
        <f t="shared" si="311"/>
        <v>52270.774458896078</v>
      </c>
      <c r="BC978" s="640">
        <f t="shared" si="311"/>
        <v>51431.800384160742</v>
      </c>
      <c r="BD978" s="191">
        <f t="shared" si="311"/>
        <v>47985.349462365601</v>
      </c>
      <c r="BE978" s="192">
        <f t="shared" si="311"/>
        <v>51385.268817204298</v>
      </c>
      <c r="BF978" s="194">
        <f t="shared" si="311"/>
        <v>52203.979511426303</v>
      </c>
      <c r="BG978" s="195">
        <f t="shared" si="311"/>
        <v>43596.102150537641</v>
      </c>
      <c r="BH978" s="198">
        <f t="shared" si="311"/>
        <v>46560.350877192985</v>
      </c>
      <c r="BI978" s="197">
        <f t="shared" si="311"/>
        <v>44584.821428571435</v>
      </c>
      <c r="BJ978" s="195">
        <f t="shared" si="311"/>
        <v>43723.61809045227</v>
      </c>
      <c r="BK978" s="198">
        <f t="shared" si="311"/>
        <v>47752.666666666664</v>
      </c>
      <c r="BL978" s="111"/>
      <c r="BM978" s="100"/>
      <c r="BN978" s="112">
        <f>BN977/BN979/12*1000</f>
        <v>54289.608033524135</v>
      </c>
      <c r="BO978" s="113">
        <f>BO977/BO979/12*1000</f>
        <v>51129.493441706065</v>
      </c>
      <c r="BP978" s="114">
        <f>BP977/BP979/12*1000</f>
        <v>61948.263570721443</v>
      </c>
    </row>
    <row r="979" spans="1:68" s="115" customFormat="1" ht="14.25" customHeight="1" outlineLevel="4" x14ac:dyDescent="0.25">
      <c r="A979" s="100"/>
      <c r="B979" s="100"/>
      <c r="C979" s="99" t="s">
        <v>210</v>
      </c>
      <c r="D979" s="99" t="s">
        <v>211</v>
      </c>
      <c r="E979" s="99" t="s">
        <v>73</v>
      </c>
      <c r="F979" s="99" t="s">
        <v>74</v>
      </c>
      <c r="G979" s="99" t="s">
        <v>73</v>
      </c>
      <c r="H979" s="99" t="s">
        <v>319</v>
      </c>
      <c r="I979" s="99" t="s">
        <v>73</v>
      </c>
      <c r="J979" s="100"/>
      <c r="K979" s="102" t="s">
        <v>73</v>
      </c>
      <c r="L979" s="99" t="s">
        <v>192</v>
      </c>
      <c r="M979" s="100" t="str">
        <f t="array" ref="M979">Y806</f>
        <v>1ХВС::1.1</v>
      </c>
      <c r="N979" s="100"/>
      <c r="O979" s="100"/>
      <c r="P979" s="100"/>
      <c r="Q979" s="100"/>
      <c r="R979" s="100"/>
      <c r="S979" s="100"/>
      <c r="T979" s="100"/>
      <c r="U979" s="100"/>
      <c r="V979" s="100"/>
      <c r="W979" s="100"/>
      <c r="X979" s="100"/>
      <c r="Y979" s="100"/>
      <c r="Z979" s="100"/>
      <c r="AA979" s="100"/>
      <c r="AB979" s="103" t="str">
        <f>AB977&amp;".2"</f>
        <v>3.1.1.2.3.1.2</v>
      </c>
      <c r="AC979" s="188" t="s">
        <v>212</v>
      </c>
      <c r="AD979" s="637" t="s">
        <v>213</v>
      </c>
      <c r="AE979" s="641">
        <f t="shared" ref="AE979:BK979" si="312">AE255+AE601</f>
        <v>91.4</v>
      </c>
      <c r="AF979" s="200">
        <f t="shared" si="312"/>
        <v>104.57</v>
      </c>
      <c r="AG979" s="642">
        <f t="shared" si="312"/>
        <v>149.51</v>
      </c>
      <c r="AH979" s="643">
        <f t="shared" si="312"/>
        <v>0.91999999999999993</v>
      </c>
      <c r="AI979" s="200">
        <f t="shared" si="312"/>
        <v>2</v>
      </c>
      <c r="AJ979" s="642">
        <f t="shared" si="312"/>
        <v>3.12</v>
      </c>
      <c r="AK979" s="641">
        <f t="shared" si="312"/>
        <v>6.32</v>
      </c>
      <c r="AL979" s="200">
        <f t="shared" si="312"/>
        <v>14.36</v>
      </c>
      <c r="AM979" s="642">
        <f t="shared" si="312"/>
        <v>14.7</v>
      </c>
      <c r="AN979" s="641">
        <f t="shared" si="312"/>
        <v>9.1</v>
      </c>
      <c r="AO979" s="200">
        <f t="shared" si="312"/>
        <v>16.25</v>
      </c>
      <c r="AP979" s="642">
        <f t="shared" si="312"/>
        <v>15.5</v>
      </c>
      <c r="AQ979" s="641">
        <f t="shared" si="312"/>
        <v>7.1400000000000006</v>
      </c>
      <c r="AR979" s="200">
        <f t="shared" si="312"/>
        <v>4.25</v>
      </c>
      <c r="AS979" s="642">
        <f t="shared" si="312"/>
        <v>12.399999999999999</v>
      </c>
      <c r="AT979" s="641">
        <f t="shared" si="312"/>
        <v>10.309999999999999</v>
      </c>
      <c r="AU979" s="200">
        <f t="shared" si="312"/>
        <v>46.11</v>
      </c>
      <c r="AV979" s="642">
        <f t="shared" si="312"/>
        <v>28.799999999999997</v>
      </c>
      <c r="AW979" s="641">
        <f t="shared" si="312"/>
        <v>11.12</v>
      </c>
      <c r="AX979" s="200">
        <f t="shared" si="312"/>
        <v>3</v>
      </c>
      <c r="AY979" s="642">
        <f t="shared" si="312"/>
        <v>15</v>
      </c>
      <c r="AZ979" s="641">
        <f t="shared" si="312"/>
        <v>28.1</v>
      </c>
      <c r="BA979" s="200">
        <f t="shared" si="312"/>
        <v>78.6437253</v>
      </c>
      <c r="BB979" s="642">
        <f t="shared" si="312"/>
        <v>62.8</v>
      </c>
      <c r="BC979" s="641">
        <f t="shared" si="312"/>
        <v>22.560000000000002</v>
      </c>
      <c r="BD979" s="200">
        <f t="shared" si="312"/>
        <v>31</v>
      </c>
      <c r="BE979" s="642">
        <f t="shared" si="312"/>
        <v>31</v>
      </c>
      <c r="BF979" s="641">
        <f t="shared" si="312"/>
        <v>4.2300000000000004</v>
      </c>
      <c r="BG979" s="200">
        <f t="shared" si="312"/>
        <v>2.48</v>
      </c>
      <c r="BH979" s="642">
        <f t="shared" si="312"/>
        <v>9.5</v>
      </c>
      <c r="BI979" s="641">
        <f t="shared" si="312"/>
        <v>4.4799999999999995</v>
      </c>
      <c r="BJ979" s="200">
        <f t="shared" si="312"/>
        <v>3.98</v>
      </c>
      <c r="BK979" s="642">
        <f t="shared" si="312"/>
        <v>5</v>
      </c>
      <c r="BL979" s="111"/>
      <c r="BM979" s="100"/>
      <c r="BN979" s="112">
        <f t="shared" ref="BN979:BP980" si="313">AE979+AH979+AK979+AN979+AQ979+AT979+AW979+AZ979+BC979+BF979+BI979</f>
        <v>195.67999999999998</v>
      </c>
      <c r="BO979" s="113">
        <f t="shared" si="313"/>
        <v>306.64372530000003</v>
      </c>
      <c r="BP979" s="114">
        <f t="shared" si="313"/>
        <v>347.33</v>
      </c>
    </row>
    <row r="980" spans="1:68" ht="14.25" customHeight="1" outlineLevel="4" x14ac:dyDescent="0.25">
      <c r="C980" s="10" t="s">
        <v>83</v>
      </c>
      <c r="D980" s="10" t="s">
        <v>84</v>
      </c>
      <c r="E980" s="10" t="s">
        <v>73</v>
      </c>
      <c r="F980" s="10" t="s">
        <v>74</v>
      </c>
      <c r="G980" s="10" t="s">
        <v>214</v>
      </c>
      <c r="H980" s="10" t="s">
        <v>319</v>
      </c>
      <c r="I980" s="10" t="s">
        <v>73</v>
      </c>
      <c r="K980" s="12" t="s">
        <v>73</v>
      </c>
      <c r="L980" s="10" t="s">
        <v>192</v>
      </c>
      <c r="M980" s="5" t="str">
        <f t="array" ref="M980">Y806</f>
        <v>1ХВС::1.1</v>
      </c>
      <c r="AB980" s="29" t="str">
        <f>AB976&amp;".2"</f>
        <v>3.1.1.2.3.2</v>
      </c>
      <c r="AC980" s="177" t="s">
        <v>322</v>
      </c>
      <c r="AD980" s="370" t="s">
        <v>111</v>
      </c>
      <c r="AE980" s="445">
        <f t="shared" ref="AE980:BK980" si="314">AE256+AE602</f>
        <v>22622.330760000001</v>
      </c>
      <c r="AF980" s="178">
        <f t="shared" si="314"/>
        <v>24216.739999999998</v>
      </c>
      <c r="AG980" s="446">
        <f t="shared" si="314"/>
        <v>41860.554759999999</v>
      </c>
      <c r="AH980" s="636">
        <f t="shared" si="314"/>
        <v>167.65741399999999</v>
      </c>
      <c r="AI980" s="178">
        <f t="shared" si="314"/>
        <v>289.37</v>
      </c>
      <c r="AJ980" s="446">
        <f t="shared" si="314"/>
        <v>556.920616</v>
      </c>
      <c r="AK980" s="445">
        <f t="shared" si="314"/>
        <v>1434.84</v>
      </c>
      <c r="AL980" s="178">
        <f t="shared" si="314"/>
        <v>2119.8000000000002</v>
      </c>
      <c r="AM980" s="446">
        <f t="shared" si="314"/>
        <v>2605.38</v>
      </c>
      <c r="AN980" s="445">
        <f t="shared" si="314"/>
        <v>2349.61</v>
      </c>
      <c r="AO980" s="178">
        <f t="shared" si="314"/>
        <v>1674.0500000000002</v>
      </c>
      <c r="AP980" s="446">
        <f t="shared" si="314"/>
        <v>2623.27</v>
      </c>
      <c r="AQ980" s="445">
        <f t="shared" si="314"/>
        <v>1331.29</v>
      </c>
      <c r="AR980" s="178">
        <f t="shared" si="314"/>
        <v>530.66</v>
      </c>
      <c r="AS980" s="446">
        <f t="shared" si="314"/>
        <v>2197.6499999999996</v>
      </c>
      <c r="AT980" s="445">
        <f t="shared" si="314"/>
        <v>1153.3599999999999</v>
      </c>
      <c r="AU980" s="178">
        <f t="shared" si="314"/>
        <v>7300.59</v>
      </c>
      <c r="AV980" s="446">
        <f t="shared" si="314"/>
        <v>5069.3</v>
      </c>
      <c r="AW980" s="445">
        <f t="shared" si="314"/>
        <v>2488.0532739999999</v>
      </c>
      <c r="AX980" s="178">
        <f t="shared" si="314"/>
        <v>376.82765739999996</v>
      </c>
      <c r="AY980" s="446">
        <f t="shared" si="314"/>
        <v>2594.3744879999999</v>
      </c>
      <c r="AZ980" s="445">
        <f t="shared" si="314"/>
        <v>4008.8277279999998</v>
      </c>
      <c r="BA980" s="178">
        <f t="shared" si="314"/>
        <v>13584.225759999999</v>
      </c>
      <c r="BB980" s="446">
        <f t="shared" si="314"/>
        <v>11896.15920093167</v>
      </c>
      <c r="BC980" s="445">
        <f t="shared" si="314"/>
        <v>4204.93</v>
      </c>
      <c r="BD980" s="178">
        <f t="shared" si="314"/>
        <v>5390.8600000000006</v>
      </c>
      <c r="BE980" s="446">
        <f t="shared" si="314"/>
        <v>5772.82</v>
      </c>
      <c r="BF980" s="445">
        <f t="shared" si="314"/>
        <v>800.26481999999999</v>
      </c>
      <c r="BG980" s="178">
        <f t="shared" si="314"/>
        <v>391.82084000000003</v>
      </c>
      <c r="BH980" s="446">
        <f t="shared" si="314"/>
        <v>1602.9790800000001</v>
      </c>
      <c r="BI980" s="445">
        <f t="shared" si="314"/>
        <v>723.85796000000005</v>
      </c>
      <c r="BJ980" s="178">
        <f t="shared" si="314"/>
        <v>630.64625999999998</v>
      </c>
      <c r="BK980" s="446">
        <f t="shared" si="314"/>
        <v>865.27915999999993</v>
      </c>
      <c r="BN980" s="125">
        <f t="shared" si="313"/>
        <v>41285.021955999997</v>
      </c>
      <c r="BO980" s="126">
        <f t="shared" si="313"/>
        <v>56505.590517399993</v>
      </c>
      <c r="BP980" s="127">
        <f t="shared" si="313"/>
        <v>77644.687304931678</v>
      </c>
    </row>
    <row r="981" spans="1:68" ht="14.25" customHeight="1" outlineLevel="4" x14ac:dyDescent="0.25">
      <c r="C981" s="10" t="s">
        <v>216</v>
      </c>
      <c r="D981" s="10" t="s">
        <v>217</v>
      </c>
      <c r="E981" s="10" t="s">
        <v>73</v>
      </c>
      <c r="F981" s="10" t="s">
        <v>74</v>
      </c>
      <c r="G981" s="10" t="s">
        <v>73</v>
      </c>
      <c r="H981" s="10" t="s">
        <v>319</v>
      </c>
      <c r="I981" s="10" t="s">
        <v>73</v>
      </c>
      <c r="K981" s="12" t="s">
        <v>73</v>
      </c>
      <c r="L981" s="10" t="s">
        <v>192</v>
      </c>
      <c r="M981" s="5" t="str">
        <f t="array" ref="M981">Y806</f>
        <v>1ХВС::1.1</v>
      </c>
      <c r="AB981" s="29" t="str">
        <f>AB980&amp;".1"</f>
        <v>3.1.1.2.3.2.1</v>
      </c>
      <c r="AC981" s="208" t="s">
        <v>218</v>
      </c>
      <c r="AD981" s="370" t="s">
        <v>119</v>
      </c>
      <c r="AE981" s="175">
        <v>30.2</v>
      </c>
      <c r="AF981" s="73">
        <v>31.2</v>
      </c>
      <c r="AG981" s="176">
        <v>32.200000000000003</v>
      </c>
      <c r="AH981" s="179">
        <v>30.2</v>
      </c>
      <c r="AI981" s="73">
        <v>30.2</v>
      </c>
      <c r="AJ981" s="74">
        <v>30.2</v>
      </c>
      <c r="AK981" s="179">
        <v>30.2</v>
      </c>
      <c r="AL981" s="73">
        <v>30.2</v>
      </c>
      <c r="AM981" s="74">
        <v>30.2</v>
      </c>
      <c r="AN981" s="179">
        <v>30.2</v>
      </c>
      <c r="AO981" s="73">
        <v>30.2</v>
      </c>
      <c r="AP981" s="74">
        <v>30.2</v>
      </c>
      <c r="AQ981" s="179">
        <v>30.2</v>
      </c>
      <c r="AR981" s="73">
        <v>30.2</v>
      </c>
      <c r="AS981" s="74">
        <v>30.2</v>
      </c>
      <c r="AT981" s="179">
        <v>30.2</v>
      </c>
      <c r="AU981" s="73">
        <v>30.2</v>
      </c>
      <c r="AV981" s="74">
        <v>30.2</v>
      </c>
      <c r="AW981" s="179">
        <v>30.2</v>
      </c>
      <c r="AX981" s="73">
        <v>30.2</v>
      </c>
      <c r="AY981" s="74">
        <v>30.2</v>
      </c>
      <c r="AZ981" s="179">
        <v>30.2</v>
      </c>
      <c r="BA981" s="73">
        <v>30.2</v>
      </c>
      <c r="BB981" s="74">
        <v>30.2</v>
      </c>
      <c r="BC981" s="179">
        <v>30.2</v>
      </c>
      <c r="BD981" s="73">
        <v>30.2</v>
      </c>
      <c r="BE981" s="74">
        <v>30.2</v>
      </c>
      <c r="BF981" s="139">
        <v>30.2</v>
      </c>
      <c r="BG981" s="140">
        <v>30.2</v>
      </c>
      <c r="BH981" s="143">
        <v>30.2</v>
      </c>
      <c r="BI981" s="142">
        <v>30.2</v>
      </c>
      <c r="BJ981" s="140">
        <v>30.2</v>
      </c>
      <c r="BK981" s="143">
        <v>30.2</v>
      </c>
      <c r="BN981" s="125">
        <v>30.2</v>
      </c>
      <c r="BO981" s="126">
        <v>30.2</v>
      </c>
      <c r="BP981" s="127">
        <v>30.2</v>
      </c>
    </row>
    <row r="982" spans="1:68" s="171" customFormat="1" ht="31.5" customHeight="1" outlineLevel="3" x14ac:dyDescent="0.25">
      <c r="A982" s="166"/>
      <c r="B982" s="166"/>
      <c r="C982" s="167" t="s">
        <v>83</v>
      </c>
      <c r="D982" s="167" t="s">
        <v>84</v>
      </c>
      <c r="E982" s="167" t="s">
        <v>73</v>
      </c>
      <c r="F982" s="167" t="s">
        <v>74</v>
      </c>
      <c r="G982" s="167" t="s">
        <v>323</v>
      </c>
      <c r="H982" s="167" t="s">
        <v>73</v>
      </c>
      <c r="I982" s="167" t="s">
        <v>73</v>
      </c>
      <c r="J982" s="166"/>
      <c r="K982" s="168" t="s">
        <v>73</v>
      </c>
      <c r="L982" s="167" t="s">
        <v>192</v>
      </c>
      <c r="M982" s="166" t="str">
        <f t="array" ref="M982">Y806</f>
        <v>1ХВС::1.1</v>
      </c>
      <c r="N982" s="166"/>
      <c r="O982" s="166"/>
      <c r="P982" s="166"/>
      <c r="Q982" s="166"/>
      <c r="R982" s="166"/>
      <c r="S982" s="166"/>
      <c r="T982" s="166"/>
      <c r="U982" s="166"/>
      <c r="V982" s="166"/>
      <c r="W982" s="166"/>
      <c r="X982" s="166"/>
      <c r="Y982" s="166"/>
      <c r="Z982" s="166"/>
      <c r="AA982" s="166"/>
      <c r="AB982" s="623" t="str">
        <f>AB857&amp;".3"</f>
        <v>3.1.1.3</v>
      </c>
      <c r="AC982" s="648" t="s">
        <v>323</v>
      </c>
      <c r="AD982" s="625" t="s">
        <v>111</v>
      </c>
      <c r="AE982" s="626">
        <f t="shared" ref="AE982:BK982" si="315">AE983+AE991+AE997+AE998+AE999+AE1000+AE1001</f>
        <v>225062.23</v>
      </c>
      <c r="AF982" s="627">
        <f t="shared" si="315"/>
        <v>159777.96148542201</v>
      </c>
      <c r="AG982" s="628">
        <f t="shared" si="315"/>
        <v>236271.35800000001</v>
      </c>
      <c r="AH982" s="649">
        <f t="shared" si="315"/>
        <v>164.94299999999998</v>
      </c>
      <c r="AI982" s="627">
        <f t="shared" si="315"/>
        <v>183.6</v>
      </c>
      <c r="AJ982" s="650">
        <f t="shared" si="315"/>
        <v>200.316</v>
      </c>
      <c r="AK982" s="649">
        <f t="shared" si="315"/>
        <v>2683.16</v>
      </c>
      <c r="AL982" s="627">
        <f t="shared" si="315"/>
        <v>3281.5199999999995</v>
      </c>
      <c r="AM982" s="650">
        <f t="shared" si="315"/>
        <v>4859.3999999999996</v>
      </c>
      <c r="AN982" s="649">
        <f t="shared" si="315"/>
        <v>7434.8540000000012</v>
      </c>
      <c r="AO982" s="627">
        <f t="shared" si="315"/>
        <v>4797.2839999999997</v>
      </c>
      <c r="AP982" s="650">
        <f t="shared" si="315"/>
        <v>7292.119999999999</v>
      </c>
      <c r="AQ982" s="649">
        <f t="shared" si="315"/>
        <v>6191.03</v>
      </c>
      <c r="AR982" s="627">
        <f t="shared" si="315"/>
        <v>1074.1420999999998</v>
      </c>
      <c r="AS982" s="650">
        <f t="shared" si="315"/>
        <v>5266.31</v>
      </c>
      <c r="AT982" s="649">
        <f t="shared" si="315"/>
        <v>6033.8580000000002</v>
      </c>
      <c r="AU982" s="627">
        <f t="shared" si="315"/>
        <v>12117.009999999998</v>
      </c>
      <c r="AV982" s="650">
        <f t="shared" si="315"/>
        <v>9441.6859000000004</v>
      </c>
      <c r="AW982" s="649">
        <f t="shared" si="315"/>
        <v>353.75299999999999</v>
      </c>
      <c r="AX982" s="627">
        <f t="shared" si="315"/>
        <v>1635.6557038000001</v>
      </c>
      <c r="AY982" s="650">
        <f t="shared" si="315"/>
        <v>3404.7480920000003</v>
      </c>
      <c r="AZ982" s="649">
        <f t="shared" si="315"/>
        <v>16460.773101999999</v>
      </c>
      <c r="BA982" s="627">
        <f t="shared" si="315"/>
        <v>22026.041631999997</v>
      </c>
      <c r="BB982" s="650">
        <f t="shared" si="315"/>
        <v>19851.386446287368</v>
      </c>
      <c r="BC982" s="649">
        <f t="shared" si="315"/>
        <v>570.76</v>
      </c>
      <c r="BD982" s="627">
        <f t="shared" si="315"/>
        <v>266.89</v>
      </c>
      <c r="BE982" s="650">
        <f t="shared" si="315"/>
        <v>1159.3</v>
      </c>
      <c r="BF982" s="649">
        <f t="shared" si="315"/>
        <v>40.629999999999995</v>
      </c>
      <c r="BG982" s="627">
        <f t="shared" si="315"/>
        <v>11.43</v>
      </c>
      <c r="BH982" s="650">
        <f t="shared" si="315"/>
        <v>1405.1773600000001</v>
      </c>
      <c r="BI982" s="655">
        <f t="shared" si="315"/>
        <v>461.7</v>
      </c>
      <c r="BJ982" s="627">
        <f t="shared" si="315"/>
        <v>247.60000000000002</v>
      </c>
      <c r="BK982" s="650">
        <f t="shared" si="315"/>
        <v>3362.0088679999999</v>
      </c>
      <c r="BL982" s="170"/>
      <c r="BM982" s="166"/>
      <c r="BN982" s="630">
        <f t="shared" ref="BN982:BN992" si="316">AE982+AH982+AK982+AN982+AQ982+AT982+AW982+AZ982+BC982+BF982+BI982</f>
        <v>265457.69110200001</v>
      </c>
      <c r="BO982" s="631">
        <f t="shared" ref="BO982:BO992" si="317">AF982+AI982+AL982+AO982+AR982+AU982+AX982+BA982+BD982+BG982+BJ982</f>
        <v>205419.13492122205</v>
      </c>
      <c r="BP982" s="632">
        <f t="shared" ref="BP982:BP992" si="318">AG982+AJ982+AM982+AP982+AS982+AV982+AY982+BB982+BE982+BH982+BK982</f>
        <v>292513.81066628738</v>
      </c>
    </row>
    <row r="983" spans="1:68" ht="36" customHeight="1" outlineLevel="4" x14ac:dyDescent="0.25">
      <c r="C983" s="10" t="s">
        <v>83</v>
      </c>
      <c r="D983" s="10" t="s">
        <v>84</v>
      </c>
      <c r="E983" s="10" t="s">
        <v>73</v>
      </c>
      <c r="F983" s="10" t="s">
        <v>74</v>
      </c>
      <c r="G983" s="10" t="s">
        <v>324</v>
      </c>
      <c r="H983" s="10" t="s">
        <v>73</v>
      </c>
      <c r="I983" s="10" t="s">
        <v>73</v>
      </c>
      <c r="K983" s="12" t="s">
        <v>73</v>
      </c>
      <c r="L983" s="10" t="s">
        <v>192</v>
      </c>
      <c r="M983" s="5" t="str">
        <f t="array" ref="M983">Y806</f>
        <v>1ХВС::1.1</v>
      </c>
      <c r="AB983" s="29" t="str">
        <f>AB982&amp;".1"</f>
        <v>3.1.1.3.1</v>
      </c>
      <c r="AC983" s="174" t="s">
        <v>325</v>
      </c>
      <c r="AD983" s="370" t="s">
        <v>111</v>
      </c>
      <c r="AE983" s="175">
        <f t="shared" ref="AE983:BK983" si="319">AE985+AE986+AE987+AE988+AE989+AE990</f>
        <v>12294.55</v>
      </c>
      <c r="AF983" s="73">
        <f t="shared" si="319"/>
        <v>14073.851485422001</v>
      </c>
      <c r="AG983" s="176">
        <f t="shared" si="319"/>
        <v>22523.608</v>
      </c>
      <c r="AH983" s="179">
        <f t="shared" si="319"/>
        <v>34.123000000000005</v>
      </c>
      <c r="AI983" s="73">
        <f t="shared" si="319"/>
        <v>0</v>
      </c>
      <c r="AJ983" s="74">
        <f t="shared" si="319"/>
        <v>58.900000000000006</v>
      </c>
      <c r="AK983" s="179">
        <f t="shared" si="319"/>
        <v>0</v>
      </c>
      <c r="AL983" s="73">
        <f t="shared" si="319"/>
        <v>212.49</v>
      </c>
      <c r="AM983" s="74">
        <f t="shared" si="319"/>
        <v>0</v>
      </c>
      <c r="AN983" s="179">
        <f t="shared" si="319"/>
        <v>0</v>
      </c>
      <c r="AO983" s="73">
        <f t="shared" si="319"/>
        <v>0</v>
      </c>
      <c r="AP983" s="74">
        <f t="shared" si="319"/>
        <v>0</v>
      </c>
      <c r="AQ983" s="179">
        <f t="shared" si="319"/>
        <v>0</v>
      </c>
      <c r="AR983" s="73">
        <f t="shared" si="319"/>
        <v>0</v>
      </c>
      <c r="AS983" s="74">
        <f t="shared" si="319"/>
        <v>0</v>
      </c>
      <c r="AT983" s="179">
        <f t="shared" si="319"/>
        <v>0</v>
      </c>
      <c r="AU983" s="73">
        <f t="shared" si="319"/>
        <v>0</v>
      </c>
      <c r="AV983" s="74">
        <f t="shared" si="319"/>
        <v>0</v>
      </c>
      <c r="AW983" s="179">
        <f t="shared" si="319"/>
        <v>0</v>
      </c>
      <c r="AX983" s="73">
        <f t="shared" si="319"/>
        <v>0</v>
      </c>
      <c r="AY983" s="74">
        <f t="shared" si="319"/>
        <v>166.96</v>
      </c>
      <c r="AZ983" s="179">
        <f t="shared" si="319"/>
        <v>0</v>
      </c>
      <c r="BA983" s="73">
        <f t="shared" si="319"/>
        <v>0</v>
      </c>
      <c r="BB983" s="74">
        <f t="shared" si="319"/>
        <v>344.68</v>
      </c>
      <c r="BC983" s="179">
        <f t="shared" si="319"/>
        <v>0</v>
      </c>
      <c r="BD983" s="73">
        <f t="shared" si="319"/>
        <v>88.12</v>
      </c>
      <c r="BE983" s="74">
        <f t="shared" si="319"/>
        <v>219.76</v>
      </c>
      <c r="BF983" s="179">
        <f t="shared" si="319"/>
        <v>0</v>
      </c>
      <c r="BG983" s="73">
        <f t="shared" si="319"/>
        <v>0</v>
      </c>
      <c r="BH983" s="74">
        <f t="shared" si="319"/>
        <v>0</v>
      </c>
      <c r="BI983" s="72">
        <f t="shared" si="319"/>
        <v>0</v>
      </c>
      <c r="BJ983" s="73">
        <f t="shared" si="319"/>
        <v>0</v>
      </c>
      <c r="BK983" s="74">
        <f t="shared" si="319"/>
        <v>0</v>
      </c>
      <c r="BN983" s="125">
        <f t="shared" si="316"/>
        <v>12328.672999999999</v>
      </c>
      <c r="BO983" s="126">
        <f t="shared" si="317"/>
        <v>14374.461485422002</v>
      </c>
      <c r="BP983" s="127">
        <f t="shared" si="318"/>
        <v>23313.907999999999</v>
      </c>
    </row>
    <row r="984" spans="1:68" s="211" customFormat="1" ht="14.25" hidden="1" customHeight="1" outlineLevel="5" x14ac:dyDescent="0.25">
      <c r="A984" s="6"/>
      <c r="B984" s="6"/>
      <c r="C984" s="116" t="s">
        <v>83</v>
      </c>
      <c r="D984" s="116" t="s">
        <v>84</v>
      </c>
      <c r="E984" s="116" t="s">
        <v>73</v>
      </c>
      <c r="F984" s="116" t="s">
        <v>74</v>
      </c>
      <c r="G984" s="116" t="s">
        <v>326</v>
      </c>
      <c r="H984" s="116" t="s">
        <v>73</v>
      </c>
      <c r="I984" s="116" t="s">
        <v>73</v>
      </c>
      <c r="J984" s="6"/>
      <c r="K984" s="209" t="s">
        <v>73</v>
      </c>
      <c r="L984" s="116" t="s">
        <v>192</v>
      </c>
      <c r="M984" s="6" t="str">
        <f t="array" ref="M984">Y806</f>
        <v>1ХВС::1.1</v>
      </c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29" t="str">
        <f>AB983&amp;".1"</f>
        <v>3.1.1.3.1.1</v>
      </c>
      <c r="AC984" s="177" t="s">
        <v>327</v>
      </c>
      <c r="AD984" s="370" t="s">
        <v>111</v>
      </c>
      <c r="AE984" s="608"/>
      <c r="AF984" s="93"/>
      <c r="AG984" s="615"/>
      <c r="AH984" s="44"/>
      <c r="AI984" s="41"/>
      <c r="AJ984" s="42"/>
      <c r="AK984" s="179"/>
      <c r="AL984" s="178"/>
      <c r="AM984" s="96"/>
      <c r="AN984" s="179"/>
      <c r="AO984" s="178"/>
      <c r="AP984" s="96"/>
      <c r="AQ984" s="179"/>
      <c r="AR984" s="178"/>
      <c r="AS984" s="96"/>
      <c r="AT984" s="179"/>
      <c r="AU984" s="178"/>
      <c r="AV984" s="96"/>
      <c r="AW984" s="179"/>
      <c r="AX984" s="178"/>
      <c r="AY984" s="96"/>
      <c r="AZ984" s="179"/>
      <c r="BA984" s="178"/>
      <c r="BB984" s="96"/>
      <c r="BC984" s="179"/>
      <c r="BD984" s="178"/>
      <c r="BE984" s="96"/>
      <c r="BF984" s="139"/>
      <c r="BG984" s="183"/>
      <c r="BH984" s="186"/>
      <c r="BI984" s="142"/>
      <c r="BJ984" s="183"/>
      <c r="BK984" s="186"/>
      <c r="BL984" s="6"/>
      <c r="BM984" s="6"/>
      <c r="BN984" s="125">
        <f t="shared" si="316"/>
        <v>0</v>
      </c>
      <c r="BO984" s="126">
        <f t="shared" si="317"/>
        <v>0</v>
      </c>
      <c r="BP984" s="127">
        <f t="shared" si="318"/>
        <v>0</v>
      </c>
    </row>
    <row r="985" spans="1:68" ht="14.25" customHeight="1" outlineLevel="5" x14ac:dyDescent="0.25">
      <c r="C985" s="10" t="s">
        <v>83</v>
      </c>
      <c r="D985" s="10" t="s">
        <v>84</v>
      </c>
      <c r="E985" s="10" t="s">
        <v>73</v>
      </c>
      <c r="F985" s="10" t="s">
        <v>74</v>
      </c>
      <c r="G985" s="10" t="s">
        <v>328</v>
      </c>
      <c r="H985" s="10" t="s">
        <v>73</v>
      </c>
      <c r="I985" s="10" t="s">
        <v>73</v>
      </c>
      <c r="K985" s="12" t="s">
        <v>73</v>
      </c>
      <c r="L985" s="10" t="s">
        <v>192</v>
      </c>
      <c r="M985" s="5" t="str">
        <f t="array" ref="M985">Y806</f>
        <v>1ХВС::1.1</v>
      </c>
      <c r="AB985" s="29" t="str">
        <f>AB983&amp;".2"</f>
        <v>3.1.1.3.1.2</v>
      </c>
      <c r="AC985" s="177" t="s">
        <v>329</v>
      </c>
      <c r="AD985" s="370" t="s">
        <v>111</v>
      </c>
      <c r="AE985" s="175">
        <f t="shared" ref="AE985:BK985" si="320">AE261</f>
        <v>26.22</v>
      </c>
      <c r="AF985" s="73">
        <f t="shared" si="320"/>
        <v>0</v>
      </c>
      <c r="AG985" s="176">
        <f t="shared" si="320"/>
        <v>0</v>
      </c>
      <c r="AH985" s="443">
        <f t="shared" si="320"/>
        <v>0</v>
      </c>
      <c r="AI985" s="73">
        <f t="shared" si="320"/>
        <v>0</v>
      </c>
      <c r="AJ985" s="176">
        <f t="shared" si="320"/>
        <v>0</v>
      </c>
      <c r="AK985" s="175">
        <f t="shared" si="320"/>
        <v>0</v>
      </c>
      <c r="AL985" s="73">
        <f t="shared" si="320"/>
        <v>0</v>
      </c>
      <c r="AM985" s="176">
        <f t="shared" si="320"/>
        <v>0</v>
      </c>
      <c r="AN985" s="175">
        <f t="shared" si="320"/>
        <v>0</v>
      </c>
      <c r="AO985" s="73">
        <f t="shared" si="320"/>
        <v>0</v>
      </c>
      <c r="AP985" s="176">
        <f t="shared" si="320"/>
        <v>0</v>
      </c>
      <c r="AQ985" s="175">
        <f t="shared" si="320"/>
        <v>0</v>
      </c>
      <c r="AR985" s="73">
        <f t="shared" si="320"/>
        <v>0</v>
      </c>
      <c r="AS985" s="176">
        <f t="shared" si="320"/>
        <v>0</v>
      </c>
      <c r="AT985" s="175">
        <f t="shared" si="320"/>
        <v>0</v>
      </c>
      <c r="AU985" s="73">
        <f t="shared" si="320"/>
        <v>0</v>
      </c>
      <c r="AV985" s="176">
        <f t="shared" si="320"/>
        <v>0</v>
      </c>
      <c r="AW985" s="175">
        <f t="shared" si="320"/>
        <v>0</v>
      </c>
      <c r="AX985" s="73">
        <f t="shared" si="320"/>
        <v>0</v>
      </c>
      <c r="AY985" s="176">
        <f t="shared" si="320"/>
        <v>0</v>
      </c>
      <c r="AZ985" s="175">
        <f t="shared" si="320"/>
        <v>0</v>
      </c>
      <c r="BA985" s="73">
        <f t="shared" si="320"/>
        <v>0</v>
      </c>
      <c r="BB985" s="176">
        <f t="shared" si="320"/>
        <v>0</v>
      </c>
      <c r="BC985" s="175">
        <f t="shared" si="320"/>
        <v>0</v>
      </c>
      <c r="BD985" s="73">
        <f t="shared" si="320"/>
        <v>0</v>
      </c>
      <c r="BE985" s="176">
        <f t="shared" si="320"/>
        <v>0</v>
      </c>
      <c r="BF985" s="175">
        <f t="shared" si="320"/>
        <v>0</v>
      </c>
      <c r="BG985" s="73">
        <f t="shared" si="320"/>
        <v>0</v>
      </c>
      <c r="BH985" s="176">
        <f t="shared" si="320"/>
        <v>0</v>
      </c>
      <c r="BI985" s="175">
        <f t="shared" si="320"/>
        <v>0</v>
      </c>
      <c r="BJ985" s="73">
        <f t="shared" si="320"/>
        <v>0</v>
      </c>
      <c r="BK985" s="176">
        <f t="shared" si="320"/>
        <v>0</v>
      </c>
      <c r="BN985" s="125">
        <f t="shared" si="316"/>
        <v>26.22</v>
      </c>
      <c r="BO985" s="126">
        <f t="shared" si="317"/>
        <v>0</v>
      </c>
      <c r="BP985" s="127">
        <f t="shared" si="318"/>
        <v>0</v>
      </c>
    </row>
    <row r="986" spans="1:68" ht="14.25" customHeight="1" outlineLevel="5" x14ac:dyDescent="0.25">
      <c r="C986" s="10" t="s">
        <v>83</v>
      </c>
      <c r="D986" s="10" t="s">
        <v>84</v>
      </c>
      <c r="E986" s="10" t="s">
        <v>73</v>
      </c>
      <c r="F986" s="10" t="s">
        <v>74</v>
      </c>
      <c r="G986" s="10" t="s">
        <v>330</v>
      </c>
      <c r="H986" s="10" t="s">
        <v>73</v>
      </c>
      <c r="I986" s="10" t="s">
        <v>73</v>
      </c>
      <c r="K986" s="12" t="s">
        <v>73</v>
      </c>
      <c r="L986" s="10" t="s">
        <v>192</v>
      </c>
      <c r="M986" s="5" t="str">
        <f t="array" ref="M986">Y806</f>
        <v>1ХВС::1.1</v>
      </c>
      <c r="AB986" s="29" t="str">
        <f>AB983&amp;".3"</f>
        <v>3.1.1.3.1.3</v>
      </c>
      <c r="AC986" s="177" t="s">
        <v>331</v>
      </c>
      <c r="AD986" s="370" t="s">
        <v>111</v>
      </c>
      <c r="AE986" s="175">
        <f t="shared" ref="AE986:BK986" si="321">AE262</f>
        <v>792.68</v>
      </c>
      <c r="AF986" s="73">
        <f t="shared" si="321"/>
        <v>2249.287863863</v>
      </c>
      <c r="AG986" s="176">
        <f t="shared" si="321"/>
        <v>2419.94</v>
      </c>
      <c r="AH986" s="443">
        <f t="shared" si="321"/>
        <v>0</v>
      </c>
      <c r="AI986" s="73">
        <f t="shared" si="321"/>
        <v>0</v>
      </c>
      <c r="AJ986" s="176">
        <f t="shared" si="321"/>
        <v>0</v>
      </c>
      <c r="AK986" s="175">
        <f t="shared" si="321"/>
        <v>0</v>
      </c>
      <c r="AL986" s="73">
        <f t="shared" si="321"/>
        <v>0</v>
      </c>
      <c r="AM986" s="176">
        <f t="shared" si="321"/>
        <v>0</v>
      </c>
      <c r="AN986" s="175">
        <f t="shared" si="321"/>
        <v>0</v>
      </c>
      <c r="AO986" s="73">
        <f t="shared" si="321"/>
        <v>0</v>
      </c>
      <c r="AP986" s="176">
        <f t="shared" si="321"/>
        <v>0</v>
      </c>
      <c r="AQ986" s="175">
        <f t="shared" si="321"/>
        <v>0</v>
      </c>
      <c r="AR986" s="73">
        <f t="shared" si="321"/>
        <v>0</v>
      </c>
      <c r="AS986" s="176">
        <f t="shared" si="321"/>
        <v>0</v>
      </c>
      <c r="AT986" s="175">
        <f t="shared" si="321"/>
        <v>0</v>
      </c>
      <c r="AU986" s="73">
        <f t="shared" si="321"/>
        <v>0</v>
      </c>
      <c r="AV986" s="176">
        <f t="shared" si="321"/>
        <v>0</v>
      </c>
      <c r="AW986" s="175">
        <f t="shared" si="321"/>
        <v>0</v>
      </c>
      <c r="AX986" s="73">
        <f t="shared" si="321"/>
        <v>0</v>
      </c>
      <c r="AY986" s="176">
        <f t="shared" si="321"/>
        <v>0</v>
      </c>
      <c r="AZ986" s="175">
        <f t="shared" si="321"/>
        <v>0</v>
      </c>
      <c r="BA986" s="73">
        <f t="shared" si="321"/>
        <v>0</v>
      </c>
      <c r="BB986" s="176">
        <f t="shared" si="321"/>
        <v>0</v>
      </c>
      <c r="BC986" s="175">
        <f t="shared" si="321"/>
        <v>0</v>
      </c>
      <c r="BD986" s="73">
        <f t="shared" si="321"/>
        <v>0</v>
      </c>
      <c r="BE986" s="176">
        <f t="shared" si="321"/>
        <v>0</v>
      </c>
      <c r="BF986" s="175">
        <f t="shared" si="321"/>
        <v>0</v>
      </c>
      <c r="BG986" s="73">
        <f t="shared" si="321"/>
        <v>0</v>
      </c>
      <c r="BH986" s="176">
        <f t="shared" si="321"/>
        <v>0</v>
      </c>
      <c r="BI986" s="175">
        <f t="shared" si="321"/>
        <v>0</v>
      </c>
      <c r="BJ986" s="73">
        <f t="shared" si="321"/>
        <v>0</v>
      </c>
      <c r="BK986" s="176">
        <f t="shared" si="321"/>
        <v>0</v>
      </c>
      <c r="BN986" s="125">
        <f t="shared" si="316"/>
        <v>792.68</v>
      </c>
      <c r="BO986" s="126">
        <f t="shared" si="317"/>
        <v>2249.287863863</v>
      </c>
      <c r="BP986" s="127">
        <f t="shared" si="318"/>
        <v>2419.94</v>
      </c>
    </row>
    <row r="987" spans="1:68" ht="14.25" customHeight="1" outlineLevel="5" x14ac:dyDescent="0.25">
      <c r="C987" s="10" t="s">
        <v>83</v>
      </c>
      <c r="D987" s="10" t="s">
        <v>84</v>
      </c>
      <c r="E987" s="10" t="s">
        <v>73</v>
      </c>
      <c r="F987" s="10" t="s">
        <v>74</v>
      </c>
      <c r="G987" s="10" t="s">
        <v>332</v>
      </c>
      <c r="H987" s="10" t="s">
        <v>73</v>
      </c>
      <c r="I987" s="10" t="s">
        <v>73</v>
      </c>
      <c r="K987" s="12" t="s">
        <v>73</v>
      </c>
      <c r="L987" s="10" t="s">
        <v>192</v>
      </c>
      <c r="M987" s="5" t="str">
        <f t="array" ref="M987">Y806</f>
        <v>1ХВС::1.1</v>
      </c>
      <c r="AB987" s="65" t="str">
        <f>AB983&amp;".4"</f>
        <v>3.1.1.3.1.4</v>
      </c>
      <c r="AC987" s="177" t="s">
        <v>333</v>
      </c>
      <c r="AD987" s="370" t="s">
        <v>111</v>
      </c>
      <c r="AE987" s="175">
        <f t="shared" ref="AE987:BK987" si="322">AE263+AE609</f>
        <v>1460.3</v>
      </c>
      <c r="AF987" s="73">
        <f t="shared" si="322"/>
        <v>2527.16</v>
      </c>
      <c r="AG987" s="176">
        <f t="shared" si="322"/>
        <v>2697.29</v>
      </c>
      <c r="AH987" s="443">
        <f t="shared" si="322"/>
        <v>0</v>
      </c>
      <c r="AI987" s="73">
        <f t="shared" si="322"/>
        <v>0</v>
      </c>
      <c r="AJ987" s="176">
        <f t="shared" si="322"/>
        <v>0</v>
      </c>
      <c r="AK987" s="175">
        <f t="shared" si="322"/>
        <v>0</v>
      </c>
      <c r="AL987" s="73">
        <f t="shared" si="322"/>
        <v>21.6</v>
      </c>
      <c r="AM987" s="176">
        <f t="shared" si="322"/>
        <v>0</v>
      </c>
      <c r="AN987" s="175">
        <f t="shared" si="322"/>
        <v>0</v>
      </c>
      <c r="AO987" s="73">
        <f t="shared" si="322"/>
        <v>0</v>
      </c>
      <c r="AP987" s="176">
        <f t="shared" si="322"/>
        <v>0</v>
      </c>
      <c r="AQ987" s="175">
        <f t="shared" si="322"/>
        <v>0</v>
      </c>
      <c r="AR987" s="73">
        <f t="shared" si="322"/>
        <v>0</v>
      </c>
      <c r="AS987" s="176">
        <f t="shared" si="322"/>
        <v>0</v>
      </c>
      <c r="AT987" s="175">
        <f t="shared" si="322"/>
        <v>0</v>
      </c>
      <c r="AU987" s="73">
        <f t="shared" si="322"/>
        <v>0</v>
      </c>
      <c r="AV987" s="176">
        <f t="shared" si="322"/>
        <v>0</v>
      </c>
      <c r="AW987" s="175">
        <f t="shared" si="322"/>
        <v>0</v>
      </c>
      <c r="AX987" s="73">
        <f t="shared" si="322"/>
        <v>0</v>
      </c>
      <c r="AY987" s="176">
        <f t="shared" si="322"/>
        <v>0</v>
      </c>
      <c r="AZ987" s="175">
        <f t="shared" si="322"/>
        <v>0</v>
      </c>
      <c r="BA987" s="73">
        <f t="shared" si="322"/>
        <v>0</v>
      </c>
      <c r="BB987" s="176">
        <f t="shared" si="322"/>
        <v>0</v>
      </c>
      <c r="BC987" s="175">
        <f t="shared" si="322"/>
        <v>0</v>
      </c>
      <c r="BD987" s="73">
        <f t="shared" si="322"/>
        <v>0</v>
      </c>
      <c r="BE987" s="176">
        <f t="shared" si="322"/>
        <v>18.91</v>
      </c>
      <c r="BF987" s="175">
        <f t="shared" si="322"/>
        <v>0</v>
      </c>
      <c r="BG987" s="73">
        <f t="shared" si="322"/>
        <v>0</v>
      </c>
      <c r="BH987" s="176">
        <f t="shared" si="322"/>
        <v>0</v>
      </c>
      <c r="BI987" s="175">
        <f t="shared" si="322"/>
        <v>0</v>
      </c>
      <c r="BJ987" s="73">
        <f t="shared" si="322"/>
        <v>0</v>
      </c>
      <c r="BK987" s="176">
        <f t="shared" si="322"/>
        <v>0</v>
      </c>
      <c r="BN987" s="125">
        <f t="shared" si="316"/>
        <v>1460.3</v>
      </c>
      <c r="BO987" s="126">
        <f t="shared" si="317"/>
        <v>2548.7599999999998</v>
      </c>
      <c r="BP987" s="127">
        <f t="shared" si="318"/>
        <v>2716.2</v>
      </c>
    </row>
    <row r="988" spans="1:68" ht="14.25" customHeight="1" outlineLevel="5" x14ac:dyDescent="0.25">
      <c r="C988" s="10" t="s">
        <v>83</v>
      </c>
      <c r="D988" s="10" t="s">
        <v>84</v>
      </c>
      <c r="E988" s="10" t="s">
        <v>73</v>
      </c>
      <c r="F988" s="10" t="s">
        <v>74</v>
      </c>
      <c r="G988" s="10" t="s">
        <v>334</v>
      </c>
      <c r="H988" s="10" t="s">
        <v>73</v>
      </c>
      <c r="I988" s="10" t="s">
        <v>73</v>
      </c>
      <c r="K988" s="12" t="s">
        <v>73</v>
      </c>
      <c r="L988" s="10" t="s">
        <v>192</v>
      </c>
      <c r="M988" s="5" t="str">
        <f t="array" ref="M988">Y806</f>
        <v>1ХВС::1.1</v>
      </c>
      <c r="AB988" s="65" t="str">
        <f>AB983&amp;".5"</f>
        <v>3.1.1.3.1.5</v>
      </c>
      <c r="AC988" s="177" t="s">
        <v>335</v>
      </c>
      <c r="AD988" s="370" t="s">
        <v>111</v>
      </c>
      <c r="AE988" s="175">
        <f t="shared" ref="AE988:BK988" si="323">AE264</f>
        <v>0</v>
      </c>
      <c r="AF988" s="73">
        <f t="shared" si="323"/>
        <v>1727.113621559</v>
      </c>
      <c r="AG988" s="176">
        <f t="shared" si="323"/>
        <v>1858.15</v>
      </c>
      <c r="AH988" s="443">
        <f t="shared" si="323"/>
        <v>0</v>
      </c>
      <c r="AI988" s="73">
        <f t="shared" si="323"/>
        <v>0</v>
      </c>
      <c r="AJ988" s="176">
        <f t="shared" si="323"/>
        <v>0</v>
      </c>
      <c r="AK988" s="175">
        <f t="shared" si="323"/>
        <v>0</v>
      </c>
      <c r="AL988" s="73">
        <f t="shared" si="323"/>
        <v>0</v>
      </c>
      <c r="AM988" s="176">
        <f t="shared" si="323"/>
        <v>0</v>
      </c>
      <c r="AN988" s="175">
        <f t="shared" si="323"/>
        <v>0</v>
      </c>
      <c r="AO988" s="73">
        <f t="shared" si="323"/>
        <v>0</v>
      </c>
      <c r="AP988" s="176">
        <f t="shared" si="323"/>
        <v>0</v>
      </c>
      <c r="AQ988" s="175">
        <f t="shared" si="323"/>
        <v>0</v>
      </c>
      <c r="AR988" s="73">
        <f t="shared" si="323"/>
        <v>0</v>
      </c>
      <c r="AS988" s="176">
        <f t="shared" si="323"/>
        <v>0</v>
      </c>
      <c r="AT988" s="175">
        <f t="shared" si="323"/>
        <v>0</v>
      </c>
      <c r="AU988" s="73">
        <f t="shared" si="323"/>
        <v>0</v>
      </c>
      <c r="AV988" s="176">
        <f t="shared" si="323"/>
        <v>0</v>
      </c>
      <c r="AW988" s="175">
        <f t="shared" si="323"/>
        <v>0</v>
      </c>
      <c r="AX988" s="73">
        <f t="shared" si="323"/>
        <v>0</v>
      </c>
      <c r="AY988" s="176">
        <f t="shared" si="323"/>
        <v>0</v>
      </c>
      <c r="AZ988" s="175">
        <f t="shared" si="323"/>
        <v>0</v>
      </c>
      <c r="BA988" s="73">
        <f t="shared" si="323"/>
        <v>0</v>
      </c>
      <c r="BB988" s="176">
        <f t="shared" si="323"/>
        <v>0</v>
      </c>
      <c r="BC988" s="175">
        <f t="shared" si="323"/>
        <v>0</v>
      </c>
      <c r="BD988" s="73">
        <f t="shared" si="323"/>
        <v>0</v>
      </c>
      <c r="BE988" s="176">
        <f t="shared" si="323"/>
        <v>0</v>
      </c>
      <c r="BF988" s="175">
        <f t="shared" si="323"/>
        <v>0</v>
      </c>
      <c r="BG988" s="73">
        <f t="shared" si="323"/>
        <v>0</v>
      </c>
      <c r="BH988" s="176">
        <f t="shared" si="323"/>
        <v>0</v>
      </c>
      <c r="BI988" s="175">
        <f t="shared" si="323"/>
        <v>0</v>
      </c>
      <c r="BJ988" s="73">
        <f t="shared" si="323"/>
        <v>0</v>
      </c>
      <c r="BK988" s="176">
        <f t="shared" si="323"/>
        <v>0</v>
      </c>
      <c r="BN988" s="125">
        <f t="shared" si="316"/>
        <v>0</v>
      </c>
      <c r="BO988" s="126">
        <f t="shared" si="317"/>
        <v>1727.113621559</v>
      </c>
      <c r="BP988" s="127">
        <f t="shared" si="318"/>
        <v>1858.15</v>
      </c>
    </row>
    <row r="989" spans="1:68" ht="14.25" customHeight="1" outlineLevel="5" x14ac:dyDescent="0.25">
      <c r="C989" s="10" t="s">
        <v>83</v>
      </c>
      <c r="D989" s="10" t="s">
        <v>84</v>
      </c>
      <c r="E989" s="10" t="s">
        <v>73</v>
      </c>
      <c r="F989" s="10" t="s">
        <v>74</v>
      </c>
      <c r="G989" s="10" t="s">
        <v>336</v>
      </c>
      <c r="H989" s="10" t="s">
        <v>73</v>
      </c>
      <c r="I989" s="10" t="s">
        <v>73</v>
      </c>
      <c r="J989" s="10" t="s">
        <v>73</v>
      </c>
      <c r="K989" s="12" t="s">
        <v>73</v>
      </c>
      <c r="L989" s="10" t="s">
        <v>192</v>
      </c>
      <c r="M989" s="5" t="str">
        <f t="array" ref="M989">Y806</f>
        <v>1ХВС::1.1</v>
      </c>
      <c r="AB989" s="65" t="str">
        <f>AB983&amp;".6"</f>
        <v>3.1.1.3.1.6</v>
      </c>
      <c r="AC989" s="177" t="s">
        <v>337</v>
      </c>
      <c r="AD989" s="370" t="s">
        <v>111</v>
      </c>
      <c r="AE989" s="175">
        <f t="shared" ref="AE989:BK989" si="324">AE265+AE611</f>
        <v>10015.35</v>
      </c>
      <c r="AF989" s="73">
        <f t="shared" si="324"/>
        <v>6715.54</v>
      </c>
      <c r="AG989" s="176">
        <f t="shared" si="324"/>
        <v>12908.157000000001</v>
      </c>
      <c r="AH989" s="443">
        <f t="shared" si="324"/>
        <v>0</v>
      </c>
      <c r="AI989" s="73">
        <f t="shared" si="324"/>
        <v>0</v>
      </c>
      <c r="AJ989" s="176">
        <f t="shared" si="324"/>
        <v>0</v>
      </c>
      <c r="AK989" s="175">
        <f t="shared" si="324"/>
        <v>0</v>
      </c>
      <c r="AL989" s="73">
        <f t="shared" si="324"/>
        <v>109.89</v>
      </c>
      <c r="AM989" s="176">
        <f t="shared" si="324"/>
        <v>0</v>
      </c>
      <c r="AN989" s="175">
        <f t="shared" si="324"/>
        <v>0</v>
      </c>
      <c r="AO989" s="73">
        <f t="shared" si="324"/>
        <v>0</v>
      </c>
      <c r="AP989" s="176">
        <f t="shared" si="324"/>
        <v>0</v>
      </c>
      <c r="AQ989" s="175">
        <f t="shared" si="324"/>
        <v>0</v>
      </c>
      <c r="AR989" s="73">
        <f t="shared" si="324"/>
        <v>0</v>
      </c>
      <c r="AS989" s="176">
        <f t="shared" si="324"/>
        <v>0</v>
      </c>
      <c r="AT989" s="175">
        <f t="shared" si="324"/>
        <v>0</v>
      </c>
      <c r="AU989" s="73">
        <f t="shared" si="324"/>
        <v>0</v>
      </c>
      <c r="AV989" s="176">
        <f t="shared" si="324"/>
        <v>0</v>
      </c>
      <c r="AW989" s="175">
        <f t="shared" si="324"/>
        <v>0</v>
      </c>
      <c r="AX989" s="73">
        <f t="shared" si="324"/>
        <v>0</v>
      </c>
      <c r="AY989" s="176">
        <f t="shared" si="324"/>
        <v>166.96</v>
      </c>
      <c r="AZ989" s="175">
        <f t="shared" si="324"/>
        <v>0</v>
      </c>
      <c r="BA989" s="73">
        <f t="shared" si="324"/>
        <v>0</v>
      </c>
      <c r="BB989" s="176">
        <f t="shared" si="324"/>
        <v>344.68</v>
      </c>
      <c r="BC989" s="175">
        <f t="shared" si="324"/>
        <v>0</v>
      </c>
      <c r="BD989" s="73">
        <f t="shared" si="324"/>
        <v>0</v>
      </c>
      <c r="BE989" s="176">
        <f t="shared" si="324"/>
        <v>138.13999999999999</v>
      </c>
      <c r="BF989" s="175">
        <f t="shared" si="324"/>
        <v>0</v>
      </c>
      <c r="BG989" s="73">
        <f t="shared" si="324"/>
        <v>0</v>
      </c>
      <c r="BH989" s="176">
        <f t="shared" si="324"/>
        <v>0</v>
      </c>
      <c r="BI989" s="175">
        <f t="shared" si="324"/>
        <v>0</v>
      </c>
      <c r="BJ989" s="73">
        <f t="shared" si="324"/>
        <v>0</v>
      </c>
      <c r="BK989" s="176">
        <f t="shared" si="324"/>
        <v>0</v>
      </c>
      <c r="BN989" s="125">
        <f t="shared" si="316"/>
        <v>10015.35</v>
      </c>
      <c r="BO989" s="126">
        <f t="shared" si="317"/>
        <v>6825.43</v>
      </c>
      <c r="BP989" s="127">
        <f t="shared" si="318"/>
        <v>13557.937</v>
      </c>
    </row>
    <row r="990" spans="1:68" ht="17.25" customHeight="1" outlineLevel="5" x14ac:dyDescent="0.25">
      <c r="C990" s="10" t="s">
        <v>83</v>
      </c>
      <c r="D990" s="10" t="s">
        <v>84</v>
      </c>
      <c r="E990" s="10" t="s">
        <v>73</v>
      </c>
      <c r="F990" s="10" t="s">
        <v>74</v>
      </c>
      <c r="G990" s="10" t="s">
        <v>338</v>
      </c>
      <c r="H990" s="10" t="s">
        <v>73</v>
      </c>
      <c r="I990" s="10" t="s">
        <v>73</v>
      </c>
      <c r="J990" s="10" t="s">
        <v>73</v>
      </c>
      <c r="K990" s="12" t="s">
        <v>73</v>
      </c>
      <c r="L990" s="10" t="s">
        <v>192</v>
      </c>
      <c r="M990" s="5" t="str">
        <f t="array" ref="M990">Y806</f>
        <v>1ХВС::1.1</v>
      </c>
      <c r="AB990" s="65" t="str">
        <f>AB983&amp;".7"</f>
        <v>3.1.1.3.1.7</v>
      </c>
      <c r="AC990" s="177" t="s">
        <v>339</v>
      </c>
      <c r="AD990" s="370" t="s">
        <v>111</v>
      </c>
      <c r="AE990" s="72">
        <f t="shared" ref="AE990:BK990" si="325">AE266</f>
        <v>0</v>
      </c>
      <c r="AF990" s="73">
        <f t="shared" si="325"/>
        <v>854.75</v>
      </c>
      <c r="AG990" s="74">
        <f t="shared" si="325"/>
        <v>2640.0709999999999</v>
      </c>
      <c r="AH990" s="179">
        <f t="shared" si="325"/>
        <v>34.123000000000005</v>
      </c>
      <c r="AI990" s="73">
        <f t="shared" si="325"/>
        <v>0</v>
      </c>
      <c r="AJ990" s="74">
        <f t="shared" si="325"/>
        <v>58.900000000000006</v>
      </c>
      <c r="AK990" s="73">
        <f t="shared" si="325"/>
        <v>0</v>
      </c>
      <c r="AL990" s="73">
        <f t="shared" si="325"/>
        <v>81</v>
      </c>
      <c r="AM990" s="74">
        <f t="shared" si="325"/>
        <v>0</v>
      </c>
      <c r="AN990" s="73">
        <f t="shared" si="325"/>
        <v>0</v>
      </c>
      <c r="AO990" s="73">
        <f t="shared" si="325"/>
        <v>0</v>
      </c>
      <c r="AP990" s="74">
        <f t="shared" si="325"/>
        <v>0</v>
      </c>
      <c r="AQ990" s="73">
        <f t="shared" si="325"/>
        <v>0</v>
      </c>
      <c r="AR990" s="73">
        <f t="shared" si="325"/>
        <v>0</v>
      </c>
      <c r="AS990" s="74">
        <f t="shared" si="325"/>
        <v>0</v>
      </c>
      <c r="AT990" s="73">
        <f t="shared" si="325"/>
        <v>0</v>
      </c>
      <c r="AU990" s="73">
        <f t="shared" si="325"/>
        <v>0</v>
      </c>
      <c r="AV990" s="74">
        <f t="shared" si="325"/>
        <v>0</v>
      </c>
      <c r="AW990" s="73">
        <f t="shared" si="325"/>
        <v>0</v>
      </c>
      <c r="AX990" s="73">
        <f t="shared" si="325"/>
        <v>0</v>
      </c>
      <c r="AY990" s="74">
        <f t="shared" si="325"/>
        <v>0</v>
      </c>
      <c r="AZ990" s="73">
        <f t="shared" si="325"/>
        <v>0</v>
      </c>
      <c r="BA990" s="73">
        <f t="shared" si="325"/>
        <v>0</v>
      </c>
      <c r="BB990" s="74">
        <f t="shared" si="325"/>
        <v>0</v>
      </c>
      <c r="BC990" s="73">
        <f t="shared" si="325"/>
        <v>0</v>
      </c>
      <c r="BD990" s="73">
        <f t="shared" si="325"/>
        <v>88.12</v>
      </c>
      <c r="BE990" s="74">
        <f t="shared" si="325"/>
        <v>62.71</v>
      </c>
      <c r="BF990" s="73">
        <f t="shared" si="325"/>
        <v>0</v>
      </c>
      <c r="BG990" s="73">
        <f t="shared" si="325"/>
        <v>0</v>
      </c>
      <c r="BH990" s="74">
        <f t="shared" si="325"/>
        <v>0</v>
      </c>
      <c r="BI990" s="72">
        <f t="shared" si="325"/>
        <v>0</v>
      </c>
      <c r="BJ990" s="73">
        <f t="shared" si="325"/>
        <v>0</v>
      </c>
      <c r="BK990" s="74">
        <f t="shared" si="325"/>
        <v>0</v>
      </c>
      <c r="BN990" s="125">
        <f t="shared" si="316"/>
        <v>34.123000000000005</v>
      </c>
      <c r="BO990" s="126">
        <f t="shared" si="317"/>
        <v>1023.87</v>
      </c>
      <c r="BP990" s="127">
        <f t="shared" si="318"/>
        <v>2761.681</v>
      </c>
    </row>
    <row r="991" spans="1:68" ht="36" customHeight="1" outlineLevel="4" x14ac:dyDescent="0.25">
      <c r="C991" s="10" t="s">
        <v>83</v>
      </c>
      <c r="D991" s="10" t="s">
        <v>84</v>
      </c>
      <c r="E991" s="10" t="s">
        <v>73</v>
      </c>
      <c r="F991" s="10" t="s">
        <v>74</v>
      </c>
      <c r="G991" s="10" t="s">
        <v>201</v>
      </c>
      <c r="H991" s="10" t="s">
        <v>340</v>
      </c>
      <c r="I991" s="10" t="s">
        <v>73</v>
      </c>
      <c r="J991" s="10" t="s">
        <v>73</v>
      </c>
      <c r="K991" s="12" t="s">
        <v>73</v>
      </c>
      <c r="L991" s="10" t="s">
        <v>192</v>
      </c>
      <c r="M991" s="5" t="str">
        <f t="array" ref="M991">Y806</f>
        <v>1ХВС::1.1</v>
      </c>
      <c r="AB991" s="65" t="str">
        <f>AB982&amp;".2"</f>
        <v>3.1.1.3.2</v>
      </c>
      <c r="AC991" s="174" t="s">
        <v>341</v>
      </c>
      <c r="AD991" s="370" t="s">
        <v>111</v>
      </c>
      <c r="AE991" s="175">
        <f t="shared" ref="AE991:BK991" si="326">AE992+AE995</f>
        <v>174320.38</v>
      </c>
      <c r="AF991" s="73">
        <f t="shared" si="326"/>
        <v>119119</v>
      </c>
      <c r="AG991" s="176">
        <f t="shared" si="326"/>
        <v>183869.14600000001</v>
      </c>
      <c r="AH991" s="179">
        <f t="shared" si="326"/>
        <v>0</v>
      </c>
      <c r="AI991" s="73">
        <f t="shared" si="326"/>
        <v>183.6</v>
      </c>
      <c r="AJ991" s="74">
        <f t="shared" si="326"/>
        <v>0</v>
      </c>
      <c r="AK991" s="179">
        <f t="shared" si="326"/>
        <v>2470.83</v>
      </c>
      <c r="AL991" s="73">
        <f t="shared" si="326"/>
        <v>3000.99</v>
      </c>
      <c r="AM991" s="74">
        <f t="shared" si="326"/>
        <v>2939.86</v>
      </c>
      <c r="AN991" s="179">
        <f t="shared" si="326"/>
        <v>7201.6200000000008</v>
      </c>
      <c r="AO991" s="73">
        <f t="shared" si="326"/>
        <v>4471.8239999999996</v>
      </c>
      <c r="AP991" s="74">
        <f t="shared" si="326"/>
        <v>6566.3899999999994</v>
      </c>
      <c r="AQ991" s="179">
        <f t="shared" si="326"/>
        <v>6107.21</v>
      </c>
      <c r="AR991" s="73">
        <f t="shared" si="326"/>
        <v>1063.0520999999999</v>
      </c>
      <c r="AS991" s="74">
        <f t="shared" si="326"/>
        <v>4962.0600000000004</v>
      </c>
      <c r="AT991" s="179">
        <f t="shared" si="326"/>
        <v>5710.9290000000001</v>
      </c>
      <c r="AU991" s="73">
        <f t="shared" si="326"/>
        <v>12117.009999999998</v>
      </c>
      <c r="AV991" s="74">
        <f t="shared" si="326"/>
        <v>9097.6149000000005</v>
      </c>
      <c r="AW991" s="179">
        <f t="shared" si="326"/>
        <v>0</v>
      </c>
      <c r="AX991" s="73">
        <f t="shared" si="326"/>
        <v>1635.6557038000001</v>
      </c>
      <c r="AY991" s="74">
        <f t="shared" si="326"/>
        <v>2726.5780920000002</v>
      </c>
      <c r="AZ991" s="179">
        <f t="shared" si="326"/>
        <v>15758.628101999999</v>
      </c>
      <c r="BA991" s="73">
        <f t="shared" si="326"/>
        <v>21529.111631999996</v>
      </c>
      <c r="BB991" s="74">
        <f t="shared" si="326"/>
        <v>18570.810446287367</v>
      </c>
      <c r="BC991" s="179">
        <f t="shared" si="326"/>
        <v>0</v>
      </c>
      <c r="BD991" s="73">
        <f t="shared" si="326"/>
        <v>0</v>
      </c>
      <c r="BE991" s="74">
        <f t="shared" si="326"/>
        <v>0</v>
      </c>
      <c r="BF991" s="139">
        <f t="shared" si="326"/>
        <v>0</v>
      </c>
      <c r="BG991" s="140">
        <f t="shared" si="326"/>
        <v>0</v>
      </c>
      <c r="BH991" s="143">
        <f t="shared" si="326"/>
        <v>1163.1573600000002</v>
      </c>
      <c r="BI991" s="142">
        <f t="shared" si="326"/>
        <v>0</v>
      </c>
      <c r="BJ991" s="140">
        <f t="shared" si="326"/>
        <v>0</v>
      </c>
      <c r="BK991" s="143">
        <f t="shared" si="326"/>
        <v>2690.3288680000001</v>
      </c>
      <c r="BN991" s="125">
        <f t="shared" si="316"/>
        <v>211569.59710199997</v>
      </c>
      <c r="BO991" s="126">
        <f t="shared" si="317"/>
        <v>163120.24343579999</v>
      </c>
      <c r="BP991" s="127">
        <f t="shared" si="318"/>
        <v>232585.94566628739</v>
      </c>
    </row>
    <row r="992" spans="1:68" ht="27.75" customHeight="1" outlineLevel="5" x14ac:dyDescent="0.25">
      <c r="C992" s="10" t="s">
        <v>83</v>
      </c>
      <c r="D992" s="10" t="s">
        <v>84</v>
      </c>
      <c r="E992" s="10" t="s">
        <v>73</v>
      </c>
      <c r="F992" s="10" t="s">
        <v>74</v>
      </c>
      <c r="G992" s="10" t="s">
        <v>204</v>
      </c>
      <c r="H992" s="10" t="s">
        <v>340</v>
      </c>
      <c r="I992" s="10" t="s">
        <v>73</v>
      </c>
      <c r="J992" s="10" t="s">
        <v>73</v>
      </c>
      <c r="K992" s="12" t="s">
        <v>73</v>
      </c>
      <c r="L992" s="10" t="s">
        <v>192</v>
      </c>
      <c r="M992" s="5" t="str">
        <f t="array" ref="M992">Y806</f>
        <v>1ХВС::1.1</v>
      </c>
      <c r="AB992" s="29" t="str">
        <f>AB991&amp;".1"</f>
        <v>3.1.1.3.2.1</v>
      </c>
      <c r="AC992" s="177" t="s">
        <v>342</v>
      </c>
      <c r="AD992" s="370" t="s">
        <v>111</v>
      </c>
      <c r="AE992" s="175">
        <f t="shared" ref="AE992:BK992" si="327">AE268+AE614</f>
        <v>133886.62</v>
      </c>
      <c r="AF992" s="73">
        <f t="shared" si="327"/>
        <v>91489.1</v>
      </c>
      <c r="AG992" s="176">
        <f t="shared" si="327"/>
        <v>141220.546</v>
      </c>
      <c r="AH992" s="443">
        <f t="shared" si="327"/>
        <v>0</v>
      </c>
      <c r="AI992" s="73">
        <f t="shared" si="327"/>
        <v>141.01</v>
      </c>
      <c r="AJ992" s="176">
        <f t="shared" si="327"/>
        <v>0</v>
      </c>
      <c r="AK992" s="175">
        <f t="shared" si="327"/>
        <v>1897.72</v>
      </c>
      <c r="AL992" s="73">
        <f t="shared" si="327"/>
        <v>2304.91</v>
      </c>
      <c r="AM992" s="176">
        <f t="shared" si="327"/>
        <v>2257.96</v>
      </c>
      <c r="AN992" s="175">
        <f t="shared" si="327"/>
        <v>5531.2000000000007</v>
      </c>
      <c r="AO992" s="73">
        <f t="shared" si="327"/>
        <v>3434.58</v>
      </c>
      <c r="AP992" s="176">
        <f t="shared" si="327"/>
        <v>5043.3099999999995</v>
      </c>
      <c r="AQ992" s="175">
        <f t="shared" si="327"/>
        <v>4690.6400000000003</v>
      </c>
      <c r="AR992" s="73">
        <f t="shared" si="327"/>
        <v>816.48209999999995</v>
      </c>
      <c r="AS992" s="176">
        <f t="shared" si="327"/>
        <v>3811.11</v>
      </c>
      <c r="AT992" s="175">
        <f t="shared" si="327"/>
        <v>4386.2690000000002</v>
      </c>
      <c r="AU992" s="73">
        <f t="shared" si="327"/>
        <v>9306.4599999999991</v>
      </c>
      <c r="AV992" s="176">
        <f t="shared" si="327"/>
        <v>6987.4148999999998</v>
      </c>
      <c r="AW992" s="175">
        <f t="shared" si="327"/>
        <v>0</v>
      </c>
      <c r="AX992" s="73">
        <f t="shared" si="327"/>
        <v>1256.2769000000001</v>
      </c>
      <c r="AY992" s="176">
        <f t="shared" si="327"/>
        <v>2094.1460000000002</v>
      </c>
      <c r="AZ992" s="175">
        <f t="shared" si="327"/>
        <v>12103.401</v>
      </c>
      <c r="BA992" s="73">
        <f t="shared" si="327"/>
        <v>16535.415999999997</v>
      </c>
      <c r="BB992" s="176">
        <f t="shared" si="327"/>
        <v>14263.29527364621</v>
      </c>
      <c r="BC992" s="175">
        <f t="shared" si="327"/>
        <v>0</v>
      </c>
      <c r="BD992" s="73">
        <f t="shared" si="327"/>
        <v>0</v>
      </c>
      <c r="BE992" s="176">
        <f t="shared" si="327"/>
        <v>0</v>
      </c>
      <c r="BF992" s="175">
        <f t="shared" si="327"/>
        <v>0</v>
      </c>
      <c r="BG992" s="73">
        <f t="shared" si="327"/>
        <v>0</v>
      </c>
      <c r="BH992" s="176">
        <f t="shared" si="327"/>
        <v>893.36</v>
      </c>
      <c r="BI992" s="175">
        <f t="shared" si="327"/>
        <v>0</v>
      </c>
      <c r="BJ992" s="73">
        <f t="shared" si="327"/>
        <v>0</v>
      </c>
      <c r="BK992" s="176">
        <f t="shared" si="327"/>
        <v>2066.3040000000001</v>
      </c>
      <c r="BN992" s="125">
        <f t="shared" si="316"/>
        <v>162495.85000000003</v>
      </c>
      <c r="BO992" s="126">
        <f t="shared" si="317"/>
        <v>125284.23499999999</v>
      </c>
      <c r="BP992" s="127">
        <f t="shared" si="318"/>
        <v>178637.4461736462</v>
      </c>
    </row>
    <row r="993" spans="1:68" s="115" customFormat="1" ht="16.5" customHeight="1" outlineLevel="5" x14ac:dyDescent="0.25">
      <c r="A993" s="100"/>
      <c r="B993" s="100"/>
      <c r="C993" s="99" t="s">
        <v>206</v>
      </c>
      <c r="D993" s="99" t="s">
        <v>207</v>
      </c>
      <c r="E993" s="99" t="s">
        <v>73</v>
      </c>
      <c r="F993" s="99" t="s">
        <v>74</v>
      </c>
      <c r="G993" s="99" t="s">
        <v>73</v>
      </c>
      <c r="H993" s="99" t="s">
        <v>340</v>
      </c>
      <c r="I993" s="99" t="s">
        <v>73</v>
      </c>
      <c r="J993" s="99" t="s">
        <v>73</v>
      </c>
      <c r="K993" s="102" t="s">
        <v>73</v>
      </c>
      <c r="L993" s="99" t="s">
        <v>192</v>
      </c>
      <c r="M993" s="100" t="str">
        <f t="array" ref="M993">Y806</f>
        <v>1ХВС::1.1</v>
      </c>
      <c r="N993" s="100"/>
      <c r="O993" s="100"/>
      <c r="P993" s="100"/>
      <c r="Q993" s="100"/>
      <c r="R993" s="100"/>
      <c r="S993" s="100"/>
      <c r="T993" s="100"/>
      <c r="U993" s="100"/>
      <c r="V993" s="100"/>
      <c r="W993" s="100"/>
      <c r="X993" s="100"/>
      <c r="Y993" s="100"/>
      <c r="Z993" s="100"/>
      <c r="AA993" s="100"/>
      <c r="AB993" s="103" t="str">
        <f>AB992&amp;".1"</f>
        <v>3.1.1.3.2.1.1</v>
      </c>
      <c r="AC993" s="188" t="s">
        <v>208</v>
      </c>
      <c r="AD993" s="637" t="s">
        <v>209</v>
      </c>
      <c r="AE993" s="638">
        <f t="shared" ref="AE993:BK993" si="328">(AE992/AE994)/12*1000</f>
        <v>79717.193007525944</v>
      </c>
      <c r="AF993" s="191">
        <f t="shared" si="328"/>
        <v>74870.781367638891</v>
      </c>
      <c r="AG993" s="639">
        <f t="shared" si="328"/>
        <v>93630.192006789192</v>
      </c>
      <c r="AH993" s="640" t="e">
        <f t="shared" si="328"/>
        <v>#DIV/0!</v>
      </c>
      <c r="AI993" s="191">
        <f t="shared" si="328"/>
        <v>11750.833333333332</v>
      </c>
      <c r="AJ993" s="192" t="e">
        <f t="shared" si="328"/>
        <v>#DIV/0!</v>
      </c>
      <c r="AK993" s="640">
        <f t="shared" si="328"/>
        <v>48214.430894308949</v>
      </c>
      <c r="AL993" s="191">
        <f t="shared" si="328"/>
        <v>50413.604549431322</v>
      </c>
      <c r="AM993" s="192">
        <f t="shared" si="328"/>
        <v>52267.592592592591</v>
      </c>
      <c r="AN993" s="640">
        <f t="shared" si="328"/>
        <v>55668.276972624815</v>
      </c>
      <c r="AO993" s="191">
        <f t="shared" si="328"/>
        <v>40483.026874115989</v>
      </c>
      <c r="AP993" s="192">
        <f t="shared" si="328"/>
        <v>51885.905349794237</v>
      </c>
      <c r="AQ993" s="640">
        <f t="shared" si="328"/>
        <v>67047.455688965129</v>
      </c>
      <c r="AR993" s="191">
        <f t="shared" si="328"/>
        <v>43337.691082802543</v>
      </c>
      <c r="AS993" s="192">
        <f t="shared" si="328"/>
        <v>52064.344262295075</v>
      </c>
      <c r="AT993" s="640">
        <f t="shared" si="328"/>
        <v>48031.855015330715</v>
      </c>
      <c r="AU993" s="191">
        <f t="shared" si="328"/>
        <v>48837.426532325771</v>
      </c>
      <c r="AV993" s="192">
        <f t="shared" si="328"/>
        <v>51989.694196428565</v>
      </c>
      <c r="AW993" s="640" t="e">
        <f t="shared" si="328"/>
        <v>#DIV/0!</v>
      </c>
      <c r="AX993" s="191">
        <f t="shared" si="328"/>
        <v>43439.726832641776</v>
      </c>
      <c r="AY993" s="192">
        <f t="shared" si="328"/>
        <v>49860.619047619053</v>
      </c>
      <c r="AZ993" s="640">
        <f t="shared" si="328"/>
        <v>63038.546875</v>
      </c>
      <c r="BA993" s="191">
        <f t="shared" si="328"/>
        <v>51608.664169787764</v>
      </c>
      <c r="BB993" s="192">
        <f t="shared" si="328"/>
        <v>52131.927169759532</v>
      </c>
      <c r="BC993" s="640" t="e">
        <f t="shared" si="328"/>
        <v>#DIV/0!</v>
      </c>
      <c r="BD993" s="191" t="e">
        <f t="shared" si="328"/>
        <v>#DIV/0!</v>
      </c>
      <c r="BE993" s="192" t="e">
        <f t="shared" si="328"/>
        <v>#DIV/0!</v>
      </c>
      <c r="BF993" s="640" t="e">
        <f t="shared" si="328"/>
        <v>#DIV/0!</v>
      </c>
      <c r="BG993" s="191" t="e">
        <f t="shared" si="328"/>
        <v>#DIV/0!</v>
      </c>
      <c r="BH993" s="192">
        <f t="shared" si="328"/>
        <v>74446.666666666672</v>
      </c>
      <c r="BI993" s="190" t="e">
        <f t="shared" si="328"/>
        <v>#DIV/0!</v>
      </c>
      <c r="BJ993" s="191" t="e">
        <f t="shared" si="328"/>
        <v>#DIV/0!</v>
      </c>
      <c r="BK993" s="192">
        <f t="shared" si="328"/>
        <v>43048</v>
      </c>
      <c r="BL993" s="111"/>
      <c r="BM993" s="100"/>
      <c r="BN993" s="112">
        <f>(BN992/BN994)/12*1000</f>
        <v>74830.464375184209</v>
      </c>
      <c r="BO993" s="113">
        <f>(BO992/BO994)/12*1000</f>
        <v>65142.278134814165</v>
      </c>
      <c r="BP993" s="114">
        <f>(BP992/BP994)/12*1000</f>
        <v>80039.001278584066</v>
      </c>
    </row>
    <row r="994" spans="1:68" s="115" customFormat="1" ht="18" customHeight="1" outlineLevel="5" x14ac:dyDescent="0.25">
      <c r="A994" s="100"/>
      <c r="B994" s="100"/>
      <c r="C994" s="99" t="s">
        <v>210</v>
      </c>
      <c r="D994" s="99" t="s">
        <v>211</v>
      </c>
      <c r="E994" s="99" t="s">
        <v>73</v>
      </c>
      <c r="F994" s="99" t="s">
        <v>74</v>
      </c>
      <c r="G994" s="99" t="s">
        <v>73</v>
      </c>
      <c r="H994" s="99" t="s">
        <v>340</v>
      </c>
      <c r="I994" s="99" t="s">
        <v>73</v>
      </c>
      <c r="J994" s="99" t="s">
        <v>73</v>
      </c>
      <c r="K994" s="102" t="s">
        <v>73</v>
      </c>
      <c r="L994" s="99" t="s">
        <v>192</v>
      </c>
      <c r="M994" s="100" t="str">
        <f t="array" ref="M994">Y806</f>
        <v>1ХВС::1.1</v>
      </c>
      <c r="N994" s="100"/>
      <c r="O994" s="100"/>
      <c r="P994" s="100"/>
      <c r="Q994" s="100"/>
      <c r="R994" s="100"/>
      <c r="S994" s="100"/>
      <c r="T994" s="100"/>
      <c r="U994" s="100"/>
      <c r="V994" s="100"/>
      <c r="W994" s="100"/>
      <c r="X994" s="100"/>
      <c r="Y994" s="100"/>
      <c r="Z994" s="100"/>
      <c r="AA994" s="100"/>
      <c r="AB994" s="103" t="str">
        <f>AB992&amp;".2"</f>
        <v>3.1.1.3.2.1.2</v>
      </c>
      <c r="AC994" s="188" t="s">
        <v>212</v>
      </c>
      <c r="AD994" s="637" t="s">
        <v>213</v>
      </c>
      <c r="AE994" s="638">
        <f t="shared" ref="AE994:BK994" si="329">AE270+AE616</f>
        <v>139.96</v>
      </c>
      <c r="AF994" s="191">
        <f t="shared" si="329"/>
        <v>101.83</v>
      </c>
      <c r="AG994" s="639">
        <f t="shared" si="329"/>
        <v>125.69</v>
      </c>
      <c r="AH994" s="656">
        <f t="shared" si="329"/>
        <v>0</v>
      </c>
      <c r="AI994" s="191">
        <f t="shared" si="329"/>
        <v>1</v>
      </c>
      <c r="AJ994" s="639">
        <f t="shared" si="329"/>
        <v>0</v>
      </c>
      <c r="AK994" s="638">
        <f t="shared" si="329"/>
        <v>3.28</v>
      </c>
      <c r="AL994" s="191">
        <f t="shared" si="329"/>
        <v>3.81</v>
      </c>
      <c r="AM994" s="639">
        <f t="shared" si="329"/>
        <v>3.6</v>
      </c>
      <c r="AN994" s="638">
        <f t="shared" si="329"/>
        <v>8.2799999999999994</v>
      </c>
      <c r="AO994" s="191">
        <f t="shared" si="329"/>
        <v>7.0699999999999994</v>
      </c>
      <c r="AP994" s="639">
        <f t="shared" si="329"/>
        <v>8.1</v>
      </c>
      <c r="AQ994" s="638">
        <f t="shared" si="329"/>
        <v>5.83</v>
      </c>
      <c r="AR994" s="191">
        <f t="shared" si="329"/>
        <v>1.5699999999999998</v>
      </c>
      <c r="AS994" s="639">
        <f t="shared" si="329"/>
        <v>6.1000000000000005</v>
      </c>
      <c r="AT994" s="638">
        <f t="shared" si="329"/>
        <v>7.6099999999999994</v>
      </c>
      <c r="AU994" s="191">
        <f t="shared" si="329"/>
        <v>15.879999999999999</v>
      </c>
      <c r="AV994" s="639">
        <f t="shared" si="329"/>
        <v>11.2</v>
      </c>
      <c r="AW994" s="638">
        <f t="shared" si="329"/>
        <v>0</v>
      </c>
      <c r="AX994" s="191">
        <f t="shared" si="329"/>
        <v>2.41</v>
      </c>
      <c r="AY994" s="639">
        <f t="shared" si="329"/>
        <v>3.5</v>
      </c>
      <c r="AZ994" s="638">
        <f t="shared" si="329"/>
        <v>16</v>
      </c>
      <c r="BA994" s="191">
        <f t="shared" si="329"/>
        <v>26.7</v>
      </c>
      <c r="BB994" s="639">
        <f t="shared" si="329"/>
        <v>22.8</v>
      </c>
      <c r="BC994" s="638">
        <f t="shared" si="329"/>
        <v>0</v>
      </c>
      <c r="BD994" s="191">
        <f t="shared" si="329"/>
        <v>0</v>
      </c>
      <c r="BE994" s="639">
        <f t="shared" si="329"/>
        <v>0</v>
      </c>
      <c r="BF994" s="638">
        <f t="shared" si="329"/>
        <v>0</v>
      </c>
      <c r="BG994" s="191">
        <f t="shared" si="329"/>
        <v>0</v>
      </c>
      <c r="BH994" s="639">
        <f t="shared" si="329"/>
        <v>1</v>
      </c>
      <c r="BI994" s="638">
        <f t="shared" si="329"/>
        <v>0</v>
      </c>
      <c r="BJ994" s="191">
        <f t="shared" si="329"/>
        <v>0</v>
      </c>
      <c r="BK994" s="639">
        <f t="shared" si="329"/>
        <v>4</v>
      </c>
      <c r="BL994" s="111"/>
      <c r="BM994" s="100"/>
      <c r="BN994" s="112">
        <f t="shared" ref="BN994:BP995" si="330">AE994+AH994+AK994+AN994+AQ994+AT994+AW994+AZ994+BC994+BF994+BI994</f>
        <v>180.96000000000004</v>
      </c>
      <c r="BO994" s="113">
        <f t="shared" si="330"/>
        <v>160.26999999999998</v>
      </c>
      <c r="BP994" s="114">
        <f t="shared" si="330"/>
        <v>185.98999999999998</v>
      </c>
    </row>
    <row r="995" spans="1:68" ht="14.25" customHeight="1" outlineLevel="5" x14ac:dyDescent="0.25">
      <c r="C995" s="10" t="s">
        <v>83</v>
      </c>
      <c r="D995" s="10" t="s">
        <v>84</v>
      </c>
      <c r="E995" s="10" t="s">
        <v>73</v>
      </c>
      <c r="F995" s="10" t="s">
        <v>74</v>
      </c>
      <c r="G995" s="10" t="s">
        <v>214</v>
      </c>
      <c r="H995" s="10" t="s">
        <v>340</v>
      </c>
      <c r="I995" s="10" t="s">
        <v>73</v>
      </c>
      <c r="J995" s="10" t="s">
        <v>73</v>
      </c>
      <c r="K995" s="12" t="s">
        <v>73</v>
      </c>
      <c r="L995" s="10" t="s">
        <v>192</v>
      </c>
      <c r="M995" s="5" t="str">
        <f t="array" ref="M995">Y806</f>
        <v>1ХВС::1.1</v>
      </c>
      <c r="AB995" s="29" t="str">
        <f>AB991&amp;".2"</f>
        <v>3.1.1.3.2.2</v>
      </c>
      <c r="AC995" s="177" t="s">
        <v>343</v>
      </c>
      <c r="AD995" s="370" t="s">
        <v>111</v>
      </c>
      <c r="AE995" s="175">
        <f t="shared" ref="AE995:BK995" si="331">AE271+AE617</f>
        <v>40433.759999999995</v>
      </c>
      <c r="AF995" s="73">
        <f t="shared" si="331"/>
        <v>27629.9</v>
      </c>
      <c r="AG995" s="176">
        <f t="shared" si="331"/>
        <v>42648.6</v>
      </c>
      <c r="AH995" s="443">
        <f t="shared" si="331"/>
        <v>0</v>
      </c>
      <c r="AI995" s="73">
        <f t="shared" si="331"/>
        <v>42.59</v>
      </c>
      <c r="AJ995" s="176">
        <f t="shared" si="331"/>
        <v>0</v>
      </c>
      <c r="AK995" s="175">
        <f t="shared" si="331"/>
        <v>573.11</v>
      </c>
      <c r="AL995" s="73">
        <f t="shared" si="331"/>
        <v>696.08</v>
      </c>
      <c r="AM995" s="176">
        <f t="shared" si="331"/>
        <v>681.9</v>
      </c>
      <c r="AN995" s="175">
        <f t="shared" si="331"/>
        <v>1670.42</v>
      </c>
      <c r="AO995" s="73">
        <f t="shared" si="331"/>
        <v>1037.2439999999999</v>
      </c>
      <c r="AP995" s="176">
        <f t="shared" si="331"/>
        <v>1523.08</v>
      </c>
      <c r="AQ995" s="175">
        <f t="shared" si="331"/>
        <v>1416.57</v>
      </c>
      <c r="AR995" s="73">
        <f t="shared" si="331"/>
        <v>246.57</v>
      </c>
      <c r="AS995" s="176">
        <f t="shared" si="331"/>
        <v>1150.95</v>
      </c>
      <c r="AT995" s="175">
        <f t="shared" si="331"/>
        <v>1324.6599999999999</v>
      </c>
      <c r="AU995" s="73">
        <f t="shared" si="331"/>
        <v>2810.55</v>
      </c>
      <c r="AV995" s="176">
        <f t="shared" si="331"/>
        <v>2110.1999999999998</v>
      </c>
      <c r="AW995" s="175">
        <f t="shared" si="331"/>
        <v>0</v>
      </c>
      <c r="AX995" s="73">
        <f t="shared" si="331"/>
        <v>379.37880380000001</v>
      </c>
      <c r="AY995" s="176">
        <f t="shared" si="331"/>
        <v>632.43209200000001</v>
      </c>
      <c r="AZ995" s="175">
        <f t="shared" si="331"/>
        <v>3655.2271019999998</v>
      </c>
      <c r="BA995" s="73">
        <f t="shared" si="331"/>
        <v>4993.695631999999</v>
      </c>
      <c r="BB995" s="176">
        <f t="shared" si="331"/>
        <v>4307.515172641155</v>
      </c>
      <c r="BC995" s="175">
        <f t="shared" si="331"/>
        <v>0</v>
      </c>
      <c r="BD995" s="73">
        <f t="shared" si="331"/>
        <v>0</v>
      </c>
      <c r="BE995" s="176">
        <f t="shared" si="331"/>
        <v>0</v>
      </c>
      <c r="BF995" s="175">
        <f t="shared" si="331"/>
        <v>0</v>
      </c>
      <c r="BG995" s="73">
        <f t="shared" si="331"/>
        <v>0</v>
      </c>
      <c r="BH995" s="176">
        <f t="shared" si="331"/>
        <v>269.79736000000003</v>
      </c>
      <c r="BI995" s="175">
        <f t="shared" si="331"/>
        <v>0</v>
      </c>
      <c r="BJ995" s="73">
        <f t="shared" si="331"/>
        <v>0</v>
      </c>
      <c r="BK995" s="176">
        <f t="shared" si="331"/>
        <v>624.02486799999997</v>
      </c>
      <c r="BN995" s="125">
        <f t="shared" si="330"/>
        <v>49073.747101999987</v>
      </c>
      <c r="BO995" s="126">
        <f t="shared" si="330"/>
        <v>37836.008435800002</v>
      </c>
      <c r="BP995" s="127">
        <f t="shared" si="330"/>
        <v>53948.499492641153</v>
      </c>
    </row>
    <row r="996" spans="1:68" ht="14.25" customHeight="1" outlineLevel="5" x14ac:dyDescent="0.25">
      <c r="C996" s="10" t="s">
        <v>216</v>
      </c>
      <c r="D996" s="10" t="s">
        <v>217</v>
      </c>
      <c r="E996" s="10" t="s">
        <v>73</v>
      </c>
      <c r="F996" s="10" t="s">
        <v>74</v>
      </c>
      <c r="G996" s="10" t="s">
        <v>73</v>
      </c>
      <c r="H996" s="10" t="s">
        <v>340</v>
      </c>
      <c r="I996" s="10" t="s">
        <v>73</v>
      </c>
      <c r="J996" s="10" t="s">
        <v>73</v>
      </c>
      <c r="K996" s="12" t="s">
        <v>73</v>
      </c>
      <c r="L996" s="10" t="s">
        <v>192</v>
      </c>
      <c r="M996" s="5" t="str">
        <f t="array" ref="M996">Y806</f>
        <v>1ХВС::1.1</v>
      </c>
      <c r="AB996" s="29" t="str">
        <f>AB995&amp;".1"</f>
        <v>3.1.1.3.2.2.1</v>
      </c>
      <c r="AC996" s="208" t="s">
        <v>218</v>
      </c>
      <c r="AD996" s="370" t="s">
        <v>119</v>
      </c>
      <c r="AE996" s="175">
        <v>30.2</v>
      </c>
      <c r="AF996" s="73">
        <v>31.2</v>
      </c>
      <c r="AG996" s="176">
        <v>32.200000000000003</v>
      </c>
      <c r="AH996" s="179">
        <v>30.2</v>
      </c>
      <c r="AI996" s="73">
        <v>30.2</v>
      </c>
      <c r="AJ996" s="74">
        <v>30.2</v>
      </c>
      <c r="AK996" s="179">
        <v>30.2</v>
      </c>
      <c r="AL996" s="73">
        <v>30.2</v>
      </c>
      <c r="AM996" s="74">
        <v>30.2</v>
      </c>
      <c r="AN996" s="179">
        <v>30.2</v>
      </c>
      <c r="AO996" s="73">
        <v>30.2</v>
      </c>
      <c r="AP996" s="74">
        <v>30.2</v>
      </c>
      <c r="AQ996" s="179">
        <v>30.2</v>
      </c>
      <c r="AR996" s="73">
        <v>30.2</v>
      </c>
      <c r="AS996" s="74">
        <v>30.2</v>
      </c>
      <c r="AT996" s="179">
        <v>30.2</v>
      </c>
      <c r="AU996" s="73">
        <v>30.2</v>
      </c>
      <c r="AV996" s="74">
        <v>30.2</v>
      </c>
      <c r="AW996" s="179">
        <v>30.2</v>
      </c>
      <c r="AX996" s="73">
        <v>30.2</v>
      </c>
      <c r="AY996" s="74">
        <v>30.2</v>
      </c>
      <c r="AZ996" s="179">
        <v>30.2</v>
      </c>
      <c r="BA996" s="73">
        <v>30.2</v>
      </c>
      <c r="BB996" s="74">
        <v>30.2</v>
      </c>
      <c r="BC996" s="179">
        <v>30.2</v>
      </c>
      <c r="BD996" s="73">
        <v>30.2</v>
      </c>
      <c r="BE996" s="74">
        <v>30.2</v>
      </c>
      <c r="BF996" s="179">
        <v>30.2</v>
      </c>
      <c r="BG996" s="73">
        <v>30.2</v>
      </c>
      <c r="BH996" s="74">
        <v>30.2</v>
      </c>
      <c r="BI996" s="72">
        <v>30.2</v>
      </c>
      <c r="BJ996" s="73">
        <v>30.2</v>
      </c>
      <c r="BK996" s="74">
        <v>30.2</v>
      </c>
      <c r="BN996" s="125">
        <v>30.2</v>
      </c>
      <c r="BO996" s="126">
        <v>30.2</v>
      </c>
      <c r="BP996" s="127">
        <v>30.2</v>
      </c>
    </row>
    <row r="997" spans="1:68" ht="28.5" hidden="1" customHeight="1" outlineLevel="4" x14ac:dyDescent="0.25">
      <c r="C997" s="10" t="s">
        <v>83</v>
      </c>
      <c r="D997" s="10" t="s">
        <v>84</v>
      </c>
      <c r="E997" s="10" t="s">
        <v>73</v>
      </c>
      <c r="F997" s="10" t="s">
        <v>74</v>
      </c>
      <c r="G997" s="10" t="s">
        <v>344</v>
      </c>
      <c r="H997" s="10" t="s">
        <v>73</v>
      </c>
      <c r="I997" s="10" t="s">
        <v>73</v>
      </c>
      <c r="J997" s="10" t="s">
        <v>73</v>
      </c>
      <c r="K997" s="12" t="s">
        <v>73</v>
      </c>
      <c r="L997" s="10" t="s">
        <v>192</v>
      </c>
      <c r="M997" s="5" t="str">
        <f t="array" ref="M997">Y806</f>
        <v>1ХВС::1.1</v>
      </c>
      <c r="AB997" s="65" t="str">
        <f>AB982&amp;".3"</f>
        <v>3.1.1.3.3</v>
      </c>
      <c r="AC997" s="174" t="s">
        <v>344</v>
      </c>
      <c r="AD997" s="370" t="s">
        <v>111</v>
      </c>
      <c r="AE997" s="175"/>
      <c r="AF997" s="73"/>
      <c r="AG997" s="176"/>
      <c r="AH997" s="179"/>
      <c r="AI997" s="178"/>
      <c r="AJ997" s="96"/>
      <c r="AK997" s="179"/>
      <c r="AL997" s="178"/>
      <c r="AM997" s="96"/>
      <c r="AN997" s="179"/>
      <c r="AO997" s="178"/>
      <c r="AP997" s="96"/>
      <c r="AQ997" s="179"/>
      <c r="AR997" s="178"/>
      <c r="AS997" s="96"/>
      <c r="AT997" s="179"/>
      <c r="AU997" s="178"/>
      <c r="AV997" s="96"/>
      <c r="AW997" s="179"/>
      <c r="AX997" s="178"/>
      <c r="AY997" s="96"/>
      <c r="AZ997" s="179"/>
      <c r="BA997" s="178"/>
      <c r="BB997" s="96"/>
      <c r="BC997" s="179"/>
      <c r="BD997" s="178"/>
      <c r="BE997" s="96"/>
      <c r="BF997" s="179"/>
      <c r="BG997" s="178"/>
      <c r="BH997" s="96"/>
      <c r="BI997" s="72"/>
      <c r="BJ997" s="178"/>
      <c r="BK997" s="96"/>
      <c r="BN997" s="125">
        <f t="shared" ref="BN997:BN1036" si="332">AE997+AH997+AK997+AN997+AQ997+AT997+AW997+AZ997+BC997+BF997+BI997</f>
        <v>0</v>
      </c>
      <c r="BO997" s="126">
        <f t="shared" ref="BO997:BO1036" si="333">AF997+AI997+AL997+AO997+AR997+AU997+AX997+BA997+BD997+BG997+BJ997</f>
        <v>0</v>
      </c>
      <c r="BP997" s="127">
        <f t="shared" ref="BP997:BP1036" si="334">AG997+AJ997+AM997+AP997+AS997+AV997+AY997+BB997+BE997+BH997+BK997</f>
        <v>0</v>
      </c>
    </row>
    <row r="998" spans="1:68" ht="14.25" customHeight="1" outlineLevel="4" x14ac:dyDescent="0.25">
      <c r="C998" s="10" t="s">
        <v>83</v>
      </c>
      <c r="D998" s="10" t="s">
        <v>84</v>
      </c>
      <c r="E998" s="10" t="s">
        <v>73</v>
      </c>
      <c r="F998" s="10" t="s">
        <v>74</v>
      </c>
      <c r="G998" s="10" t="s">
        <v>345</v>
      </c>
      <c r="H998" s="10" t="s">
        <v>73</v>
      </c>
      <c r="I998" s="10" t="s">
        <v>73</v>
      </c>
      <c r="J998" s="10" t="s">
        <v>73</v>
      </c>
      <c r="K998" s="12" t="s">
        <v>73</v>
      </c>
      <c r="L998" s="10" t="s">
        <v>192</v>
      </c>
      <c r="M998" s="5" t="str">
        <f t="array" ref="M998">Y806</f>
        <v>1ХВС::1.1</v>
      </c>
      <c r="AB998" s="65" t="str">
        <f>AB982&amp;".4"</f>
        <v>3.1.1.3.4</v>
      </c>
      <c r="AC998" s="174" t="s">
        <v>346</v>
      </c>
      <c r="AD998" s="370" t="s">
        <v>111</v>
      </c>
      <c r="AE998" s="175">
        <f t="shared" ref="AE998:BK998" si="335">AE274+AE620</f>
        <v>1308.53</v>
      </c>
      <c r="AF998" s="73">
        <f t="shared" si="335"/>
        <v>774.88</v>
      </c>
      <c r="AG998" s="176">
        <f t="shared" si="335"/>
        <v>827.17</v>
      </c>
      <c r="AH998" s="443">
        <f t="shared" si="335"/>
        <v>0</v>
      </c>
      <c r="AI998" s="73">
        <f t="shared" si="335"/>
        <v>0</v>
      </c>
      <c r="AJ998" s="176">
        <f t="shared" si="335"/>
        <v>0</v>
      </c>
      <c r="AK998" s="175">
        <f t="shared" si="335"/>
        <v>0</v>
      </c>
      <c r="AL998" s="73">
        <f t="shared" si="335"/>
        <v>10.8</v>
      </c>
      <c r="AM998" s="176">
        <f t="shared" si="335"/>
        <v>0</v>
      </c>
      <c r="AN998" s="175">
        <f t="shared" si="335"/>
        <v>0</v>
      </c>
      <c r="AO998" s="73">
        <f t="shared" si="335"/>
        <v>0</v>
      </c>
      <c r="AP998" s="176">
        <f t="shared" si="335"/>
        <v>0</v>
      </c>
      <c r="AQ998" s="175">
        <f t="shared" si="335"/>
        <v>0</v>
      </c>
      <c r="AR998" s="73">
        <f t="shared" si="335"/>
        <v>0</v>
      </c>
      <c r="AS998" s="176">
        <f t="shared" si="335"/>
        <v>0</v>
      </c>
      <c r="AT998" s="175">
        <f t="shared" si="335"/>
        <v>0</v>
      </c>
      <c r="AU998" s="73">
        <f t="shared" si="335"/>
        <v>0</v>
      </c>
      <c r="AV998" s="176">
        <f t="shared" si="335"/>
        <v>0</v>
      </c>
      <c r="AW998" s="175">
        <f t="shared" si="335"/>
        <v>0</v>
      </c>
      <c r="AX998" s="73">
        <f t="shared" si="335"/>
        <v>0</v>
      </c>
      <c r="AY998" s="176">
        <f t="shared" si="335"/>
        <v>0</v>
      </c>
      <c r="AZ998" s="175">
        <f t="shared" si="335"/>
        <v>0</v>
      </c>
      <c r="BA998" s="73">
        <f t="shared" si="335"/>
        <v>0</v>
      </c>
      <c r="BB998" s="176">
        <f t="shared" si="335"/>
        <v>0</v>
      </c>
      <c r="BC998" s="175">
        <f t="shared" si="335"/>
        <v>0</v>
      </c>
      <c r="BD998" s="73">
        <f t="shared" si="335"/>
        <v>0</v>
      </c>
      <c r="BE998" s="176">
        <f t="shared" si="335"/>
        <v>0</v>
      </c>
      <c r="BF998" s="175">
        <f t="shared" si="335"/>
        <v>0</v>
      </c>
      <c r="BG998" s="73">
        <f t="shared" si="335"/>
        <v>0</v>
      </c>
      <c r="BH998" s="176">
        <f t="shared" si="335"/>
        <v>0</v>
      </c>
      <c r="BI998" s="175">
        <f t="shared" si="335"/>
        <v>0</v>
      </c>
      <c r="BJ998" s="73">
        <f t="shared" si="335"/>
        <v>0</v>
      </c>
      <c r="BK998" s="176">
        <f t="shared" si="335"/>
        <v>0</v>
      </c>
      <c r="BN998" s="125">
        <f t="shared" si="332"/>
        <v>1308.53</v>
      </c>
      <c r="BO998" s="126">
        <f t="shared" si="333"/>
        <v>785.68</v>
      </c>
      <c r="BP998" s="127">
        <f t="shared" si="334"/>
        <v>827.17</v>
      </c>
    </row>
    <row r="999" spans="1:68" ht="14.25" customHeight="1" outlineLevel="4" x14ac:dyDescent="0.25">
      <c r="C999" s="10" t="s">
        <v>83</v>
      </c>
      <c r="D999" s="10" t="s">
        <v>84</v>
      </c>
      <c r="E999" s="10" t="s">
        <v>73</v>
      </c>
      <c r="F999" s="10" t="s">
        <v>74</v>
      </c>
      <c r="G999" s="10" t="s">
        <v>347</v>
      </c>
      <c r="H999" s="10" t="s">
        <v>73</v>
      </c>
      <c r="I999" s="10" t="s">
        <v>73</v>
      </c>
      <c r="J999" s="10" t="s">
        <v>73</v>
      </c>
      <c r="K999" s="12" t="s">
        <v>73</v>
      </c>
      <c r="L999" s="10" t="s">
        <v>192</v>
      </c>
      <c r="M999" s="5" t="str">
        <f t="array" ref="M999">Y806</f>
        <v>1ХВС::1.1</v>
      </c>
      <c r="AB999" s="65" t="str">
        <f>AB982&amp;".5"</f>
        <v>3.1.1.3.5</v>
      </c>
      <c r="AC999" s="174" t="s">
        <v>348</v>
      </c>
      <c r="AD999" s="370" t="s">
        <v>111</v>
      </c>
      <c r="AE999" s="175">
        <f t="shared" ref="AE999:BK999" si="336">AE275+AE621</f>
        <v>801.42</v>
      </c>
      <c r="AF999" s="73">
        <f t="shared" si="336"/>
        <v>443.28</v>
      </c>
      <c r="AG999" s="176">
        <f t="shared" si="336"/>
        <v>1209.3999999999999</v>
      </c>
      <c r="AH999" s="443">
        <f t="shared" si="336"/>
        <v>0</v>
      </c>
      <c r="AI999" s="73">
        <f t="shared" si="336"/>
        <v>0</v>
      </c>
      <c r="AJ999" s="176">
        <f t="shared" si="336"/>
        <v>0</v>
      </c>
      <c r="AK999" s="175">
        <f t="shared" si="336"/>
        <v>7.25</v>
      </c>
      <c r="AL999" s="73">
        <f t="shared" si="336"/>
        <v>27</v>
      </c>
      <c r="AM999" s="176">
        <f t="shared" si="336"/>
        <v>14.54</v>
      </c>
      <c r="AN999" s="175">
        <f t="shared" si="336"/>
        <v>30.1</v>
      </c>
      <c r="AO999" s="73">
        <f t="shared" si="336"/>
        <v>4.22</v>
      </c>
      <c r="AP999" s="176">
        <f t="shared" si="336"/>
        <v>26.04</v>
      </c>
      <c r="AQ999" s="175">
        <f t="shared" si="336"/>
        <v>26</v>
      </c>
      <c r="AR999" s="73">
        <f t="shared" si="336"/>
        <v>0</v>
      </c>
      <c r="AS999" s="176">
        <f t="shared" si="336"/>
        <v>14.11</v>
      </c>
      <c r="AT999" s="175">
        <f t="shared" si="336"/>
        <v>75.7</v>
      </c>
      <c r="AU999" s="73">
        <f t="shared" si="336"/>
        <v>0</v>
      </c>
      <c r="AV999" s="176">
        <f t="shared" si="336"/>
        <v>45.98</v>
      </c>
      <c r="AW999" s="175">
        <f t="shared" si="336"/>
        <v>45.7</v>
      </c>
      <c r="AX999" s="73">
        <f t="shared" si="336"/>
        <v>0</v>
      </c>
      <c r="AY999" s="176">
        <f t="shared" si="336"/>
        <v>21.509999999999998</v>
      </c>
      <c r="AZ999" s="175">
        <f t="shared" si="336"/>
        <v>59.22</v>
      </c>
      <c r="BA999" s="73">
        <f t="shared" si="336"/>
        <v>31.4</v>
      </c>
      <c r="BB999" s="176">
        <f t="shared" si="336"/>
        <v>24.763999999999999</v>
      </c>
      <c r="BC999" s="175">
        <f t="shared" si="336"/>
        <v>129.24</v>
      </c>
      <c r="BD999" s="73">
        <f t="shared" si="336"/>
        <v>2.35</v>
      </c>
      <c r="BE999" s="176">
        <f t="shared" si="336"/>
        <v>105.59</v>
      </c>
      <c r="BF999" s="175">
        <f t="shared" si="336"/>
        <v>13</v>
      </c>
      <c r="BG999" s="73">
        <f t="shared" si="336"/>
        <v>0</v>
      </c>
      <c r="BH999" s="176">
        <f t="shared" si="336"/>
        <v>6.0600000000000005</v>
      </c>
      <c r="BI999" s="175">
        <f t="shared" si="336"/>
        <v>10.795</v>
      </c>
      <c r="BJ999" s="73">
        <f t="shared" si="336"/>
        <v>11.49</v>
      </c>
      <c r="BK999" s="176">
        <f t="shared" si="336"/>
        <v>8.1999999999999993</v>
      </c>
      <c r="BN999" s="125">
        <f t="shared" si="332"/>
        <v>1198.4250000000002</v>
      </c>
      <c r="BO999" s="126">
        <f t="shared" si="333"/>
        <v>519.74</v>
      </c>
      <c r="BP999" s="127">
        <f t="shared" si="334"/>
        <v>1476.1939999999995</v>
      </c>
    </row>
    <row r="1000" spans="1:68" ht="14.25" hidden="1" customHeight="1" outlineLevel="4" x14ac:dyDescent="0.25">
      <c r="C1000" s="10" t="s">
        <v>83</v>
      </c>
      <c r="D1000" s="10" t="s">
        <v>84</v>
      </c>
      <c r="E1000" s="10" t="s">
        <v>73</v>
      </c>
      <c r="F1000" s="10" t="s">
        <v>74</v>
      </c>
      <c r="G1000" s="10" t="s">
        <v>349</v>
      </c>
      <c r="H1000" s="10" t="s">
        <v>73</v>
      </c>
      <c r="I1000" s="10" t="s">
        <v>73</v>
      </c>
      <c r="J1000" s="10" t="s">
        <v>73</v>
      </c>
      <c r="K1000" s="12" t="s">
        <v>73</v>
      </c>
      <c r="L1000" s="10" t="s">
        <v>192</v>
      </c>
      <c r="M1000" s="5" t="str">
        <f t="array" ref="M1000">Y806</f>
        <v>1ХВС::1.1</v>
      </c>
      <c r="AB1000" s="65" t="str">
        <f>AB982&amp;".6"</f>
        <v>3.1.1.3.6</v>
      </c>
      <c r="AC1000" s="174" t="s">
        <v>350</v>
      </c>
      <c r="AD1000" s="370" t="s">
        <v>111</v>
      </c>
      <c r="AE1000" s="175"/>
      <c r="AF1000" s="73"/>
      <c r="AG1000" s="176"/>
      <c r="AH1000" s="179"/>
      <c r="AI1000" s="178"/>
      <c r="AJ1000" s="96"/>
      <c r="AK1000" s="179"/>
      <c r="AL1000" s="178"/>
      <c r="AM1000" s="96"/>
      <c r="AN1000" s="179"/>
      <c r="AO1000" s="178"/>
      <c r="AP1000" s="96"/>
      <c r="AQ1000" s="179"/>
      <c r="AR1000" s="178"/>
      <c r="AS1000" s="96"/>
      <c r="AT1000" s="179"/>
      <c r="AU1000" s="178"/>
      <c r="AV1000" s="96"/>
      <c r="AW1000" s="179"/>
      <c r="AX1000" s="178"/>
      <c r="AY1000" s="96"/>
      <c r="AZ1000" s="179"/>
      <c r="BA1000" s="178"/>
      <c r="BB1000" s="96"/>
      <c r="BC1000" s="179"/>
      <c r="BD1000" s="178"/>
      <c r="BE1000" s="96"/>
      <c r="BF1000" s="179"/>
      <c r="BG1000" s="178"/>
      <c r="BH1000" s="96"/>
      <c r="BI1000" s="72"/>
      <c r="BJ1000" s="178"/>
      <c r="BK1000" s="96"/>
      <c r="BN1000" s="125">
        <f t="shared" si="332"/>
        <v>0</v>
      </c>
      <c r="BO1000" s="126">
        <f t="shared" si="333"/>
        <v>0</v>
      </c>
      <c r="BP1000" s="127">
        <f t="shared" si="334"/>
        <v>0</v>
      </c>
    </row>
    <row r="1001" spans="1:68" ht="14.25" customHeight="1" outlineLevel="4" x14ac:dyDescent="0.25">
      <c r="C1001" s="10" t="s">
        <v>83</v>
      </c>
      <c r="D1001" s="10" t="s">
        <v>84</v>
      </c>
      <c r="E1001" s="10" t="s">
        <v>73</v>
      </c>
      <c r="F1001" s="10" t="s">
        <v>74</v>
      </c>
      <c r="G1001" s="10" t="s">
        <v>351</v>
      </c>
      <c r="H1001" s="10" t="s">
        <v>73</v>
      </c>
      <c r="I1001" s="10" t="s">
        <v>73</v>
      </c>
      <c r="J1001" s="10" t="s">
        <v>73</v>
      </c>
      <c r="K1001" s="12" t="s">
        <v>73</v>
      </c>
      <c r="L1001" s="10" t="s">
        <v>192</v>
      </c>
      <c r="M1001" s="5" t="str">
        <f t="array" ref="M1001">Y806</f>
        <v>1ХВС::1.1</v>
      </c>
      <c r="AB1001" s="65" t="str">
        <f>AB982&amp;".7"</f>
        <v>3.1.1.3.7</v>
      </c>
      <c r="AC1001" s="174" t="s">
        <v>352</v>
      </c>
      <c r="AD1001" s="370" t="s">
        <v>111</v>
      </c>
      <c r="AE1001" s="175">
        <f t="shared" ref="AE1001:BK1001" si="337">AE1002+AE1003+AE1008+AE1004+AE1005+AE1006+AE1007</f>
        <v>36337.35</v>
      </c>
      <c r="AF1001" s="73">
        <f t="shared" si="337"/>
        <v>25366.95</v>
      </c>
      <c r="AG1001" s="176">
        <f t="shared" si="337"/>
        <v>27842.034</v>
      </c>
      <c r="AH1001" s="179">
        <f t="shared" si="337"/>
        <v>130.82</v>
      </c>
      <c r="AI1001" s="73">
        <f t="shared" si="337"/>
        <v>0</v>
      </c>
      <c r="AJ1001" s="74">
        <f t="shared" si="337"/>
        <v>141.416</v>
      </c>
      <c r="AK1001" s="179">
        <f t="shared" si="337"/>
        <v>205.07999999999998</v>
      </c>
      <c r="AL1001" s="73">
        <f t="shared" si="337"/>
        <v>30.240000000000002</v>
      </c>
      <c r="AM1001" s="74">
        <f t="shared" si="337"/>
        <v>1904.9999999999998</v>
      </c>
      <c r="AN1001" s="179">
        <f t="shared" si="337"/>
        <v>203.13400000000001</v>
      </c>
      <c r="AO1001" s="73">
        <f t="shared" si="337"/>
        <v>321.24</v>
      </c>
      <c r="AP1001" s="74">
        <f t="shared" si="337"/>
        <v>699.69</v>
      </c>
      <c r="AQ1001" s="179">
        <f t="shared" si="337"/>
        <v>57.819999999999993</v>
      </c>
      <c r="AR1001" s="73">
        <f t="shared" si="337"/>
        <v>11.09</v>
      </c>
      <c r="AS1001" s="74">
        <f t="shared" si="337"/>
        <v>290.14</v>
      </c>
      <c r="AT1001" s="179">
        <f t="shared" si="337"/>
        <v>247.22900000000001</v>
      </c>
      <c r="AU1001" s="73">
        <f t="shared" si="337"/>
        <v>0</v>
      </c>
      <c r="AV1001" s="74">
        <f t="shared" si="337"/>
        <v>298.09100000000001</v>
      </c>
      <c r="AW1001" s="179">
        <f t="shared" si="337"/>
        <v>308.053</v>
      </c>
      <c r="AX1001" s="73">
        <f t="shared" si="337"/>
        <v>0</v>
      </c>
      <c r="AY1001" s="74">
        <f t="shared" si="337"/>
        <v>489.69999999999993</v>
      </c>
      <c r="AZ1001" s="179">
        <f t="shared" si="337"/>
        <v>642.92500000000007</v>
      </c>
      <c r="BA1001" s="73">
        <f t="shared" si="337"/>
        <v>465.53</v>
      </c>
      <c r="BB1001" s="74">
        <f t="shared" si="337"/>
        <v>911.13199999999972</v>
      </c>
      <c r="BC1001" s="179">
        <f t="shared" si="337"/>
        <v>441.52</v>
      </c>
      <c r="BD1001" s="73">
        <f t="shared" si="337"/>
        <v>176.42000000000002</v>
      </c>
      <c r="BE1001" s="74">
        <f t="shared" si="337"/>
        <v>833.94999999999993</v>
      </c>
      <c r="BF1001" s="179">
        <f t="shared" si="337"/>
        <v>27.63</v>
      </c>
      <c r="BG1001" s="73">
        <f t="shared" si="337"/>
        <v>11.43</v>
      </c>
      <c r="BH1001" s="74">
        <f t="shared" si="337"/>
        <v>235.96000000000004</v>
      </c>
      <c r="BI1001" s="72">
        <f t="shared" si="337"/>
        <v>450.90499999999997</v>
      </c>
      <c r="BJ1001" s="73">
        <f t="shared" si="337"/>
        <v>236.11</v>
      </c>
      <c r="BK1001" s="74">
        <f t="shared" si="337"/>
        <v>663.48</v>
      </c>
      <c r="BN1001" s="125">
        <f t="shared" si="332"/>
        <v>39052.465999999993</v>
      </c>
      <c r="BO1001" s="126">
        <f t="shared" si="333"/>
        <v>26619.010000000002</v>
      </c>
      <c r="BP1001" s="127">
        <f t="shared" si="334"/>
        <v>34310.593000000001</v>
      </c>
    </row>
    <row r="1002" spans="1:68" ht="16.5" customHeight="1" outlineLevel="5" x14ac:dyDescent="0.25">
      <c r="C1002" s="10" t="s">
        <v>83</v>
      </c>
      <c r="D1002" s="10" t="s">
        <v>84</v>
      </c>
      <c r="E1002" s="10" t="s">
        <v>73</v>
      </c>
      <c r="F1002" s="10" t="s">
        <v>74</v>
      </c>
      <c r="G1002" s="10" t="s">
        <v>353</v>
      </c>
      <c r="H1002" s="10" t="s">
        <v>73</v>
      </c>
      <c r="I1002" s="10" t="s">
        <v>73</v>
      </c>
      <c r="J1002" s="10" t="s">
        <v>73</v>
      </c>
      <c r="K1002" s="12" t="s">
        <v>73</v>
      </c>
      <c r="L1002" s="10" t="s">
        <v>192</v>
      </c>
      <c r="M1002" s="5" t="str">
        <f t="array" ref="M1002">Y806</f>
        <v>1ХВС::1.1</v>
      </c>
      <c r="AB1002" s="29" t="str">
        <f>AB1001&amp;".1"</f>
        <v>3.1.1.3.7.1</v>
      </c>
      <c r="AC1002" s="177" t="s">
        <v>354</v>
      </c>
      <c r="AD1002" s="370" t="s">
        <v>111</v>
      </c>
      <c r="AE1002" s="175">
        <f t="shared" ref="AE1002:BK1002" si="338">AE278</f>
        <v>89.17</v>
      </c>
      <c r="AF1002" s="73">
        <f t="shared" si="338"/>
        <v>645.92999999999995</v>
      </c>
      <c r="AG1002" s="176">
        <f t="shared" si="338"/>
        <v>694.94</v>
      </c>
      <c r="AH1002" s="443">
        <f t="shared" si="338"/>
        <v>0</v>
      </c>
      <c r="AI1002" s="73">
        <f t="shared" si="338"/>
        <v>0</v>
      </c>
      <c r="AJ1002" s="176">
        <f t="shared" si="338"/>
        <v>0</v>
      </c>
      <c r="AK1002" s="175">
        <f t="shared" si="338"/>
        <v>0</v>
      </c>
      <c r="AL1002" s="73">
        <f t="shared" si="338"/>
        <v>0</v>
      </c>
      <c r="AM1002" s="176">
        <f t="shared" si="338"/>
        <v>0</v>
      </c>
      <c r="AN1002" s="175">
        <f t="shared" si="338"/>
        <v>0</v>
      </c>
      <c r="AO1002" s="73">
        <f t="shared" si="338"/>
        <v>0</v>
      </c>
      <c r="AP1002" s="176">
        <f t="shared" si="338"/>
        <v>0</v>
      </c>
      <c r="AQ1002" s="175">
        <f t="shared" si="338"/>
        <v>0</v>
      </c>
      <c r="AR1002" s="73">
        <f t="shared" si="338"/>
        <v>0</v>
      </c>
      <c r="AS1002" s="176">
        <f t="shared" si="338"/>
        <v>0</v>
      </c>
      <c r="AT1002" s="175">
        <f t="shared" si="338"/>
        <v>0</v>
      </c>
      <c r="AU1002" s="73">
        <f t="shared" si="338"/>
        <v>0</v>
      </c>
      <c r="AV1002" s="176">
        <f t="shared" si="338"/>
        <v>0</v>
      </c>
      <c r="AW1002" s="175">
        <f t="shared" si="338"/>
        <v>0</v>
      </c>
      <c r="AX1002" s="73">
        <f t="shared" si="338"/>
        <v>0</v>
      </c>
      <c r="AY1002" s="176">
        <f t="shared" si="338"/>
        <v>0</v>
      </c>
      <c r="AZ1002" s="175">
        <f t="shared" si="338"/>
        <v>0</v>
      </c>
      <c r="BA1002" s="73">
        <f t="shared" si="338"/>
        <v>0</v>
      </c>
      <c r="BB1002" s="176">
        <f t="shared" si="338"/>
        <v>0</v>
      </c>
      <c r="BC1002" s="175">
        <f t="shared" si="338"/>
        <v>0</v>
      </c>
      <c r="BD1002" s="73">
        <f t="shared" si="338"/>
        <v>0</v>
      </c>
      <c r="BE1002" s="176">
        <f t="shared" si="338"/>
        <v>0</v>
      </c>
      <c r="BF1002" s="175">
        <f t="shared" si="338"/>
        <v>0</v>
      </c>
      <c r="BG1002" s="73">
        <f t="shared" si="338"/>
        <v>0</v>
      </c>
      <c r="BH1002" s="176">
        <f t="shared" si="338"/>
        <v>0</v>
      </c>
      <c r="BI1002" s="175">
        <f t="shared" si="338"/>
        <v>0</v>
      </c>
      <c r="BJ1002" s="73">
        <f t="shared" si="338"/>
        <v>0</v>
      </c>
      <c r="BK1002" s="176">
        <f t="shared" si="338"/>
        <v>0</v>
      </c>
      <c r="BN1002" s="125">
        <f t="shared" si="332"/>
        <v>89.17</v>
      </c>
      <c r="BO1002" s="126">
        <f t="shared" si="333"/>
        <v>645.92999999999995</v>
      </c>
      <c r="BP1002" s="127">
        <f t="shared" si="334"/>
        <v>694.94</v>
      </c>
    </row>
    <row r="1003" spans="1:68" ht="30" customHeight="1" outlineLevel="5" x14ac:dyDescent="0.25">
      <c r="C1003" s="10" t="s">
        <v>83</v>
      </c>
      <c r="D1003" s="10" t="s">
        <v>84</v>
      </c>
      <c r="E1003" s="10" t="s">
        <v>73</v>
      </c>
      <c r="F1003" s="10" t="s">
        <v>74</v>
      </c>
      <c r="G1003" s="10" t="s">
        <v>355</v>
      </c>
      <c r="H1003" s="10" t="s">
        <v>73</v>
      </c>
      <c r="I1003" s="10" t="s">
        <v>73</v>
      </c>
      <c r="J1003" s="10" t="s">
        <v>73</v>
      </c>
      <c r="K1003" s="12" t="s">
        <v>73</v>
      </c>
      <c r="L1003" s="10" t="s">
        <v>192</v>
      </c>
      <c r="M1003" s="5" t="str">
        <f t="array" ref="M1003">Y806</f>
        <v>1ХВС::1.1</v>
      </c>
      <c r="AB1003" s="29" t="str">
        <f>AB1001&amp;".2"</f>
        <v>3.1.1.3.7.2</v>
      </c>
      <c r="AC1003" s="177" t="s">
        <v>356</v>
      </c>
      <c r="AD1003" s="370" t="s">
        <v>111</v>
      </c>
      <c r="AE1003" s="175">
        <f t="shared" ref="AE1003:BK1003" si="339">AE279</f>
        <v>61.27</v>
      </c>
      <c r="AF1003" s="73">
        <f t="shared" si="339"/>
        <v>1753.77</v>
      </c>
      <c r="AG1003" s="176">
        <f t="shared" si="339"/>
        <v>1886.82</v>
      </c>
      <c r="AH1003" s="443">
        <f t="shared" si="339"/>
        <v>0</v>
      </c>
      <c r="AI1003" s="73">
        <f t="shared" si="339"/>
        <v>0</v>
      </c>
      <c r="AJ1003" s="176">
        <f t="shared" si="339"/>
        <v>0</v>
      </c>
      <c r="AK1003" s="175">
        <f t="shared" si="339"/>
        <v>0</v>
      </c>
      <c r="AL1003" s="73">
        <f t="shared" si="339"/>
        <v>0</v>
      </c>
      <c r="AM1003" s="176">
        <f t="shared" si="339"/>
        <v>0</v>
      </c>
      <c r="AN1003" s="175">
        <f t="shared" si="339"/>
        <v>0</v>
      </c>
      <c r="AO1003" s="73">
        <f t="shared" si="339"/>
        <v>0</v>
      </c>
      <c r="AP1003" s="176">
        <f t="shared" si="339"/>
        <v>0</v>
      </c>
      <c r="AQ1003" s="175">
        <f t="shared" si="339"/>
        <v>0</v>
      </c>
      <c r="AR1003" s="73">
        <f t="shared" si="339"/>
        <v>5.57</v>
      </c>
      <c r="AS1003" s="176">
        <f t="shared" si="339"/>
        <v>0</v>
      </c>
      <c r="AT1003" s="175">
        <f t="shared" si="339"/>
        <v>0</v>
      </c>
      <c r="AU1003" s="73">
        <f t="shared" si="339"/>
        <v>0</v>
      </c>
      <c r="AV1003" s="176">
        <f t="shared" si="339"/>
        <v>0</v>
      </c>
      <c r="AW1003" s="175">
        <f t="shared" si="339"/>
        <v>0</v>
      </c>
      <c r="AX1003" s="73">
        <f t="shared" si="339"/>
        <v>0</v>
      </c>
      <c r="AY1003" s="176">
        <f t="shared" si="339"/>
        <v>0</v>
      </c>
      <c r="AZ1003" s="175">
        <f t="shared" si="339"/>
        <v>0</v>
      </c>
      <c r="BA1003" s="73">
        <f t="shared" si="339"/>
        <v>0</v>
      </c>
      <c r="BB1003" s="176">
        <f t="shared" si="339"/>
        <v>0</v>
      </c>
      <c r="BC1003" s="175">
        <f t="shared" si="339"/>
        <v>0</v>
      </c>
      <c r="BD1003" s="73">
        <f t="shared" si="339"/>
        <v>0</v>
      </c>
      <c r="BE1003" s="176">
        <f t="shared" si="339"/>
        <v>0</v>
      </c>
      <c r="BF1003" s="175">
        <f t="shared" si="339"/>
        <v>0</v>
      </c>
      <c r="BG1003" s="73">
        <f t="shared" si="339"/>
        <v>0</v>
      </c>
      <c r="BH1003" s="176">
        <f t="shared" si="339"/>
        <v>0</v>
      </c>
      <c r="BI1003" s="175">
        <f t="shared" si="339"/>
        <v>0</v>
      </c>
      <c r="BJ1003" s="73">
        <f t="shared" si="339"/>
        <v>0</v>
      </c>
      <c r="BK1003" s="176">
        <f t="shared" si="339"/>
        <v>0</v>
      </c>
      <c r="BN1003" s="125">
        <f t="shared" si="332"/>
        <v>61.27</v>
      </c>
      <c r="BO1003" s="126">
        <f t="shared" si="333"/>
        <v>1759.34</v>
      </c>
      <c r="BP1003" s="127">
        <f t="shared" si="334"/>
        <v>1886.82</v>
      </c>
    </row>
    <row r="1004" spans="1:68" ht="20.25" customHeight="1" outlineLevel="5" x14ac:dyDescent="0.25">
      <c r="C1004" s="10" t="s">
        <v>83</v>
      </c>
      <c r="D1004" s="10" t="s">
        <v>84</v>
      </c>
      <c r="E1004" s="10" t="s">
        <v>73</v>
      </c>
      <c r="F1004" s="10" t="s">
        <v>74</v>
      </c>
      <c r="G1004" s="10" t="s">
        <v>357</v>
      </c>
      <c r="H1004" s="10" t="s">
        <v>73</v>
      </c>
      <c r="I1004" s="10" t="s">
        <v>73</v>
      </c>
      <c r="J1004" s="10" t="s">
        <v>73</v>
      </c>
      <c r="K1004" s="12" t="s">
        <v>73</v>
      </c>
      <c r="L1004" s="10" t="s">
        <v>192</v>
      </c>
      <c r="M1004" s="5" t="str">
        <f t="array" ref="M1004">Y806</f>
        <v>1ХВС::1.1</v>
      </c>
      <c r="AB1004" s="29" t="str">
        <f>AB1001&amp;".3"</f>
        <v>3.1.1.3.7.3</v>
      </c>
      <c r="AC1004" s="177" t="s">
        <v>358</v>
      </c>
      <c r="AD1004" s="370" t="s">
        <v>111</v>
      </c>
      <c r="AE1004" s="175">
        <f t="shared" ref="AE1004:BK1004" si="340">AE280</f>
        <v>0</v>
      </c>
      <c r="AF1004" s="73">
        <f t="shared" si="340"/>
        <v>123.25</v>
      </c>
      <c r="AG1004" s="176">
        <f t="shared" si="340"/>
        <v>132.61000000000001</v>
      </c>
      <c r="AH1004" s="443">
        <f t="shared" si="340"/>
        <v>0</v>
      </c>
      <c r="AI1004" s="73">
        <f t="shared" si="340"/>
        <v>0</v>
      </c>
      <c r="AJ1004" s="176">
        <f t="shared" si="340"/>
        <v>0</v>
      </c>
      <c r="AK1004" s="175">
        <f t="shared" si="340"/>
        <v>0</v>
      </c>
      <c r="AL1004" s="73">
        <f t="shared" si="340"/>
        <v>0</v>
      </c>
      <c r="AM1004" s="176">
        <f t="shared" si="340"/>
        <v>0</v>
      </c>
      <c r="AN1004" s="175">
        <f t="shared" si="340"/>
        <v>0</v>
      </c>
      <c r="AO1004" s="73">
        <f t="shared" si="340"/>
        <v>0</v>
      </c>
      <c r="AP1004" s="176">
        <f t="shared" si="340"/>
        <v>0</v>
      </c>
      <c r="AQ1004" s="175">
        <f t="shared" si="340"/>
        <v>0</v>
      </c>
      <c r="AR1004" s="73">
        <f t="shared" si="340"/>
        <v>0</v>
      </c>
      <c r="AS1004" s="176">
        <f t="shared" si="340"/>
        <v>0</v>
      </c>
      <c r="AT1004" s="175">
        <f t="shared" si="340"/>
        <v>0</v>
      </c>
      <c r="AU1004" s="73">
        <f t="shared" si="340"/>
        <v>0</v>
      </c>
      <c r="AV1004" s="176">
        <f t="shared" si="340"/>
        <v>0</v>
      </c>
      <c r="AW1004" s="175">
        <f t="shared" si="340"/>
        <v>0</v>
      </c>
      <c r="AX1004" s="73">
        <f t="shared" si="340"/>
        <v>0</v>
      </c>
      <c r="AY1004" s="176">
        <f t="shared" si="340"/>
        <v>0</v>
      </c>
      <c r="AZ1004" s="175">
        <f t="shared" si="340"/>
        <v>0</v>
      </c>
      <c r="BA1004" s="73">
        <f t="shared" si="340"/>
        <v>0</v>
      </c>
      <c r="BB1004" s="176">
        <f t="shared" si="340"/>
        <v>0</v>
      </c>
      <c r="BC1004" s="175">
        <f t="shared" si="340"/>
        <v>0</v>
      </c>
      <c r="BD1004" s="73">
        <f t="shared" si="340"/>
        <v>0</v>
      </c>
      <c r="BE1004" s="176">
        <f t="shared" si="340"/>
        <v>0</v>
      </c>
      <c r="BF1004" s="175">
        <f t="shared" si="340"/>
        <v>0</v>
      </c>
      <c r="BG1004" s="73">
        <f t="shared" si="340"/>
        <v>0</v>
      </c>
      <c r="BH1004" s="176">
        <f t="shared" si="340"/>
        <v>0</v>
      </c>
      <c r="BI1004" s="175">
        <f t="shared" si="340"/>
        <v>0</v>
      </c>
      <c r="BJ1004" s="73">
        <f t="shared" si="340"/>
        <v>0</v>
      </c>
      <c r="BK1004" s="176">
        <f t="shared" si="340"/>
        <v>0</v>
      </c>
      <c r="BN1004" s="125">
        <f t="shared" si="332"/>
        <v>0</v>
      </c>
      <c r="BO1004" s="126">
        <f t="shared" si="333"/>
        <v>123.25</v>
      </c>
      <c r="BP1004" s="127">
        <f t="shared" si="334"/>
        <v>132.61000000000001</v>
      </c>
    </row>
    <row r="1005" spans="1:68" ht="14.25" hidden="1" customHeight="1" outlineLevel="5" x14ac:dyDescent="0.25">
      <c r="C1005" s="10" t="s">
        <v>83</v>
      </c>
      <c r="D1005" s="10" t="s">
        <v>84</v>
      </c>
      <c r="E1005" s="10" t="s">
        <v>73</v>
      </c>
      <c r="F1005" s="10" t="s">
        <v>74</v>
      </c>
      <c r="G1005" s="10" t="s">
        <v>359</v>
      </c>
      <c r="H1005" s="10" t="s">
        <v>73</v>
      </c>
      <c r="I1005" s="10" t="s">
        <v>73</v>
      </c>
      <c r="J1005" s="10" t="s">
        <v>73</v>
      </c>
      <c r="K1005" s="12" t="s">
        <v>73</v>
      </c>
      <c r="L1005" s="10" t="s">
        <v>192</v>
      </c>
      <c r="M1005" s="5" t="str">
        <f t="array" ref="M1005">Y806</f>
        <v>1ХВС::1.1</v>
      </c>
      <c r="AB1005" s="65" t="str">
        <f>AB1001&amp;".4"</f>
        <v>3.1.1.3.7.4</v>
      </c>
      <c r="AC1005" s="177" t="s">
        <v>360</v>
      </c>
      <c r="AD1005" s="370" t="s">
        <v>111</v>
      </c>
      <c r="AE1005" s="175"/>
      <c r="AF1005" s="73"/>
      <c r="AG1005" s="176"/>
      <c r="AH1005" s="179"/>
      <c r="AI1005" s="178"/>
      <c r="AJ1005" s="96"/>
      <c r="AK1005" s="179"/>
      <c r="AL1005" s="178"/>
      <c r="AM1005" s="96"/>
      <c r="AN1005" s="179"/>
      <c r="AO1005" s="178"/>
      <c r="AP1005" s="96"/>
      <c r="AQ1005" s="179"/>
      <c r="AR1005" s="178"/>
      <c r="AS1005" s="96"/>
      <c r="AT1005" s="179"/>
      <c r="AU1005" s="178"/>
      <c r="AV1005" s="96"/>
      <c r="AW1005" s="179"/>
      <c r="AX1005" s="178"/>
      <c r="AY1005" s="96"/>
      <c r="AZ1005" s="179"/>
      <c r="BA1005" s="178"/>
      <c r="BB1005" s="96"/>
      <c r="BC1005" s="179"/>
      <c r="BD1005" s="178"/>
      <c r="BE1005" s="96"/>
      <c r="BF1005" s="179"/>
      <c r="BG1005" s="178"/>
      <c r="BH1005" s="96"/>
      <c r="BI1005" s="72"/>
      <c r="BJ1005" s="178"/>
      <c r="BK1005" s="96"/>
      <c r="BN1005" s="125">
        <f t="shared" si="332"/>
        <v>0</v>
      </c>
      <c r="BO1005" s="126">
        <f t="shared" si="333"/>
        <v>0</v>
      </c>
      <c r="BP1005" s="127">
        <f t="shared" si="334"/>
        <v>0</v>
      </c>
    </row>
    <row r="1006" spans="1:68" ht="14.25" hidden="1" customHeight="1" outlineLevel="5" x14ac:dyDescent="0.25">
      <c r="C1006" s="10" t="s">
        <v>83</v>
      </c>
      <c r="D1006" s="10" t="s">
        <v>84</v>
      </c>
      <c r="E1006" s="10" t="s">
        <v>73</v>
      </c>
      <c r="F1006" s="10" t="s">
        <v>74</v>
      </c>
      <c r="G1006" s="10" t="s">
        <v>361</v>
      </c>
      <c r="H1006" s="10" t="s">
        <v>73</v>
      </c>
      <c r="I1006" s="10" t="s">
        <v>73</v>
      </c>
      <c r="J1006" s="10" t="s">
        <v>73</v>
      </c>
      <c r="K1006" s="12" t="s">
        <v>73</v>
      </c>
      <c r="L1006" s="10" t="s">
        <v>192</v>
      </c>
      <c r="M1006" s="5" t="str">
        <f t="array" ref="M1006">Y806</f>
        <v>1ХВС::1.1</v>
      </c>
      <c r="AB1006" s="65" t="str">
        <f>AB1001&amp;".5"</f>
        <v>3.1.1.3.7.5</v>
      </c>
      <c r="AC1006" s="177" t="s">
        <v>362</v>
      </c>
      <c r="AD1006" s="370" t="s">
        <v>111</v>
      </c>
      <c r="AE1006" s="175"/>
      <c r="AF1006" s="73"/>
      <c r="AG1006" s="176"/>
      <c r="AH1006" s="179"/>
      <c r="AI1006" s="178"/>
      <c r="AJ1006" s="96"/>
      <c r="AK1006" s="179"/>
      <c r="AL1006" s="178"/>
      <c r="AM1006" s="96"/>
      <c r="AN1006" s="179"/>
      <c r="AO1006" s="178"/>
      <c r="AP1006" s="96"/>
      <c r="AQ1006" s="179"/>
      <c r="AR1006" s="178"/>
      <c r="AS1006" s="96"/>
      <c r="AT1006" s="179"/>
      <c r="AU1006" s="178"/>
      <c r="AV1006" s="96"/>
      <c r="AW1006" s="179"/>
      <c r="AX1006" s="178"/>
      <c r="AY1006" s="96"/>
      <c r="AZ1006" s="179"/>
      <c r="BA1006" s="178"/>
      <c r="BB1006" s="96"/>
      <c r="BC1006" s="179"/>
      <c r="BD1006" s="178"/>
      <c r="BE1006" s="96"/>
      <c r="BF1006" s="179"/>
      <c r="BG1006" s="178"/>
      <c r="BH1006" s="96"/>
      <c r="BI1006" s="72"/>
      <c r="BJ1006" s="178"/>
      <c r="BK1006" s="96"/>
      <c r="BN1006" s="125">
        <f t="shared" si="332"/>
        <v>0</v>
      </c>
      <c r="BO1006" s="126">
        <f t="shared" si="333"/>
        <v>0</v>
      </c>
      <c r="BP1006" s="127">
        <f t="shared" si="334"/>
        <v>0</v>
      </c>
    </row>
    <row r="1007" spans="1:68" ht="14.25" hidden="1" customHeight="1" outlineLevel="5" x14ac:dyDescent="0.25">
      <c r="C1007" s="10" t="s">
        <v>83</v>
      </c>
      <c r="D1007" s="10" t="s">
        <v>84</v>
      </c>
      <c r="E1007" s="10" t="s">
        <v>73</v>
      </c>
      <c r="F1007" s="10" t="s">
        <v>74</v>
      </c>
      <c r="G1007" s="10" t="s">
        <v>363</v>
      </c>
      <c r="H1007" s="10" t="s">
        <v>73</v>
      </c>
      <c r="I1007" s="10" t="s">
        <v>73</v>
      </c>
      <c r="J1007" s="10" t="s">
        <v>73</v>
      </c>
      <c r="K1007" s="12" t="s">
        <v>73</v>
      </c>
      <c r="L1007" s="10" t="s">
        <v>192</v>
      </c>
      <c r="M1007" s="5" t="str">
        <f t="array" ref="M1007">Y806</f>
        <v>1ХВС::1.1</v>
      </c>
      <c r="AB1007" s="65" t="str">
        <f>AB1001&amp;".6"</f>
        <v>3.1.1.3.7.6</v>
      </c>
      <c r="AC1007" s="177" t="s">
        <v>364</v>
      </c>
      <c r="AD1007" s="370" t="s">
        <v>111</v>
      </c>
      <c r="AE1007" s="175"/>
      <c r="AF1007" s="73"/>
      <c r="AG1007" s="176"/>
      <c r="AH1007" s="179"/>
      <c r="AI1007" s="178"/>
      <c r="AJ1007" s="96"/>
      <c r="AK1007" s="179"/>
      <c r="AL1007" s="178"/>
      <c r="AM1007" s="96"/>
      <c r="AN1007" s="179"/>
      <c r="AO1007" s="178"/>
      <c r="AP1007" s="96"/>
      <c r="AQ1007" s="179"/>
      <c r="AR1007" s="178"/>
      <c r="AS1007" s="96"/>
      <c r="AT1007" s="179"/>
      <c r="AU1007" s="178"/>
      <c r="AV1007" s="96"/>
      <c r="AW1007" s="179"/>
      <c r="AX1007" s="178"/>
      <c r="AY1007" s="96"/>
      <c r="AZ1007" s="179"/>
      <c r="BA1007" s="178"/>
      <c r="BB1007" s="96"/>
      <c r="BC1007" s="179"/>
      <c r="BD1007" s="178"/>
      <c r="BE1007" s="96"/>
      <c r="BF1007" s="179"/>
      <c r="BG1007" s="178"/>
      <c r="BH1007" s="96"/>
      <c r="BI1007" s="72"/>
      <c r="BJ1007" s="178"/>
      <c r="BK1007" s="96"/>
      <c r="BN1007" s="125">
        <f t="shared" si="332"/>
        <v>0</v>
      </c>
      <c r="BO1007" s="126">
        <f t="shared" si="333"/>
        <v>0</v>
      </c>
      <c r="BP1007" s="127">
        <f t="shared" si="334"/>
        <v>0</v>
      </c>
    </row>
    <row r="1008" spans="1:68" s="214" customFormat="1" ht="21.75" customHeight="1" outlineLevel="5" x14ac:dyDescent="0.25">
      <c r="A1008" s="5"/>
      <c r="B1008" s="5"/>
      <c r="C1008" s="10" t="s">
        <v>83</v>
      </c>
      <c r="D1008" s="10" t="s">
        <v>84</v>
      </c>
      <c r="E1008" s="10" t="s">
        <v>73</v>
      </c>
      <c r="F1008" s="10" t="s">
        <v>74</v>
      </c>
      <c r="G1008" s="10" t="s">
        <v>365</v>
      </c>
      <c r="H1008" s="10" t="s">
        <v>73</v>
      </c>
      <c r="I1008" s="10" t="s">
        <v>73</v>
      </c>
      <c r="J1008" s="10" t="s">
        <v>73</v>
      </c>
      <c r="K1008" s="12" t="s">
        <v>73</v>
      </c>
      <c r="L1008" s="10" t="s">
        <v>192</v>
      </c>
      <c r="M1008" s="5" t="str">
        <f t="array" ref="M1008">Y806</f>
        <v>1ХВС::1.1</v>
      </c>
      <c r="N1008" s="5"/>
      <c r="O1008" s="5"/>
      <c r="P1008" s="5"/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65" t="str">
        <f>AB1001&amp;".7"</f>
        <v>3.1.1.3.7.7</v>
      </c>
      <c r="AC1008" s="177" t="s">
        <v>366</v>
      </c>
      <c r="AD1008" s="370" t="s">
        <v>111</v>
      </c>
      <c r="AE1008" s="175">
        <f t="shared" ref="AE1008:BK1008" si="341">SUM(AE1009:AE1031)</f>
        <v>36186.909999999996</v>
      </c>
      <c r="AF1008" s="73">
        <f t="shared" si="341"/>
        <v>22844</v>
      </c>
      <c r="AG1008" s="176">
        <f t="shared" si="341"/>
        <v>25127.663999999997</v>
      </c>
      <c r="AH1008" s="443">
        <f t="shared" si="341"/>
        <v>130.82</v>
      </c>
      <c r="AI1008" s="73">
        <f t="shared" si="341"/>
        <v>0</v>
      </c>
      <c r="AJ1008" s="176">
        <f t="shared" si="341"/>
        <v>141.416</v>
      </c>
      <c r="AK1008" s="175">
        <f t="shared" si="341"/>
        <v>205.07999999999998</v>
      </c>
      <c r="AL1008" s="73">
        <f t="shared" si="341"/>
        <v>30.240000000000002</v>
      </c>
      <c r="AM1008" s="176">
        <f t="shared" si="341"/>
        <v>1904.9999999999998</v>
      </c>
      <c r="AN1008" s="175">
        <f t="shared" si="341"/>
        <v>203.13400000000001</v>
      </c>
      <c r="AO1008" s="73">
        <f t="shared" si="341"/>
        <v>321.24</v>
      </c>
      <c r="AP1008" s="176">
        <f t="shared" si="341"/>
        <v>699.69</v>
      </c>
      <c r="AQ1008" s="175">
        <f t="shared" si="341"/>
        <v>57.819999999999993</v>
      </c>
      <c r="AR1008" s="73">
        <f t="shared" si="341"/>
        <v>5.52</v>
      </c>
      <c r="AS1008" s="176">
        <f t="shared" si="341"/>
        <v>290.14</v>
      </c>
      <c r="AT1008" s="175">
        <f t="shared" si="341"/>
        <v>247.22900000000001</v>
      </c>
      <c r="AU1008" s="73">
        <f t="shared" si="341"/>
        <v>0</v>
      </c>
      <c r="AV1008" s="176">
        <f t="shared" si="341"/>
        <v>298.09100000000001</v>
      </c>
      <c r="AW1008" s="175">
        <f t="shared" si="341"/>
        <v>308.053</v>
      </c>
      <c r="AX1008" s="73">
        <f t="shared" si="341"/>
        <v>0</v>
      </c>
      <c r="AY1008" s="176">
        <f t="shared" si="341"/>
        <v>489.69999999999993</v>
      </c>
      <c r="AZ1008" s="175">
        <f t="shared" si="341"/>
        <v>642.92500000000007</v>
      </c>
      <c r="BA1008" s="73">
        <f t="shared" si="341"/>
        <v>465.53</v>
      </c>
      <c r="BB1008" s="176">
        <f t="shared" si="341"/>
        <v>911.13199999999972</v>
      </c>
      <c r="BC1008" s="175">
        <f t="shared" si="341"/>
        <v>441.52</v>
      </c>
      <c r="BD1008" s="73">
        <f t="shared" si="341"/>
        <v>176.42000000000002</v>
      </c>
      <c r="BE1008" s="176">
        <f t="shared" si="341"/>
        <v>833.94999999999993</v>
      </c>
      <c r="BF1008" s="175">
        <f t="shared" si="341"/>
        <v>27.63</v>
      </c>
      <c r="BG1008" s="73">
        <f t="shared" si="341"/>
        <v>11.43</v>
      </c>
      <c r="BH1008" s="176">
        <f t="shared" si="341"/>
        <v>235.96000000000004</v>
      </c>
      <c r="BI1008" s="175">
        <f t="shared" si="341"/>
        <v>450.90499999999997</v>
      </c>
      <c r="BJ1008" s="73">
        <f t="shared" si="341"/>
        <v>236.11</v>
      </c>
      <c r="BK1008" s="176">
        <f t="shared" si="341"/>
        <v>663.48</v>
      </c>
      <c r="BL1008" s="6"/>
      <c r="BM1008" s="5"/>
      <c r="BN1008" s="125">
        <f t="shared" si="332"/>
        <v>38902.025999999991</v>
      </c>
      <c r="BO1008" s="126">
        <f t="shared" si="333"/>
        <v>24090.49</v>
      </c>
      <c r="BP1008" s="127">
        <f t="shared" si="334"/>
        <v>31596.222999999998</v>
      </c>
    </row>
    <row r="1009" spans="1:68" s="230" customFormat="1" ht="45.75" customHeight="1" outlineLevel="6" x14ac:dyDescent="0.25">
      <c r="A1009" s="215"/>
      <c r="B1009" s="215"/>
      <c r="C1009" s="216"/>
      <c r="D1009" s="216"/>
      <c r="E1009" s="216"/>
      <c r="F1009" s="216"/>
      <c r="G1009" s="216"/>
      <c r="H1009" s="216"/>
      <c r="I1009" s="216"/>
      <c r="J1009" s="216"/>
      <c r="K1009" s="217"/>
      <c r="L1009" s="216"/>
      <c r="M1009" s="215"/>
      <c r="N1009" s="215"/>
      <c r="O1009" s="215"/>
      <c r="P1009" s="215"/>
      <c r="Q1009" s="215"/>
      <c r="R1009" s="215"/>
      <c r="S1009" s="215"/>
      <c r="T1009" s="215"/>
      <c r="U1009" s="215"/>
      <c r="V1009" s="215"/>
      <c r="W1009" s="215"/>
      <c r="X1009" s="215"/>
      <c r="Y1009" s="215"/>
      <c r="Z1009" s="215"/>
      <c r="AA1009" s="215"/>
      <c r="AB1009" s="218"/>
      <c r="AC1009" s="219" t="s">
        <v>367</v>
      </c>
      <c r="AD1009" s="657" t="s">
        <v>111</v>
      </c>
      <c r="AE1009" s="658">
        <f t="shared" ref="AE1009:BK1009" si="342">AE634+AE285</f>
        <v>2398.85</v>
      </c>
      <c r="AF1009" s="659">
        <f t="shared" si="342"/>
        <v>2300</v>
      </c>
      <c r="AG1009" s="660">
        <f t="shared" si="342"/>
        <v>1025.2</v>
      </c>
      <c r="AH1009" s="661">
        <f t="shared" si="342"/>
        <v>0</v>
      </c>
      <c r="AI1009" s="659">
        <f t="shared" si="342"/>
        <v>0</v>
      </c>
      <c r="AJ1009" s="660">
        <f t="shared" si="342"/>
        <v>0</v>
      </c>
      <c r="AK1009" s="658">
        <f t="shared" si="342"/>
        <v>0</v>
      </c>
      <c r="AL1009" s="659">
        <f t="shared" si="342"/>
        <v>0</v>
      </c>
      <c r="AM1009" s="660">
        <f t="shared" si="342"/>
        <v>551.27</v>
      </c>
      <c r="AN1009" s="658">
        <f t="shared" si="342"/>
        <v>0</v>
      </c>
      <c r="AO1009" s="659">
        <f t="shared" si="342"/>
        <v>31.87</v>
      </c>
      <c r="AP1009" s="660">
        <f t="shared" si="342"/>
        <v>275.64</v>
      </c>
      <c r="AQ1009" s="658">
        <f t="shared" si="342"/>
        <v>18.98</v>
      </c>
      <c r="AR1009" s="659">
        <f t="shared" si="342"/>
        <v>0</v>
      </c>
      <c r="AS1009" s="660">
        <f t="shared" si="342"/>
        <v>118.55000000000001</v>
      </c>
      <c r="AT1009" s="658">
        <f t="shared" si="342"/>
        <v>0</v>
      </c>
      <c r="AU1009" s="659">
        <f t="shared" si="342"/>
        <v>0</v>
      </c>
      <c r="AV1009" s="660">
        <f t="shared" si="342"/>
        <v>0</v>
      </c>
      <c r="AW1009" s="658">
        <f t="shared" si="342"/>
        <v>95.625</v>
      </c>
      <c r="AX1009" s="659">
        <f t="shared" si="342"/>
        <v>0</v>
      </c>
      <c r="AY1009" s="660">
        <f t="shared" si="342"/>
        <v>258.84799999999996</v>
      </c>
      <c r="AZ1009" s="658">
        <f t="shared" si="342"/>
        <v>284.19400000000002</v>
      </c>
      <c r="BA1009" s="659">
        <f t="shared" si="342"/>
        <v>254.68</v>
      </c>
      <c r="BB1009" s="660">
        <f t="shared" si="342"/>
        <v>293.78099999999995</v>
      </c>
      <c r="BC1009" s="658">
        <f t="shared" si="342"/>
        <v>30.18</v>
      </c>
      <c r="BD1009" s="659">
        <f t="shared" si="342"/>
        <v>30</v>
      </c>
      <c r="BE1009" s="660">
        <f t="shared" si="342"/>
        <v>70.14</v>
      </c>
      <c r="BF1009" s="658">
        <f t="shared" si="342"/>
        <v>0</v>
      </c>
      <c r="BG1009" s="659">
        <f t="shared" si="342"/>
        <v>0</v>
      </c>
      <c r="BH1009" s="660">
        <f t="shared" si="342"/>
        <v>166.78</v>
      </c>
      <c r="BI1009" s="658">
        <f t="shared" si="342"/>
        <v>193.88</v>
      </c>
      <c r="BJ1009" s="659">
        <f t="shared" si="342"/>
        <v>80</v>
      </c>
      <c r="BK1009" s="660">
        <f t="shared" si="342"/>
        <v>201.32</v>
      </c>
      <c r="BL1009" s="229"/>
      <c r="BM1009" s="215"/>
      <c r="BN1009" s="125">
        <f t="shared" si="332"/>
        <v>3021.7089999999998</v>
      </c>
      <c r="BO1009" s="126">
        <f t="shared" si="333"/>
        <v>2696.5499999999997</v>
      </c>
      <c r="BP1009" s="127">
        <f t="shared" si="334"/>
        <v>2961.529</v>
      </c>
    </row>
    <row r="1010" spans="1:68" s="230" customFormat="1" ht="21.75" customHeight="1" outlineLevel="6" x14ac:dyDescent="0.25">
      <c r="A1010" s="215"/>
      <c r="B1010" s="215"/>
      <c r="C1010" s="216"/>
      <c r="D1010" s="216"/>
      <c r="E1010" s="216"/>
      <c r="F1010" s="216"/>
      <c r="G1010" s="216"/>
      <c r="H1010" s="216"/>
      <c r="I1010" s="216"/>
      <c r="J1010" s="216"/>
      <c r="K1010" s="217"/>
      <c r="L1010" s="216"/>
      <c r="M1010" s="215"/>
      <c r="N1010" s="215"/>
      <c r="O1010" s="215"/>
      <c r="P1010" s="215"/>
      <c r="Q1010" s="215"/>
      <c r="R1010" s="215"/>
      <c r="S1010" s="215"/>
      <c r="T1010" s="215"/>
      <c r="U1010" s="215"/>
      <c r="V1010" s="215"/>
      <c r="W1010" s="215"/>
      <c r="X1010" s="215"/>
      <c r="Y1010" s="215"/>
      <c r="Z1010" s="215"/>
      <c r="AA1010" s="215"/>
      <c r="AB1010" s="218"/>
      <c r="AC1010" s="219" t="s">
        <v>368</v>
      </c>
      <c r="AD1010" s="657" t="s">
        <v>111</v>
      </c>
      <c r="AE1010" s="658">
        <f t="shared" ref="AE1010:BK1010" si="343">AE286+AE632</f>
        <v>4338.4399999999996</v>
      </c>
      <c r="AF1010" s="659">
        <f t="shared" si="343"/>
        <v>3041.17</v>
      </c>
      <c r="AG1010" s="660">
        <f t="shared" si="343"/>
        <v>3135.15</v>
      </c>
      <c r="AH1010" s="661">
        <f t="shared" si="343"/>
        <v>2.42</v>
      </c>
      <c r="AI1010" s="659">
        <f t="shared" si="343"/>
        <v>0</v>
      </c>
      <c r="AJ1010" s="660">
        <f t="shared" si="343"/>
        <v>2.65</v>
      </c>
      <c r="AK1010" s="658">
        <f t="shared" si="343"/>
        <v>26.11</v>
      </c>
      <c r="AL1010" s="659">
        <f t="shared" si="343"/>
        <v>0</v>
      </c>
      <c r="AM1010" s="660">
        <f t="shared" si="343"/>
        <v>239.91</v>
      </c>
      <c r="AN1010" s="658">
        <f t="shared" si="343"/>
        <v>6.9740000000000002</v>
      </c>
      <c r="AO1010" s="659">
        <f t="shared" si="343"/>
        <v>33.86</v>
      </c>
      <c r="AP1010" s="660">
        <f t="shared" si="343"/>
        <v>126.12</v>
      </c>
      <c r="AQ1010" s="658">
        <f t="shared" si="343"/>
        <v>1.59</v>
      </c>
      <c r="AR1010" s="659">
        <f t="shared" si="343"/>
        <v>0</v>
      </c>
      <c r="AS1010" s="660">
        <f t="shared" si="343"/>
        <v>33.76</v>
      </c>
      <c r="AT1010" s="658">
        <f t="shared" si="343"/>
        <v>10.189</v>
      </c>
      <c r="AU1010" s="659">
        <f t="shared" si="343"/>
        <v>0</v>
      </c>
      <c r="AV1010" s="660">
        <f t="shared" si="343"/>
        <v>87.39</v>
      </c>
      <c r="AW1010" s="658">
        <f t="shared" si="343"/>
        <v>52.881</v>
      </c>
      <c r="AX1010" s="659">
        <f t="shared" si="343"/>
        <v>0</v>
      </c>
      <c r="AY1010" s="660">
        <f t="shared" si="343"/>
        <v>55.508000000000003</v>
      </c>
      <c r="AZ1010" s="658">
        <f t="shared" si="343"/>
        <v>135.82900000000001</v>
      </c>
      <c r="BA1010" s="659">
        <f t="shared" si="343"/>
        <v>0</v>
      </c>
      <c r="BB1010" s="660">
        <f t="shared" si="343"/>
        <v>273.77299999999997</v>
      </c>
      <c r="BC1010" s="658">
        <f t="shared" si="343"/>
        <v>207.82</v>
      </c>
      <c r="BD1010" s="659">
        <f t="shared" si="343"/>
        <v>96</v>
      </c>
      <c r="BE1010" s="660">
        <f t="shared" si="343"/>
        <v>318.77</v>
      </c>
      <c r="BF1010" s="658">
        <f t="shared" si="343"/>
        <v>0.25</v>
      </c>
      <c r="BG1010" s="659">
        <f t="shared" si="343"/>
        <v>0</v>
      </c>
      <c r="BH1010" s="660">
        <f t="shared" si="343"/>
        <v>3.36</v>
      </c>
      <c r="BI1010" s="658">
        <f t="shared" si="343"/>
        <v>74.855000000000004</v>
      </c>
      <c r="BJ1010" s="659">
        <f t="shared" si="343"/>
        <v>41</v>
      </c>
      <c r="BK1010" s="660">
        <f t="shared" si="343"/>
        <v>78.459999999999994</v>
      </c>
      <c r="BL1010" s="229"/>
      <c r="BM1010" s="215"/>
      <c r="BN1010" s="125">
        <f t="shared" si="332"/>
        <v>4857.3579999999993</v>
      </c>
      <c r="BO1010" s="126">
        <f t="shared" si="333"/>
        <v>3212.03</v>
      </c>
      <c r="BP1010" s="127">
        <f t="shared" si="334"/>
        <v>4354.8509999999997</v>
      </c>
    </row>
    <row r="1011" spans="1:68" s="230" customFormat="1" ht="21.75" customHeight="1" outlineLevel="6" x14ac:dyDescent="0.25">
      <c r="A1011" s="215"/>
      <c r="B1011" s="215"/>
      <c r="C1011" s="216"/>
      <c r="D1011" s="216"/>
      <c r="E1011" s="216"/>
      <c r="F1011" s="216"/>
      <c r="G1011" s="216"/>
      <c r="H1011" s="216"/>
      <c r="I1011" s="216"/>
      <c r="J1011" s="216"/>
      <c r="K1011" s="217"/>
      <c r="L1011" s="216"/>
      <c r="M1011" s="215"/>
      <c r="N1011" s="215"/>
      <c r="O1011" s="215"/>
      <c r="P1011" s="215"/>
      <c r="Q1011" s="215"/>
      <c r="R1011" s="215"/>
      <c r="S1011" s="215"/>
      <c r="T1011" s="215"/>
      <c r="U1011" s="215"/>
      <c r="V1011" s="215"/>
      <c r="W1011" s="215"/>
      <c r="X1011" s="215"/>
      <c r="Y1011" s="215"/>
      <c r="Z1011" s="215"/>
      <c r="AA1011" s="215"/>
      <c r="AB1011" s="218"/>
      <c r="AC1011" s="219" t="s">
        <v>369</v>
      </c>
      <c r="AD1011" s="657" t="s">
        <v>111</v>
      </c>
      <c r="AE1011" s="662">
        <f t="shared" ref="AE1011:BK1011" si="344">AE287</f>
        <v>1298.8399999999999</v>
      </c>
      <c r="AF1011" s="659">
        <f t="shared" si="344"/>
        <v>1200</v>
      </c>
      <c r="AG1011" s="663">
        <f t="shared" si="344"/>
        <v>1585.73</v>
      </c>
      <c r="AH1011" s="661">
        <f t="shared" si="344"/>
        <v>0</v>
      </c>
      <c r="AI1011" s="659">
        <f t="shared" si="344"/>
        <v>0</v>
      </c>
      <c r="AJ1011" s="660">
        <f t="shared" si="344"/>
        <v>0</v>
      </c>
      <c r="AK1011" s="658">
        <f t="shared" si="344"/>
        <v>0</v>
      </c>
      <c r="AL1011" s="659">
        <f t="shared" si="344"/>
        <v>19.440000000000001</v>
      </c>
      <c r="AM1011" s="660">
        <f t="shared" si="344"/>
        <v>0</v>
      </c>
      <c r="AN1011" s="658">
        <f t="shared" si="344"/>
        <v>0</v>
      </c>
      <c r="AO1011" s="659">
        <f t="shared" si="344"/>
        <v>0</v>
      </c>
      <c r="AP1011" s="660">
        <f t="shared" si="344"/>
        <v>0</v>
      </c>
      <c r="AQ1011" s="658">
        <f t="shared" si="344"/>
        <v>0</v>
      </c>
      <c r="AR1011" s="659">
        <f t="shared" si="344"/>
        <v>0</v>
      </c>
      <c r="AS1011" s="660">
        <f t="shared" si="344"/>
        <v>0</v>
      </c>
      <c r="AT1011" s="658">
        <f t="shared" si="344"/>
        <v>0</v>
      </c>
      <c r="AU1011" s="659">
        <f t="shared" si="344"/>
        <v>0</v>
      </c>
      <c r="AV1011" s="660">
        <f t="shared" si="344"/>
        <v>0</v>
      </c>
      <c r="AW1011" s="658">
        <f t="shared" si="344"/>
        <v>0</v>
      </c>
      <c r="AX1011" s="659">
        <f t="shared" si="344"/>
        <v>0</v>
      </c>
      <c r="AY1011" s="660">
        <f t="shared" si="344"/>
        <v>0</v>
      </c>
      <c r="AZ1011" s="658">
        <f t="shared" si="344"/>
        <v>0</v>
      </c>
      <c r="BA1011" s="659">
        <f t="shared" si="344"/>
        <v>0</v>
      </c>
      <c r="BB1011" s="660">
        <f t="shared" si="344"/>
        <v>0</v>
      </c>
      <c r="BC1011" s="658">
        <f t="shared" si="344"/>
        <v>0</v>
      </c>
      <c r="BD1011" s="659">
        <f t="shared" si="344"/>
        <v>0</v>
      </c>
      <c r="BE1011" s="660">
        <f t="shared" si="344"/>
        <v>0</v>
      </c>
      <c r="BF1011" s="658">
        <f t="shared" si="344"/>
        <v>0</v>
      </c>
      <c r="BG1011" s="659">
        <f t="shared" si="344"/>
        <v>0</v>
      </c>
      <c r="BH1011" s="660">
        <f t="shared" si="344"/>
        <v>0</v>
      </c>
      <c r="BI1011" s="658">
        <f t="shared" si="344"/>
        <v>0</v>
      </c>
      <c r="BJ1011" s="659">
        <f t="shared" si="344"/>
        <v>0</v>
      </c>
      <c r="BK1011" s="660">
        <f t="shared" si="344"/>
        <v>0</v>
      </c>
      <c r="BL1011" s="229"/>
      <c r="BM1011" s="215"/>
      <c r="BN1011" s="125">
        <f t="shared" si="332"/>
        <v>1298.8399999999999</v>
      </c>
      <c r="BO1011" s="126">
        <f t="shared" si="333"/>
        <v>1219.44</v>
      </c>
      <c r="BP1011" s="127">
        <f t="shared" si="334"/>
        <v>1585.73</v>
      </c>
    </row>
    <row r="1012" spans="1:68" s="230" customFormat="1" ht="21.75" customHeight="1" outlineLevel="6" x14ac:dyDescent="0.25">
      <c r="A1012" s="215"/>
      <c r="B1012" s="215"/>
      <c r="C1012" s="216"/>
      <c r="D1012" s="216"/>
      <c r="E1012" s="216"/>
      <c r="F1012" s="216"/>
      <c r="G1012" s="216"/>
      <c r="H1012" s="216"/>
      <c r="I1012" s="216"/>
      <c r="J1012" s="216"/>
      <c r="K1012" s="217"/>
      <c r="L1012" s="216"/>
      <c r="M1012" s="215"/>
      <c r="N1012" s="215"/>
      <c r="O1012" s="215"/>
      <c r="P1012" s="215"/>
      <c r="Q1012" s="215"/>
      <c r="R1012" s="215"/>
      <c r="S1012" s="215"/>
      <c r="T1012" s="215"/>
      <c r="U1012" s="215"/>
      <c r="V1012" s="215"/>
      <c r="W1012" s="215"/>
      <c r="X1012" s="215"/>
      <c r="Y1012" s="215"/>
      <c r="Z1012" s="215"/>
      <c r="AA1012" s="215"/>
      <c r="AB1012" s="218"/>
      <c r="AC1012" s="219" t="s">
        <v>370</v>
      </c>
      <c r="AD1012" s="657" t="s">
        <v>111</v>
      </c>
      <c r="AE1012" s="662">
        <f t="shared" ref="AE1012:BK1012" si="345">AE288</f>
        <v>19.89</v>
      </c>
      <c r="AF1012" s="659">
        <f t="shared" si="345"/>
        <v>21</v>
      </c>
      <c r="AG1012" s="663">
        <f t="shared" si="345"/>
        <v>21.89</v>
      </c>
      <c r="AH1012" s="661">
        <f t="shared" si="345"/>
        <v>0</v>
      </c>
      <c r="AI1012" s="659">
        <f t="shared" si="345"/>
        <v>0</v>
      </c>
      <c r="AJ1012" s="660">
        <f t="shared" si="345"/>
        <v>0</v>
      </c>
      <c r="AK1012" s="658">
        <f t="shared" si="345"/>
        <v>0</v>
      </c>
      <c r="AL1012" s="659">
        <f t="shared" si="345"/>
        <v>0</v>
      </c>
      <c r="AM1012" s="660">
        <f t="shared" si="345"/>
        <v>0</v>
      </c>
      <c r="AN1012" s="658">
        <f t="shared" si="345"/>
        <v>0</v>
      </c>
      <c r="AO1012" s="659">
        <f t="shared" si="345"/>
        <v>0</v>
      </c>
      <c r="AP1012" s="660">
        <f t="shared" si="345"/>
        <v>0</v>
      </c>
      <c r="AQ1012" s="658">
        <f t="shared" si="345"/>
        <v>0</v>
      </c>
      <c r="AR1012" s="659">
        <f t="shared" si="345"/>
        <v>0</v>
      </c>
      <c r="AS1012" s="660">
        <f t="shared" si="345"/>
        <v>0</v>
      </c>
      <c r="AT1012" s="658">
        <f t="shared" si="345"/>
        <v>30.9</v>
      </c>
      <c r="AU1012" s="659">
        <f t="shared" si="345"/>
        <v>0</v>
      </c>
      <c r="AV1012" s="660">
        <f t="shared" si="345"/>
        <v>22.11</v>
      </c>
      <c r="AW1012" s="658">
        <f t="shared" si="345"/>
        <v>3.3</v>
      </c>
      <c r="AX1012" s="659">
        <f t="shared" si="345"/>
        <v>0</v>
      </c>
      <c r="AY1012" s="660">
        <f t="shared" si="345"/>
        <v>3.6309999999999998</v>
      </c>
      <c r="AZ1012" s="658">
        <f t="shared" si="345"/>
        <v>7.6</v>
      </c>
      <c r="BA1012" s="659">
        <f t="shared" si="345"/>
        <v>0</v>
      </c>
      <c r="BB1012" s="660">
        <f t="shared" si="345"/>
        <v>8.3620000000000001</v>
      </c>
      <c r="BC1012" s="658">
        <f t="shared" si="345"/>
        <v>0</v>
      </c>
      <c r="BD1012" s="659">
        <f t="shared" si="345"/>
        <v>0</v>
      </c>
      <c r="BE1012" s="660">
        <f t="shared" si="345"/>
        <v>0</v>
      </c>
      <c r="BF1012" s="658">
        <f t="shared" si="345"/>
        <v>0</v>
      </c>
      <c r="BG1012" s="659">
        <f t="shared" si="345"/>
        <v>0</v>
      </c>
      <c r="BH1012" s="660">
        <f t="shared" si="345"/>
        <v>0</v>
      </c>
      <c r="BI1012" s="658">
        <f t="shared" si="345"/>
        <v>0</v>
      </c>
      <c r="BJ1012" s="659">
        <f t="shared" si="345"/>
        <v>0</v>
      </c>
      <c r="BK1012" s="660">
        <f t="shared" si="345"/>
        <v>0</v>
      </c>
      <c r="BL1012" s="229"/>
      <c r="BM1012" s="215"/>
      <c r="BN1012" s="125">
        <f t="shared" si="332"/>
        <v>61.69</v>
      </c>
      <c r="BO1012" s="126">
        <f t="shared" si="333"/>
        <v>21</v>
      </c>
      <c r="BP1012" s="127">
        <f t="shared" si="334"/>
        <v>55.993000000000002</v>
      </c>
    </row>
    <row r="1013" spans="1:68" s="230" customFormat="1" ht="21.75" customHeight="1" outlineLevel="6" x14ac:dyDescent="0.25">
      <c r="A1013" s="215"/>
      <c r="B1013" s="215"/>
      <c r="C1013" s="216"/>
      <c r="D1013" s="216"/>
      <c r="E1013" s="216"/>
      <c r="F1013" s="216"/>
      <c r="G1013" s="216"/>
      <c r="H1013" s="216"/>
      <c r="I1013" s="216"/>
      <c r="J1013" s="216"/>
      <c r="K1013" s="217"/>
      <c r="L1013" s="216"/>
      <c r="M1013" s="215"/>
      <c r="N1013" s="215"/>
      <c r="O1013" s="215"/>
      <c r="P1013" s="215"/>
      <c r="Q1013" s="215"/>
      <c r="R1013" s="215"/>
      <c r="S1013" s="215"/>
      <c r="T1013" s="215"/>
      <c r="U1013" s="215"/>
      <c r="V1013" s="215"/>
      <c r="W1013" s="215"/>
      <c r="X1013" s="215"/>
      <c r="Y1013" s="215"/>
      <c r="Z1013" s="215"/>
      <c r="AA1013" s="215"/>
      <c r="AB1013" s="218"/>
      <c r="AC1013" s="219" t="s">
        <v>371</v>
      </c>
      <c r="AD1013" s="657" t="s">
        <v>111</v>
      </c>
      <c r="AE1013" s="658">
        <f t="shared" ref="AE1013:BK1013" si="346">AE289+AE631</f>
        <v>5396.37</v>
      </c>
      <c r="AF1013" s="659">
        <f t="shared" si="346"/>
        <v>5595</v>
      </c>
      <c r="AG1013" s="660">
        <f t="shared" si="346"/>
        <v>5937.73</v>
      </c>
      <c r="AH1013" s="661">
        <f t="shared" si="346"/>
        <v>0</v>
      </c>
      <c r="AI1013" s="659">
        <f t="shared" si="346"/>
        <v>0</v>
      </c>
      <c r="AJ1013" s="660">
        <f t="shared" si="346"/>
        <v>0</v>
      </c>
      <c r="AK1013" s="658">
        <f t="shared" si="346"/>
        <v>0</v>
      </c>
      <c r="AL1013" s="659">
        <f t="shared" si="346"/>
        <v>0</v>
      </c>
      <c r="AM1013" s="660">
        <f t="shared" si="346"/>
        <v>0</v>
      </c>
      <c r="AN1013" s="658">
        <f t="shared" si="346"/>
        <v>0</v>
      </c>
      <c r="AO1013" s="659">
        <f t="shared" si="346"/>
        <v>44.31</v>
      </c>
      <c r="AP1013" s="660">
        <f t="shared" si="346"/>
        <v>0</v>
      </c>
      <c r="AQ1013" s="658">
        <f t="shared" si="346"/>
        <v>0</v>
      </c>
      <c r="AR1013" s="659">
        <f t="shared" si="346"/>
        <v>5.52</v>
      </c>
      <c r="AS1013" s="660">
        <f t="shared" si="346"/>
        <v>0</v>
      </c>
      <c r="AT1013" s="658">
        <f t="shared" si="346"/>
        <v>0</v>
      </c>
      <c r="AU1013" s="659">
        <f t="shared" si="346"/>
        <v>0</v>
      </c>
      <c r="AV1013" s="660">
        <f t="shared" si="346"/>
        <v>0</v>
      </c>
      <c r="AW1013" s="658">
        <f t="shared" si="346"/>
        <v>0</v>
      </c>
      <c r="AX1013" s="659">
        <f t="shared" si="346"/>
        <v>0</v>
      </c>
      <c r="AY1013" s="660">
        <f t="shared" si="346"/>
        <v>0</v>
      </c>
      <c r="AZ1013" s="658">
        <f t="shared" si="346"/>
        <v>0</v>
      </c>
      <c r="BA1013" s="659">
        <f t="shared" si="346"/>
        <v>0</v>
      </c>
      <c r="BB1013" s="660">
        <f t="shared" si="346"/>
        <v>0</v>
      </c>
      <c r="BC1013" s="658">
        <f t="shared" si="346"/>
        <v>0.24</v>
      </c>
      <c r="BD1013" s="659">
        <f t="shared" si="346"/>
        <v>0.15</v>
      </c>
      <c r="BE1013" s="660">
        <f t="shared" si="346"/>
        <v>35.15</v>
      </c>
      <c r="BF1013" s="658">
        <f t="shared" si="346"/>
        <v>0</v>
      </c>
      <c r="BG1013" s="659">
        <f t="shared" si="346"/>
        <v>0</v>
      </c>
      <c r="BH1013" s="660">
        <f t="shared" si="346"/>
        <v>0</v>
      </c>
      <c r="BI1013" s="658">
        <f t="shared" si="346"/>
        <v>0</v>
      </c>
      <c r="BJ1013" s="659">
        <f t="shared" si="346"/>
        <v>0</v>
      </c>
      <c r="BK1013" s="660">
        <f t="shared" si="346"/>
        <v>0</v>
      </c>
      <c r="BL1013" s="229"/>
      <c r="BM1013" s="215"/>
      <c r="BN1013" s="125">
        <f t="shared" si="332"/>
        <v>5396.61</v>
      </c>
      <c r="BO1013" s="126">
        <f t="shared" si="333"/>
        <v>5644.9800000000005</v>
      </c>
      <c r="BP1013" s="127">
        <f t="shared" si="334"/>
        <v>5972.8799999999992</v>
      </c>
    </row>
    <row r="1014" spans="1:68" s="230" customFormat="1" ht="21.75" customHeight="1" outlineLevel="6" x14ac:dyDescent="0.25">
      <c r="A1014" s="215"/>
      <c r="B1014" s="215"/>
      <c r="C1014" s="216"/>
      <c r="D1014" s="216"/>
      <c r="E1014" s="216"/>
      <c r="F1014" s="216"/>
      <c r="G1014" s="216"/>
      <c r="H1014" s="216"/>
      <c r="I1014" s="216"/>
      <c r="J1014" s="216"/>
      <c r="K1014" s="217"/>
      <c r="L1014" s="216"/>
      <c r="M1014" s="215"/>
      <c r="N1014" s="215"/>
      <c r="O1014" s="215"/>
      <c r="P1014" s="215"/>
      <c r="Q1014" s="215"/>
      <c r="R1014" s="215"/>
      <c r="S1014" s="215"/>
      <c r="T1014" s="215"/>
      <c r="U1014" s="215"/>
      <c r="V1014" s="215"/>
      <c r="W1014" s="215"/>
      <c r="X1014" s="215"/>
      <c r="Y1014" s="215"/>
      <c r="Z1014" s="215"/>
      <c r="AA1014" s="215"/>
      <c r="AB1014" s="218"/>
      <c r="AC1014" s="219" t="s">
        <v>372</v>
      </c>
      <c r="AD1014" s="657" t="s">
        <v>111</v>
      </c>
      <c r="AE1014" s="662">
        <f t="shared" ref="AE1014:BK1014" si="347">AE290</f>
        <v>98.76</v>
      </c>
      <c r="AF1014" s="659">
        <f t="shared" si="347"/>
        <v>99.75</v>
      </c>
      <c r="AG1014" s="663">
        <f t="shared" si="347"/>
        <v>108.67</v>
      </c>
      <c r="AH1014" s="661">
        <f t="shared" si="347"/>
        <v>0</v>
      </c>
      <c r="AI1014" s="659">
        <f t="shared" si="347"/>
        <v>0</v>
      </c>
      <c r="AJ1014" s="660">
        <f t="shared" si="347"/>
        <v>0</v>
      </c>
      <c r="AK1014" s="658">
        <f t="shared" si="347"/>
        <v>0</v>
      </c>
      <c r="AL1014" s="659">
        <f t="shared" si="347"/>
        <v>0</v>
      </c>
      <c r="AM1014" s="660">
        <f t="shared" si="347"/>
        <v>0</v>
      </c>
      <c r="AN1014" s="658">
        <f t="shared" si="347"/>
        <v>0</v>
      </c>
      <c r="AO1014" s="659">
        <f t="shared" si="347"/>
        <v>0</v>
      </c>
      <c r="AP1014" s="660">
        <f t="shared" si="347"/>
        <v>0</v>
      </c>
      <c r="AQ1014" s="658">
        <f t="shared" si="347"/>
        <v>0</v>
      </c>
      <c r="AR1014" s="659">
        <f t="shared" si="347"/>
        <v>0</v>
      </c>
      <c r="AS1014" s="660">
        <f t="shared" si="347"/>
        <v>0</v>
      </c>
      <c r="AT1014" s="658">
        <f t="shared" si="347"/>
        <v>0</v>
      </c>
      <c r="AU1014" s="659">
        <f t="shared" si="347"/>
        <v>0</v>
      </c>
      <c r="AV1014" s="660">
        <f t="shared" si="347"/>
        <v>0</v>
      </c>
      <c r="AW1014" s="658">
        <f t="shared" si="347"/>
        <v>0</v>
      </c>
      <c r="AX1014" s="659">
        <f t="shared" si="347"/>
        <v>0</v>
      </c>
      <c r="AY1014" s="660">
        <f t="shared" si="347"/>
        <v>0</v>
      </c>
      <c r="AZ1014" s="658">
        <f t="shared" si="347"/>
        <v>0</v>
      </c>
      <c r="BA1014" s="659">
        <f t="shared" si="347"/>
        <v>0</v>
      </c>
      <c r="BB1014" s="660">
        <f t="shared" si="347"/>
        <v>0</v>
      </c>
      <c r="BC1014" s="658">
        <f t="shared" si="347"/>
        <v>0</v>
      </c>
      <c r="BD1014" s="659">
        <f t="shared" si="347"/>
        <v>0</v>
      </c>
      <c r="BE1014" s="660">
        <f t="shared" si="347"/>
        <v>0</v>
      </c>
      <c r="BF1014" s="658">
        <f t="shared" si="347"/>
        <v>0</v>
      </c>
      <c r="BG1014" s="659">
        <f t="shared" si="347"/>
        <v>0</v>
      </c>
      <c r="BH1014" s="660">
        <f t="shared" si="347"/>
        <v>0</v>
      </c>
      <c r="BI1014" s="658">
        <f t="shared" si="347"/>
        <v>0</v>
      </c>
      <c r="BJ1014" s="659">
        <f t="shared" si="347"/>
        <v>0</v>
      </c>
      <c r="BK1014" s="660">
        <f t="shared" si="347"/>
        <v>0</v>
      </c>
      <c r="BL1014" s="229"/>
      <c r="BM1014" s="215"/>
      <c r="BN1014" s="125">
        <f t="shared" si="332"/>
        <v>98.76</v>
      </c>
      <c r="BO1014" s="126">
        <f t="shared" si="333"/>
        <v>99.75</v>
      </c>
      <c r="BP1014" s="127">
        <f t="shared" si="334"/>
        <v>108.67</v>
      </c>
    </row>
    <row r="1015" spans="1:68" s="230" customFormat="1" ht="21.75" customHeight="1" outlineLevel="6" x14ac:dyDescent="0.25">
      <c r="A1015" s="215"/>
      <c r="B1015" s="215"/>
      <c r="C1015" s="216"/>
      <c r="D1015" s="216"/>
      <c r="E1015" s="216"/>
      <c r="F1015" s="216"/>
      <c r="G1015" s="216"/>
      <c r="H1015" s="216"/>
      <c r="I1015" s="216"/>
      <c r="J1015" s="216"/>
      <c r="K1015" s="217"/>
      <c r="L1015" s="216"/>
      <c r="M1015" s="215"/>
      <c r="N1015" s="215"/>
      <c r="O1015" s="215"/>
      <c r="P1015" s="215"/>
      <c r="Q1015" s="215"/>
      <c r="R1015" s="215"/>
      <c r="S1015" s="215"/>
      <c r="T1015" s="215"/>
      <c r="U1015" s="215"/>
      <c r="V1015" s="215"/>
      <c r="W1015" s="215"/>
      <c r="X1015" s="215"/>
      <c r="Y1015" s="215"/>
      <c r="Z1015" s="215"/>
      <c r="AA1015" s="215"/>
      <c r="AB1015" s="218"/>
      <c r="AC1015" s="219" t="s">
        <v>373</v>
      </c>
      <c r="AD1015" s="657" t="s">
        <v>111</v>
      </c>
      <c r="AE1015" s="662">
        <f t="shared" ref="AE1015:BK1015" si="348">AE291</f>
        <v>27.8</v>
      </c>
      <c r="AF1015" s="659">
        <f t="shared" si="348"/>
        <v>28.9</v>
      </c>
      <c r="AG1015" s="663">
        <f t="shared" si="348"/>
        <v>30.59</v>
      </c>
      <c r="AH1015" s="661">
        <f t="shared" si="348"/>
        <v>0</v>
      </c>
      <c r="AI1015" s="659">
        <f t="shared" si="348"/>
        <v>0</v>
      </c>
      <c r="AJ1015" s="660">
        <f t="shared" si="348"/>
        <v>0</v>
      </c>
      <c r="AK1015" s="658">
        <f t="shared" si="348"/>
        <v>0</v>
      </c>
      <c r="AL1015" s="659">
        <f t="shared" si="348"/>
        <v>0</v>
      </c>
      <c r="AM1015" s="660">
        <f t="shared" si="348"/>
        <v>0</v>
      </c>
      <c r="AN1015" s="658">
        <f t="shared" si="348"/>
        <v>0</v>
      </c>
      <c r="AO1015" s="659">
        <f t="shared" si="348"/>
        <v>0</v>
      </c>
      <c r="AP1015" s="660">
        <f t="shared" si="348"/>
        <v>0</v>
      </c>
      <c r="AQ1015" s="658">
        <f t="shared" si="348"/>
        <v>0</v>
      </c>
      <c r="AR1015" s="659">
        <f t="shared" si="348"/>
        <v>0</v>
      </c>
      <c r="AS1015" s="660">
        <f t="shared" si="348"/>
        <v>0</v>
      </c>
      <c r="AT1015" s="658">
        <f t="shared" si="348"/>
        <v>0</v>
      </c>
      <c r="AU1015" s="659">
        <f t="shared" si="348"/>
        <v>0</v>
      </c>
      <c r="AV1015" s="660">
        <f t="shared" si="348"/>
        <v>0</v>
      </c>
      <c r="AW1015" s="658">
        <f t="shared" si="348"/>
        <v>0</v>
      </c>
      <c r="AX1015" s="659">
        <f t="shared" si="348"/>
        <v>0</v>
      </c>
      <c r="AY1015" s="660">
        <f t="shared" si="348"/>
        <v>0</v>
      </c>
      <c r="AZ1015" s="658">
        <f t="shared" si="348"/>
        <v>0</v>
      </c>
      <c r="BA1015" s="659">
        <f t="shared" si="348"/>
        <v>0</v>
      </c>
      <c r="BB1015" s="660">
        <f t="shared" si="348"/>
        <v>0</v>
      </c>
      <c r="BC1015" s="658">
        <f t="shared" si="348"/>
        <v>0</v>
      </c>
      <c r="BD1015" s="659">
        <f t="shared" si="348"/>
        <v>0</v>
      </c>
      <c r="BE1015" s="660">
        <f t="shared" si="348"/>
        <v>0</v>
      </c>
      <c r="BF1015" s="658">
        <f t="shared" si="348"/>
        <v>0</v>
      </c>
      <c r="BG1015" s="659">
        <f t="shared" si="348"/>
        <v>0</v>
      </c>
      <c r="BH1015" s="660">
        <f t="shared" si="348"/>
        <v>0</v>
      </c>
      <c r="BI1015" s="658">
        <f t="shared" si="348"/>
        <v>0</v>
      </c>
      <c r="BJ1015" s="659">
        <f t="shared" si="348"/>
        <v>0</v>
      </c>
      <c r="BK1015" s="660">
        <f t="shared" si="348"/>
        <v>0</v>
      </c>
      <c r="BL1015" s="229"/>
      <c r="BM1015" s="215"/>
      <c r="BN1015" s="125">
        <f t="shared" si="332"/>
        <v>27.8</v>
      </c>
      <c r="BO1015" s="126">
        <f t="shared" si="333"/>
        <v>28.9</v>
      </c>
      <c r="BP1015" s="127">
        <f t="shared" si="334"/>
        <v>30.59</v>
      </c>
    </row>
    <row r="1016" spans="1:68" s="230" customFormat="1" ht="21.75" customHeight="1" outlineLevel="6" x14ac:dyDescent="0.25">
      <c r="A1016" s="215"/>
      <c r="B1016" s="215"/>
      <c r="C1016" s="216"/>
      <c r="D1016" s="216"/>
      <c r="E1016" s="216"/>
      <c r="F1016" s="216"/>
      <c r="G1016" s="216"/>
      <c r="H1016" s="216"/>
      <c r="I1016" s="216"/>
      <c r="J1016" s="216"/>
      <c r="K1016" s="217"/>
      <c r="L1016" s="216"/>
      <c r="M1016" s="215"/>
      <c r="N1016" s="215"/>
      <c r="O1016" s="215"/>
      <c r="P1016" s="215"/>
      <c r="Q1016" s="215"/>
      <c r="R1016" s="215"/>
      <c r="S1016" s="215"/>
      <c r="T1016" s="215"/>
      <c r="U1016" s="215"/>
      <c r="V1016" s="215"/>
      <c r="W1016" s="215"/>
      <c r="X1016" s="215"/>
      <c r="Y1016" s="215"/>
      <c r="Z1016" s="215"/>
      <c r="AA1016" s="215"/>
      <c r="AB1016" s="218"/>
      <c r="AC1016" s="219" t="s">
        <v>374</v>
      </c>
      <c r="AD1016" s="657" t="s">
        <v>111</v>
      </c>
      <c r="AE1016" s="662">
        <f t="shared" ref="AE1016:BK1016" si="349">AE292</f>
        <v>312.77</v>
      </c>
      <c r="AF1016" s="659">
        <f t="shared" si="349"/>
        <v>315.68</v>
      </c>
      <c r="AG1016" s="663">
        <f t="shared" si="349"/>
        <v>336.12</v>
      </c>
      <c r="AH1016" s="661">
        <f t="shared" si="349"/>
        <v>0</v>
      </c>
      <c r="AI1016" s="659">
        <f t="shared" si="349"/>
        <v>0</v>
      </c>
      <c r="AJ1016" s="660">
        <f t="shared" si="349"/>
        <v>0</v>
      </c>
      <c r="AK1016" s="658">
        <f t="shared" si="349"/>
        <v>0</v>
      </c>
      <c r="AL1016" s="659">
        <f t="shared" si="349"/>
        <v>0</v>
      </c>
      <c r="AM1016" s="660">
        <f t="shared" si="349"/>
        <v>0</v>
      </c>
      <c r="AN1016" s="658">
        <f t="shared" si="349"/>
        <v>0</v>
      </c>
      <c r="AO1016" s="659">
        <f t="shared" si="349"/>
        <v>0</v>
      </c>
      <c r="AP1016" s="660">
        <f t="shared" si="349"/>
        <v>0</v>
      </c>
      <c r="AQ1016" s="658">
        <f t="shared" si="349"/>
        <v>0</v>
      </c>
      <c r="AR1016" s="659">
        <f t="shared" si="349"/>
        <v>0</v>
      </c>
      <c r="AS1016" s="660">
        <f t="shared" si="349"/>
        <v>0</v>
      </c>
      <c r="AT1016" s="658">
        <f t="shared" si="349"/>
        <v>0</v>
      </c>
      <c r="AU1016" s="659">
        <f t="shared" si="349"/>
        <v>0</v>
      </c>
      <c r="AV1016" s="660">
        <f t="shared" si="349"/>
        <v>0</v>
      </c>
      <c r="AW1016" s="658">
        <f t="shared" si="349"/>
        <v>0</v>
      </c>
      <c r="AX1016" s="659">
        <f t="shared" si="349"/>
        <v>0</v>
      </c>
      <c r="AY1016" s="660">
        <f t="shared" si="349"/>
        <v>0</v>
      </c>
      <c r="AZ1016" s="658">
        <f t="shared" si="349"/>
        <v>0</v>
      </c>
      <c r="BA1016" s="659">
        <f t="shared" si="349"/>
        <v>0</v>
      </c>
      <c r="BB1016" s="660">
        <f t="shared" si="349"/>
        <v>0</v>
      </c>
      <c r="BC1016" s="658">
        <f t="shared" si="349"/>
        <v>0</v>
      </c>
      <c r="BD1016" s="659">
        <f t="shared" si="349"/>
        <v>0</v>
      </c>
      <c r="BE1016" s="660">
        <f t="shared" si="349"/>
        <v>0</v>
      </c>
      <c r="BF1016" s="658">
        <f t="shared" si="349"/>
        <v>0</v>
      </c>
      <c r="BG1016" s="659">
        <f t="shared" si="349"/>
        <v>0</v>
      </c>
      <c r="BH1016" s="660">
        <f t="shared" si="349"/>
        <v>0</v>
      </c>
      <c r="BI1016" s="658">
        <f t="shared" si="349"/>
        <v>0</v>
      </c>
      <c r="BJ1016" s="659">
        <f t="shared" si="349"/>
        <v>0</v>
      </c>
      <c r="BK1016" s="660">
        <f t="shared" si="349"/>
        <v>0</v>
      </c>
      <c r="BL1016" s="229"/>
      <c r="BM1016" s="215"/>
      <c r="BN1016" s="125">
        <f t="shared" si="332"/>
        <v>312.77</v>
      </c>
      <c r="BO1016" s="126">
        <f t="shared" si="333"/>
        <v>315.68</v>
      </c>
      <c r="BP1016" s="127">
        <f t="shared" si="334"/>
        <v>336.12</v>
      </c>
    </row>
    <row r="1017" spans="1:68" s="230" customFormat="1" ht="21.75" customHeight="1" outlineLevel="6" x14ac:dyDescent="0.25">
      <c r="A1017" s="215"/>
      <c r="B1017" s="215"/>
      <c r="C1017" s="216"/>
      <c r="D1017" s="216"/>
      <c r="E1017" s="216"/>
      <c r="F1017" s="216"/>
      <c r="G1017" s="216"/>
      <c r="H1017" s="216"/>
      <c r="I1017" s="216"/>
      <c r="J1017" s="216"/>
      <c r="K1017" s="217"/>
      <c r="L1017" s="216"/>
      <c r="M1017" s="215"/>
      <c r="N1017" s="215"/>
      <c r="O1017" s="215"/>
      <c r="P1017" s="215"/>
      <c r="Q1017" s="215"/>
      <c r="R1017" s="215"/>
      <c r="S1017" s="215"/>
      <c r="T1017" s="215"/>
      <c r="U1017" s="215"/>
      <c r="V1017" s="215"/>
      <c r="W1017" s="215"/>
      <c r="X1017" s="215"/>
      <c r="Y1017" s="215"/>
      <c r="Z1017" s="215"/>
      <c r="AA1017" s="215"/>
      <c r="AB1017" s="218"/>
      <c r="AC1017" s="219" t="s">
        <v>375</v>
      </c>
      <c r="AD1017" s="657" t="s">
        <v>111</v>
      </c>
      <c r="AE1017" s="662">
        <f t="shared" ref="AE1017:BK1017" si="350">AE293</f>
        <v>1210.1300000000001</v>
      </c>
      <c r="AF1017" s="659">
        <f t="shared" si="350"/>
        <v>1200</v>
      </c>
      <c r="AG1017" s="663">
        <f t="shared" si="350"/>
        <v>1210.1300000000001</v>
      </c>
      <c r="AH1017" s="661">
        <f t="shared" si="350"/>
        <v>0</v>
      </c>
      <c r="AI1017" s="659">
        <f t="shared" si="350"/>
        <v>0</v>
      </c>
      <c r="AJ1017" s="660">
        <f t="shared" si="350"/>
        <v>0</v>
      </c>
      <c r="AK1017" s="658">
        <f t="shared" si="350"/>
        <v>0</v>
      </c>
      <c r="AL1017" s="659">
        <f t="shared" si="350"/>
        <v>0</v>
      </c>
      <c r="AM1017" s="660">
        <f t="shared" si="350"/>
        <v>0</v>
      </c>
      <c r="AN1017" s="658">
        <f t="shared" si="350"/>
        <v>0</v>
      </c>
      <c r="AO1017" s="659">
        <f t="shared" si="350"/>
        <v>0</v>
      </c>
      <c r="AP1017" s="660">
        <f t="shared" si="350"/>
        <v>0</v>
      </c>
      <c r="AQ1017" s="658">
        <f t="shared" si="350"/>
        <v>0</v>
      </c>
      <c r="AR1017" s="659">
        <f t="shared" si="350"/>
        <v>0</v>
      </c>
      <c r="AS1017" s="660">
        <f t="shared" si="350"/>
        <v>0</v>
      </c>
      <c r="AT1017" s="658">
        <f t="shared" si="350"/>
        <v>0</v>
      </c>
      <c r="AU1017" s="659">
        <f t="shared" si="350"/>
        <v>0</v>
      </c>
      <c r="AV1017" s="660">
        <f t="shared" si="350"/>
        <v>0</v>
      </c>
      <c r="AW1017" s="658">
        <f t="shared" si="350"/>
        <v>0</v>
      </c>
      <c r="AX1017" s="659">
        <f t="shared" si="350"/>
        <v>0</v>
      </c>
      <c r="AY1017" s="660">
        <f t="shared" si="350"/>
        <v>0</v>
      </c>
      <c r="AZ1017" s="658">
        <f t="shared" si="350"/>
        <v>0</v>
      </c>
      <c r="BA1017" s="659">
        <f t="shared" si="350"/>
        <v>0</v>
      </c>
      <c r="BB1017" s="660">
        <f t="shared" si="350"/>
        <v>0</v>
      </c>
      <c r="BC1017" s="658">
        <f t="shared" si="350"/>
        <v>0</v>
      </c>
      <c r="BD1017" s="659">
        <f t="shared" si="350"/>
        <v>0</v>
      </c>
      <c r="BE1017" s="660">
        <f t="shared" si="350"/>
        <v>0</v>
      </c>
      <c r="BF1017" s="658">
        <f t="shared" si="350"/>
        <v>0</v>
      </c>
      <c r="BG1017" s="659">
        <f t="shared" si="350"/>
        <v>0</v>
      </c>
      <c r="BH1017" s="660">
        <f t="shared" si="350"/>
        <v>0</v>
      </c>
      <c r="BI1017" s="658">
        <f t="shared" si="350"/>
        <v>0</v>
      </c>
      <c r="BJ1017" s="659">
        <f t="shared" si="350"/>
        <v>0</v>
      </c>
      <c r="BK1017" s="660">
        <f t="shared" si="350"/>
        <v>0</v>
      </c>
      <c r="BL1017" s="229"/>
      <c r="BM1017" s="215"/>
      <c r="BN1017" s="125">
        <f t="shared" si="332"/>
        <v>1210.1300000000001</v>
      </c>
      <c r="BO1017" s="126">
        <f t="shared" si="333"/>
        <v>1200</v>
      </c>
      <c r="BP1017" s="127">
        <f t="shared" si="334"/>
        <v>1210.1300000000001</v>
      </c>
    </row>
    <row r="1018" spans="1:68" s="230" customFormat="1" ht="21.75" customHeight="1" outlineLevel="6" x14ac:dyDescent="0.25">
      <c r="A1018" s="215"/>
      <c r="B1018" s="215"/>
      <c r="C1018" s="216"/>
      <c r="D1018" s="216"/>
      <c r="E1018" s="216"/>
      <c r="F1018" s="216"/>
      <c r="G1018" s="216"/>
      <c r="H1018" s="216"/>
      <c r="I1018" s="216"/>
      <c r="J1018" s="216"/>
      <c r="K1018" s="217"/>
      <c r="L1018" s="216"/>
      <c r="M1018" s="215"/>
      <c r="N1018" s="215"/>
      <c r="O1018" s="215"/>
      <c r="P1018" s="215"/>
      <c r="Q1018" s="215"/>
      <c r="R1018" s="215"/>
      <c r="S1018" s="215"/>
      <c r="T1018" s="215"/>
      <c r="U1018" s="215"/>
      <c r="V1018" s="215"/>
      <c r="W1018" s="215"/>
      <c r="X1018" s="215"/>
      <c r="Y1018" s="215"/>
      <c r="Z1018" s="215"/>
      <c r="AA1018" s="215"/>
      <c r="AB1018" s="218"/>
      <c r="AC1018" s="219" t="s">
        <v>376</v>
      </c>
      <c r="AD1018" s="657" t="s">
        <v>111</v>
      </c>
      <c r="AE1018" s="662">
        <f t="shared" ref="AE1018:BK1018" si="351">AE294</f>
        <v>2732.05</v>
      </c>
      <c r="AF1018" s="659">
        <f t="shared" si="351"/>
        <v>2856.28</v>
      </c>
      <c r="AG1018" s="663">
        <f t="shared" si="351"/>
        <v>2954.98</v>
      </c>
      <c r="AH1018" s="661">
        <f t="shared" si="351"/>
        <v>0</v>
      </c>
      <c r="AI1018" s="659">
        <f t="shared" si="351"/>
        <v>0</v>
      </c>
      <c r="AJ1018" s="660">
        <f t="shared" si="351"/>
        <v>0</v>
      </c>
      <c r="AK1018" s="658">
        <f t="shared" si="351"/>
        <v>0</v>
      </c>
      <c r="AL1018" s="659">
        <f t="shared" si="351"/>
        <v>0</v>
      </c>
      <c r="AM1018" s="660">
        <f t="shared" si="351"/>
        <v>0</v>
      </c>
      <c r="AN1018" s="658">
        <f t="shared" si="351"/>
        <v>0</v>
      </c>
      <c r="AO1018" s="659">
        <f t="shared" si="351"/>
        <v>0</v>
      </c>
      <c r="AP1018" s="660">
        <f t="shared" si="351"/>
        <v>0</v>
      </c>
      <c r="AQ1018" s="658">
        <f t="shared" si="351"/>
        <v>0</v>
      </c>
      <c r="AR1018" s="659">
        <f t="shared" si="351"/>
        <v>0</v>
      </c>
      <c r="AS1018" s="660">
        <f t="shared" si="351"/>
        <v>0</v>
      </c>
      <c r="AT1018" s="658">
        <f t="shared" si="351"/>
        <v>0</v>
      </c>
      <c r="AU1018" s="659">
        <f t="shared" si="351"/>
        <v>0</v>
      </c>
      <c r="AV1018" s="660">
        <f t="shared" si="351"/>
        <v>0</v>
      </c>
      <c r="AW1018" s="658">
        <f t="shared" si="351"/>
        <v>0</v>
      </c>
      <c r="AX1018" s="659">
        <f t="shared" si="351"/>
        <v>0</v>
      </c>
      <c r="AY1018" s="660">
        <f t="shared" si="351"/>
        <v>0</v>
      </c>
      <c r="AZ1018" s="658">
        <f t="shared" si="351"/>
        <v>0</v>
      </c>
      <c r="BA1018" s="659">
        <f t="shared" si="351"/>
        <v>0</v>
      </c>
      <c r="BB1018" s="660">
        <f t="shared" si="351"/>
        <v>0</v>
      </c>
      <c r="BC1018" s="658">
        <f t="shared" si="351"/>
        <v>0</v>
      </c>
      <c r="BD1018" s="659">
        <f t="shared" si="351"/>
        <v>0</v>
      </c>
      <c r="BE1018" s="660">
        <f t="shared" si="351"/>
        <v>0</v>
      </c>
      <c r="BF1018" s="658">
        <f t="shared" si="351"/>
        <v>0</v>
      </c>
      <c r="BG1018" s="659">
        <f t="shared" si="351"/>
        <v>0</v>
      </c>
      <c r="BH1018" s="660">
        <f t="shared" si="351"/>
        <v>0</v>
      </c>
      <c r="BI1018" s="658">
        <f t="shared" si="351"/>
        <v>0</v>
      </c>
      <c r="BJ1018" s="659">
        <f t="shared" si="351"/>
        <v>0</v>
      </c>
      <c r="BK1018" s="660">
        <f t="shared" si="351"/>
        <v>0</v>
      </c>
      <c r="BL1018" s="229"/>
      <c r="BM1018" s="215"/>
      <c r="BN1018" s="125">
        <f t="shared" si="332"/>
        <v>2732.05</v>
      </c>
      <c r="BO1018" s="126">
        <f t="shared" si="333"/>
        <v>2856.28</v>
      </c>
      <c r="BP1018" s="127">
        <f t="shared" si="334"/>
        <v>2954.98</v>
      </c>
    </row>
    <row r="1019" spans="1:68" s="230" customFormat="1" ht="21.75" customHeight="1" outlineLevel="6" x14ac:dyDescent="0.25">
      <c r="A1019" s="215"/>
      <c r="B1019" s="215"/>
      <c r="C1019" s="216"/>
      <c r="D1019" s="216"/>
      <c r="E1019" s="216"/>
      <c r="F1019" s="216"/>
      <c r="G1019" s="216"/>
      <c r="H1019" s="216"/>
      <c r="I1019" s="216"/>
      <c r="J1019" s="216"/>
      <c r="K1019" s="217"/>
      <c r="L1019" s="216"/>
      <c r="M1019" s="215"/>
      <c r="N1019" s="215"/>
      <c r="O1019" s="215"/>
      <c r="P1019" s="215"/>
      <c r="Q1019" s="215"/>
      <c r="R1019" s="215"/>
      <c r="S1019" s="215"/>
      <c r="T1019" s="215"/>
      <c r="U1019" s="215"/>
      <c r="V1019" s="215"/>
      <c r="W1019" s="215"/>
      <c r="X1019" s="215"/>
      <c r="Y1019" s="215"/>
      <c r="Z1019" s="215"/>
      <c r="AA1019" s="215"/>
      <c r="AB1019" s="218"/>
      <c r="AC1019" s="219" t="s">
        <v>377</v>
      </c>
      <c r="AD1019" s="657" t="s">
        <v>111</v>
      </c>
      <c r="AE1019" s="658">
        <f t="shared" ref="AE1019:BK1019" si="352">AE295+AE635</f>
        <v>2695.07</v>
      </c>
      <c r="AF1019" s="659">
        <f t="shared" si="352"/>
        <v>2868.75</v>
      </c>
      <c r="AG1019" s="660">
        <f t="shared" si="352"/>
        <v>2914.99</v>
      </c>
      <c r="AH1019" s="661">
        <f t="shared" si="352"/>
        <v>0</v>
      </c>
      <c r="AI1019" s="659">
        <f t="shared" si="352"/>
        <v>0</v>
      </c>
      <c r="AJ1019" s="660">
        <f t="shared" si="352"/>
        <v>0</v>
      </c>
      <c r="AK1019" s="658">
        <f t="shared" si="352"/>
        <v>0</v>
      </c>
      <c r="AL1019" s="659">
        <f t="shared" si="352"/>
        <v>0</v>
      </c>
      <c r="AM1019" s="660">
        <f t="shared" si="352"/>
        <v>0</v>
      </c>
      <c r="AN1019" s="658">
        <f t="shared" si="352"/>
        <v>0</v>
      </c>
      <c r="AO1019" s="659">
        <f t="shared" si="352"/>
        <v>0</v>
      </c>
      <c r="AP1019" s="660">
        <f t="shared" si="352"/>
        <v>0</v>
      </c>
      <c r="AQ1019" s="658">
        <f t="shared" si="352"/>
        <v>8.99</v>
      </c>
      <c r="AR1019" s="659">
        <f t="shared" si="352"/>
        <v>0</v>
      </c>
      <c r="AS1019" s="660">
        <f t="shared" si="352"/>
        <v>9.51</v>
      </c>
      <c r="AT1019" s="658">
        <f t="shared" si="352"/>
        <v>0</v>
      </c>
      <c r="AU1019" s="659">
        <f t="shared" si="352"/>
        <v>0</v>
      </c>
      <c r="AV1019" s="660">
        <f t="shared" si="352"/>
        <v>0</v>
      </c>
      <c r="AW1019" s="658">
        <f t="shared" si="352"/>
        <v>2.0699999999999998</v>
      </c>
      <c r="AX1019" s="659">
        <f t="shared" si="352"/>
        <v>0</v>
      </c>
      <c r="AY1019" s="660">
        <f t="shared" si="352"/>
        <v>2.278</v>
      </c>
      <c r="AZ1019" s="658">
        <f t="shared" si="352"/>
        <v>2.2120000000000002</v>
      </c>
      <c r="BA1019" s="659">
        <f t="shared" si="352"/>
        <v>0</v>
      </c>
      <c r="BB1019" s="660">
        <f t="shared" si="352"/>
        <v>2.4340000000000002</v>
      </c>
      <c r="BC1019" s="658">
        <f t="shared" si="352"/>
        <v>35.76</v>
      </c>
      <c r="BD1019" s="659">
        <f t="shared" si="352"/>
        <v>16.27</v>
      </c>
      <c r="BE1019" s="660">
        <f t="shared" si="352"/>
        <v>39.67</v>
      </c>
      <c r="BF1019" s="658">
        <f t="shared" si="352"/>
        <v>14.5</v>
      </c>
      <c r="BG1019" s="659">
        <f t="shared" si="352"/>
        <v>10</v>
      </c>
      <c r="BH1019" s="660">
        <f t="shared" si="352"/>
        <v>15.96</v>
      </c>
      <c r="BI1019" s="658">
        <f t="shared" si="352"/>
        <v>0</v>
      </c>
      <c r="BJ1019" s="659">
        <f t="shared" si="352"/>
        <v>0</v>
      </c>
      <c r="BK1019" s="660">
        <f t="shared" si="352"/>
        <v>0</v>
      </c>
      <c r="BL1019" s="229"/>
      <c r="BM1019" s="215"/>
      <c r="BN1019" s="125">
        <f t="shared" si="332"/>
        <v>2758.6020000000003</v>
      </c>
      <c r="BO1019" s="126">
        <f t="shared" si="333"/>
        <v>2895.02</v>
      </c>
      <c r="BP1019" s="127">
        <f t="shared" si="334"/>
        <v>2984.8420000000001</v>
      </c>
    </row>
    <row r="1020" spans="1:68" s="230" customFormat="1" ht="21.75" customHeight="1" outlineLevel="6" x14ac:dyDescent="0.25">
      <c r="A1020" s="215"/>
      <c r="B1020" s="215"/>
      <c r="C1020" s="216"/>
      <c r="D1020" s="216"/>
      <c r="E1020" s="216"/>
      <c r="F1020" s="216"/>
      <c r="G1020" s="216"/>
      <c r="H1020" s="216"/>
      <c r="I1020" s="216"/>
      <c r="J1020" s="216"/>
      <c r="K1020" s="217"/>
      <c r="L1020" s="216"/>
      <c r="M1020" s="215"/>
      <c r="N1020" s="215"/>
      <c r="O1020" s="215"/>
      <c r="P1020" s="215"/>
      <c r="Q1020" s="215"/>
      <c r="R1020" s="215"/>
      <c r="S1020" s="215"/>
      <c r="T1020" s="215"/>
      <c r="U1020" s="215"/>
      <c r="V1020" s="215"/>
      <c r="W1020" s="215"/>
      <c r="X1020" s="215"/>
      <c r="Y1020" s="215"/>
      <c r="Z1020" s="215"/>
      <c r="AA1020" s="215"/>
      <c r="AB1020" s="218"/>
      <c r="AC1020" s="219" t="s">
        <v>378</v>
      </c>
      <c r="AD1020" s="657" t="s">
        <v>111</v>
      </c>
      <c r="AE1020" s="662">
        <f t="shared" ref="AE1020:BK1020" si="353">AE296</f>
        <v>0</v>
      </c>
      <c r="AF1020" s="659">
        <f t="shared" si="353"/>
        <v>0</v>
      </c>
      <c r="AG1020" s="663">
        <f t="shared" si="353"/>
        <v>0</v>
      </c>
      <c r="AH1020" s="661">
        <f t="shared" si="353"/>
        <v>0</v>
      </c>
      <c r="AI1020" s="659">
        <f t="shared" si="353"/>
        <v>0</v>
      </c>
      <c r="AJ1020" s="660">
        <f t="shared" si="353"/>
        <v>0</v>
      </c>
      <c r="AK1020" s="658">
        <f t="shared" si="353"/>
        <v>55.16</v>
      </c>
      <c r="AL1020" s="659">
        <f t="shared" si="353"/>
        <v>0</v>
      </c>
      <c r="AM1020" s="660">
        <f t="shared" si="353"/>
        <v>33.380000000000003</v>
      </c>
      <c r="AN1020" s="658">
        <f t="shared" si="353"/>
        <v>0</v>
      </c>
      <c r="AO1020" s="659">
        <f t="shared" si="353"/>
        <v>0</v>
      </c>
      <c r="AP1020" s="660">
        <f t="shared" si="353"/>
        <v>0</v>
      </c>
      <c r="AQ1020" s="658">
        <f t="shared" si="353"/>
        <v>0</v>
      </c>
      <c r="AR1020" s="659">
        <f t="shared" si="353"/>
        <v>0</v>
      </c>
      <c r="AS1020" s="660">
        <f t="shared" si="353"/>
        <v>0</v>
      </c>
      <c r="AT1020" s="658">
        <f t="shared" si="353"/>
        <v>0</v>
      </c>
      <c r="AU1020" s="659">
        <f t="shared" si="353"/>
        <v>0</v>
      </c>
      <c r="AV1020" s="660">
        <f t="shared" si="353"/>
        <v>0</v>
      </c>
      <c r="AW1020" s="658">
        <f t="shared" si="353"/>
        <v>0</v>
      </c>
      <c r="AX1020" s="659">
        <f t="shared" si="353"/>
        <v>0</v>
      </c>
      <c r="AY1020" s="660">
        <f t="shared" si="353"/>
        <v>0</v>
      </c>
      <c r="AZ1020" s="658">
        <f t="shared" si="353"/>
        <v>0</v>
      </c>
      <c r="BA1020" s="659">
        <f t="shared" si="353"/>
        <v>0</v>
      </c>
      <c r="BB1020" s="660">
        <f t="shared" si="353"/>
        <v>0</v>
      </c>
      <c r="BC1020" s="658">
        <f t="shared" si="353"/>
        <v>0</v>
      </c>
      <c r="BD1020" s="659">
        <f t="shared" si="353"/>
        <v>0</v>
      </c>
      <c r="BE1020" s="660">
        <f t="shared" si="353"/>
        <v>0</v>
      </c>
      <c r="BF1020" s="658">
        <f t="shared" si="353"/>
        <v>0</v>
      </c>
      <c r="BG1020" s="659">
        <f t="shared" si="353"/>
        <v>0</v>
      </c>
      <c r="BH1020" s="660">
        <f t="shared" si="353"/>
        <v>0</v>
      </c>
      <c r="BI1020" s="658">
        <f t="shared" si="353"/>
        <v>0</v>
      </c>
      <c r="BJ1020" s="659">
        <f t="shared" si="353"/>
        <v>0</v>
      </c>
      <c r="BK1020" s="660">
        <f t="shared" si="353"/>
        <v>0</v>
      </c>
      <c r="BL1020" s="229"/>
      <c r="BM1020" s="215"/>
      <c r="BN1020" s="125">
        <f t="shared" si="332"/>
        <v>55.16</v>
      </c>
      <c r="BO1020" s="126">
        <f t="shared" si="333"/>
        <v>0</v>
      </c>
      <c r="BP1020" s="127">
        <f t="shared" si="334"/>
        <v>33.380000000000003</v>
      </c>
    </row>
    <row r="1021" spans="1:68" s="230" customFormat="1" ht="21.75" customHeight="1" outlineLevel="6" x14ac:dyDescent="0.25">
      <c r="A1021" s="215"/>
      <c r="B1021" s="215"/>
      <c r="C1021" s="216"/>
      <c r="D1021" s="216"/>
      <c r="E1021" s="216"/>
      <c r="F1021" s="216"/>
      <c r="G1021" s="216"/>
      <c r="H1021" s="216"/>
      <c r="I1021" s="216"/>
      <c r="J1021" s="216"/>
      <c r="K1021" s="217"/>
      <c r="L1021" s="216"/>
      <c r="M1021" s="215"/>
      <c r="N1021" s="215"/>
      <c r="O1021" s="215"/>
      <c r="P1021" s="215"/>
      <c r="Q1021" s="215"/>
      <c r="R1021" s="215"/>
      <c r="S1021" s="215"/>
      <c r="T1021" s="215"/>
      <c r="U1021" s="215"/>
      <c r="V1021" s="215"/>
      <c r="W1021" s="215"/>
      <c r="X1021" s="215"/>
      <c r="Y1021" s="215"/>
      <c r="Z1021" s="215"/>
      <c r="AA1021" s="215"/>
      <c r="AB1021" s="218"/>
      <c r="AC1021" s="219" t="s">
        <v>379</v>
      </c>
      <c r="AD1021" s="657" t="s">
        <v>111</v>
      </c>
      <c r="AE1021" s="662">
        <f t="shared" ref="AE1021:BK1021" si="354">AE297</f>
        <v>0</v>
      </c>
      <c r="AF1021" s="659">
        <f t="shared" si="354"/>
        <v>0</v>
      </c>
      <c r="AG1021" s="663">
        <f t="shared" si="354"/>
        <v>0</v>
      </c>
      <c r="AH1021" s="661">
        <f t="shared" si="354"/>
        <v>0</v>
      </c>
      <c r="AI1021" s="659">
        <f t="shared" si="354"/>
        <v>0</v>
      </c>
      <c r="AJ1021" s="660">
        <f t="shared" si="354"/>
        <v>0</v>
      </c>
      <c r="AK1021" s="658">
        <f t="shared" si="354"/>
        <v>10.199999999999999</v>
      </c>
      <c r="AL1021" s="659">
        <f t="shared" si="354"/>
        <v>0</v>
      </c>
      <c r="AM1021" s="660">
        <f t="shared" si="354"/>
        <v>11.22</v>
      </c>
      <c r="AN1021" s="658">
        <f t="shared" si="354"/>
        <v>0</v>
      </c>
      <c r="AO1021" s="659">
        <f t="shared" si="354"/>
        <v>0</v>
      </c>
      <c r="AP1021" s="660">
        <f t="shared" si="354"/>
        <v>0</v>
      </c>
      <c r="AQ1021" s="658">
        <f t="shared" si="354"/>
        <v>0</v>
      </c>
      <c r="AR1021" s="659">
        <f t="shared" si="354"/>
        <v>0</v>
      </c>
      <c r="AS1021" s="660">
        <f t="shared" si="354"/>
        <v>3.42</v>
      </c>
      <c r="AT1021" s="658">
        <f t="shared" si="354"/>
        <v>34.6</v>
      </c>
      <c r="AU1021" s="659">
        <f t="shared" si="354"/>
        <v>0</v>
      </c>
      <c r="AV1021" s="660">
        <f t="shared" si="354"/>
        <v>38.07</v>
      </c>
      <c r="AW1021" s="658">
        <f t="shared" si="354"/>
        <v>0</v>
      </c>
      <c r="AX1021" s="659">
        <f t="shared" si="354"/>
        <v>0</v>
      </c>
      <c r="AY1021" s="660">
        <f t="shared" si="354"/>
        <v>0</v>
      </c>
      <c r="AZ1021" s="658">
        <f t="shared" si="354"/>
        <v>0</v>
      </c>
      <c r="BA1021" s="659">
        <f t="shared" si="354"/>
        <v>0</v>
      </c>
      <c r="BB1021" s="660">
        <f t="shared" si="354"/>
        <v>0</v>
      </c>
      <c r="BC1021" s="658">
        <f t="shared" si="354"/>
        <v>0</v>
      </c>
      <c r="BD1021" s="659">
        <f t="shared" si="354"/>
        <v>0</v>
      </c>
      <c r="BE1021" s="660">
        <f t="shared" si="354"/>
        <v>0</v>
      </c>
      <c r="BF1021" s="658">
        <f t="shared" si="354"/>
        <v>0</v>
      </c>
      <c r="BG1021" s="659">
        <f t="shared" si="354"/>
        <v>0</v>
      </c>
      <c r="BH1021" s="660">
        <f t="shared" si="354"/>
        <v>0</v>
      </c>
      <c r="BI1021" s="658">
        <f t="shared" si="354"/>
        <v>0</v>
      </c>
      <c r="BJ1021" s="659">
        <f t="shared" si="354"/>
        <v>0</v>
      </c>
      <c r="BK1021" s="660">
        <f t="shared" si="354"/>
        <v>0</v>
      </c>
      <c r="BL1021" s="229"/>
      <c r="BM1021" s="215"/>
      <c r="BN1021" s="125">
        <f t="shared" si="332"/>
        <v>44.8</v>
      </c>
      <c r="BO1021" s="126">
        <f t="shared" si="333"/>
        <v>0</v>
      </c>
      <c r="BP1021" s="127">
        <f t="shared" si="334"/>
        <v>52.71</v>
      </c>
    </row>
    <row r="1022" spans="1:68" s="230" customFormat="1" ht="21.75" customHeight="1" outlineLevel="6" x14ac:dyDescent="0.25">
      <c r="A1022" s="215"/>
      <c r="B1022" s="215"/>
      <c r="C1022" s="216"/>
      <c r="D1022" s="216"/>
      <c r="E1022" s="216"/>
      <c r="F1022" s="216"/>
      <c r="G1022" s="216"/>
      <c r="H1022" s="216"/>
      <c r="I1022" s="216"/>
      <c r="J1022" s="216"/>
      <c r="K1022" s="217"/>
      <c r="L1022" s="216"/>
      <c r="M1022" s="215"/>
      <c r="N1022" s="215"/>
      <c r="O1022" s="215"/>
      <c r="P1022" s="215"/>
      <c r="Q1022" s="215"/>
      <c r="R1022" s="215"/>
      <c r="S1022" s="215"/>
      <c r="T1022" s="215"/>
      <c r="U1022" s="215"/>
      <c r="V1022" s="215"/>
      <c r="W1022" s="215"/>
      <c r="X1022" s="215"/>
      <c r="Y1022" s="215"/>
      <c r="Z1022" s="215"/>
      <c r="AA1022" s="215"/>
      <c r="AB1022" s="218"/>
      <c r="AC1022" s="219" t="s">
        <v>380</v>
      </c>
      <c r="AD1022" s="657" t="s">
        <v>111</v>
      </c>
      <c r="AE1022" s="662">
        <f t="shared" ref="AE1022:BK1022" si="355">AE298</f>
        <v>0</v>
      </c>
      <c r="AF1022" s="659">
        <f t="shared" si="355"/>
        <v>0</v>
      </c>
      <c r="AG1022" s="663">
        <f t="shared" si="355"/>
        <v>0</v>
      </c>
      <c r="AH1022" s="661">
        <f t="shared" si="355"/>
        <v>0</v>
      </c>
      <c r="AI1022" s="659">
        <f t="shared" si="355"/>
        <v>0</v>
      </c>
      <c r="AJ1022" s="660">
        <f t="shared" si="355"/>
        <v>0</v>
      </c>
      <c r="AK1022" s="658">
        <f t="shared" si="355"/>
        <v>12.2</v>
      </c>
      <c r="AL1022" s="659">
        <f t="shared" si="355"/>
        <v>10.8</v>
      </c>
      <c r="AM1022" s="660">
        <f t="shared" si="355"/>
        <v>449.77</v>
      </c>
      <c r="AN1022" s="658">
        <f t="shared" si="355"/>
        <v>10.199999999999999</v>
      </c>
      <c r="AO1022" s="659">
        <f t="shared" si="355"/>
        <v>20.48</v>
      </c>
      <c r="AP1022" s="660">
        <f t="shared" si="355"/>
        <v>11.22</v>
      </c>
      <c r="AQ1022" s="658">
        <f t="shared" si="355"/>
        <v>0</v>
      </c>
      <c r="AR1022" s="659">
        <f t="shared" si="355"/>
        <v>0</v>
      </c>
      <c r="AS1022" s="660">
        <f t="shared" si="355"/>
        <v>0</v>
      </c>
      <c r="AT1022" s="658">
        <f t="shared" si="355"/>
        <v>0</v>
      </c>
      <c r="AU1022" s="659">
        <f t="shared" si="355"/>
        <v>0</v>
      </c>
      <c r="AV1022" s="660">
        <f t="shared" si="355"/>
        <v>0</v>
      </c>
      <c r="AW1022" s="658">
        <f t="shared" si="355"/>
        <v>0</v>
      </c>
      <c r="AX1022" s="659">
        <f t="shared" si="355"/>
        <v>0</v>
      </c>
      <c r="AY1022" s="660">
        <f t="shared" si="355"/>
        <v>0</v>
      </c>
      <c r="AZ1022" s="658">
        <f t="shared" si="355"/>
        <v>0</v>
      </c>
      <c r="BA1022" s="659">
        <f t="shared" si="355"/>
        <v>0</v>
      </c>
      <c r="BB1022" s="660">
        <f t="shared" si="355"/>
        <v>0</v>
      </c>
      <c r="BC1022" s="658">
        <f t="shared" si="355"/>
        <v>43.08</v>
      </c>
      <c r="BD1022" s="659">
        <f t="shared" si="355"/>
        <v>0</v>
      </c>
      <c r="BE1022" s="660">
        <f t="shared" si="355"/>
        <v>46.6</v>
      </c>
      <c r="BF1022" s="658">
        <f t="shared" si="355"/>
        <v>0</v>
      </c>
      <c r="BG1022" s="659">
        <f t="shared" si="355"/>
        <v>0</v>
      </c>
      <c r="BH1022" s="660">
        <f t="shared" si="355"/>
        <v>0</v>
      </c>
      <c r="BI1022" s="664">
        <f t="shared" si="355"/>
        <v>22.68</v>
      </c>
      <c r="BJ1022" s="665">
        <f t="shared" si="355"/>
        <v>20</v>
      </c>
      <c r="BK1022" s="666">
        <f t="shared" si="355"/>
        <v>45</v>
      </c>
      <c r="BL1022" s="229"/>
      <c r="BM1022" s="215"/>
      <c r="BN1022" s="125">
        <f t="shared" si="332"/>
        <v>88.16</v>
      </c>
      <c r="BO1022" s="126">
        <f t="shared" si="333"/>
        <v>51.28</v>
      </c>
      <c r="BP1022" s="127">
        <f t="shared" si="334"/>
        <v>552.59</v>
      </c>
    </row>
    <row r="1023" spans="1:68" s="230" customFormat="1" ht="21.75" customHeight="1" outlineLevel="6" x14ac:dyDescent="0.25">
      <c r="A1023" s="215"/>
      <c r="B1023" s="215"/>
      <c r="C1023" s="216"/>
      <c r="D1023" s="216"/>
      <c r="E1023" s="216"/>
      <c r="F1023" s="216"/>
      <c r="G1023" s="216"/>
      <c r="H1023" s="216"/>
      <c r="I1023" s="216"/>
      <c r="J1023" s="216"/>
      <c r="K1023" s="217"/>
      <c r="L1023" s="216"/>
      <c r="M1023" s="215"/>
      <c r="N1023" s="215"/>
      <c r="O1023" s="215"/>
      <c r="P1023" s="215"/>
      <c r="Q1023" s="215"/>
      <c r="R1023" s="215"/>
      <c r="S1023" s="215"/>
      <c r="T1023" s="215"/>
      <c r="U1023" s="215"/>
      <c r="V1023" s="215"/>
      <c r="W1023" s="215"/>
      <c r="X1023" s="215"/>
      <c r="Y1023" s="215"/>
      <c r="Z1023" s="215"/>
      <c r="AA1023" s="215"/>
      <c r="AB1023" s="218"/>
      <c r="AC1023" s="219" t="s">
        <v>377</v>
      </c>
      <c r="AD1023" s="657" t="s">
        <v>111</v>
      </c>
      <c r="AE1023" s="662">
        <f t="shared" ref="AE1023:BK1023" si="356">AE299</f>
        <v>0</v>
      </c>
      <c r="AF1023" s="659">
        <f t="shared" si="356"/>
        <v>0</v>
      </c>
      <c r="AG1023" s="663">
        <f t="shared" si="356"/>
        <v>0</v>
      </c>
      <c r="AH1023" s="661">
        <f t="shared" si="356"/>
        <v>0</v>
      </c>
      <c r="AI1023" s="659">
        <f t="shared" si="356"/>
        <v>0</v>
      </c>
      <c r="AJ1023" s="660">
        <f t="shared" si="356"/>
        <v>0</v>
      </c>
      <c r="AK1023" s="658">
        <f t="shared" si="356"/>
        <v>2.8</v>
      </c>
      <c r="AL1023" s="659">
        <f t="shared" si="356"/>
        <v>0</v>
      </c>
      <c r="AM1023" s="660">
        <f t="shared" si="356"/>
        <v>3.08</v>
      </c>
      <c r="AN1023" s="658">
        <f t="shared" si="356"/>
        <v>76.94</v>
      </c>
      <c r="AO1023" s="659">
        <f t="shared" si="356"/>
        <v>80</v>
      </c>
      <c r="AP1023" s="660">
        <f t="shared" si="356"/>
        <v>84.65</v>
      </c>
      <c r="AQ1023" s="658">
        <f t="shared" si="356"/>
        <v>10.91</v>
      </c>
      <c r="AR1023" s="659">
        <f t="shared" si="356"/>
        <v>0</v>
      </c>
      <c r="AS1023" s="660">
        <f t="shared" si="356"/>
        <v>12</v>
      </c>
      <c r="AT1023" s="658">
        <f t="shared" si="356"/>
        <v>38.64</v>
      </c>
      <c r="AU1023" s="659">
        <f t="shared" si="356"/>
        <v>0</v>
      </c>
      <c r="AV1023" s="660">
        <f t="shared" si="356"/>
        <v>40.880000000000003</v>
      </c>
      <c r="AW1023" s="658">
        <f t="shared" si="356"/>
        <v>0</v>
      </c>
      <c r="AX1023" s="659">
        <f t="shared" si="356"/>
        <v>0</v>
      </c>
      <c r="AY1023" s="660">
        <f t="shared" si="356"/>
        <v>0</v>
      </c>
      <c r="AZ1023" s="658">
        <f t="shared" si="356"/>
        <v>0</v>
      </c>
      <c r="BA1023" s="659">
        <f t="shared" si="356"/>
        <v>0</v>
      </c>
      <c r="BB1023" s="660">
        <f t="shared" si="356"/>
        <v>0</v>
      </c>
      <c r="BC1023" s="658">
        <f t="shared" si="356"/>
        <v>0</v>
      </c>
      <c r="BD1023" s="659">
        <f t="shared" si="356"/>
        <v>0</v>
      </c>
      <c r="BE1023" s="660">
        <f t="shared" si="356"/>
        <v>0</v>
      </c>
      <c r="BF1023" s="658">
        <f t="shared" si="356"/>
        <v>0</v>
      </c>
      <c r="BG1023" s="659">
        <f t="shared" si="356"/>
        <v>0</v>
      </c>
      <c r="BH1023" s="660">
        <f t="shared" si="356"/>
        <v>0</v>
      </c>
      <c r="BI1023" s="658">
        <f t="shared" si="356"/>
        <v>0</v>
      </c>
      <c r="BJ1023" s="659">
        <f t="shared" si="356"/>
        <v>0</v>
      </c>
      <c r="BK1023" s="660">
        <f t="shared" si="356"/>
        <v>0</v>
      </c>
      <c r="BL1023" s="229"/>
      <c r="BM1023" s="215"/>
      <c r="BN1023" s="125">
        <f t="shared" si="332"/>
        <v>129.29</v>
      </c>
      <c r="BO1023" s="126">
        <f t="shared" si="333"/>
        <v>80</v>
      </c>
      <c r="BP1023" s="127">
        <f t="shared" si="334"/>
        <v>140.61000000000001</v>
      </c>
    </row>
    <row r="1024" spans="1:68" s="230" customFormat="1" ht="21.75" customHeight="1" outlineLevel="6" x14ac:dyDescent="0.25">
      <c r="A1024" s="215"/>
      <c r="B1024" s="215"/>
      <c r="C1024" s="216"/>
      <c r="D1024" s="216"/>
      <c r="E1024" s="216"/>
      <c r="F1024" s="216"/>
      <c r="G1024" s="216"/>
      <c r="H1024" s="216"/>
      <c r="I1024" s="216"/>
      <c r="J1024" s="216"/>
      <c r="K1024" s="217"/>
      <c r="L1024" s="216"/>
      <c r="M1024" s="215"/>
      <c r="N1024" s="215"/>
      <c r="O1024" s="215"/>
      <c r="P1024" s="215"/>
      <c r="Q1024" s="215"/>
      <c r="R1024" s="215"/>
      <c r="S1024" s="215"/>
      <c r="T1024" s="215"/>
      <c r="U1024" s="215"/>
      <c r="V1024" s="215"/>
      <c r="W1024" s="215"/>
      <c r="X1024" s="215"/>
      <c r="Y1024" s="215"/>
      <c r="Z1024" s="215"/>
      <c r="AA1024" s="215"/>
      <c r="AB1024" s="218"/>
      <c r="AC1024" s="219" t="s">
        <v>381</v>
      </c>
      <c r="AD1024" s="657" t="s">
        <v>111</v>
      </c>
      <c r="AE1024" s="662">
        <f t="shared" ref="AE1024:BK1024" si="357">AE300</f>
        <v>0</v>
      </c>
      <c r="AF1024" s="659">
        <f t="shared" si="357"/>
        <v>0</v>
      </c>
      <c r="AG1024" s="663">
        <f t="shared" si="357"/>
        <v>0</v>
      </c>
      <c r="AH1024" s="661">
        <f t="shared" si="357"/>
        <v>0</v>
      </c>
      <c r="AI1024" s="659">
        <f t="shared" si="357"/>
        <v>0</v>
      </c>
      <c r="AJ1024" s="660">
        <f t="shared" si="357"/>
        <v>0</v>
      </c>
      <c r="AK1024" s="658">
        <f t="shared" si="357"/>
        <v>4.6500000000000004</v>
      </c>
      <c r="AL1024" s="659">
        <f t="shared" si="357"/>
        <v>0</v>
      </c>
      <c r="AM1024" s="660">
        <f t="shared" si="357"/>
        <v>5.12</v>
      </c>
      <c r="AN1024" s="658">
        <f t="shared" si="357"/>
        <v>3.3</v>
      </c>
      <c r="AO1024" s="659">
        <f t="shared" si="357"/>
        <v>0</v>
      </c>
      <c r="AP1024" s="660">
        <f t="shared" si="357"/>
        <v>3.63</v>
      </c>
      <c r="AQ1024" s="658">
        <f t="shared" si="357"/>
        <v>0</v>
      </c>
      <c r="AR1024" s="659">
        <f t="shared" si="357"/>
        <v>0</v>
      </c>
      <c r="AS1024" s="660">
        <f t="shared" si="357"/>
        <v>0</v>
      </c>
      <c r="AT1024" s="658">
        <f t="shared" si="357"/>
        <v>0</v>
      </c>
      <c r="AU1024" s="659">
        <f t="shared" si="357"/>
        <v>0</v>
      </c>
      <c r="AV1024" s="660">
        <f t="shared" si="357"/>
        <v>0</v>
      </c>
      <c r="AW1024" s="658">
        <f t="shared" si="357"/>
        <v>0</v>
      </c>
      <c r="AX1024" s="659">
        <f t="shared" si="357"/>
        <v>0</v>
      </c>
      <c r="AY1024" s="660">
        <f t="shared" si="357"/>
        <v>0</v>
      </c>
      <c r="AZ1024" s="658">
        <f t="shared" si="357"/>
        <v>0</v>
      </c>
      <c r="BA1024" s="659">
        <f t="shared" si="357"/>
        <v>0</v>
      </c>
      <c r="BB1024" s="660">
        <f t="shared" si="357"/>
        <v>0</v>
      </c>
      <c r="BC1024" s="658">
        <f t="shared" si="357"/>
        <v>1</v>
      </c>
      <c r="BD1024" s="659">
        <f t="shared" si="357"/>
        <v>0</v>
      </c>
      <c r="BE1024" s="660">
        <f t="shared" si="357"/>
        <v>1</v>
      </c>
      <c r="BF1024" s="658">
        <f t="shared" si="357"/>
        <v>0</v>
      </c>
      <c r="BG1024" s="659">
        <f t="shared" si="357"/>
        <v>0</v>
      </c>
      <c r="BH1024" s="660">
        <f t="shared" si="357"/>
        <v>0</v>
      </c>
      <c r="BI1024" s="658">
        <f t="shared" si="357"/>
        <v>0</v>
      </c>
      <c r="BJ1024" s="659">
        <f t="shared" si="357"/>
        <v>0</v>
      </c>
      <c r="BK1024" s="660">
        <f t="shared" si="357"/>
        <v>0</v>
      </c>
      <c r="BL1024" s="229"/>
      <c r="BM1024" s="215"/>
      <c r="BN1024" s="125">
        <f t="shared" si="332"/>
        <v>8.9499999999999993</v>
      </c>
      <c r="BO1024" s="126">
        <f t="shared" si="333"/>
        <v>0</v>
      </c>
      <c r="BP1024" s="127">
        <f t="shared" si="334"/>
        <v>9.75</v>
      </c>
    </row>
    <row r="1025" spans="1:68" s="230" customFormat="1" ht="21.75" customHeight="1" outlineLevel="6" x14ac:dyDescent="0.25">
      <c r="A1025" s="215"/>
      <c r="B1025" s="215"/>
      <c r="C1025" s="216"/>
      <c r="D1025" s="216"/>
      <c r="E1025" s="216"/>
      <c r="F1025" s="216"/>
      <c r="G1025" s="216"/>
      <c r="H1025" s="216"/>
      <c r="I1025" s="216"/>
      <c r="J1025" s="216"/>
      <c r="K1025" s="217"/>
      <c r="L1025" s="216"/>
      <c r="M1025" s="215"/>
      <c r="N1025" s="215"/>
      <c r="O1025" s="215"/>
      <c r="P1025" s="215"/>
      <c r="Q1025" s="215"/>
      <c r="R1025" s="215"/>
      <c r="S1025" s="215"/>
      <c r="T1025" s="215"/>
      <c r="U1025" s="215"/>
      <c r="V1025" s="215"/>
      <c r="W1025" s="215"/>
      <c r="X1025" s="215"/>
      <c r="Y1025" s="215"/>
      <c r="Z1025" s="215"/>
      <c r="AA1025" s="215"/>
      <c r="AB1025" s="218"/>
      <c r="AC1025" s="219" t="s">
        <v>382</v>
      </c>
      <c r="AD1025" s="657" t="s">
        <v>111</v>
      </c>
      <c r="AE1025" s="658">
        <f t="shared" ref="AE1025:BK1025" si="358">AE301+AE636</f>
        <v>8837.91</v>
      </c>
      <c r="AF1025" s="659">
        <f t="shared" si="358"/>
        <v>0</v>
      </c>
      <c r="AG1025" s="660">
        <f t="shared" si="358"/>
        <v>0</v>
      </c>
      <c r="AH1025" s="661">
        <f t="shared" si="358"/>
        <v>0</v>
      </c>
      <c r="AI1025" s="659">
        <f t="shared" si="358"/>
        <v>0</v>
      </c>
      <c r="AJ1025" s="660">
        <f t="shared" si="358"/>
        <v>0</v>
      </c>
      <c r="AK1025" s="658">
        <f t="shared" si="358"/>
        <v>0</v>
      </c>
      <c r="AL1025" s="659">
        <f t="shared" si="358"/>
        <v>0</v>
      </c>
      <c r="AM1025" s="660">
        <f t="shared" si="358"/>
        <v>182.2</v>
      </c>
      <c r="AN1025" s="658">
        <f t="shared" si="358"/>
        <v>0</v>
      </c>
      <c r="AO1025" s="659">
        <f t="shared" si="358"/>
        <v>46.43</v>
      </c>
      <c r="AP1025" s="660">
        <f t="shared" si="358"/>
        <v>98.86</v>
      </c>
      <c r="AQ1025" s="658">
        <f t="shared" si="358"/>
        <v>0</v>
      </c>
      <c r="AR1025" s="659">
        <f t="shared" si="358"/>
        <v>0</v>
      </c>
      <c r="AS1025" s="660">
        <f t="shared" si="358"/>
        <v>21.370000000000005</v>
      </c>
      <c r="AT1025" s="658">
        <f t="shared" si="358"/>
        <v>0</v>
      </c>
      <c r="AU1025" s="659">
        <f t="shared" si="358"/>
        <v>0</v>
      </c>
      <c r="AV1025" s="660">
        <f t="shared" si="358"/>
        <v>0</v>
      </c>
      <c r="AW1025" s="658">
        <f t="shared" si="358"/>
        <v>0</v>
      </c>
      <c r="AX1025" s="659">
        <f t="shared" si="358"/>
        <v>0</v>
      </c>
      <c r="AY1025" s="660">
        <f t="shared" si="358"/>
        <v>0</v>
      </c>
      <c r="AZ1025" s="658">
        <f t="shared" si="358"/>
        <v>0</v>
      </c>
      <c r="BA1025" s="659">
        <f t="shared" si="358"/>
        <v>131.83000000000001</v>
      </c>
      <c r="BB1025" s="660">
        <f t="shared" si="358"/>
        <v>99.944000000000003</v>
      </c>
      <c r="BC1025" s="658">
        <f t="shared" si="358"/>
        <v>11.83</v>
      </c>
      <c r="BD1025" s="659">
        <f t="shared" si="358"/>
        <v>0</v>
      </c>
      <c r="BE1025" s="660">
        <f t="shared" si="358"/>
        <v>15</v>
      </c>
      <c r="BF1025" s="658">
        <f t="shared" si="358"/>
        <v>0</v>
      </c>
      <c r="BG1025" s="659">
        <f t="shared" si="358"/>
        <v>0</v>
      </c>
      <c r="BH1025" s="660">
        <f t="shared" si="358"/>
        <v>17.87</v>
      </c>
      <c r="BI1025" s="658">
        <f t="shared" si="358"/>
        <v>0</v>
      </c>
      <c r="BJ1025" s="659">
        <f t="shared" si="358"/>
        <v>0</v>
      </c>
      <c r="BK1025" s="660">
        <f t="shared" si="358"/>
        <v>54.29</v>
      </c>
      <c r="BL1025" s="229"/>
      <c r="BM1025" s="215"/>
      <c r="BN1025" s="125">
        <f t="shared" si="332"/>
        <v>8849.74</v>
      </c>
      <c r="BO1025" s="126">
        <f t="shared" si="333"/>
        <v>178.26000000000002</v>
      </c>
      <c r="BP1025" s="127">
        <f t="shared" si="334"/>
        <v>489.53400000000005</v>
      </c>
    </row>
    <row r="1026" spans="1:68" s="230" customFormat="1" ht="21.75" customHeight="1" outlineLevel="6" x14ac:dyDescent="0.25">
      <c r="A1026" s="215"/>
      <c r="B1026" s="215"/>
      <c r="C1026" s="216"/>
      <c r="D1026" s="216"/>
      <c r="E1026" s="216"/>
      <c r="F1026" s="216"/>
      <c r="G1026" s="216"/>
      <c r="H1026" s="216"/>
      <c r="I1026" s="216"/>
      <c r="J1026" s="216"/>
      <c r="K1026" s="217"/>
      <c r="L1026" s="216"/>
      <c r="M1026" s="215"/>
      <c r="N1026" s="215"/>
      <c r="O1026" s="215"/>
      <c r="P1026" s="215"/>
      <c r="Q1026" s="215"/>
      <c r="R1026" s="215"/>
      <c r="S1026" s="215"/>
      <c r="T1026" s="215"/>
      <c r="U1026" s="215"/>
      <c r="V1026" s="215"/>
      <c r="W1026" s="215"/>
      <c r="X1026" s="215"/>
      <c r="Y1026" s="215"/>
      <c r="Z1026" s="215"/>
      <c r="AA1026" s="215"/>
      <c r="AB1026" s="218"/>
      <c r="AC1026" s="219" t="s">
        <v>383</v>
      </c>
      <c r="AD1026" s="657" t="s">
        <v>111</v>
      </c>
      <c r="AE1026" s="662">
        <f t="shared" ref="AE1026:BK1026" si="359">AE302</f>
        <v>0</v>
      </c>
      <c r="AF1026" s="659">
        <f t="shared" si="359"/>
        <v>0</v>
      </c>
      <c r="AG1026" s="663">
        <f t="shared" si="359"/>
        <v>0</v>
      </c>
      <c r="AH1026" s="661">
        <f t="shared" si="359"/>
        <v>0</v>
      </c>
      <c r="AI1026" s="659">
        <f t="shared" si="359"/>
        <v>0</v>
      </c>
      <c r="AJ1026" s="660">
        <f t="shared" si="359"/>
        <v>0</v>
      </c>
      <c r="AK1026" s="658">
        <f t="shared" si="359"/>
        <v>0</v>
      </c>
      <c r="AL1026" s="659">
        <f t="shared" si="359"/>
        <v>0</v>
      </c>
      <c r="AM1026" s="660">
        <f t="shared" si="359"/>
        <v>250.97</v>
      </c>
      <c r="AN1026" s="658">
        <f t="shared" si="359"/>
        <v>0</v>
      </c>
      <c r="AO1026" s="659">
        <f t="shared" si="359"/>
        <v>0</v>
      </c>
      <c r="AP1026" s="660">
        <f t="shared" si="359"/>
        <v>21.13</v>
      </c>
      <c r="AQ1026" s="658">
        <f t="shared" si="359"/>
        <v>0</v>
      </c>
      <c r="AR1026" s="659">
        <f t="shared" si="359"/>
        <v>0</v>
      </c>
      <c r="AS1026" s="660">
        <f t="shared" si="359"/>
        <v>13.39</v>
      </c>
      <c r="AT1026" s="658">
        <f t="shared" si="359"/>
        <v>0</v>
      </c>
      <c r="AU1026" s="659">
        <f t="shared" si="359"/>
        <v>0</v>
      </c>
      <c r="AV1026" s="660">
        <f t="shared" si="359"/>
        <v>0</v>
      </c>
      <c r="AW1026" s="658">
        <f t="shared" si="359"/>
        <v>0</v>
      </c>
      <c r="AX1026" s="659">
        <f t="shared" si="359"/>
        <v>0</v>
      </c>
      <c r="AY1026" s="660">
        <f t="shared" si="359"/>
        <v>0</v>
      </c>
      <c r="AZ1026" s="658">
        <f t="shared" si="359"/>
        <v>0</v>
      </c>
      <c r="BA1026" s="659">
        <f t="shared" si="359"/>
        <v>0</v>
      </c>
      <c r="BB1026" s="660">
        <f t="shared" si="359"/>
        <v>0</v>
      </c>
      <c r="BC1026" s="658">
        <f t="shared" si="359"/>
        <v>0</v>
      </c>
      <c r="BD1026" s="659">
        <f t="shared" si="359"/>
        <v>0</v>
      </c>
      <c r="BE1026" s="660">
        <f t="shared" si="359"/>
        <v>0</v>
      </c>
      <c r="BF1026" s="664">
        <f t="shared" si="359"/>
        <v>0</v>
      </c>
      <c r="BG1026" s="665">
        <f t="shared" si="359"/>
        <v>0</v>
      </c>
      <c r="BH1026" s="666">
        <f t="shared" si="359"/>
        <v>17.87</v>
      </c>
      <c r="BI1026" s="664">
        <f t="shared" si="359"/>
        <v>0</v>
      </c>
      <c r="BJ1026" s="665">
        <f t="shared" si="359"/>
        <v>0</v>
      </c>
      <c r="BK1026" s="666">
        <f t="shared" si="359"/>
        <v>54.29</v>
      </c>
      <c r="BL1026" s="229"/>
      <c r="BM1026" s="215"/>
      <c r="BN1026" s="125">
        <f t="shared" si="332"/>
        <v>0</v>
      </c>
      <c r="BO1026" s="126">
        <f t="shared" si="333"/>
        <v>0</v>
      </c>
      <c r="BP1026" s="127">
        <f t="shared" si="334"/>
        <v>357.65000000000003</v>
      </c>
    </row>
    <row r="1027" spans="1:68" s="246" customFormat="1" ht="21.75" customHeight="1" outlineLevel="6" x14ac:dyDescent="0.25">
      <c r="A1027" s="229"/>
      <c r="B1027" s="229"/>
      <c r="C1027" s="242"/>
      <c r="D1027" s="242"/>
      <c r="E1027" s="242"/>
      <c r="F1027" s="242"/>
      <c r="G1027" s="242"/>
      <c r="H1027" s="242"/>
      <c r="I1027" s="242"/>
      <c r="J1027" s="242"/>
      <c r="K1027" s="243"/>
      <c r="L1027" s="242"/>
      <c r="M1027" s="229"/>
      <c r="N1027" s="229"/>
      <c r="O1027" s="229"/>
      <c r="P1027" s="229"/>
      <c r="Q1027" s="229"/>
      <c r="R1027" s="229"/>
      <c r="S1027" s="229"/>
      <c r="T1027" s="229"/>
      <c r="U1027" s="229"/>
      <c r="V1027" s="229"/>
      <c r="W1027" s="229"/>
      <c r="X1027" s="229"/>
      <c r="Y1027" s="229"/>
      <c r="Z1027" s="229"/>
      <c r="AA1027" s="229"/>
      <c r="AB1027" s="667"/>
      <c r="AC1027" s="219" t="s">
        <v>384</v>
      </c>
      <c r="AD1027" s="657" t="s">
        <v>111</v>
      </c>
      <c r="AE1027" s="658">
        <f t="shared" ref="AE1027:BK1027" si="360">AE303+AE639</f>
        <v>3192.8099999999995</v>
      </c>
      <c r="AF1027" s="659">
        <f t="shared" si="360"/>
        <v>2222.8599999999997</v>
      </c>
      <c r="AG1027" s="660">
        <f t="shared" si="360"/>
        <v>2774.3140000000003</v>
      </c>
      <c r="AH1027" s="661">
        <f t="shared" si="360"/>
        <v>128.4</v>
      </c>
      <c r="AI1027" s="659">
        <f t="shared" si="360"/>
        <v>0</v>
      </c>
      <c r="AJ1027" s="660">
        <f t="shared" si="360"/>
        <v>138.76599999999999</v>
      </c>
      <c r="AK1027" s="658">
        <f t="shared" si="360"/>
        <v>78.7</v>
      </c>
      <c r="AL1027" s="659">
        <f t="shared" si="360"/>
        <v>0</v>
      </c>
      <c r="AM1027" s="660">
        <f t="shared" si="360"/>
        <v>161.57</v>
      </c>
      <c r="AN1027" s="658">
        <f t="shared" si="360"/>
        <v>70.17</v>
      </c>
      <c r="AO1027" s="659">
        <f t="shared" si="360"/>
        <v>32.29</v>
      </c>
      <c r="AP1027" s="660">
        <f t="shared" si="360"/>
        <v>39.989999999999995</v>
      </c>
      <c r="AQ1027" s="658">
        <f t="shared" si="360"/>
        <v>9.9</v>
      </c>
      <c r="AR1027" s="659">
        <f t="shared" si="360"/>
        <v>0</v>
      </c>
      <c r="AS1027" s="660">
        <f t="shared" si="360"/>
        <v>70.08</v>
      </c>
      <c r="AT1027" s="658">
        <f t="shared" si="360"/>
        <v>93.81</v>
      </c>
      <c r="AU1027" s="659">
        <f t="shared" si="360"/>
        <v>0</v>
      </c>
      <c r="AV1027" s="660">
        <f t="shared" si="360"/>
        <v>70.2</v>
      </c>
      <c r="AW1027" s="658">
        <f t="shared" si="360"/>
        <v>143.38299999999998</v>
      </c>
      <c r="AX1027" s="659">
        <f t="shared" si="360"/>
        <v>0</v>
      </c>
      <c r="AY1027" s="660">
        <f t="shared" si="360"/>
        <v>157.76</v>
      </c>
      <c r="AZ1027" s="658">
        <f t="shared" si="360"/>
        <v>127.11000000000001</v>
      </c>
      <c r="BA1027" s="659">
        <f t="shared" si="360"/>
        <v>79.02</v>
      </c>
      <c r="BB1027" s="660">
        <f t="shared" si="360"/>
        <v>139.84100000000001</v>
      </c>
      <c r="BC1027" s="658">
        <f t="shared" si="360"/>
        <v>37.17</v>
      </c>
      <c r="BD1027" s="659">
        <f t="shared" si="360"/>
        <v>0</v>
      </c>
      <c r="BE1027" s="660">
        <f t="shared" si="360"/>
        <v>177.62</v>
      </c>
      <c r="BF1027" s="658">
        <f t="shared" si="360"/>
        <v>9.9</v>
      </c>
      <c r="BG1027" s="659">
        <f t="shared" si="360"/>
        <v>0</v>
      </c>
      <c r="BH1027" s="660">
        <f t="shared" si="360"/>
        <v>10.9</v>
      </c>
      <c r="BI1027" s="658">
        <f t="shared" si="360"/>
        <v>56.01</v>
      </c>
      <c r="BJ1027" s="659">
        <f t="shared" si="360"/>
        <v>0</v>
      </c>
      <c r="BK1027" s="660">
        <f t="shared" si="360"/>
        <v>116.4</v>
      </c>
      <c r="BL1027" s="229"/>
      <c r="BM1027" s="229"/>
      <c r="BN1027" s="125">
        <f t="shared" si="332"/>
        <v>3947.3629999999998</v>
      </c>
      <c r="BO1027" s="126">
        <f t="shared" si="333"/>
        <v>2334.1699999999996</v>
      </c>
      <c r="BP1027" s="127">
        <f t="shared" si="334"/>
        <v>3857.4410000000003</v>
      </c>
    </row>
    <row r="1028" spans="1:68" s="230" customFormat="1" ht="21.75" customHeight="1" outlineLevel="6" x14ac:dyDescent="0.25">
      <c r="A1028" s="215"/>
      <c r="B1028" s="215"/>
      <c r="C1028" s="216"/>
      <c r="D1028" s="216"/>
      <c r="E1028" s="216"/>
      <c r="F1028" s="216"/>
      <c r="G1028" s="216"/>
      <c r="H1028" s="216"/>
      <c r="I1028" s="216"/>
      <c r="J1028" s="216"/>
      <c r="K1028" s="217"/>
      <c r="L1028" s="216"/>
      <c r="M1028" s="215"/>
      <c r="N1028" s="215"/>
      <c r="O1028" s="215"/>
      <c r="P1028" s="215"/>
      <c r="Q1028" s="215"/>
      <c r="R1028" s="215"/>
      <c r="S1028" s="215"/>
      <c r="T1028" s="215"/>
      <c r="U1028" s="215"/>
      <c r="V1028" s="215"/>
      <c r="W1028" s="215"/>
      <c r="X1028" s="215"/>
      <c r="Y1028" s="215"/>
      <c r="Z1028" s="215"/>
      <c r="AA1028" s="215"/>
      <c r="AB1028" s="218"/>
      <c r="AC1028" s="219" t="s">
        <v>385</v>
      </c>
      <c r="AD1028" s="657" t="s">
        <v>111</v>
      </c>
      <c r="AE1028" s="658">
        <f t="shared" ref="AE1028:BK1028" si="361">AE304+AE633</f>
        <v>535.04999999999995</v>
      </c>
      <c r="AF1028" s="659">
        <f t="shared" si="361"/>
        <v>0</v>
      </c>
      <c r="AG1028" s="660">
        <f t="shared" si="361"/>
        <v>0</v>
      </c>
      <c r="AH1028" s="661">
        <f t="shared" si="361"/>
        <v>0</v>
      </c>
      <c r="AI1028" s="659">
        <f t="shared" si="361"/>
        <v>0</v>
      </c>
      <c r="AJ1028" s="660">
        <f t="shared" si="361"/>
        <v>0</v>
      </c>
      <c r="AK1028" s="658">
        <f t="shared" si="361"/>
        <v>15.26</v>
      </c>
      <c r="AL1028" s="659">
        <f t="shared" si="361"/>
        <v>0</v>
      </c>
      <c r="AM1028" s="660">
        <f t="shared" si="361"/>
        <v>16.510000000000002</v>
      </c>
      <c r="AN1028" s="658">
        <f t="shared" si="361"/>
        <v>35.550000000000004</v>
      </c>
      <c r="AO1028" s="659">
        <f t="shared" si="361"/>
        <v>32</v>
      </c>
      <c r="AP1028" s="660">
        <f t="shared" si="361"/>
        <v>38.449999999999996</v>
      </c>
      <c r="AQ1028" s="658">
        <f t="shared" si="361"/>
        <v>7.4499999999999993</v>
      </c>
      <c r="AR1028" s="659">
        <f t="shared" si="361"/>
        <v>0</v>
      </c>
      <c r="AS1028" s="660">
        <f t="shared" si="361"/>
        <v>8.06</v>
      </c>
      <c r="AT1028" s="658">
        <f t="shared" si="361"/>
        <v>39.089999999999996</v>
      </c>
      <c r="AU1028" s="659">
        <f t="shared" si="361"/>
        <v>0</v>
      </c>
      <c r="AV1028" s="660">
        <f t="shared" si="361"/>
        <v>39.441000000000003</v>
      </c>
      <c r="AW1028" s="658">
        <f t="shared" si="361"/>
        <v>10.794</v>
      </c>
      <c r="AX1028" s="659">
        <f t="shared" si="361"/>
        <v>0</v>
      </c>
      <c r="AY1028" s="660">
        <f t="shared" si="361"/>
        <v>11.675000000000001</v>
      </c>
      <c r="AZ1028" s="658">
        <f t="shared" si="361"/>
        <v>85.98</v>
      </c>
      <c r="BA1028" s="659">
        <f t="shared" si="361"/>
        <v>0</v>
      </c>
      <c r="BB1028" s="660">
        <f t="shared" si="361"/>
        <v>92.997</v>
      </c>
      <c r="BC1028" s="658">
        <f t="shared" si="361"/>
        <v>74.44</v>
      </c>
      <c r="BD1028" s="659">
        <f t="shared" si="361"/>
        <v>34</v>
      </c>
      <c r="BE1028" s="660">
        <f t="shared" si="361"/>
        <v>130</v>
      </c>
      <c r="BF1028" s="658">
        <f t="shared" si="361"/>
        <v>2.98</v>
      </c>
      <c r="BG1028" s="659">
        <f t="shared" si="361"/>
        <v>1.43</v>
      </c>
      <c r="BH1028" s="660">
        <f t="shared" si="361"/>
        <v>3.22</v>
      </c>
      <c r="BI1028" s="658">
        <f t="shared" si="361"/>
        <v>6.52</v>
      </c>
      <c r="BJ1028" s="659">
        <f t="shared" si="361"/>
        <v>6.0299999999999994</v>
      </c>
      <c r="BK1028" s="660">
        <f t="shared" si="361"/>
        <v>7.04</v>
      </c>
      <c r="BL1028" s="229"/>
      <c r="BM1028" s="215"/>
      <c r="BN1028" s="125">
        <f t="shared" si="332"/>
        <v>813.11400000000003</v>
      </c>
      <c r="BO1028" s="126">
        <f t="shared" si="333"/>
        <v>73.460000000000008</v>
      </c>
      <c r="BP1028" s="127">
        <f t="shared" si="334"/>
        <v>347.39300000000003</v>
      </c>
    </row>
    <row r="1029" spans="1:68" s="230" customFormat="1" ht="21.75" hidden="1" customHeight="1" outlineLevel="6" x14ac:dyDescent="0.25">
      <c r="A1029" s="215"/>
      <c r="B1029" s="215"/>
      <c r="C1029" s="216"/>
      <c r="D1029" s="216"/>
      <c r="E1029" s="216"/>
      <c r="F1029" s="216"/>
      <c r="G1029" s="216"/>
      <c r="H1029" s="216"/>
      <c r="I1029" s="216"/>
      <c r="J1029" s="216"/>
      <c r="K1029" s="217"/>
      <c r="L1029" s="216"/>
      <c r="M1029" s="215"/>
      <c r="N1029" s="215"/>
      <c r="O1029" s="215"/>
      <c r="P1029" s="215"/>
      <c r="Q1029" s="215"/>
      <c r="R1029" s="215"/>
      <c r="S1029" s="215"/>
      <c r="T1029" s="215"/>
      <c r="U1029" s="215"/>
      <c r="V1029" s="215"/>
      <c r="W1029" s="215"/>
      <c r="X1029" s="215"/>
      <c r="Y1029" s="215"/>
      <c r="Z1029" s="215"/>
      <c r="AA1029" s="215"/>
      <c r="AB1029" s="218"/>
      <c r="AC1029" s="219" t="s">
        <v>386</v>
      </c>
      <c r="AD1029" s="657" t="s">
        <v>111</v>
      </c>
      <c r="AE1029" s="658"/>
      <c r="AF1029" s="659"/>
      <c r="AG1029" s="660"/>
      <c r="AH1029" s="661"/>
      <c r="AI1029" s="659"/>
      <c r="AJ1029" s="660"/>
      <c r="AK1029" s="658"/>
      <c r="AL1029" s="659"/>
      <c r="AM1029" s="660"/>
      <c r="AN1029" s="658"/>
      <c r="AO1029" s="659"/>
      <c r="AP1029" s="660"/>
      <c r="AQ1029" s="658"/>
      <c r="AR1029" s="659"/>
      <c r="AS1029" s="660"/>
      <c r="AT1029" s="658"/>
      <c r="AU1029" s="659"/>
      <c r="AV1029" s="660"/>
      <c r="AW1029" s="658"/>
      <c r="AX1029" s="659"/>
      <c r="AY1029" s="660"/>
      <c r="AZ1029" s="658"/>
      <c r="BA1029" s="659"/>
      <c r="BB1029" s="660"/>
      <c r="BC1029" s="658"/>
      <c r="BD1029" s="659"/>
      <c r="BE1029" s="660"/>
      <c r="BF1029" s="658"/>
      <c r="BG1029" s="659"/>
      <c r="BH1029" s="660"/>
      <c r="BI1029" s="658"/>
      <c r="BJ1029" s="659"/>
      <c r="BK1029" s="660"/>
      <c r="BL1029" s="229"/>
      <c r="BM1029" s="215"/>
      <c r="BN1029" s="125">
        <f t="shared" si="332"/>
        <v>0</v>
      </c>
      <c r="BO1029" s="126">
        <f t="shared" si="333"/>
        <v>0</v>
      </c>
      <c r="BP1029" s="127">
        <f t="shared" si="334"/>
        <v>0</v>
      </c>
    </row>
    <row r="1030" spans="1:68" s="230" customFormat="1" ht="21.75" customHeight="1" outlineLevel="6" x14ac:dyDescent="0.25">
      <c r="A1030" s="215"/>
      <c r="B1030" s="215"/>
      <c r="C1030" s="216"/>
      <c r="D1030" s="216"/>
      <c r="E1030" s="216"/>
      <c r="F1030" s="216"/>
      <c r="G1030" s="216"/>
      <c r="H1030" s="216"/>
      <c r="I1030" s="216"/>
      <c r="J1030" s="216"/>
      <c r="K1030" s="217"/>
      <c r="L1030" s="216"/>
      <c r="M1030" s="215"/>
      <c r="N1030" s="215"/>
      <c r="O1030" s="215"/>
      <c r="P1030" s="215"/>
      <c r="Q1030" s="215"/>
      <c r="R1030" s="215"/>
      <c r="S1030" s="215"/>
      <c r="T1030" s="215"/>
      <c r="U1030" s="215"/>
      <c r="V1030" s="215"/>
      <c r="W1030" s="215"/>
      <c r="X1030" s="215"/>
      <c r="Y1030" s="215"/>
      <c r="Z1030" s="215"/>
      <c r="AA1030" s="215"/>
      <c r="AB1030" s="218"/>
      <c r="AC1030" s="219" t="s">
        <v>387</v>
      </c>
      <c r="AD1030" s="657" t="s">
        <v>111</v>
      </c>
      <c r="AE1030" s="662">
        <f t="shared" ref="AE1030:BK1030" si="362">AE306</f>
        <v>3092.17</v>
      </c>
      <c r="AF1030" s="659">
        <f t="shared" si="362"/>
        <v>1094.6099999999999</v>
      </c>
      <c r="AG1030" s="663">
        <f t="shared" si="362"/>
        <v>3092.17</v>
      </c>
      <c r="AH1030" s="661">
        <f t="shared" si="362"/>
        <v>0</v>
      </c>
      <c r="AI1030" s="659">
        <f t="shared" si="362"/>
        <v>0</v>
      </c>
      <c r="AJ1030" s="660">
        <f t="shared" si="362"/>
        <v>0</v>
      </c>
      <c r="AK1030" s="658">
        <f t="shared" si="362"/>
        <v>0</v>
      </c>
      <c r="AL1030" s="659">
        <f t="shared" si="362"/>
        <v>0</v>
      </c>
      <c r="AM1030" s="660">
        <f t="shared" si="362"/>
        <v>0</v>
      </c>
      <c r="AN1030" s="658">
        <f t="shared" si="362"/>
        <v>0</v>
      </c>
      <c r="AO1030" s="659">
        <f t="shared" si="362"/>
        <v>0</v>
      </c>
      <c r="AP1030" s="660">
        <f t="shared" si="362"/>
        <v>0</v>
      </c>
      <c r="AQ1030" s="658">
        <f t="shared" si="362"/>
        <v>0</v>
      </c>
      <c r="AR1030" s="659">
        <f t="shared" si="362"/>
        <v>0</v>
      </c>
      <c r="AS1030" s="660">
        <f t="shared" si="362"/>
        <v>0</v>
      </c>
      <c r="AT1030" s="658">
        <f t="shared" si="362"/>
        <v>0</v>
      </c>
      <c r="AU1030" s="659">
        <f t="shared" si="362"/>
        <v>0</v>
      </c>
      <c r="AV1030" s="660">
        <f t="shared" si="362"/>
        <v>0</v>
      </c>
      <c r="AW1030" s="658">
        <f t="shared" si="362"/>
        <v>0</v>
      </c>
      <c r="AX1030" s="659">
        <f t="shared" si="362"/>
        <v>0</v>
      </c>
      <c r="AY1030" s="660">
        <f t="shared" si="362"/>
        <v>0</v>
      </c>
      <c r="AZ1030" s="658">
        <f t="shared" si="362"/>
        <v>0</v>
      </c>
      <c r="BA1030" s="659">
        <f t="shared" si="362"/>
        <v>0</v>
      </c>
      <c r="BB1030" s="660">
        <f t="shared" si="362"/>
        <v>0</v>
      </c>
      <c r="BC1030" s="658">
        <f t="shared" si="362"/>
        <v>0</v>
      </c>
      <c r="BD1030" s="659">
        <f t="shared" si="362"/>
        <v>0</v>
      </c>
      <c r="BE1030" s="660">
        <f t="shared" si="362"/>
        <v>0</v>
      </c>
      <c r="BF1030" s="658">
        <f t="shared" si="362"/>
        <v>0</v>
      </c>
      <c r="BG1030" s="659">
        <f t="shared" si="362"/>
        <v>0</v>
      </c>
      <c r="BH1030" s="660">
        <f t="shared" si="362"/>
        <v>0</v>
      </c>
      <c r="BI1030" s="658">
        <f t="shared" si="362"/>
        <v>0</v>
      </c>
      <c r="BJ1030" s="659">
        <f t="shared" si="362"/>
        <v>0</v>
      </c>
      <c r="BK1030" s="660">
        <f t="shared" si="362"/>
        <v>0</v>
      </c>
      <c r="BL1030" s="229"/>
      <c r="BM1030" s="215"/>
      <c r="BN1030" s="125">
        <f t="shared" si="332"/>
        <v>3092.17</v>
      </c>
      <c r="BO1030" s="126">
        <f t="shared" si="333"/>
        <v>1094.6099999999999</v>
      </c>
      <c r="BP1030" s="127">
        <f t="shared" si="334"/>
        <v>3092.17</v>
      </c>
    </row>
    <row r="1031" spans="1:68" s="230" customFormat="1" ht="21.75" customHeight="1" outlineLevel="6" x14ac:dyDescent="0.25">
      <c r="A1031" s="215"/>
      <c r="B1031" s="215"/>
      <c r="C1031" s="216"/>
      <c r="D1031" s="216"/>
      <c r="E1031" s="216"/>
      <c r="F1031" s="216"/>
      <c r="G1031" s="216"/>
      <c r="H1031" s="216"/>
      <c r="I1031" s="216"/>
      <c r="J1031" s="216"/>
      <c r="K1031" s="217"/>
      <c r="L1031" s="216"/>
      <c r="M1031" s="215"/>
      <c r="N1031" s="215"/>
      <c r="O1031" s="215"/>
      <c r="P1031" s="215"/>
      <c r="Q1031" s="215"/>
      <c r="R1031" s="215"/>
      <c r="S1031" s="215"/>
      <c r="T1031" s="215"/>
      <c r="U1031" s="215"/>
      <c r="V1031" s="215"/>
      <c r="W1031" s="215"/>
      <c r="X1031" s="215"/>
      <c r="Y1031" s="215"/>
      <c r="Z1031" s="215"/>
      <c r="AA1031" s="215"/>
      <c r="AB1031" s="218"/>
      <c r="AC1031" s="219" t="s">
        <v>292</v>
      </c>
      <c r="AD1031" s="657" t="s">
        <v>111</v>
      </c>
      <c r="AE1031" s="645">
        <f t="shared" ref="AE1031:BK1031" si="363">AE307+AE640</f>
        <v>0</v>
      </c>
      <c r="AF1031" s="222">
        <f t="shared" si="363"/>
        <v>0</v>
      </c>
      <c r="AG1031" s="646">
        <f t="shared" si="363"/>
        <v>0</v>
      </c>
      <c r="AH1031" s="647">
        <f t="shared" si="363"/>
        <v>0</v>
      </c>
      <c r="AI1031" s="222">
        <f t="shared" si="363"/>
        <v>0</v>
      </c>
      <c r="AJ1031" s="646">
        <f t="shared" si="363"/>
        <v>0</v>
      </c>
      <c r="AK1031" s="645">
        <f t="shared" si="363"/>
        <v>0</v>
      </c>
      <c r="AL1031" s="222">
        <f t="shared" si="363"/>
        <v>0</v>
      </c>
      <c r="AM1031" s="646">
        <f t="shared" si="363"/>
        <v>0</v>
      </c>
      <c r="AN1031" s="645">
        <f t="shared" si="363"/>
        <v>0</v>
      </c>
      <c r="AO1031" s="222">
        <f t="shared" si="363"/>
        <v>0</v>
      </c>
      <c r="AP1031" s="646">
        <f t="shared" si="363"/>
        <v>0</v>
      </c>
      <c r="AQ1031" s="645">
        <f t="shared" si="363"/>
        <v>0</v>
      </c>
      <c r="AR1031" s="222">
        <f t="shared" si="363"/>
        <v>0</v>
      </c>
      <c r="AS1031" s="646">
        <f t="shared" si="363"/>
        <v>0</v>
      </c>
      <c r="AT1031" s="645">
        <f t="shared" si="363"/>
        <v>0</v>
      </c>
      <c r="AU1031" s="222">
        <f t="shared" si="363"/>
        <v>0</v>
      </c>
      <c r="AV1031" s="646">
        <f t="shared" si="363"/>
        <v>0</v>
      </c>
      <c r="AW1031" s="645">
        <f t="shared" si="363"/>
        <v>0</v>
      </c>
      <c r="AX1031" s="222">
        <f t="shared" si="363"/>
        <v>0</v>
      </c>
      <c r="AY1031" s="646">
        <f t="shared" si="363"/>
        <v>0</v>
      </c>
      <c r="AZ1031" s="645">
        <f t="shared" si="363"/>
        <v>0</v>
      </c>
      <c r="BA1031" s="222">
        <f t="shared" si="363"/>
        <v>0</v>
      </c>
      <c r="BB1031" s="646">
        <f t="shared" si="363"/>
        <v>0</v>
      </c>
      <c r="BC1031" s="645">
        <f t="shared" si="363"/>
        <v>0</v>
      </c>
      <c r="BD1031" s="222">
        <f t="shared" si="363"/>
        <v>0</v>
      </c>
      <c r="BE1031" s="646">
        <f t="shared" si="363"/>
        <v>0</v>
      </c>
      <c r="BF1031" s="645">
        <f t="shared" si="363"/>
        <v>0</v>
      </c>
      <c r="BG1031" s="222">
        <f t="shared" si="363"/>
        <v>0</v>
      </c>
      <c r="BH1031" s="646">
        <f t="shared" si="363"/>
        <v>0</v>
      </c>
      <c r="BI1031" s="645">
        <f t="shared" si="363"/>
        <v>96.960000000000008</v>
      </c>
      <c r="BJ1031" s="222">
        <f t="shared" si="363"/>
        <v>89.08</v>
      </c>
      <c r="BK1031" s="646">
        <f t="shared" si="363"/>
        <v>106.68</v>
      </c>
      <c r="BL1031" s="229"/>
      <c r="BM1031" s="215"/>
      <c r="BN1031" s="125">
        <f t="shared" si="332"/>
        <v>96.960000000000008</v>
      </c>
      <c r="BO1031" s="126">
        <f t="shared" si="333"/>
        <v>89.08</v>
      </c>
      <c r="BP1031" s="127">
        <f t="shared" si="334"/>
        <v>106.68</v>
      </c>
    </row>
    <row r="1032" spans="1:68" s="171" customFormat="1" ht="24" customHeight="1" outlineLevel="3" x14ac:dyDescent="0.25">
      <c r="A1032" s="166"/>
      <c r="B1032" s="166"/>
      <c r="C1032" s="167" t="s">
        <v>83</v>
      </c>
      <c r="D1032" s="167" t="s">
        <v>84</v>
      </c>
      <c r="E1032" s="167" t="s">
        <v>73</v>
      </c>
      <c r="F1032" s="167" t="s">
        <v>74</v>
      </c>
      <c r="G1032" s="167" t="s">
        <v>388</v>
      </c>
      <c r="H1032" s="167" t="s">
        <v>73</v>
      </c>
      <c r="I1032" s="167" t="s">
        <v>73</v>
      </c>
      <c r="J1032" s="167" t="s">
        <v>73</v>
      </c>
      <c r="K1032" s="168" t="s">
        <v>73</v>
      </c>
      <c r="L1032" s="167" t="s">
        <v>192</v>
      </c>
      <c r="M1032" s="166" t="str">
        <f t="array" ref="M1032">Y806</f>
        <v>1ХВС::1.1</v>
      </c>
      <c r="N1032" s="166"/>
      <c r="O1032" s="166"/>
      <c r="P1032" s="166"/>
      <c r="Q1032" s="166"/>
      <c r="R1032" s="166"/>
      <c r="S1032" s="166"/>
      <c r="T1032" s="166"/>
      <c r="U1032" s="166"/>
      <c r="V1032" s="166"/>
      <c r="W1032" s="166"/>
      <c r="X1032" s="166"/>
      <c r="Y1032" s="166"/>
      <c r="Z1032" s="166"/>
      <c r="AA1032" s="166"/>
      <c r="AB1032" s="623" t="str">
        <f>AB857&amp;".4"</f>
        <v>3.1.1.4</v>
      </c>
      <c r="AC1032" s="648" t="s">
        <v>389</v>
      </c>
      <c r="AD1032" s="625" t="s">
        <v>111</v>
      </c>
      <c r="AE1032" s="626">
        <f t="shared" ref="AE1032:BK1032" si="364">SUM(AE1033:AE1035)+SUM(AE1041:AE1045)</f>
        <v>155469.06871799999</v>
      </c>
      <c r="AF1032" s="627">
        <f t="shared" si="364"/>
        <v>151367.66999999998</v>
      </c>
      <c r="AG1032" s="628">
        <f t="shared" si="364"/>
        <v>192366.90432600002</v>
      </c>
      <c r="AH1032" s="649">
        <f t="shared" si="364"/>
        <v>0</v>
      </c>
      <c r="AI1032" s="627">
        <f t="shared" si="364"/>
        <v>0</v>
      </c>
      <c r="AJ1032" s="650">
        <f t="shared" si="364"/>
        <v>0</v>
      </c>
      <c r="AK1032" s="649">
        <f t="shared" si="364"/>
        <v>3630.5709999999999</v>
      </c>
      <c r="AL1032" s="627">
        <f t="shared" si="364"/>
        <v>0</v>
      </c>
      <c r="AM1032" s="650">
        <f t="shared" si="364"/>
        <v>4995.6592000000001</v>
      </c>
      <c r="AN1032" s="649">
        <f t="shared" si="364"/>
        <v>7473.0369999999994</v>
      </c>
      <c r="AO1032" s="627">
        <f t="shared" si="364"/>
        <v>41.8</v>
      </c>
      <c r="AP1032" s="650">
        <f t="shared" si="364"/>
        <v>7984.7780000000002</v>
      </c>
      <c r="AQ1032" s="649">
        <f t="shared" si="364"/>
        <v>4260.6949999999997</v>
      </c>
      <c r="AR1032" s="627">
        <f t="shared" si="364"/>
        <v>0</v>
      </c>
      <c r="AS1032" s="650">
        <f t="shared" si="364"/>
        <v>4355.6090000000004</v>
      </c>
      <c r="AT1032" s="649">
        <f t="shared" si="364"/>
        <v>6295.6959999999999</v>
      </c>
      <c r="AU1032" s="627">
        <f t="shared" si="364"/>
        <v>12054.63</v>
      </c>
      <c r="AV1032" s="650">
        <f t="shared" si="364"/>
        <v>12560.930999999999</v>
      </c>
      <c r="AW1032" s="649">
        <f t="shared" si="364"/>
        <v>4945.735952</v>
      </c>
      <c r="AX1032" s="627">
        <f t="shared" si="364"/>
        <v>0</v>
      </c>
      <c r="AY1032" s="650">
        <f t="shared" si="364"/>
        <v>6881.3340420000004</v>
      </c>
      <c r="AZ1032" s="649">
        <f t="shared" si="364"/>
        <v>9005.8765080000012</v>
      </c>
      <c r="BA1032" s="627">
        <f t="shared" si="364"/>
        <v>11453.873275</v>
      </c>
      <c r="BB1032" s="650">
        <f t="shared" si="364"/>
        <v>10926.635116000001</v>
      </c>
      <c r="BC1032" s="649">
        <f t="shared" si="364"/>
        <v>12521.338669999999</v>
      </c>
      <c r="BD1032" s="627">
        <f t="shared" si="364"/>
        <v>1348.9</v>
      </c>
      <c r="BE1032" s="650">
        <f t="shared" si="364"/>
        <v>14508.9344</v>
      </c>
      <c r="BF1032" s="649">
        <f t="shared" si="364"/>
        <v>638.65016000000003</v>
      </c>
      <c r="BG1032" s="627">
        <f t="shared" si="364"/>
        <v>95.69</v>
      </c>
      <c r="BH1032" s="650">
        <f t="shared" si="364"/>
        <v>778.05621999999994</v>
      </c>
      <c r="BI1032" s="655">
        <f t="shared" si="364"/>
        <v>3808.53</v>
      </c>
      <c r="BJ1032" s="627">
        <f t="shared" si="364"/>
        <v>266.73</v>
      </c>
      <c r="BK1032" s="650">
        <f t="shared" si="364"/>
        <v>4492.32</v>
      </c>
      <c r="BL1032" s="170"/>
      <c r="BM1032" s="166"/>
      <c r="BN1032" s="630">
        <f t="shared" si="332"/>
        <v>208049.199008</v>
      </c>
      <c r="BO1032" s="631">
        <f t="shared" si="333"/>
        <v>176629.29327499997</v>
      </c>
      <c r="BP1032" s="632">
        <f t="shared" si="334"/>
        <v>259851.16130400001</v>
      </c>
    </row>
    <row r="1033" spans="1:68" ht="30.75" hidden="1" customHeight="1" outlineLevel="4" x14ac:dyDescent="0.25">
      <c r="C1033" s="10" t="s">
        <v>83</v>
      </c>
      <c r="D1033" s="10" t="s">
        <v>84</v>
      </c>
      <c r="E1033" s="10" t="s">
        <v>73</v>
      </c>
      <c r="F1033" s="10" t="s">
        <v>74</v>
      </c>
      <c r="G1033" s="10" t="s">
        <v>390</v>
      </c>
      <c r="H1033" s="10" t="s">
        <v>73</v>
      </c>
      <c r="I1033" s="10" t="s">
        <v>73</v>
      </c>
      <c r="J1033" s="10" t="s">
        <v>73</v>
      </c>
      <c r="K1033" s="12" t="s">
        <v>73</v>
      </c>
      <c r="L1033" s="10" t="s">
        <v>73</v>
      </c>
      <c r="M1033" s="5" t="str">
        <f t="array" ref="M1033">Y806</f>
        <v>1ХВС::1.1</v>
      </c>
      <c r="AB1033" s="29" t="str">
        <f>AB1032&amp;".1"</f>
        <v>3.1.1.4.1</v>
      </c>
      <c r="AC1033" s="174" t="s">
        <v>390</v>
      </c>
      <c r="AD1033" s="370" t="s">
        <v>111</v>
      </c>
      <c r="AE1033" s="445"/>
      <c r="AF1033" s="178"/>
      <c r="AG1033" s="446"/>
      <c r="AH1033" s="187"/>
      <c r="AI1033" s="178"/>
      <c r="AJ1033" s="96"/>
      <c r="AK1033" s="187"/>
      <c r="AL1033" s="178"/>
      <c r="AM1033" s="96"/>
      <c r="AN1033" s="187"/>
      <c r="AO1033" s="178"/>
      <c r="AP1033" s="96"/>
      <c r="AQ1033" s="187"/>
      <c r="AR1033" s="178"/>
      <c r="AS1033" s="96"/>
      <c r="AT1033" s="187"/>
      <c r="AU1033" s="178"/>
      <c r="AV1033" s="96"/>
      <c r="AW1033" s="187"/>
      <c r="AX1033" s="178"/>
      <c r="AY1033" s="96"/>
      <c r="AZ1033" s="187"/>
      <c r="BA1033" s="178"/>
      <c r="BB1033" s="96"/>
      <c r="BC1033" s="187"/>
      <c r="BD1033" s="178"/>
      <c r="BE1033" s="96"/>
      <c r="BF1033" s="182"/>
      <c r="BG1033" s="183"/>
      <c r="BH1033" s="186"/>
      <c r="BI1033" s="185"/>
      <c r="BJ1033" s="183"/>
      <c r="BK1033" s="186"/>
      <c r="BN1033" s="125">
        <f t="shared" si="332"/>
        <v>0</v>
      </c>
      <c r="BO1033" s="126">
        <f t="shared" si="333"/>
        <v>0</v>
      </c>
      <c r="BP1033" s="127">
        <f t="shared" si="334"/>
        <v>0</v>
      </c>
    </row>
    <row r="1034" spans="1:68" ht="39" customHeight="1" outlineLevel="4" x14ac:dyDescent="0.25">
      <c r="C1034" s="10" t="s">
        <v>83</v>
      </c>
      <c r="D1034" s="10" t="s">
        <v>84</v>
      </c>
      <c r="E1034" s="10" t="s">
        <v>73</v>
      </c>
      <c r="F1034" s="10" t="s">
        <v>74</v>
      </c>
      <c r="G1034" s="10" t="s">
        <v>391</v>
      </c>
      <c r="H1034" s="10" t="s">
        <v>73</v>
      </c>
      <c r="I1034" s="10" t="s">
        <v>73</v>
      </c>
      <c r="J1034" s="10" t="s">
        <v>73</v>
      </c>
      <c r="K1034" s="12" t="s">
        <v>73</v>
      </c>
      <c r="L1034" s="10" t="s">
        <v>73</v>
      </c>
      <c r="M1034" s="5" t="str">
        <f t="array" ref="M1034">Y806</f>
        <v>1ХВС::1.1</v>
      </c>
      <c r="AB1034" s="29" t="str">
        <f>AB1032&amp;".2"</f>
        <v>3.1.1.4.2</v>
      </c>
      <c r="AC1034" s="174" t="s">
        <v>391</v>
      </c>
      <c r="AD1034" s="370" t="s">
        <v>111</v>
      </c>
      <c r="AE1034" s="445">
        <f t="shared" ref="AE1034:BK1034" si="365">AE310+AE643</f>
        <v>0</v>
      </c>
      <c r="AF1034" s="178">
        <f t="shared" si="365"/>
        <v>0</v>
      </c>
      <c r="AG1034" s="446">
        <f t="shared" si="365"/>
        <v>1944.31</v>
      </c>
      <c r="AH1034" s="636">
        <f t="shared" si="365"/>
        <v>0</v>
      </c>
      <c r="AI1034" s="178">
        <f t="shared" si="365"/>
        <v>0</v>
      </c>
      <c r="AJ1034" s="446">
        <f t="shared" si="365"/>
        <v>0</v>
      </c>
      <c r="AK1034" s="445">
        <f t="shared" si="365"/>
        <v>0</v>
      </c>
      <c r="AL1034" s="178">
        <f t="shared" si="365"/>
        <v>0</v>
      </c>
      <c r="AM1034" s="446">
        <f t="shared" si="365"/>
        <v>0</v>
      </c>
      <c r="AN1034" s="445">
        <f t="shared" si="365"/>
        <v>0</v>
      </c>
      <c r="AO1034" s="178">
        <f t="shared" si="365"/>
        <v>0</v>
      </c>
      <c r="AP1034" s="446">
        <f t="shared" si="365"/>
        <v>0</v>
      </c>
      <c r="AQ1034" s="445">
        <f t="shared" si="365"/>
        <v>0</v>
      </c>
      <c r="AR1034" s="178">
        <f t="shared" si="365"/>
        <v>0</v>
      </c>
      <c r="AS1034" s="446">
        <f t="shared" si="365"/>
        <v>0</v>
      </c>
      <c r="AT1034" s="445">
        <f t="shared" si="365"/>
        <v>0</v>
      </c>
      <c r="AU1034" s="178">
        <f t="shared" si="365"/>
        <v>0</v>
      </c>
      <c r="AV1034" s="446">
        <f t="shared" si="365"/>
        <v>0</v>
      </c>
      <c r="AW1034" s="445">
        <f t="shared" si="365"/>
        <v>0</v>
      </c>
      <c r="AX1034" s="178">
        <f t="shared" si="365"/>
        <v>0</v>
      </c>
      <c r="AY1034" s="446">
        <f t="shared" si="365"/>
        <v>0</v>
      </c>
      <c r="AZ1034" s="445">
        <f t="shared" si="365"/>
        <v>0</v>
      </c>
      <c r="BA1034" s="178">
        <f t="shared" si="365"/>
        <v>0</v>
      </c>
      <c r="BB1034" s="446">
        <f t="shared" si="365"/>
        <v>0</v>
      </c>
      <c r="BC1034" s="445">
        <f t="shared" si="365"/>
        <v>0</v>
      </c>
      <c r="BD1034" s="178">
        <f t="shared" si="365"/>
        <v>0</v>
      </c>
      <c r="BE1034" s="446">
        <f t="shared" si="365"/>
        <v>0</v>
      </c>
      <c r="BF1034" s="445">
        <f t="shared" si="365"/>
        <v>0</v>
      </c>
      <c r="BG1034" s="178">
        <f t="shared" si="365"/>
        <v>0</v>
      </c>
      <c r="BH1034" s="446">
        <f t="shared" si="365"/>
        <v>0</v>
      </c>
      <c r="BI1034" s="445">
        <f t="shared" si="365"/>
        <v>0</v>
      </c>
      <c r="BJ1034" s="178">
        <f t="shared" si="365"/>
        <v>0</v>
      </c>
      <c r="BK1034" s="446">
        <f t="shared" si="365"/>
        <v>0</v>
      </c>
      <c r="BN1034" s="125">
        <f t="shared" si="332"/>
        <v>0</v>
      </c>
      <c r="BO1034" s="126">
        <f t="shared" si="333"/>
        <v>0</v>
      </c>
      <c r="BP1034" s="127">
        <f t="shared" si="334"/>
        <v>1944.31</v>
      </c>
    </row>
    <row r="1035" spans="1:68" ht="69.75" customHeight="1" outlineLevel="4" x14ac:dyDescent="0.25">
      <c r="C1035" s="10" t="s">
        <v>83</v>
      </c>
      <c r="D1035" s="10" t="s">
        <v>84</v>
      </c>
      <c r="E1035" s="10" t="s">
        <v>73</v>
      </c>
      <c r="F1035" s="10" t="s">
        <v>74</v>
      </c>
      <c r="G1035" s="10" t="s">
        <v>201</v>
      </c>
      <c r="H1035" s="10" t="s">
        <v>392</v>
      </c>
      <c r="I1035" s="10" t="s">
        <v>73</v>
      </c>
      <c r="J1035" s="10" t="s">
        <v>73</v>
      </c>
      <c r="K1035" s="12" t="s">
        <v>73</v>
      </c>
      <c r="L1035" s="10" t="s">
        <v>73</v>
      </c>
      <c r="M1035" s="5" t="str">
        <f t="array" ref="M1035">Y806</f>
        <v>1ХВС::1.1</v>
      </c>
      <c r="AB1035" s="29" t="str">
        <f>AB1032&amp;".3"</f>
        <v>3.1.1.4.3</v>
      </c>
      <c r="AC1035" s="174" t="s">
        <v>393</v>
      </c>
      <c r="AD1035" s="370" t="s">
        <v>111</v>
      </c>
      <c r="AE1035" s="175">
        <f t="shared" ref="AE1035:BK1035" si="366">AE1036+AE1039</f>
        <v>121681.676718</v>
      </c>
      <c r="AF1035" s="73">
        <f t="shared" si="366"/>
        <v>130530.87999999999</v>
      </c>
      <c r="AG1035" s="176">
        <f t="shared" si="366"/>
        <v>149100.27432600001</v>
      </c>
      <c r="AH1035" s="179">
        <f t="shared" si="366"/>
        <v>0</v>
      </c>
      <c r="AI1035" s="73">
        <f t="shared" si="366"/>
        <v>0</v>
      </c>
      <c r="AJ1035" s="74">
        <f t="shared" si="366"/>
        <v>0</v>
      </c>
      <c r="AK1035" s="179">
        <f t="shared" si="366"/>
        <v>2393.6509999999998</v>
      </c>
      <c r="AL1035" s="73">
        <f t="shared" si="366"/>
        <v>0</v>
      </c>
      <c r="AM1035" s="74">
        <f t="shared" si="366"/>
        <v>3496.0291999999999</v>
      </c>
      <c r="AN1035" s="179">
        <f t="shared" si="366"/>
        <v>5352.9169999999995</v>
      </c>
      <c r="AO1035" s="73">
        <f t="shared" si="366"/>
        <v>0</v>
      </c>
      <c r="AP1035" s="74">
        <f t="shared" si="366"/>
        <v>6251.6279999999997</v>
      </c>
      <c r="AQ1035" s="179">
        <f t="shared" si="366"/>
        <v>3951.2049999999999</v>
      </c>
      <c r="AR1035" s="73">
        <f t="shared" si="366"/>
        <v>0</v>
      </c>
      <c r="AS1035" s="74">
        <f t="shared" si="366"/>
        <v>3928.5990000000002</v>
      </c>
      <c r="AT1035" s="179">
        <f t="shared" si="366"/>
        <v>4469.5159999999996</v>
      </c>
      <c r="AU1035" s="73">
        <f t="shared" si="366"/>
        <v>10255.48</v>
      </c>
      <c r="AV1035" s="74">
        <f t="shared" si="366"/>
        <v>8535.110999999999</v>
      </c>
      <c r="AW1035" s="179">
        <f t="shared" si="366"/>
        <v>3546.0959520000001</v>
      </c>
      <c r="AX1035" s="73">
        <f t="shared" si="366"/>
        <v>0</v>
      </c>
      <c r="AY1035" s="74">
        <f t="shared" si="366"/>
        <v>5148.591042</v>
      </c>
      <c r="AZ1035" s="179">
        <f t="shared" si="366"/>
        <v>6603.2935080000007</v>
      </c>
      <c r="BA1035" s="73">
        <f t="shared" si="366"/>
        <v>7263.2232750000003</v>
      </c>
      <c r="BB1035" s="74">
        <f t="shared" si="366"/>
        <v>7675.3351160000002</v>
      </c>
      <c r="BC1035" s="179">
        <f t="shared" si="366"/>
        <v>8726.2810599999993</v>
      </c>
      <c r="BD1035" s="73">
        <f t="shared" si="366"/>
        <v>0</v>
      </c>
      <c r="BE1035" s="74">
        <f t="shared" si="366"/>
        <v>9601.6975999999995</v>
      </c>
      <c r="BF1035" s="179">
        <f t="shared" si="366"/>
        <v>510.59616000000005</v>
      </c>
      <c r="BG1035" s="73">
        <f t="shared" si="366"/>
        <v>0</v>
      </c>
      <c r="BH1035" s="74">
        <f t="shared" si="366"/>
        <v>603.11622</v>
      </c>
      <c r="BI1035" s="72">
        <f t="shared" si="366"/>
        <v>3120.82</v>
      </c>
      <c r="BJ1035" s="73">
        <f t="shared" si="366"/>
        <v>0</v>
      </c>
      <c r="BK1035" s="74">
        <f t="shared" si="366"/>
        <v>3689.69</v>
      </c>
      <c r="BN1035" s="125">
        <f t="shared" si="332"/>
        <v>160356.052398</v>
      </c>
      <c r="BO1035" s="126">
        <f t="shared" si="333"/>
        <v>148049.58327499998</v>
      </c>
      <c r="BP1035" s="127">
        <f t="shared" si="334"/>
        <v>198030.07150399996</v>
      </c>
    </row>
    <row r="1036" spans="1:68" ht="21" customHeight="1" outlineLevel="4" x14ac:dyDescent="0.25">
      <c r="C1036" s="10" t="s">
        <v>394</v>
      </c>
      <c r="D1036" s="10" t="s">
        <v>84</v>
      </c>
      <c r="F1036" s="10" t="s">
        <v>74</v>
      </c>
      <c r="G1036" s="77" t="str">
        <f t="array" ref="G1036">AC1036</f>
        <v>Заработная плата всего</v>
      </c>
      <c r="H1036" s="10" t="s">
        <v>73</v>
      </c>
      <c r="I1036" s="10" t="s">
        <v>73</v>
      </c>
      <c r="J1036" s="10" t="s">
        <v>73</v>
      </c>
      <c r="L1036" s="10" t="s">
        <v>73</v>
      </c>
      <c r="M1036" s="5" t="str">
        <f t="array" ref="M1036">Y806</f>
        <v>1ХВС::1.1</v>
      </c>
      <c r="AB1036" s="29" t="str">
        <f>AB1035&amp;".1"</f>
        <v>3.1.1.4.3.1</v>
      </c>
      <c r="AC1036" s="177" t="s">
        <v>395</v>
      </c>
      <c r="AD1036" s="370" t="s">
        <v>111</v>
      </c>
      <c r="AE1036" s="445">
        <f t="shared" ref="AE1036:BK1036" si="367">AE312+AE645</f>
        <v>93457.509000000005</v>
      </c>
      <c r="AF1036" s="178">
        <f t="shared" si="367"/>
        <v>99540.65</v>
      </c>
      <c r="AG1036" s="446">
        <f t="shared" si="367"/>
        <v>113763.223</v>
      </c>
      <c r="AH1036" s="636">
        <f t="shared" si="367"/>
        <v>0</v>
      </c>
      <c r="AI1036" s="178">
        <f t="shared" si="367"/>
        <v>0</v>
      </c>
      <c r="AJ1036" s="446">
        <f t="shared" si="367"/>
        <v>0</v>
      </c>
      <c r="AK1036" s="445">
        <f t="shared" si="367"/>
        <v>1838.441</v>
      </c>
      <c r="AL1036" s="178">
        <f t="shared" si="367"/>
        <v>0</v>
      </c>
      <c r="AM1036" s="446">
        <f t="shared" si="367"/>
        <v>2685.1192000000001</v>
      </c>
      <c r="AN1036" s="445">
        <f t="shared" si="367"/>
        <v>4111.3069999999998</v>
      </c>
      <c r="AO1036" s="178">
        <f t="shared" si="367"/>
        <v>0</v>
      </c>
      <c r="AP1036" s="446">
        <f t="shared" si="367"/>
        <v>4801.558</v>
      </c>
      <c r="AQ1036" s="445">
        <f t="shared" si="367"/>
        <v>3034.7249999999999</v>
      </c>
      <c r="AR1036" s="178">
        <f t="shared" si="367"/>
        <v>0</v>
      </c>
      <c r="AS1036" s="446">
        <f t="shared" si="367"/>
        <v>3017.3589999999999</v>
      </c>
      <c r="AT1036" s="445">
        <f t="shared" si="367"/>
        <v>3432.8059999999996</v>
      </c>
      <c r="AU1036" s="178">
        <f t="shared" si="367"/>
        <v>7876.7199999999993</v>
      </c>
      <c r="AV1036" s="446">
        <f t="shared" si="367"/>
        <v>6555.3809999999994</v>
      </c>
      <c r="AW1036" s="445">
        <f t="shared" si="367"/>
        <v>2723.576</v>
      </c>
      <c r="AX1036" s="178">
        <f t="shared" si="367"/>
        <v>0</v>
      </c>
      <c r="AY1036" s="446">
        <f t="shared" si="367"/>
        <v>3954.3710000000001</v>
      </c>
      <c r="AZ1036" s="445">
        <f t="shared" si="367"/>
        <v>5071.6540000000005</v>
      </c>
      <c r="BA1036" s="178">
        <f t="shared" si="367"/>
        <v>5578.5124999999998</v>
      </c>
      <c r="BB1036" s="446">
        <f t="shared" si="367"/>
        <v>5895.0398000000005</v>
      </c>
      <c r="BC1036" s="445">
        <f t="shared" si="367"/>
        <v>6702.2129999999997</v>
      </c>
      <c r="BD1036" s="178">
        <f t="shared" si="367"/>
        <v>0</v>
      </c>
      <c r="BE1036" s="446">
        <f t="shared" si="367"/>
        <v>7374.5776000000005</v>
      </c>
      <c r="BF1036" s="445">
        <f t="shared" si="367"/>
        <v>392.16</v>
      </c>
      <c r="BG1036" s="178">
        <f t="shared" si="367"/>
        <v>0</v>
      </c>
      <c r="BH1036" s="446">
        <f t="shared" si="367"/>
        <v>463.22</v>
      </c>
      <c r="BI1036" s="445">
        <f t="shared" si="367"/>
        <v>2396.94</v>
      </c>
      <c r="BJ1036" s="178">
        <f t="shared" si="367"/>
        <v>0</v>
      </c>
      <c r="BK1036" s="446">
        <f t="shared" si="367"/>
        <v>2833.86</v>
      </c>
      <c r="BN1036" s="125">
        <f t="shared" si="332"/>
        <v>123161.33100000002</v>
      </c>
      <c r="BO1036" s="126">
        <f t="shared" si="333"/>
        <v>112995.88249999999</v>
      </c>
      <c r="BP1036" s="127">
        <f t="shared" si="334"/>
        <v>151343.70859999998</v>
      </c>
    </row>
    <row r="1037" spans="1:68" s="115" customFormat="1" ht="14.25" customHeight="1" outlineLevel="4" x14ac:dyDescent="0.25">
      <c r="A1037" s="100"/>
      <c r="B1037" s="100"/>
      <c r="C1037" s="99" t="s">
        <v>206</v>
      </c>
      <c r="D1037" s="99" t="s">
        <v>207</v>
      </c>
      <c r="E1037" s="99" t="s">
        <v>73</v>
      </c>
      <c r="F1037" s="99" t="s">
        <v>74</v>
      </c>
      <c r="G1037" s="99" t="s">
        <v>73</v>
      </c>
      <c r="H1037" s="99" t="s">
        <v>73</v>
      </c>
      <c r="I1037" s="99" t="s">
        <v>73</v>
      </c>
      <c r="J1037" s="99" t="s">
        <v>73</v>
      </c>
      <c r="K1037" s="102" t="s">
        <v>73</v>
      </c>
      <c r="L1037" s="99" t="s">
        <v>73</v>
      </c>
      <c r="M1037" s="100" t="str">
        <f t="array" ref="M1037">Y806</f>
        <v>1ХВС::1.1</v>
      </c>
      <c r="N1037" s="100"/>
      <c r="O1037" s="100"/>
      <c r="P1037" s="100"/>
      <c r="Q1037" s="100"/>
      <c r="R1037" s="100"/>
      <c r="S1037" s="100"/>
      <c r="T1037" s="100"/>
      <c r="U1037" s="100"/>
      <c r="V1037" s="100"/>
      <c r="W1037" s="100"/>
      <c r="X1037" s="100"/>
      <c r="Y1037" s="100"/>
      <c r="Z1037" s="100"/>
      <c r="AA1037" s="100"/>
      <c r="AB1037" s="103" t="str">
        <f>AB1036&amp;".1"</f>
        <v>3.1.1.4.3.1.1</v>
      </c>
      <c r="AC1037" s="188" t="s">
        <v>208</v>
      </c>
      <c r="AD1037" s="637" t="s">
        <v>209</v>
      </c>
      <c r="AE1037" s="638">
        <f t="shared" ref="AE1037:BK1037" si="368">AE1036/AE1038/12*1000</f>
        <v>61958.040970564834</v>
      </c>
      <c r="AF1037" s="191">
        <f t="shared" si="368"/>
        <v>62604.182389937101</v>
      </c>
      <c r="AG1037" s="639">
        <f t="shared" si="368"/>
        <v>61962.539760348584</v>
      </c>
      <c r="AH1037" s="640" t="e">
        <f t="shared" si="368"/>
        <v>#DIV/0!</v>
      </c>
      <c r="AI1037" s="191" t="e">
        <f t="shared" si="368"/>
        <v>#DIV/0!</v>
      </c>
      <c r="AJ1037" s="192" t="e">
        <f t="shared" si="368"/>
        <v>#DIV/0!</v>
      </c>
      <c r="AK1037" s="640">
        <f t="shared" si="368"/>
        <v>52828.764367816089</v>
      </c>
      <c r="AL1037" s="191" t="e">
        <f t="shared" si="368"/>
        <v>#DIV/0!</v>
      </c>
      <c r="AM1037" s="192">
        <f t="shared" si="368"/>
        <v>48643.463768115944</v>
      </c>
      <c r="AN1037" s="640">
        <f t="shared" si="368"/>
        <v>54382.36772486772</v>
      </c>
      <c r="AO1037" s="191" t="e">
        <f t="shared" si="368"/>
        <v>#DIV/0!</v>
      </c>
      <c r="AP1037" s="192">
        <f t="shared" si="368"/>
        <v>50016.229166666672</v>
      </c>
      <c r="AQ1037" s="640">
        <f t="shared" si="368"/>
        <v>52686.197916666657</v>
      </c>
      <c r="AR1037" s="191" t="e">
        <f t="shared" si="368"/>
        <v>#DIV/0!</v>
      </c>
      <c r="AS1037" s="192">
        <f t="shared" si="368"/>
        <v>50289.316666666673</v>
      </c>
      <c r="AT1037" s="640">
        <f t="shared" si="368"/>
        <v>53974.937106918238</v>
      </c>
      <c r="AU1037" s="191">
        <f t="shared" si="368"/>
        <v>47946.91989286583</v>
      </c>
      <c r="AV1037" s="192">
        <f t="shared" si="368"/>
        <v>50117.591743119257</v>
      </c>
      <c r="AW1037" s="640">
        <f t="shared" si="368"/>
        <v>45392.933333333334</v>
      </c>
      <c r="AX1037" s="191" t="e">
        <f t="shared" si="368"/>
        <v>#DIV/0!</v>
      </c>
      <c r="AY1037" s="192">
        <f t="shared" si="368"/>
        <v>47075.845238095244</v>
      </c>
      <c r="AZ1037" s="640">
        <f t="shared" si="368"/>
        <v>46959.759259259263</v>
      </c>
      <c r="BA1037" s="191">
        <f t="shared" si="368"/>
        <v>46487.604166666664</v>
      </c>
      <c r="BB1037" s="192">
        <f t="shared" si="368"/>
        <v>49125.331666666672</v>
      </c>
      <c r="BC1037" s="640">
        <f t="shared" si="368"/>
        <v>43846.581095933434</v>
      </c>
      <c r="BD1037" s="191" t="e">
        <f t="shared" si="368"/>
        <v>#DIV/0!</v>
      </c>
      <c r="BE1037" s="192">
        <f t="shared" si="368"/>
        <v>48237.687074829926</v>
      </c>
      <c r="BF1037" s="194">
        <f t="shared" si="368"/>
        <v>39853.658536585368</v>
      </c>
      <c r="BG1037" s="195" t="e">
        <f t="shared" si="368"/>
        <v>#DIV/0!</v>
      </c>
      <c r="BH1037" s="198">
        <f t="shared" si="368"/>
        <v>38601.666666666664</v>
      </c>
      <c r="BI1037" s="197">
        <f t="shared" si="368"/>
        <v>39949.000000000007</v>
      </c>
      <c r="BJ1037" s="195" t="e">
        <f t="shared" si="368"/>
        <v>#DIV/0!</v>
      </c>
      <c r="BK1037" s="198">
        <f t="shared" si="368"/>
        <v>39359.166666666664</v>
      </c>
      <c r="BL1037" s="111"/>
      <c r="BM1037" s="100"/>
      <c r="BN1037" s="197">
        <f>BN1036/BN1038/12*1000</f>
        <v>57803.333277013706</v>
      </c>
      <c r="BO1037" s="195">
        <f>BO1036/BO1038/12*1000</f>
        <v>60287.621113174122</v>
      </c>
      <c r="BP1037" s="198">
        <f>BP1036/BP1038/12*1000</f>
        <v>57789.478173875839</v>
      </c>
    </row>
    <row r="1038" spans="1:68" s="115" customFormat="1" ht="14.25" customHeight="1" outlineLevel="4" x14ac:dyDescent="0.25">
      <c r="A1038" s="100"/>
      <c r="B1038" s="100"/>
      <c r="C1038" s="99" t="s">
        <v>210</v>
      </c>
      <c r="D1038" s="99" t="s">
        <v>211</v>
      </c>
      <c r="E1038" s="99" t="s">
        <v>73</v>
      </c>
      <c r="F1038" s="99" t="s">
        <v>74</v>
      </c>
      <c r="G1038" s="99" t="s">
        <v>73</v>
      </c>
      <c r="H1038" s="99" t="s">
        <v>73</v>
      </c>
      <c r="I1038" s="99" t="s">
        <v>73</v>
      </c>
      <c r="J1038" s="99" t="s">
        <v>73</v>
      </c>
      <c r="K1038" s="102" t="s">
        <v>73</v>
      </c>
      <c r="L1038" s="99" t="s">
        <v>73</v>
      </c>
      <c r="M1038" s="100" t="str">
        <f t="array" ref="M1038">Y806</f>
        <v>1ХВС::1.1</v>
      </c>
      <c r="N1038" s="100"/>
      <c r="O1038" s="100"/>
      <c r="P1038" s="100"/>
      <c r="Q1038" s="100"/>
      <c r="R1038" s="100"/>
      <c r="S1038" s="100"/>
      <c r="T1038" s="100"/>
      <c r="U1038" s="100"/>
      <c r="V1038" s="100"/>
      <c r="W1038" s="100"/>
      <c r="X1038" s="100"/>
      <c r="Y1038" s="100"/>
      <c r="Z1038" s="100"/>
      <c r="AA1038" s="100"/>
      <c r="AB1038" s="103" t="str">
        <f>AB1036&amp;".2"</f>
        <v>3.1.1.4.3.1.2</v>
      </c>
      <c r="AC1038" s="188" t="s">
        <v>212</v>
      </c>
      <c r="AD1038" s="637" t="s">
        <v>213</v>
      </c>
      <c r="AE1038" s="641">
        <f t="shared" ref="AE1038:BK1038" si="369">AE314+AE647</f>
        <v>125.7</v>
      </c>
      <c r="AF1038" s="200">
        <f t="shared" si="369"/>
        <v>132.5</v>
      </c>
      <c r="AG1038" s="642">
        <f t="shared" si="369"/>
        <v>153</v>
      </c>
      <c r="AH1038" s="643">
        <f t="shared" si="369"/>
        <v>0</v>
      </c>
      <c r="AI1038" s="200">
        <f t="shared" si="369"/>
        <v>0</v>
      </c>
      <c r="AJ1038" s="642">
        <f t="shared" si="369"/>
        <v>0</v>
      </c>
      <c r="AK1038" s="641">
        <f t="shared" si="369"/>
        <v>2.9</v>
      </c>
      <c r="AL1038" s="200">
        <f t="shared" si="369"/>
        <v>0</v>
      </c>
      <c r="AM1038" s="642">
        <f t="shared" si="369"/>
        <v>4.5999999999999996</v>
      </c>
      <c r="AN1038" s="641">
        <f t="shared" si="369"/>
        <v>6.3</v>
      </c>
      <c r="AO1038" s="200">
        <f t="shared" si="369"/>
        <v>0</v>
      </c>
      <c r="AP1038" s="642">
        <f t="shared" si="369"/>
        <v>8</v>
      </c>
      <c r="AQ1038" s="641">
        <f t="shared" si="369"/>
        <v>4.8000000000000007</v>
      </c>
      <c r="AR1038" s="200">
        <f t="shared" si="369"/>
        <v>0</v>
      </c>
      <c r="AS1038" s="642">
        <f t="shared" si="369"/>
        <v>5</v>
      </c>
      <c r="AT1038" s="641">
        <f t="shared" si="369"/>
        <v>5.3</v>
      </c>
      <c r="AU1038" s="200">
        <f t="shared" si="369"/>
        <v>13.690000000000001</v>
      </c>
      <c r="AV1038" s="642">
        <f t="shared" si="369"/>
        <v>10.9</v>
      </c>
      <c r="AW1038" s="641">
        <f t="shared" si="369"/>
        <v>5</v>
      </c>
      <c r="AX1038" s="200">
        <f t="shared" si="369"/>
        <v>0</v>
      </c>
      <c r="AY1038" s="642">
        <f t="shared" si="369"/>
        <v>7</v>
      </c>
      <c r="AZ1038" s="641">
        <f t="shared" si="369"/>
        <v>9</v>
      </c>
      <c r="BA1038" s="200">
        <f t="shared" si="369"/>
        <v>10</v>
      </c>
      <c r="BB1038" s="642">
        <f t="shared" si="369"/>
        <v>10</v>
      </c>
      <c r="BC1038" s="641">
        <f t="shared" si="369"/>
        <v>12.738</v>
      </c>
      <c r="BD1038" s="200">
        <f t="shared" si="369"/>
        <v>0</v>
      </c>
      <c r="BE1038" s="642">
        <f t="shared" si="369"/>
        <v>12.74</v>
      </c>
      <c r="BF1038" s="641">
        <f t="shared" si="369"/>
        <v>0.82</v>
      </c>
      <c r="BG1038" s="200">
        <f t="shared" si="369"/>
        <v>0</v>
      </c>
      <c r="BH1038" s="642">
        <f t="shared" si="369"/>
        <v>1</v>
      </c>
      <c r="BI1038" s="641">
        <f t="shared" si="369"/>
        <v>5</v>
      </c>
      <c r="BJ1038" s="200">
        <f t="shared" si="369"/>
        <v>0</v>
      </c>
      <c r="BK1038" s="642">
        <f t="shared" si="369"/>
        <v>6</v>
      </c>
      <c r="BL1038" s="111"/>
      <c r="BM1038" s="100"/>
      <c r="BN1038" s="112">
        <f t="shared" ref="BN1038:BP1039" si="370">AE1038+AH1038+AK1038+AN1038+AQ1038+AT1038+AW1038+AZ1038+BC1038+BF1038+BI1038</f>
        <v>177.55800000000002</v>
      </c>
      <c r="BO1038" s="113">
        <f t="shared" si="370"/>
        <v>156.19</v>
      </c>
      <c r="BP1038" s="114">
        <f t="shared" si="370"/>
        <v>218.24</v>
      </c>
    </row>
    <row r="1039" spans="1:68" ht="14.25" customHeight="1" outlineLevel="4" x14ac:dyDescent="0.25">
      <c r="C1039" s="10" t="s">
        <v>83</v>
      </c>
      <c r="D1039" s="10" t="s">
        <v>84</v>
      </c>
      <c r="E1039" s="10" t="s">
        <v>73</v>
      </c>
      <c r="F1039" s="10" t="s">
        <v>74</v>
      </c>
      <c r="G1039" s="10" t="s">
        <v>214</v>
      </c>
      <c r="H1039" s="10" t="s">
        <v>73</v>
      </c>
      <c r="I1039" s="10" t="s">
        <v>73</v>
      </c>
      <c r="J1039" s="10" t="s">
        <v>73</v>
      </c>
      <c r="K1039" s="12" t="s">
        <v>73</v>
      </c>
      <c r="L1039" s="10" t="s">
        <v>73</v>
      </c>
      <c r="M1039" s="5" t="str">
        <f t="array" ref="M1039">Y806</f>
        <v>1ХВС::1.1</v>
      </c>
      <c r="AB1039" s="29" t="str">
        <f>AB1035&amp;".2"</f>
        <v>3.1.1.4.3.2</v>
      </c>
      <c r="AC1039" s="177" t="s">
        <v>214</v>
      </c>
      <c r="AD1039" s="370" t="s">
        <v>111</v>
      </c>
      <c r="AE1039" s="445">
        <f t="shared" ref="AE1039:BK1039" si="371">AE315+AE648</f>
        <v>28224.167718000001</v>
      </c>
      <c r="AF1039" s="178">
        <f t="shared" si="371"/>
        <v>30990.229999999996</v>
      </c>
      <c r="AG1039" s="446">
        <f t="shared" si="371"/>
        <v>35337.051326000008</v>
      </c>
      <c r="AH1039" s="636">
        <f t="shared" si="371"/>
        <v>0</v>
      </c>
      <c r="AI1039" s="178">
        <f t="shared" si="371"/>
        <v>0</v>
      </c>
      <c r="AJ1039" s="446">
        <f t="shared" si="371"/>
        <v>0</v>
      </c>
      <c r="AK1039" s="445">
        <f t="shared" si="371"/>
        <v>555.21</v>
      </c>
      <c r="AL1039" s="178">
        <f t="shared" si="371"/>
        <v>0</v>
      </c>
      <c r="AM1039" s="446">
        <f t="shared" si="371"/>
        <v>810.91</v>
      </c>
      <c r="AN1039" s="445">
        <f t="shared" si="371"/>
        <v>1241.6100000000001</v>
      </c>
      <c r="AO1039" s="178">
        <f t="shared" si="371"/>
        <v>0</v>
      </c>
      <c r="AP1039" s="446">
        <f t="shared" si="371"/>
        <v>1450.07</v>
      </c>
      <c r="AQ1039" s="445">
        <f t="shared" si="371"/>
        <v>916.48</v>
      </c>
      <c r="AR1039" s="178">
        <f t="shared" si="371"/>
        <v>0</v>
      </c>
      <c r="AS1039" s="446">
        <f t="shared" si="371"/>
        <v>911.24</v>
      </c>
      <c r="AT1039" s="445">
        <f t="shared" si="371"/>
        <v>1036.71</v>
      </c>
      <c r="AU1039" s="178">
        <f t="shared" si="371"/>
        <v>2378.7600000000002</v>
      </c>
      <c r="AV1039" s="446">
        <f t="shared" si="371"/>
        <v>1979.73</v>
      </c>
      <c r="AW1039" s="445">
        <f t="shared" si="371"/>
        <v>822.51995199999999</v>
      </c>
      <c r="AX1039" s="178">
        <f t="shared" si="371"/>
        <v>0</v>
      </c>
      <c r="AY1039" s="446">
        <f t="shared" si="371"/>
        <v>1194.2200419999999</v>
      </c>
      <c r="AZ1039" s="445">
        <f t="shared" si="371"/>
        <v>1531.639508</v>
      </c>
      <c r="BA1039" s="178">
        <f t="shared" si="371"/>
        <v>1684.710775</v>
      </c>
      <c r="BB1039" s="446">
        <f t="shared" si="371"/>
        <v>1780.2953160000002</v>
      </c>
      <c r="BC1039" s="445">
        <f t="shared" si="371"/>
        <v>2024.0680600000001</v>
      </c>
      <c r="BD1039" s="178">
        <f t="shared" si="371"/>
        <v>0</v>
      </c>
      <c r="BE1039" s="446">
        <f t="shared" si="371"/>
        <v>2227.12</v>
      </c>
      <c r="BF1039" s="445">
        <f t="shared" si="371"/>
        <v>118.43616</v>
      </c>
      <c r="BG1039" s="178">
        <f t="shared" si="371"/>
        <v>0</v>
      </c>
      <c r="BH1039" s="446">
        <f t="shared" si="371"/>
        <v>139.89622</v>
      </c>
      <c r="BI1039" s="445">
        <f t="shared" si="371"/>
        <v>723.88000000000011</v>
      </c>
      <c r="BJ1039" s="178">
        <f t="shared" si="371"/>
        <v>0</v>
      </c>
      <c r="BK1039" s="446">
        <f t="shared" si="371"/>
        <v>855.83</v>
      </c>
      <c r="BN1039" s="125">
        <f t="shared" si="370"/>
        <v>37194.721397999994</v>
      </c>
      <c r="BO1039" s="126">
        <f t="shared" si="370"/>
        <v>35053.700774999998</v>
      </c>
      <c r="BP1039" s="127">
        <f t="shared" si="370"/>
        <v>46686.362904000023</v>
      </c>
    </row>
    <row r="1040" spans="1:68" ht="15.75" customHeight="1" outlineLevel="4" x14ac:dyDescent="0.25">
      <c r="C1040" s="10" t="s">
        <v>216</v>
      </c>
      <c r="D1040" s="10" t="s">
        <v>217</v>
      </c>
      <c r="E1040" s="10" t="s">
        <v>73</v>
      </c>
      <c r="F1040" s="10" t="s">
        <v>74</v>
      </c>
      <c r="G1040" s="10" t="s">
        <v>73</v>
      </c>
      <c r="H1040" s="10" t="s">
        <v>73</v>
      </c>
      <c r="I1040" s="10" t="s">
        <v>73</v>
      </c>
      <c r="J1040" s="10" t="s">
        <v>73</v>
      </c>
      <c r="K1040" s="12" t="s">
        <v>73</v>
      </c>
      <c r="L1040" s="10" t="s">
        <v>73</v>
      </c>
      <c r="M1040" s="5" t="str">
        <f t="array" ref="M1040">Y806</f>
        <v>1ХВС::1.1</v>
      </c>
      <c r="AB1040" s="29" t="str">
        <f>AB1039&amp;".1"</f>
        <v>3.1.1.4.3.2.1</v>
      </c>
      <c r="AC1040" s="208" t="s">
        <v>218</v>
      </c>
      <c r="AD1040" s="370" t="s">
        <v>119</v>
      </c>
      <c r="AE1040" s="175">
        <v>30.2</v>
      </c>
      <c r="AF1040" s="73">
        <v>31.2</v>
      </c>
      <c r="AG1040" s="176">
        <v>32.200000000000003</v>
      </c>
      <c r="AH1040" s="179">
        <v>30.2</v>
      </c>
      <c r="AI1040" s="73">
        <v>30.2</v>
      </c>
      <c r="AJ1040" s="74">
        <v>30.2</v>
      </c>
      <c r="AK1040" s="179">
        <v>30.2</v>
      </c>
      <c r="AL1040" s="73">
        <v>30.2</v>
      </c>
      <c r="AM1040" s="74">
        <v>30.2</v>
      </c>
      <c r="AN1040" s="179">
        <v>30.2</v>
      </c>
      <c r="AO1040" s="73">
        <v>30.2</v>
      </c>
      <c r="AP1040" s="74">
        <v>30.2</v>
      </c>
      <c r="AQ1040" s="179">
        <v>30.2</v>
      </c>
      <c r="AR1040" s="73">
        <v>30.2</v>
      </c>
      <c r="AS1040" s="74">
        <v>30.2</v>
      </c>
      <c r="AT1040" s="179">
        <v>30.2</v>
      </c>
      <c r="AU1040" s="73">
        <v>30.2</v>
      </c>
      <c r="AV1040" s="74">
        <v>30.2</v>
      </c>
      <c r="AW1040" s="179">
        <v>30.2</v>
      </c>
      <c r="AX1040" s="73">
        <v>30.2</v>
      </c>
      <c r="AY1040" s="74">
        <v>30.2</v>
      </c>
      <c r="AZ1040" s="179">
        <v>30.2</v>
      </c>
      <c r="BA1040" s="73">
        <v>30.2</v>
      </c>
      <c r="BB1040" s="74">
        <v>30.2</v>
      </c>
      <c r="BC1040" s="179">
        <v>30.2</v>
      </c>
      <c r="BD1040" s="73">
        <v>30.2</v>
      </c>
      <c r="BE1040" s="74">
        <v>30.2</v>
      </c>
      <c r="BF1040" s="179">
        <v>30.2</v>
      </c>
      <c r="BG1040" s="73">
        <v>30.2</v>
      </c>
      <c r="BH1040" s="74">
        <v>30.2</v>
      </c>
      <c r="BI1040" s="72">
        <v>30.2</v>
      </c>
      <c r="BJ1040" s="73">
        <v>30.2</v>
      </c>
      <c r="BK1040" s="74">
        <v>30.2</v>
      </c>
      <c r="BN1040" s="125">
        <v>30.2</v>
      </c>
      <c r="BO1040" s="126">
        <v>30.2</v>
      </c>
      <c r="BP1040" s="127">
        <v>30.2</v>
      </c>
    </row>
    <row r="1041" spans="1:68" ht="66.75" hidden="1" customHeight="1" outlineLevel="4" x14ac:dyDescent="0.25">
      <c r="C1041" s="10" t="s">
        <v>83</v>
      </c>
      <c r="D1041" s="10" t="s">
        <v>84</v>
      </c>
      <c r="E1041" s="10" t="s">
        <v>73</v>
      </c>
      <c r="F1041" s="10" t="s">
        <v>74</v>
      </c>
      <c r="G1041" s="10" t="s">
        <v>396</v>
      </c>
      <c r="H1041" s="10" t="s">
        <v>73</v>
      </c>
      <c r="I1041" s="10" t="s">
        <v>73</v>
      </c>
      <c r="J1041" s="10" t="s">
        <v>73</v>
      </c>
      <c r="K1041" s="12" t="s">
        <v>73</v>
      </c>
      <c r="L1041" s="10" t="s">
        <v>73</v>
      </c>
      <c r="M1041" s="5" t="str">
        <f t="array" ref="M1041">Y806</f>
        <v>1ХВС::1.1</v>
      </c>
      <c r="AB1041" s="65" t="str">
        <f>AB1032&amp;".4"</f>
        <v>3.1.1.4.4</v>
      </c>
      <c r="AC1041" s="174" t="s">
        <v>397</v>
      </c>
      <c r="AD1041" s="370" t="s">
        <v>111</v>
      </c>
      <c r="AE1041" s="445"/>
      <c r="AF1041" s="178"/>
      <c r="AG1041" s="446"/>
      <c r="AH1041" s="187"/>
      <c r="AI1041" s="178"/>
      <c r="AJ1041" s="96"/>
      <c r="AK1041" s="187"/>
      <c r="AL1041" s="178"/>
      <c r="AM1041" s="96"/>
      <c r="AN1041" s="187"/>
      <c r="AO1041" s="178"/>
      <c r="AP1041" s="96"/>
      <c r="AQ1041" s="187"/>
      <c r="AR1041" s="178"/>
      <c r="AS1041" s="96"/>
      <c r="AT1041" s="187"/>
      <c r="AU1041" s="178"/>
      <c r="AV1041" s="96"/>
      <c r="AW1041" s="187"/>
      <c r="AX1041" s="178"/>
      <c r="AY1041" s="96"/>
      <c r="AZ1041" s="187"/>
      <c r="BA1041" s="178"/>
      <c r="BB1041" s="96"/>
      <c r="BC1041" s="187"/>
      <c r="BD1041" s="178"/>
      <c r="BE1041" s="96"/>
      <c r="BF1041" s="182"/>
      <c r="BG1041" s="183"/>
      <c r="BH1041" s="186"/>
      <c r="BI1041" s="185"/>
      <c r="BJ1041" s="183"/>
      <c r="BK1041" s="186"/>
      <c r="BN1041" s="125">
        <f t="shared" ref="BN1041:BP1047" si="372">AE1041+AH1041+AK1041+AN1041+AQ1041+AT1041+AW1041+AZ1041+BC1041+BF1041+BI1041</f>
        <v>0</v>
      </c>
      <c r="BO1041" s="126">
        <f t="shared" si="372"/>
        <v>0</v>
      </c>
      <c r="BP1041" s="127">
        <f t="shared" si="372"/>
        <v>0</v>
      </c>
    </row>
    <row r="1042" spans="1:68" ht="78" customHeight="1" outlineLevel="4" x14ac:dyDescent="0.25">
      <c r="C1042" s="10" t="s">
        <v>83</v>
      </c>
      <c r="D1042" s="10" t="s">
        <v>84</v>
      </c>
      <c r="E1042" s="10" t="s">
        <v>73</v>
      </c>
      <c r="F1042" s="10" t="s">
        <v>74</v>
      </c>
      <c r="G1042" s="10" t="s">
        <v>398</v>
      </c>
      <c r="H1042" s="10" t="s">
        <v>73</v>
      </c>
      <c r="I1042" s="10" t="s">
        <v>73</v>
      </c>
      <c r="J1042" s="10" t="s">
        <v>73</v>
      </c>
      <c r="K1042" s="12" t="s">
        <v>73</v>
      </c>
      <c r="L1042" s="10" t="s">
        <v>73</v>
      </c>
      <c r="M1042" s="5" t="str">
        <f t="array" ref="M1042">Y806</f>
        <v>1ХВС::1.1</v>
      </c>
      <c r="AB1042" s="65" t="str">
        <f>AB1032&amp;".5"</f>
        <v>3.1.1.4.5</v>
      </c>
      <c r="AC1042" s="174" t="s">
        <v>398</v>
      </c>
      <c r="AD1042" s="370" t="s">
        <v>111</v>
      </c>
      <c r="AE1042" s="445">
        <f t="shared" ref="AE1042:BK1042" si="373">AE318+AE651</f>
        <v>3375.9740000000002</v>
      </c>
      <c r="AF1042" s="178">
        <f t="shared" si="373"/>
        <v>0</v>
      </c>
      <c r="AG1042" s="446">
        <f t="shared" si="373"/>
        <v>3344.4780000000001</v>
      </c>
      <c r="AH1042" s="187">
        <f t="shared" si="373"/>
        <v>0</v>
      </c>
      <c r="AI1042" s="178">
        <f t="shared" si="373"/>
        <v>0</v>
      </c>
      <c r="AJ1042" s="96">
        <f t="shared" si="373"/>
        <v>0</v>
      </c>
      <c r="AK1042" s="95">
        <f t="shared" si="373"/>
        <v>486.74</v>
      </c>
      <c r="AL1042" s="178">
        <f t="shared" si="373"/>
        <v>0</v>
      </c>
      <c r="AM1042" s="96">
        <f t="shared" si="373"/>
        <v>478.93</v>
      </c>
      <c r="AN1042" s="95">
        <f t="shared" si="373"/>
        <v>745.2</v>
      </c>
      <c r="AO1042" s="178">
        <f t="shared" si="373"/>
        <v>0</v>
      </c>
      <c r="AP1042" s="96">
        <f t="shared" si="373"/>
        <v>0</v>
      </c>
      <c r="AQ1042" s="95">
        <f t="shared" si="373"/>
        <v>0</v>
      </c>
      <c r="AR1042" s="178">
        <f t="shared" si="373"/>
        <v>0</v>
      </c>
      <c r="AS1042" s="96">
        <f t="shared" si="373"/>
        <v>0</v>
      </c>
      <c r="AT1042" s="95">
        <f t="shared" si="373"/>
        <v>399.75</v>
      </c>
      <c r="AU1042" s="178">
        <f t="shared" si="373"/>
        <v>0</v>
      </c>
      <c r="AV1042" s="96">
        <f t="shared" si="373"/>
        <v>472.75</v>
      </c>
      <c r="AW1042" s="95">
        <f t="shared" si="373"/>
        <v>874.61</v>
      </c>
      <c r="AX1042" s="178">
        <f t="shared" si="373"/>
        <v>0</v>
      </c>
      <c r="AY1042" s="96">
        <f t="shared" si="373"/>
        <v>1025.877</v>
      </c>
      <c r="AZ1042" s="445">
        <f t="shared" si="373"/>
        <v>0</v>
      </c>
      <c r="BA1042" s="178">
        <f t="shared" si="373"/>
        <v>0</v>
      </c>
      <c r="BB1042" s="446">
        <f t="shared" si="373"/>
        <v>0</v>
      </c>
      <c r="BC1042" s="95">
        <f t="shared" si="373"/>
        <v>1416</v>
      </c>
      <c r="BD1042" s="178">
        <f t="shared" si="373"/>
        <v>0</v>
      </c>
      <c r="BE1042" s="96">
        <f t="shared" si="373"/>
        <v>1558.0447999999999</v>
      </c>
      <c r="BF1042" s="95">
        <f t="shared" si="373"/>
        <v>0</v>
      </c>
      <c r="BG1042" s="178">
        <f t="shared" si="373"/>
        <v>0</v>
      </c>
      <c r="BH1042" s="96">
        <f t="shared" si="373"/>
        <v>0</v>
      </c>
      <c r="BI1042" s="95">
        <f t="shared" si="373"/>
        <v>360</v>
      </c>
      <c r="BJ1042" s="178">
        <f t="shared" si="373"/>
        <v>0</v>
      </c>
      <c r="BK1042" s="96">
        <f t="shared" si="373"/>
        <v>360</v>
      </c>
      <c r="BN1042" s="125">
        <f t="shared" si="372"/>
        <v>7658.2739999999994</v>
      </c>
      <c r="BO1042" s="126">
        <f t="shared" si="372"/>
        <v>0</v>
      </c>
      <c r="BP1042" s="127">
        <f t="shared" si="372"/>
        <v>7240.0797999999995</v>
      </c>
    </row>
    <row r="1043" spans="1:68" s="211" customFormat="1" ht="74.25" customHeight="1" outlineLevel="4" x14ac:dyDescent="0.25">
      <c r="A1043" s="6"/>
      <c r="B1043" s="6"/>
      <c r="C1043" s="116" t="s">
        <v>83</v>
      </c>
      <c r="D1043" s="116" t="s">
        <v>84</v>
      </c>
      <c r="E1043" s="116" t="s">
        <v>73</v>
      </c>
      <c r="F1043" s="116" t="s">
        <v>74</v>
      </c>
      <c r="G1043" s="116" t="s">
        <v>399</v>
      </c>
      <c r="H1043" s="116" t="s">
        <v>73</v>
      </c>
      <c r="I1043" s="116" t="s">
        <v>73</v>
      </c>
      <c r="J1043" s="116" t="s">
        <v>73</v>
      </c>
      <c r="K1043" s="209" t="s">
        <v>73</v>
      </c>
      <c r="L1043" s="116" t="s">
        <v>73</v>
      </c>
      <c r="M1043" s="6" t="str">
        <f t="array" ref="M1043">Y806</f>
        <v>1ХВС::1.1</v>
      </c>
      <c r="N1043" s="6"/>
      <c r="O1043" s="6"/>
      <c r="P1043" s="6"/>
      <c r="Q1043" s="6"/>
      <c r="R1043" s="6"/>
      <c r="S1043" s="6"/>
      <c r="T1043" s="6"/>
      <c r="U1043" s="6"/>
      <c r="V1043" s="6"/>
      <c r="W1043" s="6"/>
      <c r="X1043" s="6"/>
      <c r="Y1043" s="6"/>
      <c r="Z1043" s="6"/>
      <c r="AA1043" s="6"/>
      <c r="AB1043" s="65" t="str">
        <f>AB1032&amp;".6"</f>
        <v>3.1.1.4.6</v>
      </c>
      <c r="AC1043" s="174" t="s">
        <v>400</v>
      </c>
      <c r="AD1043" s="370" t="s">
        <v>111</v>
      </c>
      <c r="AE1043" s="445">
        <f t="shared" ref="AE1043:BK1043" si="374">AE319+AE652</f>
        <v>0</v>
      </c>
      <c r="AF1043" s="178">
        <f t="shared" si="374"/>
        <v>0</v>
      </c>
      <c r="AG1043" s="446">
        <f t="shared" si="374"/>
        <v>0</v>
      </c>
      <c r="AH1043" s="187">
        <f t="shared" si="374"/>
        <v>0</v>
      </c>
      <c r="AI1043" s="178">
        <f t="shared" si="374"/>
        <v>0</v>
      </c>
      <c r="AJ1043" s="96">
        <f t="shared" si="374"/>
        <v>0</v>
      </c>
      <c r="AK1043" s="95">
        <f t="shared" si="374"/>
        <v>0</v>
      </c>
      <c r="AL1043" s="178">
        <f t="shared" si="374"/>
        <v>0</v>
      </c>
      <c r="AM1043" s="96">
        <f t="shared" si="374"/>
        <v>0</v>
      </c>
      <c r="AN1043" s="95">
        <f t="shared" si="374"/>
        <v>0</v>
      </c>
      <c r="AO1043" s="178">
        <f t="shared" si="374"/>
        <v>0</v>
      </c>
      <c r="AP1043" s="96">
        <f t="shared" si="374"/>
        <v>0</v>
      </c>
      <c r="AQ1043" s="95">
        <f t="shared" si="374"/>
        <v>0</v>
      </c>
      <c r="AR1043" s="178">
        <f t="shared" si="374"/>
        <v>0</v>
      </c>
      <c r="AS1043" s="96">
        <f t="shared" si="374"/>
        <v>0</v>
      </c>
      <c r="AT1043" s="95">
        <f t="shared" si="374"/>
        <v>0</v>
      </c>
      <c r="AU1043" s="178">
        <f t="shared" si="374"/>
        <v>0</v>
      </c>
      <c r="AV1043" s="96">
        <f t="shared" si="374"/>
        <v>0</v>
      </c>
      <c r="AW1043" s="95">
        <f t="shared" si="374"/>
        <v>0</v>
      </c>
      <c r="AX1043" s="178">
        <f t="shared" si="374"/>
        <v>0</v>
      </c>
      <c r="AY1043" s="96">
        <f t="shared" si="374"/>
        <v>0</v>
      </c>
      <c r="AZ1043" s="445">
        <f t="shared" si="374"/>
        <v>0</v>
      </c>
      <c r="BA1043" s="178">
        <f t="shared" si="374"/>
        <v>0</v>
      </c>
      <c r="BB1043" s="446">
        <f t="shared" si="374"/>
        <v>0</v>
      </c>
      <c r="BC1043" s="95">
        <f t="shared" si="374"/>
        <v>0</v>
      </c>
      <c r="BD1043" s="178">
        <f t="shared" si="374"/>
        <v>747.3</v>
      </c>
      <c r="BE1043" s="96">
        <f t="shared" si="374"/>
        <v>804.78</v>
      </c>
      <c r="BF1043" s="95">
        <f t="shared" si="374"/>
        <v>0</v>
      </c>
      <c r="BG1043" s="178">
        <f t="shared" si="374"/>
        <v>0</v>
      </c>
      <c r="BH1043" s="96">
        <f t="shared" si="374"/>
        <v>0</v>
      </c>
      <c r="BI1043" s="95">
        <f t="shared" si="374"/>
        <v>0</v>
      </c>
      <c r="BJ1043" s="178">
        <f t="shared" si="374"/>
        <v>0</v>
      </c>
      <c r="BK1043" s="96">
        <f t="shared" si="374"/>
        <v>0</v>
      </c>
      <c r="BL1043" s="6"/>
      <c r="BM1043" s="6"/>
      <c r="BN1043" s="125">
        <f t="shared" si="372"/>
        <v>0</v>
      </c>
      <c r="BO1043" s="126">
        <f t="shared" si="372"/>
        <v>747.3</v>
      </c>
      <c r="BP1043" s="127">
        <f t="shared" si="372"/>
        <v>804.78</v>
      </c>
    </row>
    <row r="1044" spans="1:68" ht="61.5" customHeight="1" outlineLevel="4" x14ac:dyDescent="0.25">
      <c r="C1044" s="10" t="s">
        <v>83</v>
      </c>
      <c r="D1044" s="10" t="s">
        <v>84</v>
      </c>
      <c r="E1044" s="10" t="s">
        <v>73</v>
      </c>
      <c r="F1044" s="10" t="s">
        <v>74</v>
      </c>
      <c r="G1044" s="10" t="s">
        <v>401</v>
      </c>
      <c r="H1044" s="10" t="s">
        <v>73</v>
      </c>
      <c r="I1044" s="10" t="s">
        <v>73</v>
      </c>
      <c r="J1044" s="10" t="s">
        <v>73</v>
      </c>
      <c r="K1044" s="12" t="s">
        <v>73</v>
      </c>
      <c r="L1044" s="10" t="s">
        <v>73</v>
      </c>
      <c r="M1044" s="5" t="str">
        <f t="array" ref="M1044">Y806</f>
        <v>1ХВС::1.1</v>
      </c>
      <c r="AB1044" s="65" t="str">
        <f>AB1032&amp;".7"</f>
        <v>3.1.1.4.7</v>
      </c>
      <c r="AC1044" s="174" t="s">
        <v>402</v>
      </c>
      <c r="AD1044" s="370" t="s">
        <v>111</v>
      </c>
      <c r="AE1044" s="445">
        <f t="shared" ref="AE1044:BK1044" si="375">AE320+AE653</f>
        <v>30411.417999999998</v>
      </c>
      <c r="AF1044" s="178">
        <f t="shared" si="375"/>
        <v>20836.79</v>
      </c>
      <c r="AG1044" s="446">
        <f t="shared" si="375"/>
        <v>37977.842000000004</v>
      </c>
      <c r="AH1044" s="187">
        <f t="shared" si="375"/>
        <v>0</v>
      </c>
      <c r="AI1044" s="178">
        <f t="shared" si="375"/>
        <v>0</v>
      </c>
      <c r="AJ1044" s="96">
        <f t="shared" si="375"/>
        <v>0</v>
      </c>
      <c r="AK1044" s="95">
        <f t="shared" si="375"/>
        <v>750.18</v>
      </c>
      <c r="AL1044" s="178">
        <f t="shared" si="375"/>
        <v>0</v>
      </c>
      <c r="AM1044" s="96">
        <f t="shared" si="375"/>
        <v>1020.7</v>
      </c>
      <c r="AN1044" s="95">
        <f t="shared" si="375"/>
        <v>1374.92</v>
      </c>
      <c r="AO1044" s="178">
        <f t="shared" si="375"/>
        <v>41.8</v>
      </c>
      <c r="AP1044" s="96">
        <f t="shared" si="375"/>
        <v>1733.15</v>
      </c>
      <c r="AQ1044" s="95">
        <f t="shared" si="375"/>
        <v>309.49</v>
      </c>
      <c r="AR1044" s="178">
        <f t="shared" si="375"/>
        <v>0</v>
      </c>
      <c r="AS1044" s="96">
        <f t="shared" si="375"/>
        <v>427.01</v>
      </c>
      <c r="AT1044" s="95">
        <f t="shared" si="375"/>
        <v>1426.4299999999998</v>
      </c>
      <c r="AU1044" s="178">
        <f t="shared" si="375"/>
        <v>1799.15</v>
      </c>
      <c r="AV1044" s="96">
        <f t="shared" si="375"/>
        <v>3553.07</v>
      </c>
      <c r="AW1044" s="95">
        <f t="shared" si="375"/>
        <v>525.03</v>
      </c>
      <c r="AX1044" s="178">
        <f t="shared" si="375"/>
        <v>0</v>
      </c>
      <c r="AY1044" s="96">
        <f t="shared" si="375"/>
        <v>706.86599999999999</v>
      </c>
      <c r="AZ1044" s="445">
        <f t="shared" si="375"/>
        <v>2402.5829999999996</v>
      </c>
      <c r="BA1044" s="178">
        <f t="shared" si="375"/>
        <v>4190.6499999999996</v>
      </c>
      <c r="BB1044" s="446">
        <f t="shared" si="375"/>
        <v>3251.3</v>
      </c>
      <c r="BC1044" s="95">
        <f t="shared" si="375"/>
        <v>2379.0576099999998</v>
      </c>
      <c r="BD1044" s="178">
        <f t="shared" si="375"/>
        <v>601.6</v>
      </c>
      <c r="BE1044" s="96">
        <f t="shared" si="375"/>
        <v>2544.4120000000003</v>
      </c>
      <c r="BF1044" s="95">
        <f t="shared" si="375"/>
        <v>128.054</v>
      </c>
      <c r="BG1044" s="178">
        <f t="shared" si="375"/>
        <v>95.69</v>
      </c>
      <c r="BH1044" s="96">
        <f t="shared" si="375"/>
        <v>174.94</v>
      </c>
      <c r="BI1044" s="95">
        <f t="shared" si="375"/>
        <v>327.71000000000004</v>
      </c>
      <c r="BJ1044" s="178">
        <f t="shared" si="375"/>
        <v>266.73</v>
      </c>
      <c r="BK1044" s="96">
        <f t="shared" si="375"/>
        <v>442.63</v>
      </c>
      <c r="BN1044" s="125">
        <f t="shared" si="372"/>
        <v>40034.872609999991</v>
      </c>
      <c r="BO1044" s="126">
        <f t="shared" si="372"/>
        <v>27832.409999999996</v>
      </c>
      <c r="BP1044" s="127">
        <f t="shared" si="372"/>
        <v>51831.920000000006</v>
      </c>
    </row>
    <row r="1045" spans="1:68" ht="60" hidden="1" customHeight="1" outlineLevel="4" x14ac:dyDescent="0.25">
      <c r="C1045" s="10" t="s">
        <v>83</v>
      </c>
      <c r="D1045" s="10" t="s">
        <v>84</v>
      </c>
      <c r="E1045" s="10" t="s">
        <v>73</v>
      </c>
      <c r="F1045" s="10" t="s">
        <v>74</v>
      </c>
      <c r="G1045" s="10" t="s">
        <v>403</v>
      </c>
      <c r="H1045" s="10" t="s">
        <v>73</v>
      </c>
      <c r="I1045" s="10" t="s">
        <v>73</v>
      </c>
      <c r="J1045" s="10" t="s">
        <v>73</v>
      </c>
      <c r="K1045" s="12" t="s">
        <v>73</v>
      </c>
      <c r="L1045" s="10" t="s">
        <v>73</v>
      </c>
      <c r="M1045" s="5" t="str">
        <f t="array" ref="M1045">Y806</f>
        <v>1ХВС::1.1</v>
      </c>
      <c r="AB1045" s="65" t="str">
        <f>AB1032&amp;".8"</f>
        <v>3.1.1.4.8</v>
      </c>
      <c r="AC1045" s="174" t="s">
        <v>403</v>
      </c>
      <c r="AD1045" s="370" t="s">
        <v>111</v>
      </c>
      <c r="AE1045" s="445"/>
      <c r="AF1045" s="178"/>
      <c r="AG1045" s="446"/>
      <c r="AH1045" s="187"/>
      <c r="AI1045" s="73"/>
      <c r="AJ1045" s="74"/>
      <c r="AK1045" s="187"/>
      <c r="AL1045" s="73"/>
      <c r="AM1045" s="74"/>
      <c r="AN1045" s="187"/>
      <c r="AO1045" s="73"/>
      <c r="AP1045" s="74"/>
      <c r="AQ1045" s="187"/>
      <c r="AR1045" s="73"/>
      <c r="AS1045" s="74"/>
      <c r="AT1045" s="187"/>
      <c r="AU1045" s="73"/>
      <c r="AV1045" s="74"/>
      <c r="AW1045" s="187"/>
      <c r="AX1045" s="73"/>
      <c r="AY1045" s="74"/>
      <c r="AZ1045" s="187"/>
      <c r="BA1045" s="73"/>
      <c r="BB1045" s="74"/>
      <c r="BC1045" s="187"/>
      <c r="BD1045" s="73"/>
      <c r="BE1045" s="74"/>
      <c r="BF1045" s="182"/>
      <c r="BG1045" s="140"/>
      <c r="BH1045" s="143"/>
      <c r="BI1045" s="185"/>
      <c r="BJ1045" s="140"/>
      <c r="BK1045" s="143"/>
      <c r="BN1045" s="125">
        <f t="shared" si="372"/>
        <v>0</v>
      </c>
      <c r="BO1045" s="126">
        <f t="shared" si="372"/>
        <v>0</v>
      </c>
      <c r="BP1045" s="127">
        <f t="shared" si="372"/>
        <v>0</v>
      </c>
    </row>
    <row r="1046" spans="1:68" s="171" customFormat="1" ht="27.75" customHeight="1" outlineLevel="2" x14ac:dyDescent="0.25">
      <c r="A1046" s="166"/>
      <c r="B1046" s="166"/>
      <c r="C1046" s="167" t="s">
        <v>83</v>
      </c>
      <c r="D1046" s="167" t="s">
        <v>84</v>
      </c>
      <c r="E1046" s="167" t="s">
        <v>73</v>
      </c>
      <c r="F1046" s="167" t="s">
        <v>74</v>
      </c>
      <c r="G1046" s="167" t="s">
        <v>404</v>
      </c>
      <c r="H1046" s="167" t="s">
        <v>73</v>
      </c>
      <c r="I1046" s="167" t="s">
        <v>73</v>
      </c>
      <c r="J1046" s="167" t="s">
        <v>73</v>
      </c>
      <c r="K1046" s="168" t="s">
        <v>73</v>
      </c>
      <c r="L1046" s="167" t="s">
        <v>133</v>
      </c>
      <c r="M1046" s="166" t="str">
        <f t="array" ref="M1046">Y806</f>
        <v>1ХВС::1.1</v>
      </c>
      <c r="N1046" s="166"/>
      <c r="O1046" s="166"/>
      <c r="P1046" s="166"/>
      <c r="Q1046" s="166"/>
      <c r="R1046" s="166"/>
      <c r="S1046" s="166"/>
      <c r="T1046" s="166"/>
      <c r="U1046" s="166"/>
      <c r="V1046" s="166"/>
      <c r="W1046" s="166"/>
      <c r="X1046" s="166"/>
      <c r="Y1046" s="166"/>
      <c r="Z1046" s="166"/>
      <c r="AA1046" s="166"/>
      <c r="AB1046" s="623" t="str">
        <f>AB856&amp;".2"</f>
        <v>3.1.2</v>
      </c>
      <c r="AC1046" s="634" t="s">
        <v>405</v>
      </c>
      <c r="AD1046" s="625" t="s">
        <v>111</v>
      </c>
      <c r="AE1046" s="626">
        <f t="shared" ref="AE1046:BK1046" si="376">AE1047+AE1060+AE1061+AE1062</f>
        <v>359156.99663805298</v>
      </c>
      <c r="AF1046" s="627">
        <f t="shared" si="376"/>
        <v>414137.97785600001</v>
      </c>
      <c r="AG1046" s="628">
        <f t="shared" si="376"/>
        <v>498633.75916802569</v>
      </c>
      <c r="AH1046" s="649">
        <f t="shared" si="376"/>
        <v>4009.1534892</v>
      </c>
      <c r="AI1046" s="627">
        <f t="shared" si="376"/>
        <v>4446.59</v>
      </c>
      <c r="AJ1046" s="650">
        <f t="shared" si="376"/>
        <v>5378.0579851000002</v>
      </c>
      <c r="AK1046" s="649">
        <f t="shared" si="376"/>
        <v>5383.0394308199993</v>
      </c>
      <c r="AL1046" s="627">
        <f t="shared" si="376"/>
        <v>5044.2398423999994</v>
      </c>
      <c r="AM1046" s="650">
        <f t="shared" si="376"/>
        <v>5773.1806944</v>
      </c>
      <c r="AN1046" s="649">
        <f t="shared" si="376"/>
        <v>15880.173562079999</v>
      </c>
      <c r="AO1046" s="627">
        <f t="shared" si="376"/>
        <v>12223.699376971999</v>
      </c>
      <c r="AP1046" s="650">
        <f t="shared" si="376"/>
        <v>21759.55932398</v>
      </c>
      <c r="AQ1046" s="649">
        <f t="shared" si="376"/>
        <v>4351.3572991199999</v>
      </c>
      <c r="AR1046" s="627">
        <f t="shared" si="376"/>
        <v>7508.8101952000006</v>
      </c>
      <c r="AS1046" s="650">
        <f t="shared" si="376"/>
        <v>6556.7081900000003</v>
      </c>
      <c r="AT1046" s="649">
        <f t="shared" si="376"/>
        <v>24351.0254699</v>
      </c>
      <c r="AU1046" s="627">
        <f t="shared" si="376"/>
        <v>13883.41550377</v>
      </c>
      <c r="AV1046" s="650">
        <f t="shared" si="376"/>
        <v>35418.320525970004</v>
      </c>
      <c r="AW1046" s="649">
        <f t="shared" si="376"/>
        <v>7975.0567958600004</v>
      </c>
      <c r="AX1046" s="627">
        <f t="shared" si="376"/>
        <v>18793.989999999998</v>
      </c>
      <c r="AY1046" s="650">
        <f t="shared" si="376"/>
        <v>11293.618653199999</v>
      </c>
      <c r="AZ1046" s="649">
        <f t="shared" si="376"/>
        <v>39482.033981094995</v>
      </c>
      <c r="BA1046" s="627">
        <f t="shared" si="376"/>
        <v>45821.955999999998</v>
      </c>
      <c r="BB1046" s="650">
        <f t="shared" si="376"/>
        <v>58340.690243949997</v>
      </c>
      <c r="BC1046" s="649">
        <f t="shared" si="376"/>
        <v>30883.746583599997</v>
      </c>
      <c r="BD1046" s="627">
        <f t="shared" si="376"/>
        <v>37414.608327399998</v>
      </c>
      <c r="BE1046" s="650">
        <f t="shared" si="376"/>
        <v>32099.842525</v>
      </c>
      <c r="BF1046" s="649">
        <f t="shared" si="376"/>
        <v>3016.8415974999998</v>
      </c>
      <c r="BG1046" s="627">
        <f t="shared" si="376"/>
        <v>3535.2288360000002</v>
      </c>
      <c r="BH1046" s="650">
        <f t="shared" si="376"/>
        <v>4039.0639868799999</v>
      </c>
      <c r="BI1046" s="655">
        <f t="shared" si="376"/>
        <v>5012.7095393099999</v>
      </c>
      <c r="BJ1046" s="627">
        <f t="shared" si="376"/>
        <v>6068.9679152000008</v>
      </c>
      <c r="BK1046" s="650">
        <f t="shared" si="376"/>
        <v>7198.5874521999995</v>
      </c>
      <c r="BL1046" s="170"/>
      <c r="BM1046" s="166"/>
      <c r="BN1046" s="630">
        <f t="shared" si="372"/>
        <v>499502.134386538</v>
      </c>
      <c r="BO1046" s="631">
        <f t="shared" si="372"/>
        <v>568879.48385294212</v>
      </c>
      <c r="BP1046" s="632">
        <f t="shared" si="372"/>
        <v>686491.38874870562</v>
      </c>
    </row>
    <row r="1047" spans="1:68" ht="35.25" customHeight="1" outlineLevel="3" x14ac:dyDescent="0.25">
      <c r="C1047" s="10" t="s">
        <v>83</v>
      </c>
      <c r="D1047" s="10" t="s">
        <v>84</v>
      </c>
      <c r="E1047" s="10" t="s">
        <v>73</v>
      </c>
      <c r="F1047" s="10" t="s">
        <v>74</v>
      </c>
      <c r="G1047" s="10" t="s">
        <v>406</v>
      </c>
      <c r="H1047" s="10" t="s">
        <v>73</v>
      </c>
      <c r="I1047" s="10" t="s">
        <v>73</v>
      </c>
      <c r="J1047" s="10" t="s">
        <v>73</v>
      </c>
      <c r="K1047" s="12" t="s">
        <v>73</v>
      </c>
      <c r="L1047" s="10" t="s">
        <v>407</v>
      </c>
      <c r="M1047" s="5" t="str">
        <f t="array" ref="M1047">Y806</f>
        <v>1ХВС::1.1</v>
      </c>
      <c r="Y1047" s="10">
        <v>1</v>
      </c>
      <c r="AB1047" s="29" t="str">
        <f>AB1046&amp;".1"</f>
        <v>3.1.2.1</v>
      </c>
      <c r="AC1047" s="87" t="s">
        <v>406</v>
      </c>
      <c r="AD1047" s="370" t="s">
        <v>111</v>
      </c>
      <c r="AE1047" s="175">
        <f t="shared" ref="AE1047:BK1047" si="377">AE323+AE656</f>
        <v>359156.99663805298</v>
      </c>
      <c r="AF1047" s="73">
        <f t="shared" si="377"/>
        <v>414137.97785600001</v>
      </c>
      <c r="AG1047" s="176">
        <f t="shared" si="377"/>
        <v>498633.75916802569</v>
      </c>
      <c r="AH1047" s="443">
        <f t="shared" si="377"/>
        <v>4009.1534892</v>
      </c>
      <c r="AI1047" s="73">
        <f t="shared" si="377"/>
        <v>4446.59</v>
      </c>
      <c r="AJ1047" s="176">
        <f t="shared" si="377"/>
        <v>5378.0579851000002</v>
      </c>
      <c r="AK1047" s="175">
        <f t="shared" si="377"/>
        <v>5383.0394308199993</v>
      </c>
      <c r="AL1047" s="73">
        <f t="shared" si="377"/>
        <v>5044.2398423999994</v>
      </c>
      <c r="AM1047" s="176">
        <f t="shared" si="377"/>
        <v>5773.1806944</v>
      </c>
      <c r="AN1047" s="175">
        <f t="shared" si="377"/>
        <v>15880.173562079999</v>
      </c>
      <c r="AO1047" s="73">
        <f t="shared" si="377"/>
        <v>12223.699376971999</v>
      </c>
      <c r="AP1047" s="176">
        <f t="shared" si="377"/>
        <v>21759.55932398</v>
      </c>
      <c r="AQ1047" s="175">
        <f t="shared" si="377"/>
        <v>4351.3572991199999</v>
      </c>
      <c r="AR1047" s="73">
        <f t="shared" si="377"/>
        <v>7508.8101952000006</v>
      </c>
      <c r="AS1047" s="176">
        <f t="shared" si="377"/>
        <v>6556.7081900000003</v>
      </c>
      <c r="AT1047" s="175">
        <f t="shared" si="377"/>
        <v>24351.0254699</v>
      </c>
      <c r="AU1047" s="73">
        <f t="shared" si="377"/>
        <v>13883.41550377</v>
      </c>
      <c r="AV1047" s="176">
        <f t="shared" si="377"/>
        <v>35418.320525970004</v>
      </c>
      <c r="AW1047" s="175">
        <f t="shared" si="377"/>
        <v>7975.0567958600004</v>
      </c>
      <c r="AX1047" s="73">
        <f t="shared" si="377"/>
        <v>18793.989999999998</v>
      </c>
      <c r="AY1047" s="176">
        <f t="shared" si="377"/>
        <v>11293.618653199999</v>
      </c>
      <c r="AZ1047" s="175">
        <f t="shared" si="377"/>
        <v>39482.033981094995</v>
      </c>
      <c r="BA1047" s="73">
        <f t="shared" si="377"/>
        <v>45821.955999999998</v>
      </c>
      <c r="BB1047" s="176">
        <f t="shared" si="377"/>
        <v>58340.690243949997</v>
      </c>
      <c r="BC1047" s="175">
        <f t="shared" si="377"/>
        <v>30883.746583599997</v>
      </c>
      <c r="BD1047" s="73">
        <f t="shared" si="377"/>
        <v>37414.608327399998</v>
      </c>
      <c r="BE1047" s="176">
        <f t="shared" si="377"/>
        <v>32099.842525</v>
      </c>
      <c r="BF1047" s="175">
        <f t="shared" si="377"/>
        <v>3016.8415974999998</v>
      </c>
      <c r="BG1047" s="73">
        <f t="shared" si="377"/>
        <v>3535.2288360000002</v>
      </c>
      <c r="BH1047" s="176">
        <f t="shared" si="377"/>
        <v>4039.0639868799999</v>
      </c>
      <c r="BI1047" s="175">
        <f t="shared" si="377"/>
        <v>5012.7095393099999</v>
      </c>
      <c r="BJ1047" s="73">
        <f t="shared" si="377"/>
        <v>6068.9679152000008</v>
      </c>
      <c r="BK1047" s="176">
        <f t="shared" si="377"/>
        <v>7198.5874521999995</v>
      </c>
      <c r="BN1047" s="125">
        <f t="shared" si="372"/>
        <v>499502.134386538</v>
      </c>
      <c r="BO1047" s="126">
        <f t="shared" si="372"/>
        <v>568879.48385294212</v>
      </c>
      <c r="BP1047" s="127">
        <f t="shared" si="372"/>
        <v>686491.38874870562</v>
      </c>
    </row>
    <row r="1048" spans="1:68" ht="19.5" customHeight="1" outlineLevel="3" x14ac:dyDescent="0.25">
      <c r="C1048" s="10" t="s">
        <v>408</v>
      </c>
      <c r="D1048" s="10" t="s">
        <v>409</v>
      </c>
      <c r="E1048" s="10" t="s">
        <v>73</v>
      </c>
      <c r="F1048" s="10" t="s">
        <v>74</v>
      </c>
      <c r="G1048" s="10" t="s">
        <v>73</v>
      </c>
      <c r="H1048" s="10" t="s">
        <v>73</v>
      </c>
      <c r="I1048" s="10" t="s">
        <v>73</v>
      </c>
      <c r="J1048" s="10" t="s">
        <v>73</v>
      </c>
      <c r="K1048" s="12" t="s">
        <v>73</v>
      </c>
      <c r="L1048" s="10" t="s">
        <v>407</v>
      </c>
      <c r="M1048" s="5" t="str">
        <f t="array" ref="M1048">Y806</f>
        <v>1ХВС::1.1</v>
      </c>
      <c r="AB1048" s="29" t="str">
        <f>AB1047&amp;".1"</f>
        <v>3.1.2.1.1</v>
      </c>
      <c r="AC1048" s="137" t="s">
        <v>410</v>
      </c>
      <c r="AD1048" s="370" t="s">
        <v>411</v>
      </c>
      <c r="AE1048" s="427">
        <f t="shared" ref="AE1048:BK1048" si="378">AE1047/AE1049</f>
        <v>6.8651401861087287</v>
      </c>
      <c r="AF1048" s="67">
        <f t="shared" si="378"/>
        <v>7.5277203257384491</v>
      </c>
      <c r="AG1048" s="428">
        <f t="shared" si="378"/>
        <v>9.5228383907658021</v>
      </c>
      <c r="AH1048" s="668">
        <f t="shared" si="378"/>
        <v>7.5845897955322821</v>
      </c>
      <c r="AI1048" s="67">
        <f t="shared" si="378"/>
        <v>8.6378632279393006</v>
      </c>
      <c r="AJ1048" s="428">
        <f t="shared" si="378"/>
        <v>10.470501626823509</v>
      </c>
      <c r="AK1048" s="427">
        <f t="shared" si="378"/>
        <v>8.3274899999999992</v>
      </c>
      <c r="AL1048" s="67">
        <f t="shared" si="378"/>
        <v>10.250019999999999</v>
      </c>
      <c r="AM1048" s="428">
        <f t="shared" si="378"/>
        <v>11.39616</v>
      </c>
      <c r="AN1048" s="427">
        <f t="shared" si="378"/>
        <v>7.6189700503287927</v>
      </c>
      <c r="AO1048" s="67">
        <f t="shared" si="378"/>
        <v>8.6316709451629663</v>
      </c>
      <c r="AP1048" s="428">
        <f t="shared" si="378"/>
        <v>10.251752196553063</v>
      </c>
      <c r="AQ1048" s="427">
        <f t="shared" si="378"/>
        <v>7.8530463909272372</v>
      </c>
      <c r="AR1048" s="67">
        <f t="shared" si="378"/>
        <v>8.4547248065576728</v>
      </c>
      <c r="AS1048" s="428">
        <f t="shared" si="378"/>
        <v>10.907667797907205</v>
      </c>
      <c r="AT1048" s="427">
        <f t="shared" si="378"/>
        <v>8.4676098769205623</v>
      </c>
      <c r="AU1048" s="67">
        <f t="shared" si="378"/>
        <v>10.503106281302035</v>
      </c>
      <c r="AV1048" s="428">
        <f t="shared" si="378"/>
        <v>12.990250441300688</v>
      </c>
      <c r="AW1048" s="427">
        <f t="shared" si="378"/>
        <v>10.075253453494351</v>
      </c>
      <c r="AX1048" s="67">
        <f t="shared" si="378"/>
        <v>11.71749925962872</v>
      </c>
      <c r="AY1048" s="428">
        <f t="shared" si="378"/>
        <v>13.529018356193921</v>
      </c>
      <c r="AZ1048" s="427">
        <f t="shared" si="378"/>
        <v>8.5795024951300025</v>
      </c>
      <c r="BA1048" s="67">
        <f t="shared" si="378"/>
        <v>9.3643194196086448</v>
      </c>
      <c r="BB1048" s="428">
        <f t="shared" si="378"/>
        <v>10.674492262081849</v>
      </c>
      <c r="BC1048" s="427">
        <f t="shared" si="378"/>
        <v>7.1587874892184997</v>
      </c>
      <c r="BD1048" s="67">
        <f t="shared" si="378"/>
        <v>4.7057428306191547</v>
      </c>
      <c r="BE1048" s="428">
        <f t="shared" si="378"/>
        <v>6.6786736057940379</v>
      </c>
      <c r="BF1048" s="427">
        <f t="shared" si="378"/>
        <v>9.8790080441025729</v>
      </c>
      <c r="BG1048" s="67">
        <f t="shared" si="378"/>
        <v>11.54172</v>
      </c>
      <c r="BH1048" s="428">
        <f t="shared" si="378"/>
        <v>13.256349874396516</v>
      </c>
      <c r="BI1048" s="427">
        <f t="shared" si="378"/>
        <v>8.0862152759925667</v>
      </c>
      <c r="BJ1048" s="67">
        <f t="shared" si="378"/>
        <v>8.8451771233856995</v>
      </c>
      <c r="BK1048" s="428">
        <f t="shared" si="378"/>
        <v>8.7444273125045555</v>
      </c>
      <c r="BN1048" s="125">
        <f>BN1047/BN1049</f>
        <v>7.1728308227951825</v>
      </c>
      <c r="BO1048" s="126">
        <f>BO1047/BO1049</f>
        <v>7.5761189409570786</v>
      </c>
      <c r="BP1048" s="127">
        <f>BP1047/BP1049</f>
        <v>9.6598174687924949</v>
      </c>
    </row>
    <row r="1049" spans="1:68" ht="29.25" customHeight="1" outlineLevel="3" x14ac:dyDescent="0.25">
      <c r="C1049" s="10" t="s">
        <v>412</v>
      </c>
      <c r="D1049" s="10" t="s">
        <v>413</v>
      </c>
      <c r="E1049" s="10" t="s">
        <v>73</v>
      </c>
      <c r="F1049" s="10" t="s">
        <v>74</v>
      </c>
      <c r="G1049" s="10" t="s">
        <v>73</v>
      </c>
      <c r="H1049" s="10" t="s">
        <v>73</v>
      </c>
      <c r="I1049" s="10" t="s">
        <v>73</v>
      </c>
      <c r="J1049" s="10" t="s">
        <v>73</v>
      </c>
      <c r="K1049" s="12" t="s">
        <v>73</v>
      </c>
      <c r="L1049" s="10" t="s">
        <v>407</v>
      </c>
      <c r="M1049" s="5" t="str">
        <f t="array" ref="M1049">Y806</f>
        <v>1ХВС::1.1</v>
      </c>
      <c r="AB1049" s="29" t="str">
        <f>AB1048&amp;".2"</f>
        <v>3.1.2.1.1.2</v>
      </c>
      <c r="AC1049" s="137" t="s">
        <v>414</v>
      </c>
      <c r="AD1049" s="370" t="s">
        <v>415</v>
      </c>
      <c r="AE1049" s="427">
        <f t="shared" ref="AE1049:BK1049" si="379">AE325+AE658</f>
        <v>52316.046999999999</v>
      </c>
      <c r="AF1049" s="67">
        <f t="shared" si="379"/>
        <v>55015.059000000001</v>
      </c>
      <c r="AG1049" s="428">
        <f t="shared" si="379"/>
        <v>52361.884000000005</v>
      </c>
      <c r="AH1049" s="668">
        <f t="shared" si="379"/>
        <v>528.59199999999998</v>
      </c>
      <c r="AI1049" s="67">
        <f t="shared" si="379"/>
        <v>514.77893116175267</v>
      </c>
      <c r="AJ1049" s="428">
        <f t="shared" si="379"/>
        <v>513.63900000000001</v>
      </c>
      <c r="AK1049" s="427">
        <f t="shared" si="379"/>
        <v>646.41800000000001</v>
      </c>
      <c r="AL1049" s="67">
        <f t="shared" si="379"/>
        <v>492.12</v>
      </c>
      <c r="AM1049" s="428">
        <f t="shared" si="379"/>
        <v>506.59</v>
      </c>
      <c r="AN1049" s="427">
        <f t="shared" si="379"/>
        <v>2084.2939999999999</v>
      </c>
      <c r="AO1049" s="67">
        <f t="shared" si="379"/>
        <v>1416.1452000000002</v>
      </c>
      <c r="AP1049" s="428">
        <f t="shared" si="379"/>
        <v>2122.5209999999997</v>
      </c>
      <c r="AQ1049" s="427">
        <f t="shared" si="379"/>
        <v>554.09799999999996</v>
      </c>
      <c r="AR1049" s="67">
        <f t="shared" si="379"/>
        <v>888.12</v>
      </c>
      <c r="AS1049" s="428">
        <f t="shared" si="379"/>
        <v>601.11</v>
      </c>
      <c r="AT1049" s="427">
        <f t="shared" si="379"/>
        <v>2875.7849999999999</v>
      </c>
      <c r="AU1049" s="67">
        <f t="shared" si="379"/>
        <v>1321.8389999999999</v>
      </c>
      <c r="AV1049" s="428">
        <f t="shared" si="379"/>
        <v>2726.5309999999999</v>
      </c>
      <c r="AW1049" s="427">
        <f t="shared" si="379"/>
        <v>791.54899999999998</v>
      </c>
      <c r="AX1049" s="67">
        <f t="shared" si="379"/>
        <v>1603.9250000000002</v>
      </c>
      <c r="AY1049" s="428">
        <f t="shared" si="379"/>
        <v>834.77</v>
      </c>
      <c r="AZ1049" s="427">
        <f t="shared" si="379"/>
        <v>4601.9025000000001</v>
      </c>
      <c r="BA1049" s="67">
        <f t="shared" si="379"/>
        <v>4893.25</v>
      </c>
      <c r="BB1049" s="428">
        <f t="shared" si="379"/>
        <v>5465.43</v>
      </c>
      <c r="BC1049" s="427">
        <f t="shared" si="379"/>
        <v>4314.1030000000001</v>
      </c>
      <c r="BD1049" s="67">
        <f t="shared" si="379"/>
        <v>7950.84</v>
      </c>
      <c r="BE1049" s="428">
        <f t="shared" si="379"/>
        <v>4806.32</v>
      </c>
      <c r="BF1049" s="427">
        <f t="shared" si="379"/>
        <v>305.37900000000002</v>
      </c>
      <c r="BG1049" s="67">
        <f t="shared" si="379"/>
        <v>306.3</v>
      </c>
      <c r="BH1049" s="428">
        <f t="shared" si="379"/>
        <v>304.68899999999996</v>
      </c>
      <c r="BI1049" s="427">
        <f t="shared" si="379"/>
        <v>619.90800000000002</v>
      </c>
      <c r="BJ1049" s="67">
        <f t="shared" si="379"/>
        <v>686.13300000000004</v>
      </c>
      <c r="BK1049" s="428">
        <f t="shared" si="379"/>
        <v>823.21999999999991</v>
      </c>
      <c r="BN1049" s="125">
        <f t="shared" ref="BN1049:BN1080" si="380">AE1049+AH1049+AK1049+AN1049+AQ1049+AT1049+AW1049+AZ1049+BC1049+BF1049+BI1049</f>
        <v>69638.075499999992</v>
      </c>
      <c r="BO1049" s="126">
        <f t="shared" ref="BO1049:BO1080" si="381">AF1049+AI1049+AL1049+AO1049+AR1049+AU1049+AX1049+BA1049+BD1049+BG1049+BJ1049</f>
        <v>75088.510131161762</v>
      </c>
      <c r="BP1049" s="127">
        <f t="shared" ref="BP1049:BP1080" si="382">AG1049+AJ1049+AM1049+AP1049+AS1049+AV1049+AY1049+BB1049+BE1049+BH1049+BK1049</f>
        <v>71066.704000000012</v>
      </c>
    </row>
    <row r="1050" spans="1:68" ht="14.25" hidden="1" customHeight="1" outlineLevel="3" x14ac:dyDescent="0.25">
      <c r="B1050" s="10" t="b">
        <f>$AD$36="да"</f>
        <v>0</v>
      </c>
      <c r="C1050" s="11" t="s">
        <v>412</v>
      </c>
      <c r="D1050" s="10" t="s">
        <v>413</v>
      </c>
      <c r="E1050" s="10" t="s">
        <v>73</v>
      </c>
      <c r="F1050" s="10" t="s">
        <v>74</v>
      </c>
      <c r="G1050" s="10" t="s">
        <v>73</v>
      </c>
      <c r="H1050" s="10" t="s">
        <v>73</v>
      </c>
      <c r="I1050" s="10" t="s">
        <v>73</v>
      </c>
      <c r="J1050" s="11" t="s">
        <v>416</v>
      </c>
      <c r="K1050" s="12" t="s">
        <v>73</v>
      </c>
      <c r="L1050" s="10" t="s">
        <v>417</v>
      </c>
      <c r="M1050" s="5" t="str">
        <f t="array" ref="M1050">Y806</f>
        <v>1ХВС::1.1</v>
      </c>
      <c r="AB1050" s="29" t="str">
        <f t="array" ref="AB1050">IF(A1050,AB1049&amp;".1",AB1049)</f>
        <v>3.1.2.1.1.2</v>
      </c>
      <c r="AC1050" s="280" t="s">
        <v>418</v>
      </c>
      <c r="AD1050" s="370" t="s">
        <v>415</v>
      </c>
      <c r="AE1050" s="427" t="e">
        <f>[1]ЭЭ!AO788</f>
        <v>#REF!</v>
      </c>
      <c r="AF1050" s="67" t="e">
        <f>[1]ЭЭ!AP788</f>
        <v>#REF!</v>
      </c>
      <c r="AG1050" s="428" t="e">
        <f>[1]ЭЭ!AQ788</f>
        <v>#REF!</v>
      </c>
      <c r="AH1050" s="146"/>
      <c r="AI1050" s="67"/>
      <c r="AJ1050" s="68"/>
      <c r="AK1050" s="146"/>
      <c r="AL1050" s="67"/>
      <c r="AM1050" s="68"/>
      <c r="AN1050" s="146"/>
      <c r="AO1050" s="67"/>
      <c r="AP1050" s="68"/>
      <c r="AQ1050" s="146"/>
      <c r="AR1050" s="67"/>
      <c r="AS1050" s="68"/>
      <c r="AT1050" s="146"/>
      <c r="AU1050" s="67"/>
      <c r="AV1050" s="68"/>
      <c r="AW1050" s="146"/>
      <c r="AX1050" s="67"/>
      <c r="AY1050" s="68"/>
      <c r="AZ1050" s="146"/>
      <c r="BA1050" s="67"/>
      <c r="BB1050" s="68"/>
      <c r="BC1050" s="146"/>
      <c r="BD1050" s="67"/>
      <c r="BE1050" s="68"/>
      <c r="BF1050" s="120"/>
      <c r="BG1050" s="121"/>
      <c r="BH1050" s="124"/>
      <c r="BI1050" s="123"/>
      <c r="BJ1050" s="121"/>
      <c r="BK1050" s="124"/>
      <c r="BN1050" s="125" t="e">
        <f t="shared" si="380"/>
        <v>#REF!</v>
      </c>
      <c r="BO1050" s="126" t="e">
        <f t="shared" si="381"/>
        <v>#REF!</v>
      </c>
      <c r="BP1050" s="127" t="e">
        <f t="shared" si="382"/>
        <v>#REF!</v>
      </c>
    </row>
    <row r="1051" spans="1:68" ht="14.25" hidden="1" customHeight="1" outlineLevel="3" x14ac:dyDescent="0.25">
      <c r="B1051" s="10" t="b">
        <f>$AD$37="нет"</f>
        <v>0</v>
      </c>
      <c r="C1051" s="10" t="s">
        <v>419</v>
      </c>
      <c r="D1051" s="10" t="s">
        <v>420</v>
      </c>
      <c r="E1051" s="10" t="s">
        <v>73</v>
      </c>
      <c r="F1051" s="10" t="s">
        <v>74</v>
      </c>
      <c r="G1051" s="10" t="s">
        <v>73</v>
      </c>
      <c r="H1051" s="10" t="s">
        <v>73</v>
      </c>
      <c r="I1051" s="10" t="s">
        <v>73</v>
      </c>
      <c r="J1051" s="10" t="s">
        <v>73</v>
      </c>
      <c r="K1051" s="12" t="s">
        <v>73</v>
      </c>
      <c r="L1051" s="10" t="s">
        <v>417</v>
      </c>
      <c r="M1051" s="5" t="str">
        <f t="array" ref="M1051">Y806</f>
        <v>1ХВС::1.1</v>
      </c>
      <c r="AB1051" s="29" t="str">
        <f>IF(AB1050="",AB1049&amp;".1",AB1050&amp;".1")</f>
        <v>3.1.2.1.1.2.1</v>
      </c>
      <c r="AC1051" s="281" t="s">
        <v>421</v>
      </c>
      <c r="AD1051" s="370" t="s">
        <v>422</v>
      </c>
      <c r="AE1051" s="669" t="e">
        <f>IF(AE1052=0,0,IF($AD$36="нет",AE1049/AE1052,AE1050/AE1052))</f>
        <v>#REF!</v>
      </c>
      <c r="AF1051" s="283" t="e">
        <f>IF(AF1052=0,0,IF($AD$36="нет",AF1049/AF1052,AF1050/AF1052))</f>
        <v>#REF!</v>
      </c>
      <c r="AG1051" s="670" t="e">
        <f>IF(AG1052=0,0,IF($AD$36="нет",AG1049/AG1052,AG1050/AG1052))</f>
        <v>#REF!</v>
      </c>
      <c r="AH1051" s="671"/>
      <c r="AI1051" s="283"/>
      <c r="AJ1051" s="284"/>
      <c r="AK1051" s="671"/>
      <c r="AL1051" s="283"/>
      <c r="AM1051" s="284"/>
      <c r="AN1051" s="671"/>
      <c r="AO1051" s="283"/>
      <c r="AP1051" s="284"/>
      <c r="AQ1051" s="671"/>
      <c r="AR1051" s="283"/>
      <c r="AS1051" s="284"/>
      <c r="AT1051" s="671"/>
      <c r="AU1051" s="283"/>
      <c r="AV1051" s="284"/>
      <c r="AW1051" s="671"/>
      <c r="AX1051" s="283"/>
      <c r="AY1051" s="284"/>
      <c r="AZ1051" s="671"/>
      <c r="BA1051" s="283"/>
      <c r="BB1051" s="284"/>
      <c r="BC1051" s="671"/>
      <c r="BD1051" s="283"/>
      <c r="BE1051" s="284"/>
      <c r="BF1051" s="286"/>
      <c r="BG1051" s="287"/>
      <c r="BH1051" s="290"/>
      <c r="BI1051" s="289"/>
      <c r="BJ1051" s="287"/>
      <c r="BK1051" s="290"/>
      <c r="BN1051" s="125" t="e">
        <f t="shared" si="380"/>
        <v>#REF!</v>
      </c>
      <c r="BO1051" s="126" t="e">
        <f t="shared" si="381"/>
        <v>#REF!</v>
      </c>
      <c r="BP1051" s="127" t="e">
        <f t="shared" si="382"/>
        <v>#REF!</v>
      </c>
    </row>
    <row r="1052" spans="1:68" ht="14.25" hidden="1" customHeight="1" outlineLevel="3" x14ac:dyDescent="0.25">
      <c r="B1052" s="10" t="b">
        <f t="array" ref="B1052">B1051</f>
        <v>0</v>
      </c>
      <c r="C1052" s="10" t="s">
        <v>423</v>
      </c>
      <c r="D1052" s="10" t="s">
        <v>424</v>
      </c>
      <c r="E1052" s="10" t="s">
        <v>73</v>
      </c>
      <c r="F1052" s="10" t="s">
        <v>74</v>
      </c>
      <c r="G1052" s="10" t="s">
        <v>73</v>
      </c>
      <c r="H1052" s="10" t="s">
        <v>73</v>
      </c>
      <c r="I1052" s="10" t="s">
        <v>73</v>
      </c>
      <c r="J1052" s="10" t="s">
        <v>73</v>
      </c>
      <c r="K1052" s="12" t="s">
        <v>73</v>
      </c>
      <c r="L1052" s="10" t="s">
        <v>417</v>
      </c>
      <c r="M1052" s="5" t="str">
        <f t="array" ref="M1052">Y806</f>
        <v>1ХВС::1.1</v>
      </c>
      <c r="AB1052" s="29" t="str">
        <f>IF(AB1050="",AB1049&amp;".2",AB1050&amp;".2")</f>
        <v>3.1.2.1.1.2.2</v>
      </c>
      <c r="AC1052" s="281" t="s">
        <v>425</v>
      </c>
      <c r="AD1052" s="370" t="s">
        <v>137</v>
      </c>
      <c r="AE1052" s="427" t="e">
        <f>[1]ЭЭ!AO791</f>
        <v>#REF!</v>
      </c>
      <c r="AF1052" s="67" t="e">
        <f>[1]ЭЭ!AP791</f>
        <v>#REF!</v>
      </c>
      <c r="AG1052" s="428" t="e">
        <f>[1]ЭЭ!AQ791</f>
        <v>#REF!</v>
      </c>
      <c r="AH1052" s="146"/>
      <c r="AI1052" s="67"/>
      <c r="AJ1052" s="68"/>
      <c r="AK1052" s="146"/>
      <c r="AL1052" s="67"/>
      <c r="AM1052" s="68"/>
      <c r="AN1052" s="146"/>
      <c r="AO1052" s="67"/>
      <c r="AP1052" s="68"/>
      <c r="AQ1052" s="146"/>
      <c r="AR1052" s="67"/>
      <c r="AS1052" s="68"/>
      <c r="AT1052" s="146"/>
      <c r="AU1052" s="67"/>
      <c r="AV1052" s="68"/>
      <c r="AW1052" s="146"/>
      <c r="AX1052" s="67"/>
      <c r="AY1052" s="68"/>
      <c r="AZ1052" s="146"/>
      <c r="BA1052" s="67"/>
      <c r="BB1052" s="68"/>
      <c r="BC1052" s="146"/>
      <c r="BD1052" s="67"/>
      <c r="BE1052" s="68"/>
      <c r="BF1052" s="120"/>
      <c r="BG1052" s="121"/>
      <c r="BH1052" s="124"/>
      <c r="BI1052" s="123"/>
      <c r="BJ1052" s="121"/>
      <c r="BK1052" s="124"/>
      <c r="BN1052" s="125" t="e">
        <f t="shared" si="380"/>
        <v>#REF!</v>
      </c>
      <c r="BO1052" s="126" t="e">
        <f t="shared" si="381"/>
        <v>#REF!</v>
      </c>
      <c r="BP1052" s="127" t="e">
        <f t="shared" si="382"/>
        <v>#REF!</v>
      </c>
    </row>
    <row r="1053" spans="1:68" ht="30" hidden="1" customHeight="1" outlineLevel="3" x14ac:dyDescent="0.25">
      <c r="B1053" s="10" t="b">
        <f>NOT(B1052)</f>
        <v>1</v>
      </c>
      <c r="C1053" s="10" t="s">
        <v>426</v>
      </c>
      <c r="D1053" s="10" t="s">
        <v>427</v>
      </c>
      <c r="E1053" s="10" t="s">
        <v>73</v>
      </c>
      <c r="F1053" s="10" t="s">
        <v>74</v>
      </c>
      <c r="G1053" s="10" t="s">
        <v>73</v>
      </c>
      <c r="H1053" s="10" t="s">
        <v>73</v>
      </c>
      <c r="I1053" s="10" t="s">
        <v>428</v>
      </c>
      <c r="J1053" s="10" t="s">
        <v>73</v>
      </c>
      <c r="K1053" s="12" t="s">
        <v>73</v>
      </c>
      <c r="L1053" s="10" t="s">
        <v>429</v>
      </c>
      <c r="M1053" s="5" t="str">
        <f t="array" ref="M1053">Y806</f>
        <v>1ХВС::1.1</v>
      </c>
      <c r="AB1053" s="29" t="str">
        <f>AB1050&amp;".1"</f>
        <v>3.1.2.1.1.2.1</v>
      </c>
      <c r="AC1053" s="291" t="s">
        <v>430</v>
      </c>
      <c r="AD1053" s="370" t="s">
        <v>415</v>
      </c>
      <c r="AE1053" s="427"/>
      <c r="AF1053" s="67"/>
      <c r="AG1053" s="428"/>
      <c r="AH1053" s="146">
        <v>56.084000000000003</v>
      </c>
      <c r="AI1053" s="67"/>
      <c r="AJ1053" s="68">
        <v>56.84</v>
      </c>
      <c r="AK1053" s="146"/>
      <c r="AL1053" s="67"/>
      <c r="AM1053" s="68"/>
      <c r="AN1053" s="146"/>
      <c r="AO1053" s="67"/>
      <c r="AP1053" s="68"/>
      <c r="AQ1053" s="146"/>
      <c r="AR1053" s="67"/>
      <c r="AS1053" s="68"/>
      <c r="AT1053" s="146"/>
      <c r="AU1053" s="67"/>
      <c r="AV1053" s="68"/>
      <c r="AW1053" s="146">
        <v>0</v>
      </c>
      <c r="AX1053" s="67"/>
      <c r="AY1053" s="68">
        <v>37.866</v>
      </c>
      <c r="AZ1053" s="146">
        <v>2762.085</v>
      </c>
      <c r="BA1053" s="67">
        <v>2718.82</v>
      </c>
      <c r="BB1053" s="68">
        <f>BB1049</f>
        <v>5465.43</v>
      </c>
      <c r="BC1053" s="146">
        <v>852.29399999999998</v>
      </c>
      <c r="BD1053" s="67">
        <v>2619.9589999999998</v>
      </c>
      <c r="BE1053" s="68"/>
      <c r="BF1053" s="120"/>
      <c r="BG1053" s="121"/>
      <c r="BH1053" s="124"/>
      <c r="BI1053" s="123">
        <v>155.46700000000001</v>
      </c>
      <c r="BJ1053" s="121">
        <v>235.98500000000001</v>
      </c>
      <c r="BK1053" s="124">
        <v>426.15</v>
      </c>
      <c r="BN1053" s="125">
        <f t="shared" si="380"/>
        <v>3825.93</v>
      </c>
      <c r="BO1053" s="126">
        <f t="shared" si="381"/>
        <v>5574.7640000000001</v>
      </c>
      <c r="BP1053" s="127">
        <f t="shared" si="382"/>
        <v>5986.2860000000001</v>
      </c>
    </row>
    <row r="1054" spans="1:68" ht="30" hidden="1" customHeight="1" outlineLevel="3" x14ac:dyDescent="0.25">
      <c r="B1054" s="10" t="b">
        <f t="array" ref="B1054">B1053</f>
        <v>1</v>
      </c>
      <c r="C1054" s="10" t="s">
        <v>426</v>
      </c>
      <c r="D1054" s="10" t="s">
        <v>427</v>
      </c>
      <c r="E1054" s="10" t="s">
        <v>73</v>
      </c>
      <c r="F1054" s="10" t="s">
        <v>74</v>
      </c>
      <c r="G1054" s="10" t="s">
        <v>73</v>
      </c>
      <c r="H1054" s="10" t="s">
        <v>73</v>
      </c>
      <c r="I1054" s="10" t="s">
        <v>431</v>
      </c>
      <c r="J1054" s="10" t="s">
        <v>73</v>
      </c>
      <c r="K1054" s="12" t="s">
        <v>73</v>
      </c>
      <c r="L1054" s="10" t="s">
        <v>429</v>
      </c>
      <c r="M1054" s="5" t="str">
        <f t="array" ref="M1054">Y806</f>
        <v>1ХВС::1.1</v>
      </c>
      <c r="AB1054" s="65" t="str">
        <f>AB1053&amp;".1"</f>
        <v>3.1.2.1.1.2.1.1</v>
      </c>
      <c r="AC1054" s="292" t="s">
        <v>432</v>
      </c>
      <c r="AD1054" s="370" t="s">
        <v>422</v>
      </c>
      <c r="AE1054" s="669"/>
      <c r="AF1054" s="283"/>
      <c r="AG1054" s="670"/>
      <c r="AH1054" s="671">
        <f>AH1053/AH1055</f>
        <v>0.36855421132526794</v>
      </c>
      <c r="AI1054" s="283"/>
      <c r="AJ1054" s="284">
        <f>AJ1053/AJ1055</f>
        <v>0.32784615917034854</v>
      </c>
      <c r="AK1054" s="671"/>
      <c r="AL1054" s="283"/>
      <c r="AM1054" s="284"/>
      <c r="AN1054" s="671"/>
      <c r="AO1054" s="283"/>
      <c r="AP1054" s="284"/>
      <c r="AQ1054" s="671"/>
      <c r="AR1054" s="283"/>
      <c r="AS1054" s="284"/>
      <c r="AT1054" s="671"/>
      <c r="AU1054" s="283"/>
      <c r="AV1054" s="284"/>
      <c r="AW1054" s="671">
        <v>0</v>
      </c>
      <c r="AX1054" s="283"/>
      <c r="AY1054" s="284">
        <v>5.04E-2</v>
      </c>
      <c r="AZ1054" s="671">
        <f>AZ1053/AZ1055</f>
        <v>1.2820431295371419</v>
      </c>
      <c r="BA1054" s="283">
        <f>BA1053/BA1055</f>
        <v>0.77000110452487025</v>
      </c>
      <c r="BB1054" s="284">
        <f>BB1053/BB1055</f>
        <v>1.1469634616474262</v>
      </c>
      <c r="BC1054" s="671">
        <v>0.2414</v>
      </c>
      <c r="BD1054" s="283">
        <v>0.74539999999999995</v>
      </c>
      <c r="BE1054" s="284"/>
      <c r="BF1054" s="286"/>
      <c r="BG1054" s="287"/>
      <c r="BH1054" s="290"/>
      <c r="BI1054" s="289">
        <v>0.34050000000000002</v>
      </c>
      <c r="BJ1054" s="287">
        <v>0.94699999999999995</v>
      </c>
      <c r="BK1054" s="290">
        <v>0.94699999999999995</v>
      </c>
      <c r="BN1054" s="125">
        <f t="shared" si="380"/>
        <v>2.2324973408624098</v>
      </c>
      <c r="BO1054" s="126">
        <f t="shared" si="381"/>
        <v>2.4624011045248704</v>
      </c>
      <c r="BP1054" s="127">
        <f t="shared" si="382"/>
        <v>2.4722096208177748</v>
      </c>
    </row>
    <row r="1055" spans="1:68" ht="19.5" hidden="1" customHeight="1" outlineLevel="3" x14ac:dyDescent="0.25">
      <c r="B1055" s="10" t="b">
        <f t="array" ref="B1055">B1054</f>
        <v>1</v>
      </c>
      <c r="C1055" s="10" t="s">
        <v>426</v>
      </c>
      <c r="D1055" s="10" t="s">
        <v>427</v>
      </c>
      <c r="E1055" s="10" t="s">
        <v>73</v>
      </c>
      <c r="F1055" s="10" t="s">
        <v>74</v>
      </c>
      <c r="G1055" s="10" t="s">
        <v>73</v>
      </c>
      <c r="H1055" s="10" t="s">
        <v>73</v>
      </c>
      <c r="I1055" s="10" t="s">
        <v>433</v>
      </c>
      <c r="J1055" s="10" t="s">
        <v>73</v>
      </c>
      <c r="K1055" s="12" t="s">
        <v>73</v>
      </c>
      <c r="L1055" s="10" t="s">
        <v>429</v>
      </c>
      <c r="M1055" s="5" t="str">
        <f t="array" ref="M1055">Y806</f>
        <v>1ХВС::1.1</v>
      </c>
      <c r="AB1055" s="65" t="str">
        <f>AB1053&amp;".2"</f>
        <v>3.1.2.1.1.2.1.2</v>
      </c>
      <c r="AC1055" s="292" t="s">
        <v>425</v>
      </c>
      <c r="AD1055" s="370" t="s">
        <v>137</v>
      </c>
      <c r="AE1055" s="427">
        <v>52396.260999999999</v>
      </c>
      <c r="AF1055" s="67">
        <v>52396.260999999999</v>
      </c>
      <c r="AG1055" s="428">
        <v>52396.260999999999</v>
      </c>
      <c r="AH1055" s="146">
        <v>152.173</v>
      </c>
      <c r="AI1055" s="67"/>
      <c r="AJ1055" s="68">
        <v>173.374</v>
      </c>
      <c r="AK1055" s="146">
        <v>1151.5329999999999</v>
      </c>
      <c r="AL1055" s="67">
        <v>1038</v>
      </c>
      <c r="AM1055" s="68">
        <v>1346.55</v>
      </c>
      <c r="AN1055" s="146"/>
      <c r="AO1055" s="67"/>
      <c r="AP1055" s="68"/>
      <c r="AQ1055" s="146">
        <v>399.11</v>
      </c>
      <c r="AR1055" s="67">
        <v>493.12</v>
      </c>
      <c r="AS1055" s="68">
        <v>415.79</v>
      </c>
      <c r="AT1055" s="146">
        <v>7733.2</v>
      </c>
      <c r="AU1055" s="67">
        <v>7474.4679999999998</v>
      </c>
      <c r="AV1055" s="68">
        <v>7474.4679999999998</v>
      </c>
      <c r="AW1055" s="146">
        <v>741.82399999999996</v>
      </c>
      <c r="AX1055" s="67"/>
      <c r="AY1055" s="68">
        <v>751.28599999999994</v>
      </c>
      <c r="AZ1055" s="146">
        <v>2154.44</v>
      </c>
      <c r="BA1055" s="67">
        <v>3530.93</v>
      </c>
      <c r="BB1055" s="68">
        <v>4765.13</v>
      </c>
      <c r="BC1055" s="146">
        <v>3531.2759999999998</v>
      </c>
      <c r="BD1055" s="67">
        <v>3514.9549999999999</v>
      </c>
      <c r="BE1055" s="68">
        <v>4083.32</v>
      </c>
      <c r="BF1055" s="120">
        <v>147.52199999999999</v>
      </c>
      <c r="BG1055" s="121">
        <v>204.5</v>
      </c>
      <c r="BH1055" s="124">
        <v>256.42399999999998</v>
      </c>
      <c r="BI1055" s="123">
        <v>456.62</v>
      </c>
      <c r="BJ1055" s="121">
        <v>400</v>
      </c>
      <c r="BK1055" s="124">
        <v>450</v>
      </c>
      <c r="BN1055" s="125">
        <f t="shared" si="380"/>
        <v>68863.959000000003</v>
      </c>
      <c r="BO1055" s="126">
        <f t="shared" si="381"/>
        <v>69052.233999999997</v>
      </c>
      <c r="BP1055" s="127">
        <f t="shared" si="382"/>
        <v>72112.603000000017</v>
      </c>
    </row>
    <row r="1056" spans="1:68" ht="48.75" hidden="1" customHeight="1" outlineLevel="3" x14ac:dyDescent="0.25">
      <c r="B1056" s="10" t="b">
        <f t="array" ref="B1056">B1055</f>
        <v>1</v>
      </c>
      <c r="C1056" s="10" t="s">
        <v>426</v>
      </c>
      <c r="D1056" s="10" t="s">
        <v>427</v>
      </c>
      <c r="E1056" s="10" t="s">
        <v>73</v>
      </c>
      <c r="F1056" s="10" t="s">
        <v>74</v>
      </c>
      <c r="G1056" s="10" t="s">
        <v>73</v>
      </c>
      <c r="H1056" s="10" t="s">
        <v>73</v>
      </c>
      <c r="I1056" s="10" t="s">
        <v>434</v>
      </c>
      <c r="J1056" s="10" t="s">
        <v>73</v>
      </c>
      <c r="K1056" s="12" t="s">
        <v>73</v>
      </c>
      <c r="L1056" s="10" t="s">
        <v>429</v>
      </c>
      <c r="M1056" s="5" t="str">
        <f t="array" ref="M1056">Y806</f>
        <v>1ХВС::1.1</v>
      </c>
      <c r="AB1056" s="65" t="str">
        <f>AB1050&amp;".2"</f>
        <v>3.1.2.1.1.2.2</v>
      </c>
      <c r="AC1056" s="291" t="s">
        <v>435</v>
      </c>
      <c r="AD1056" s="370" t="s">
        <v>415</v>
      </c>
      <c r="AE1056" s="427">
        <v>29279.306</v>
      </c>
      <c r="AF1056" s="67">
        <v>29279.306</v>
      </c>
      <c r="AG1056" s="428">
        <v>29279.306</v>
      </c>
      <c r="AH1056" s="146">
        <v>67.445999999999998</v>
      </c>
      <c r="AI1056" s="67"/>
      <c r="AJ1056" s="68">
        <v>52.649000000000001</v>
      </c>
      <c r="AK1056" s="146">
        <v>646.41800000000001</v>
      </c>
      <c r="AL1056" s="67">
        <v>492.12</v>
      </c>
      <c r="AM1056" s="68">
        <v>506.59</v>
      </c>
      <c r="AN1056" s="146">
        <v>1807.5039999999999</v>
      </c>
      <c r="AO1056" s="67"/>
      <c r="AP1056" s="68">
        <v>1846.49</v>
      </c>
      <c r="AQ1056" s="146">
        <v>477.37200000000001</v>
      </c>
      <c r="AR1056" s="67">
        <v>875.12</v>
      </c>
      <c r="AS1056" s="68">
        <v>539.35</v>
      </c>
      <c r="AT1056" s="146">
        <v>2838.2950000000001</v>
      </c>
      <c r="AU1056" s="67">
        <v>1250.23</v>
      </c>
      <c r="AV1056" s="68">
        <v>2671.53</v>
      </c>
      <c r="AW1056" s="146">
        <v>747.18600000000004</v>
      </c>
      <c r="AX1056" s="67">
        <f>AX1049</f>
        <v>1603.9250000000002</v>
      </c>
      <c r="AY1056" s="68">
        <v>721.024</v>
      </c>
      <c r="AZ1056" s="146"/>
      <c r="BA1056" s="67"/>
      <c r="BB1056" s="68"/>
      <c r="BC1056" s="146">
        <v>1708.962</v>
      </c>
      <c r="BD1056" s="67">
        <v>2291.3009999999999</v>
      </c>
      <c r="BE1056" s="68">
        <v>3058.25</v>
      </c>
      <c r="BF1056" s="120">
        <v>292.81400000000002</v>
      </c>
      <c r="BG1056" s="121">
        <v>306.3</v>
      </c>
      <c r="BH1056" s="124">
        <v>292.12799999999999</v>
      </c>
      <c r="BI1056" s="123">
        <v>263.14600000000002</v>
      </c>
      <c r="BJ1056" s="121">
        <v>401.81099999999998</v>
      </c>
      <c r="BK1056" s="124">
        <v>356.4</v>
      </c>
      <c r="BN1056" s="125">
        <f t="shared" si="380"/>
        <v>38128.449000000001</v>
      </c>
      <c r="BO1056" s="126">
        <f t="shared" si="381"/>
        <v>36500.113000000005</v>
      </c>
      <c r="BP1056" s="127">
        <f t="shared" si="382"/>
        <v>39323.716999999997</v>
      </c>
    </row>
    <row r="1057" spans="1:68" ht="46.5" hidden="1" customHeight="1" outlineLevel="3" x14ac:dyDescent="0.25">
      <c r="B1057" s="10" t="b">
        <f t="array" ref="B1057">B1056</f>
        <v>1</v>
      </c>
      <c r="C1057" s="10" t="s">
        <v>426</v>
      </c>
      <c r="D1057" s="10" t="s">
        <v>427</v>
      </c>
      <c r="E1057" s="10" t="s">
        <v>73</v>
      </c>
      <c r="F1057" s="10" t="s">
        <v>74</v>
      </c>
      <c r="G1057" s="10" t="s">
        <v>73</v>
      </c>
      <c r="H1057" s="10" t="s">
        <v>73</v>
      </c>
      <c r="I1057" s="10" t="s">
        <v>436</v>
      </c>
      <c r="J1057" s="10" t="s">
        <v>73</v>
      </c>
      <c r="K1057" s="12" t="s">
        <v>73</v>
      </c>
      <c r="L1057" s="10" t="s">
        <v>429</v>
      </c>
      <c r="M1057" s="5" t="str">
        <f t="array" ref="M1057">Y806</f>
        <v>1ХВС::1.1</v>
      </c>
      <c r="AB1057" s="65" t="str">
        <f>AB1056&amp;".1"</f>
        <v>3.1.2.1.1.2.2.1</v>
      </c>
      <c r="AC1057" s="292" t="s">
        <v>437</v>
      </c>
      <c r="AD1057" s="370" t="s">
        <v>422</v>
      </c>
      <c r="AE1057" s="669">
        <f>AE1056/AE1058</f>
        <v>0.58139995889992635</v>
      </c>
      <c r="AF1057" s="283">
        <f>AF1056/AF1058</f>
        <v>0.58138841425470311</v>
      </c>
      <c r="AG1057" s="670">
        <f>AG1056/AG1058</f>
        <v>0.58137687006794625</v>
      </c>
      <c r="AH1057" s="671">
        <f>AH1056/AH1058</f>
        <v>0.45254837757320376</v>
      </c>
      <c r="AI1057" s="283"/>
      <c r="AJ1057" s="284">
        <f>AJ1056/AJ1058</f>
        <v>0.31457592686642966</v>
      </c>
      <c r="AK1057" s="671">
        <f>AK1056/AK1058</f>
        <v>0.56135429900836542</v>
      </c>
      <c r="AL1057" s="283">
        <f>AL1056/AL1058</f>
        <v>0.35937956417596545</v>
      </c>
      <c r="AM1057" s="284">
        <f>AM1056/AM1058</f>
        <v>0.37621328580446323</v>
      </c>
      <c r="AN1057" s="671">
        <f>AN1056/AN1058</f>
        <v>0.68930243129681612</v>
      </c>
      <c r="AO1057" s="283"/>
      <c r="AP1057" s="284">
        <f t="shared" ref="AP1057:AW1057" si="383">AP1056/AP1058</f>
        <v>0.7356299400815911</v>
      </c>
      <c r="AQ1057" s="671">
        <f t="shared" si="383"/>
        <v>1.1960913031495077</v>
      </c>
      <c r="AR1057" s="283">
        <f t="shared" si="383"/>
        <v>1.7746593121349772</v>
      </c>
      <c r="AS1057" s="284">
        <f t="shared" si="383"/>
        <v>1.2971692440895644</v>
      </c>
      <c r="AT1057" s="671">
        <f t="shared" si="383"/>
        <v>0.36702723322815911</v>
      </c>
      <c r="AU1057" s="283">
        <f t="shared" si="383"/>
        <v>0.1672667539683092</v>
      </c>
      <c r="AV1057" s="284">
        <f t="shared" si="383"/>
        <v>0.35742075556414188</v>
      </c>
      <c r="AW1057" s="671">
        <f t="shared" si="383"/>
        <v>0.60806647189511642</v>
      </c>
      <c r="AX1057" s="283"/>
      <c r="AY1057" s="284">
        <v>0.59709999999999996</v>
      </c>
      <c r="AZ1057" s="671"/>
      <c r="BA1057" s="283"/>
      <c r="BB1057" s="284"/>
      <c r="BC1057" s="671">
        <f>BC1056/BC1058</f>
        <v>0.37532564451368877</v>
      </c>
      <c r="BD1057" s="283">
        <f>BD1056/BD1058</f>
        <v>0.50953909337083547</v>
      </c>
      <c r="BE1057" s="284">
        <f>BE1056/BE1058</f>
        <v>0.6657141072182281</v>
      </c>
      <c r="BF1057" s="286">
        <f>BF1056/BF1058</f>
        <v>1.098450688374536</v>
      </c>
      <c r="BG1057" s="287">
        <v>1.7373000000000001</v>
      </c>
      <c r="BH1057" s="290">
        <f>BH1056/BH1058</f>
        <v>1.1392381368358657</v>
      </c>
      <c r="BI1057" s="289">
        <f>BI1056/BI1058</f>
        <v>0.57629100784021725</v>
      </c>
      <c r="BJ1057" s="287">
        <v>0.79200000000000004</v>
      </c>
      <c r="BK1057" s="290">
        <f>BK1056/BK1058</f>
        <v>0.79199999999999993</v>
      </c>
      <c r="BN1057" s="125">
        <f t="shared" si="380"/>
        <v>6.5058574157795377</v>
      </c>
      <c r="BO1057" s="126">
        <f t="shared" si="381"/>
        <v>5.9215331379047909</v>
      </c>
      <c r="BP1057" s="127">
        <f t="shared" si="382"/>
        <v>6.8564382665282304</v>
      </c>
    </row>
    <row r="1058" spans="1:68" ht="27.75" hidden="1" customHeight="1" outlineLevel="3" x14ac:dyDescent="0.25">
      <c r="B1058" s="10" t="b">
        <f t="array" ref="B1058">B1057</f>
        <v>1</v>
      </c>
      <c r="C1058" s="10" t="s">
        <v>426</v>
      </c>
      <c r="D1058" s="10" t="s">
        <v>427</v>
      </c>
      <c r="E1058" s="10" t="s">
        <v>73</v>
      </c>
      <c r="F1058" s="10" t="s">
        <v>74</v>
      </c>
      <c r="G1058" s="10" t="s">
        <v>73</v>
      </c>
      <c r="H1058" s="10" t="s">
        <v>73</v>
      </c>
      <c r="I1058" s="10" t="s">
        <v>438</v>
      </c>
      <c r="J1058" s="10" t="s">
        <v>73</v>
      </c>
      <c r="K1058" s="12" t="s">
        <v>73</v>
      </c>
      <c r="L1058" s="10" t="s">
        <v>429</v>
      </c>
      <c r="M1058" s="5" t="str">
        <f t="array" ref="M1058">Y806</f>
        <v>1ХВС::1.1</v>
      </c>
      <c r="AB1058" s="65" t="str">
        <f>AB1056&amp;".2"</f>
        <v>3.1.2.1.1.2.2.2</v>
      </c>
      <c r="AC1058" s="292" t="s">
        <v>425</v>
      </c>
      <c r="AD1058" s="370" t="s">
        <v>137</v>
      </c>
      <c r="AE1058" s="427">
        <v>50360.006999999998</v>
      </c>
      <c r="AF1058" s="67">
        <v>50361.006999999998</v>
      </c>
      <c r="AG1058" s="428">
        <v>50362.006999999998</v>
      </c>
      <c r="AH1058" s="146">
        <v>149.036</v>
      </c>
      <c r="AI1058" s="67"/>
      <c r="AJ1058" s="68">
        <v>167.36500000000001</v>
      </c>
      <c r="AK1058" s="146">
        <v>1151.5329999999999</v>
      </c>
      <c r="AL1058" s="67">
        <v>1369.36</v>
      </c>
      <c r="AM1058" s="68">
        <v>1346.55</v>
      </c>
      <c r="AN1058" s="146">
        <v>2622.2220000000002</v>
      </c>
      <c r="AO1058" s="67"/>
      <c r="AP1058" s="68">
        <v>2510.08</v>
      </c>
      <c r="AQ1058" s="146">
        <v>399.11</v>
      </c>
      <c r="AR1058" s="67">
        <v>493.12</v>
      </c>
      <c r="AS1058" s="68">
        <v>415.79</v>
      </c>
      <c r="AT1058" s="146">
        <v>7733.2</v>
      </c>
      <c r="AU1058" s="67">
        <v>7474.4679999999998</v>
      </c>
      <c r="AV1058" s="68">
        <v>7474.4679999999998</v>
      </c>
      <c r="AW1058" s="146">
        <v>1228.79</v>
      </c>
      <c r="AX1058" s="67">
        <f>AX844</f>
        <v>0</v>
      </c>
      <c r="AY1058" s="68">
        <v>1207.5650000000001</v>
      </c>
      <c r="AZ1058" s="146"/>
      <c r="BA1058" s="67"/>
      <c r="BB1058" s="68"/>
      <c r="BC1058" s="146">
        <v>4553.2780000000002</v>
      </c>
      <c r="BD1058" s="67">
        <v>4496.8109999999997</v>
      </c>
      <c r="BE1058" s="68">
        <v>4593.9390000000003</v>
      </c>
      <c r="BF1058" s="120">
        <v>266.57</v>
      </c>
      <c r="BG1058" s="121">
        <v>204.5</v>
      </c>
      <c r="BH1058" s="124">
        <v>256.42399999999998</v>
      </c>
      <c r="BI1058" s="123">
        <v>456.62</v>
      </c>
      <c r="BJ1058" s="121">
        <v>400</v>
      </c>
      <c r="BK1058" s="124">
        <v>450</v>
      </c>
      <c r="BN1058" s="125">
        <f t="shared" si="380"/>
        <v>68920.366000000009</v>
      </c>
      <c r="BO1058" s="126">
        <f t="shared" si="381"/>
        <v>64799.266000000003</v>
      </c>
      <c r="BP1058" s="127">
        <f t="shared" si="382"/>
        <v>68784.188000000009</v>
      </c>
    </row>
    <row r="1059" spans="1:68" ht="15.75" hidden="1" customHeight="1" outlineLevel="3" x14ac:dyDescent="0.25">
      <c r="B1059" s="10" t="b">
        <f t="array" ref="B1059">B1050</f>
        <v>0</v>
      </c>
      <c r="C1059" s="11" t="s">
        <v>412</v>
      </c>
      <c r="D1059" s="10" t="s">
        <v>413</v>
      </c>
      <c r="E1059" s="10" t="s">
        <v>73</v>
      </c>
      <c r="F1059" s="10" t="s">
        <v>74</v>
      </c>
      <c r="G1059" s="10" t="s">
        <v>73</v>
      </c>
      <c r="H1059" s="10" t="s">
        <v>73</v>
      </c>
      <c r="I1059" s="10" t="s">
        <v>73</v>
      </c>
      <c r="J1059" s="11" t="s">
        <v>439</v>
      </c>
      <c r="K1059" s="12" t="s">
        <v>73</v>
      </c>
      <c r="L1059" s="10" t="s">
        <v>417</v>
      </c>
      <c r="M1059" s="5" t="str">
        <f t="array" ref="M1059">Y806</f>
        <v>1ХВС::1.1</v>
      </c>
      <c r="AB1059" s="29" t="str">
        <f>AB1049&amp;".2"</f>
        <v>3.1.2.1.1.2.2</v>
      </c>
      <c r="AC1059" s="293" t="s">
        <v>440</v>
      </c>
      <c r="AD1059" s="370" t="s">
        <v>415</v>
      </c>
      <c r="AE1059" s="427" t="e">
        <f>[1]ЭЭ!AO789*1</f>
        <v>#REF!</v>
      </c>
      <c r="AF1059" s="67" t="e">
        <f>[1]ЭЭ!AP789*1</f>
        <v>#REF!</v>
      </c>
      <c r="AG1059" s="428" t="e">
        <f>[1]ЭЭ!AQ789*1</f>
        <v>#REF!</v>
      </c>
      <c r="AH1059" s="146" t="e">
        <f>[1]ЭЭ!AR807*1</f>
        <v>#REF!</v>
      </c>
      <c r="AI1059" s="67"/>
      <c r="AJ1059" s="68" t="e">
        <f>[1]ЭЭ!BM807</f>
        <v>#REF!</v>
      </c>
      <c r="AK1059" s="146" t="e">
        <f>[1]ЭЭ!AU789*1</f>
        <v>#REF!</v>
      </c>
      <c r="AL1059" s="67"/>
      <c r="AM1059" s="68" t="e">
        <f>[1]ЭЭ!BP789</f>
        <v>#REF!</v>
      </c>
      <c r="AN1059" s="146" t="e">
        <f>[1]ЭЭ!AX789*1</f>
        <v>#REF!</v>
      </c>
      <c r="AO1059" s="67"/>
      <c r="AP1059" s="68" t="e">
        <f>[1]ЭЭ!BS789</f>
        <v>#REF!</v>
      </c>
      <c r="AQ1059" s="146" t="e">
        <f>[1]ЭЭ!BA789*1</f>
        <v>#REF!</v>
      </c>
      <c r="AR1059" s="67"/>
      <c r="AS1059" s="68" t="e">
        <f>[1]ЭЭ!BV789</f>
        <v>#REF!</v>
      </c>
      <c r="AT1059" s="146" t="e">
        <f>[1]ЭЭ!BD789*1</f>
        <v>#REF!</v>
      </c>
      <c r="AU1059" s="67"/>
      <c r="AV1059" s="68" t="e">
        <f>[1]ЭЭ!BY789</f>
        <v>#REF!</v>
      </c>
      <c r="AW1059" s="146" t="e">
        <f>[1]ЭЭ!BG806*1</f>
        <v>#REF!</v>
      </c>
      <c r="AX1059" s="67"/>
      <c r="AY1059" s="68" t="e">
        <f>[1]ЭЭ!CB806</f>
        <v>#REF!</v>
      </c>
      <c r="AZ1059" s="146" t="e">
        <f>[1]ЭЭ!BJ806*1</f>
        <v>#REF!</v>
      </c>
      <c r="BA1059" s="67"/>
      <c r="BB1059" s="68" t="e">
        <f>[1]ЭЭ!CE806</f>
        <v>#REF!</v>
      </c>
      <c r="BC1059" s="146" t="e">
        <f>[1]ЭЭ!BM807*1</f>
        <v>#REF!</v>
      </c>
      <c r="BD1059" s="67"/>
      <c r="BE1059" s="68" t="e">
        <f>[1]ЭЭ!CH807</f>
        <v>#REF!</v>
      </c>
      <c r="BF1059" s="120">
        <f>[3]ЭЭ!BP802*1</f>
        <v>0</v>
      </c>
      <c r="BG1059" s="121"/>
      <c r="BH1059" s="124">
        <f>[3]ЭЭ!CK802</f>
        <v>0</v>
      </c>
      <c r="BI1059" s="123">
        <f>[3]ЭЭ!BS802*1</f>
        <v>0</v>
      </c>
      <c r="BJ1059" s="121"/>
      <c r="BK1059" s="124">
        <f>[3]ЭЭ!CN802</f>
        <v>0</v>
      </c>
      <c r="BN1059" s="125" t="e">
        <f t="shared" si="380"/>
        <v>#REF!</v>
      </c>
      <c r="BO1059" s="126" t="e">
        <f t="shared" si="381"/>
        <v>#REF!</v>
      </c>
      <c r="BP1059" s="127" t="e">
        <f t="shared" si="382"/>
        <v>#REF!</v>
      </c>
    </row>
    <row r="1060" spans="1:68" ht="29.25" hidden="1" customHeight="1" outlineLevel="3" x14ac:dyDescent="0.25">
      <c r="A1060" s="10" t="b">
        <f>$AD$48="да"</f>
        <v>1</v>
      </c>
      <c r="B1060" s="5" t="b">
        <f t="array" ref="B1060">A1060</f>
        <v>1</v>
      </c>
      <c r="C1060" s="10" t="s">
        <v>83</v>
      </c>
      <c r="D1060" s="10" t="s">
        <v>84</v>
      </c>
      <c r="E1060" s="10" t="s">
        <v>73</v>
      </c>
      <c r="F1060" s="10" t="s">
        <v>74</v>
      </c>
      <c r="G1060" s="10" t="s">
        <v>441</v>
      </c>
      <c r="H1060" s="10" t="s">
        <v>73</v>
      </c>
      <c r="I1060" s="10" t="s">
        <v>73</v>
      </c>
      <c r="J1060" s="10" t="s">
        <v>73</v>
      </c>
      <c r="K1060" s="12" t="s">
        <v>73</v>
      </c>
      <c r="L1060" s="10" t="s">
        <v>442</v>
      </c>
      <c r="M1060" s="5" t="str">
        <f t="array" ref="M1060">Y806</f>
        <v>1ХВС::1.1</v>
      </c>
      <c r="Y1060" s="10">
        <f>COUNT($Y1047:Y1059)+1</f>
        <v>2</v>
      </c>
      <c r="AB1060" s="29" t="str">
        <f>AB$322&amp;"."&amp;Y1060</f>
        <v>3.1.2.2</v>
      </c>
      <c r="AC1060" s="87" t="s">
        <v>443</v>
      </c>
      <c r="AD1060" s="370" t="s">
        <v>111</v>
      </c>
      <c r="AE1060" s="175"/>
      <c r="AF1060" s="73"/>
      <c r="AG1060" s="176"/>
      <c r="AH1060" s="179"/>
      <c r="AI1060" s="178"/>
      <c r="AJ1060" s="74"/>
      <c r="AK1060" s="179"/>
      <c r="AL1060" s="178"/>
      <c r="AM1060" s="74"/>
      <c r="AN1060" s="179"/>
      <c r="AO1060" s="178"/>
      <c r="AP1060" s="74"/>
      <c r="AQ1060" s="179"/>
      <c r="AR1060" s="178"/>
      <c r="AS1060" s="74"/>
      <c r="AT1060" s="179"/>
      <c r="AU1060" s="178"/>
      <c r="AV1060" s="74"/>
      <c r="AW1060" s="179">
        <v>0</v>
      </c>
      <c r="AX1060" s="178"/>
      <c r="AY1060" s="74">
        <v>0</v>
      </c>
      <c r="AZ1060" s="179"/>
      <c r="BA1060" s="178"/>
      <c r="BB1060" s="74"/>
      <c r="BC1060" s="179"/>
      <c r="BD1060" s="178"/>
      <c r="BE1060" s="74"/>
      <c r="BF1060" s="139"/>
      <c r="BG1060" s="183"/>
      <c r="BH1060" s="143"/>
      <c r="BI1060" s="142"/>
      <c r="BJ1060" s="183"/>
      <c r="BK1060" s="143"/>
      <c r="BN1060" s="125">
        <f t="shared" si="380"/>
        <v>0</v>
      </c>
      <c r="BO1060" s="126">
        <f t="shared" si="381"/>
        <v>0</v>
      </c>
      <c r="BP1060" s="127">
        <f t="shared" si="382"/>
        <v>0</v>
      </c>
    </row>
    <row r="1061" spans="1:68" ht="38.25" hidden="1" customHeight="1" outlineLevel="3" x14ac:dyDescent="0.25">
      <c r="A1061" s="10" t="b">
        <f>$AD$49="да"</f>
        <v>1</v>
      </c>
      <c r="B1061" s="5" t="b">
        <f t="array" ref="B1061">A1061</f>
        <v>1</v>
      </c>
      <c r="C1061" s="10" t="s">
        <v>83</v>
      </c>
      <c r="D1061" s="10" t="s">
        <v>84</v>
      </c>
      <c r="E1061" s="10" t="s">
        <v>73</v>
      </c>
      <c r="F1061" s="10" t="s">
        <v>74</v>
      </c>
      <c r="G1061" s="10" t="s">
        <v>444</v>
      </c>
      <c r="H1061" s="10" t="s">
        <v>73</v>
      </c>
      <c r="I1061" s="10" t="s">
        <v>73</v>
      </c>
      <c r="J1061" s="10" t="s">
        <v>73</v>
      </c>
      <c r="K1061" s="12" t="s">
        <v>73</v>
      </c>
      <c r="L1061" s="10" t="s">
        <v>224</v>
      </c>
      <c r="M1061" s="5" t="str">
        <f t="array" ref="M1061">Y806</f>
        <v>1ХВС::1.1</v>
      </c>
      <c r="Y1061" s="10">
        <f>COUNT($Y1047:Y1060)+1</f>
        <v>3</v>
      </c>
      <c r="AB1061" s="29" t="str">
        <f>AB$322&amp;"."&amp;Y1061</f>
        <v>3.1.2.3</v>
      </c>
      <c r="AC1061" s="87" t="s">
        <v>445</v>
      </c>
      <c r="AD1061" s="370" t="s">
        <v>111</v>
      </c>
      <c r="AE1061" s="175"/>
      <c r="AF1061" s="73"/>
      <c r="AG1061" s="176"/>
      <c r="AH1061" s="179"/>
      <c r="AI1061" s="178"/>
      <c r="AJ1061" s="74"/>
      <c r="AK1061" s="179"/>
      <c r="AL1061" s="178"/>
      <c r="AM1061" s="74"/>
      <c r="AN1061" s="179"/>
      <c r="AO1061" s="178"/>
      <c r="AP1061" s="74"/>
      <c r="AQ1061" s="179"/>
      <c r="AR1061" s="178"/>
      <c r="AS1061" s="74"/>
      <c r="AT1061" s="179"/>
      <c r="AU1061" s="178"/>
      <c r="AV1061" s="74"/>
      <c r="AW1061" s="179">
        <v>0</v>
      </c>
      <c r="AX1061" s="178"/>
      <c r="AY1061" s="74">
        <v>0</v>
      </c>
      <c r="AZ1061" s="179"/>
      <c r="BA1061" s="178"/>
      <c r="BB1061" s="74"/>
      <c r="BC1061" s="179"/>
      <c r="BD1061" s="178"/>
      <c r="BE1061" s="74"/>
      <c r="BF1061" s="139"/>
      <c r="BG1061" s="183"/>
      <c r="BH1061" s="143"/>
      <c r="BI1061" s="142"/>
      <c r="BJ1061" s="183"/>
      <c r="BK1061" s="143"/>
      <c r="BN1061" s="125">
        <f t="shared" si="380"/>
        <v>0</v>
      </c>
      <c r="BO1061" s="126">
        <f t="shared" si="381"/>
        <v>0</v>
      </c>
      <c r="BP1061" s="127">
        <f t="shared" si="382"/>
        <v>0</v>
      </c>
    </row>
    <row r="1062" spans="1:68" ht="28.5" hidden="1" customHeight="1" outlineLevel="3" x14ac:dyDescent="0.25">
      <c r="A1062" s="10" t="b">
        <f>$AD$50="да"</f>
        <v>1</v>
      </c>
      <c r="B1062" s="5" t="b">
        <f t="array" ref="B1062">A1062</f>
        <v>1</v>
      </c>
      <c r="C1062" s="10" t="s">
        <v>83</v>
      </c>
      <c r="D1062" s="10" t="s">
        <v>84</v>
      </c>
      <c r="E1062" s="10" t="s">
        <v>73</v>
      </c>
      <c r="F1062" s="10" t="s">
        <v>74</v>
      </c>
      <c r="G1062" s="10" t="s">
        <v>446</v>
      </c>
      <c r="H1062" s="10" t="s">
        <v>73</v>
      </c>
      <c r="I1062" s="10" t="s">
        <v>73</v>
      </c>
      <c r="J1062" s="10" t="s">
        <v>73</v>
      </c>
      <c r="K1062" s="12" t="s">
        <v>73</v>
      </c>
      <c r="L1062" s="10" t="s">
        <v>447</v>
      </c>
      <c r="M1062" s="5" t="str">
        <f t="array" ref="M1062">Y806</f>
        <v>1ХВС::1.1</v>
      </c>
      <c r="Y1062" s="10">
        <f>COUNT($Y1047:Y1061)+1</f>
        <v>4</v>
      </c>
      <c r="AB1062" s="29" t="str">
        <f>AB$322&amp;"."&amp;Y1062</f>
        <v>3.1.2.4</v>
      </c>
      <c r="AC1062" s="87" t="s">
        <v>448</v>
      </c>
      <c r="AD1062" s="370" t="s">
        <v>111</v>
      </c>
      <c r="AE1062" s="175"/>
      <c r="AF1062" s="73"/>
      <c r="AG1062" s="176"/>
      <c r="AH1062" s="179"/>
      <c r="AI1062" s="178"/>
      <c r="AJ1062" s="74"/>
      <c r="AK1062" s="179"/>
      <c r="AL1062" s="178"/>
      <c r="AM1062" s="74"/>
      <c r="AN1062" s="179"/>
      <c r="AO1062" s="178"/>
      <c r="AP1062" s="74"/>
      <c r="AQ1062" s="179"/>
      <c r="AR1062" s="178"/>
      <c r="AS1062" s="74"/>
      <c r="AT1062" s="179"/>
      <c r="AU1062" s="178"/>
      <c r="AV1062" s="74"/>
      <c r="AW1062" s="179">
        <v>0</v>
      </c>
      <c r="AX1062" s="178"/>
      <c r="AY1062" s="74">
        <v>0</v>
      </c>
      <c r="AZ1062" s="179"/>
      <c r="BA1062" s="178"/>
      <c r="BB1062" s="74"/>
      <c r="BC1062" s="179"/>
      <c r="BD1062" s="178"/>
      <c r="BE1062" s="74"/>
      <c r="BF1062" s="139"/>
      <c r="BG1062" s="183"/>
      <c r="BH1062" s="143"/>
      <c r="BI1062" s="142"/>
      <c r="BJ1062" s="183"/>
      <c r="BK1062" s="143"/>
      <c r="BN1062" s="125">
        <f t="shared" si="380"/>
        <v>0</v>
      </c>
      <c r="BO1062" s="126">
        <f t="shared" si="381"/>
        <v>0</v>
      </c>
      <c r="BP1062" s="127">
        <f t="shared" si="382"/>
        <v>0</v>
      </c>
    </row>
    <row r="1063" spans="1:68" s="171" customFormat="1" ht="24" customHeight="1" outlineLevel="2" x14ac:dyDescent="0.25">
      <c r="A1063" s="166"/>
      <c r="B1063" s="166"/>
      <c r="C1063" s="167" t="s">
        <v>83</v>
      </c>
      <c r="D1063" s="167" t="s">
        <v>84</v>
      </c>
      <c r="E1063" s="167" t="s">
        <v>73</v>
      </c>
      <c r="F1063" s="167" t="s">
        <v>74</v>
      </c>
      <c r="G1063" s="167" t="s">
        <v>449</v>
      </c>
      <c r="H1063" s="167" t="s">
        <v>73</v>
      </c>
      <c r="I1063" s="167" t="s">
        <v>73</v>
      </c>
      <c r="J1063" s="167" t="s">
        <v>73</v>
      </c>
      <c r="K1063" s="168" t="s">
        <v>73</v>
      </c>
      <c r="L1063" s="167" t="s">
        <v>133</v>
      </c>
      <c r="M1063" s="166" t="str">
        <f t="array" ref="M1063">Y806</f>
        <v>1ХВС::1.1</v>
      </c>
      <c r="N1063" s="166"/>
      <c r="O1063" s="166"/>
      <c r="P1063" s="166"/>
      <c r="Q1063" s="166"/>
      <c r="R1063" s="166"/>
      <c r="S1063" s="166"/>
      <c r="T1063" s="166"/>
      <c r="U1063" s="166"/>
      <c r="V1063" s="166"/>
      <c r="W1063" s="166"/>
      <c r="X1063" s="166"/>
      <c r="Y1063" s="166"/>
      <c r="Z1063" s="166"/>
      <c r="AA1063" s="166"/>
      <c r="AB1063" s="623" t="str">
        <f>AB856&amp;".3"</f>
        <v>3.1.3</v>
      </c>
      <c r="AC1063" s="634" t="s">
        <v>450</v>
      </c>
      <c r="AD1063" s="625" t="s">
        <v>111</v>
      </c>
      <c r="AE1063" s="626">
        <f t="shared" ref="AE1063:BK1063" si="384">AE1064+AE1077+AE1078+AE1088+AE1095+AE1096+AE1097+AE1098</f>
        <v>444317.75099999999</v>
      </c>
      <c r="AF1063" s="627">
        <f t="shared" si="384"/>
        <v>502448.03599999996</v>
      </c>
      <c r="AG1063" s="628">
        <f t="shared" si="384"/>
        <v>604860.201</v>
      </c>
      <c r="AH1063" s="649">
        <f t="shared" si="384"/>
        <v>6203.0399999999991</v>
      </c>
      <c r="AI1063" s="627">
        <f t="shared" si="384"/>
        <v>7056.41</v>
      </c>
      <c r="AJ1063" s="650">
        <f t="shared" si="384"/>
        <v>6397.12</v>
      </c>
      <c r="AK1063" s="649">
        <f t="shared" si="384"/>
        <v>7967.0240000000003</v>
      </c>
      <c r="AL1063" s="627">
        <f t="shared" si="384"/>
        <v>3652.2699999999995</v>
      </c>
      <c r="AM1063" s="650">
        <f t="shared" si="384"/>
        <v>8314.9699999999993</v>
      </c>
      <c r="AN1063" s="649">
        <f t="shared" si="384"/>
        <v>6213.8939999999993</v>
      </c>
      <c r="AO1063" s="627">
        <f t="shared" si="384"/>
        <v>4787.8500000000004</v>
      </c>
      <c r="AP1063" s="650">
        <f t="shared" si="384"/>
        <v>7911.88</v>
      </c>
      <c r="AQ1063" s="649">
        <f t="shared" si="384"/>
        <v>936.93000000000006</v>
      </c>
      <c r="AR1063" s="627">
        <f t="shared" si="384"/>
        <v>1120.7</v>
      </c>
      <c r="AS1063" s="650">
        <f t="shared" si="384"/>
        <v>2422.9899999999998</v>
      </c>
      <c r="AT1063" s="649">
        <f t="shared" si="384"/>
        <v>4549.1499999999996</v>
      </c>
      <c r="AU1063" s="627">
        <f t="shared" si="384"/>
        <v>4769.6499999999996</v>
      </c>
      <c r="AV1063" s="650">
        <f t="shared" si="384"/>
        <v>6553.1699999999992</v>
      </c>
      <c r="AW1063" s="649">
        <f t="shared" si="384"/>
        <v>1414.74</v>
      </c>
      <c r="AX1063" s="627">
        <f t="shared" si="384"/>
        <v>1603.5</v>
      </c>
      <c r="AY1063" s="650">
        <f t="shared" si="384"/>
        <v>1555.1519999999998</v>
      </c>
      <c r="AZ1063" s="649">
        <f t="shared" si="384"/>
        <v>12913.381000000001</v>
      </c>
      <c r="BA1063" s="627">
        <f t="shared" si="384"/>
        <v>13375.02</v>
      </c>
      <c r="BB1063" s="650">
        <f t="shared" si="384"/>
        <v>52225.909999999996</v>
      </c>
      <c r="BC1063" s="649">
        <f t="shared" si="384"/>
        <v>29745.755999999998</v>
      </c>
      <c r="BD1063" s="627">
        <f t="shared" si="384"/>
        <v>31203.670000000002</v>
      </c>
      <c r="BE1063" s="650">
        <f t="shared" si="384"/>
        <v>36560.28</v>
      </c>
      <c r="BF1063" s="649">
        <f t="shared" si="384"/>
        <v>624.29</v>
      </c>
      <c r="BG1063" s="627">
        <f t="shared" si="384"/>
        <v>505.7</v>
      </c>
      <c r="BH1063" s="650">
        <f t="shared" si="384"/>
        <v>621.54799999999989</v>
      </c>
      <c r="BI1063" s="655">
        <f t="shared" si="384"/>
        <v>7222.9350000000004</v>
      </c>
      <c r="BJ1063" s="627">
        <f t="shared" si="384"/>
        <v>6996.06</v>
      </c>
      <c r="BK1063" s="650">
        <f t="shared" si="384"/>
        <v>12262.880000000001</v>
      </c>
      <c r="BL1063" s="170"/>
      <c r="BM1063" s="166"/>
      <c r="BN1063" s="630">
        <f t="shared" si="380"/>
        <v>522108.89099999989</v>
      </c>
      <c r="BO1063" s="631">
        <f t="shared" si="381"/>
        <v>577518.86600000004</v>
      </c>
      <c r="BP1063" s="632">
        <f t="shared" si="382"/>
        <v>739686.10100000002</v>
      </c>
    </row>
    <row r="1064" spans="1:68" ht="35.25" customHeight="1" outlineLevel="3" x14ac:dyDescent="0.25">
      <c r="C1064" s="10" t="s">
        <v>83</v>
      </c>
      <c r="D1064" s="10" t="s">
        <v>84</v>
      </c>
      <c r="E1064" s="10" t="s">
        <v>73</v>
      </c>
      <c r="F1064" s="10" t="s">
        <v>74</v>
      </c>
      <c r="G1064" s="10" t="s">
        <v>451</v>
      </c>
      <c r="H1064" s="10" t="s">
        <v>73</v>
      </c>
      <c r="I1064" s="10" t="s">
        <v>73</v>
      </c>
      <c r="J1064" s="10" t="s">
        <v>73</v>
      </c>
      <c r="K1064" s="12" t="s">
        <v>73</v>
      </c>
      <c r="L1064" s="10" t="s">
        <v>452</v>
      </c>
      <c r="M1064" s="5" t="str">
        <f t="array" ref="M1064">Y806</f>
        <v>1ХВС::1.1</v>
      </c>
      <c r="AB1064" s="29" t="str">
        <f>AB1063&amp;".1"</f>
        <v>3.1.3.1</v>
      </c>
      <c r="AC1064" s="92" t="s">
        <v>453</v>
      </c>
      <c r="AD1064" s="370" t="s">
        <v>111</v>
      </c>
      <c r="AE1064" s="175">
        <f t="shared" ref="AE1064:BK1064" si="385">AE1065+AE1066+AE1067+AE1068+AE1069+AE1070+AE1071+AE1072+AE1073+AE1074+AE1075+AE1076</f>
        <v>39047.024999999994</v>
      </c>
      <c r="AF1064" s="73">
        <f t="shared" si="385"/>
        <v>44929.689999999995</v>
      </c>
      <c r="AG1064" s="176">
        <f t="shared" si="385"/>
        <v>44588.83</v>
      </c>
      <c r="AH1064" s="179">
        <f t="shared" si="385"/>
        <v>0</v>
      </c>
      <c r="AI1064" s="73">
        <f t="shared" si="385"/>
        <v>0</v>
      </c>
      <c r="AJ1064" s="74">
        <f t="shared" si="385"/>
        <v>0</v>
      </c>
      <c r="AK1064" s="179">
        <f t="shared" si="385"/>
        <v>395.37</v>
      </c>
      <c r="AL1064" s="73">
        <f t="shared" si="385"/>
        <v>350.43</v>
      </c>
      <c r="AM1064" s="74">
        <f t="shared" si="385"/>
        <v>435.03</v>
      </c>
      <c r="AN1064" s="179">
        <f t="shared" si="385"/>
        <v>1353.76</v>
      </c>
      <c r="AO1064" s="73">
        <f t="shared" si="385"/>
        <v>1946.8200000000002</v>
      </c>
      <c r="AP1064" s="74">
        <f t="shared" si="385"/>
        <v>1489.57</v>
      </c>
      <c r="AQ1064" s="179">
        <f t="shared" si="385"/>
        <v>0</v>
      </c>
      <c r="AR1064" s="73">
        <f t="shared" si="385"/>
        <v>0</v>
      </c>
      <c r="AS1064" s="74">
        <f t="shared" si="385"/>
        <v>0</v>
      </c>
      <c r="AT1064" s="179">
        <f t="shared" si="385"/>
        <v>0</v>
      </c>
      <c r="AU1064" s="73">
        <f t="shared" si="385"/>
        <v>0</v>
      </c>
      <c r="AV1064" s="74">
        <f t="shared" si="385"/>
        <v>0</v>
      </c>
      <c r="AW1064" s="179">
        <f t="shared" si="385"/>
        <v>0</v>
      </c>
      <c r="AX1064" s="73">
        <f t="shared" si="385"/>
        <v>0</v>
      </c>
      <c r="AY1064" s="74">
        <f t="shared" si="385"/>
        <v>0</v>
      </c>
      <c r="AZ1064" s="179">
        <f t="shared" si="385"/>
        <v>922.20499999999993</v>
      </c>
      <c r="BA1064" s="73">
        <f t="shared" si="385"/>
        <v>6336.04</v>
      </c>
      <c r="BB1064" s="74">
        <f t="shared" si="385"/>
        <v>3122.7400000000002</v>
      </c>
      <c r="BC1064" s="179">
        <f t="shared" si="385"/>
        <v>2967.14</v>
      </c>
      <c r="BD1064" s="73">
        <f t="shared" si="385"/>
        <v>1241.24</v>
      </c>
      <c r="BE1064" s="74">
        <f t="shared" si="385"/>
        <v>3746.2500000000005</v>
      </c>
      <c r="BF1064" s="139">
        <f t="shared" si="385"/>
        <v>0</v>
      </c>
      <c r="BG1064" s="140">
        <f t="shared" si="385"/>
        <v>0</v>
      </c>
      <c r="BH1064" s="143">
        <f t="shared" si="385"/>
        <v>0</v>
      </c>
      <c r="BI1064" s="142">
        <f t="shared" si="385"/>
        <v>0</v>
      </c>
      <c r="BJ1064" s="140">
        <f t="shared" si="385"/>
        <v>0</v>
      </c>
      <c r="BK1064" s="143">
        <f t="shared" si="385"/>
        <v>0</v>
      </c>
      <c r="BN1064" s="125">
        <f t="shared" si="380"/>
        <v>44685.5</v>
      </c>
      <c r="BO1064" s="126">
        <f t="shared" si="381"/>
        <v>54804.219999999994</v>
      </c>
      <c r="BP1064" s="127">
        <f t="shared" si="382"/>
        <v>53382.42</v>
      </c>
    </row>
    <row r="1065" spans="1:68" ht="14.25" customHeight="1" outlineLevel="4" x14ac:dyDescent="0.25">
      <c r="C1065" s="10" t="s">
        <v>83</v>
      </c>
      <c r="D1065" s="10" t="s">
        <v>84</v>
      </c>
      <c r="E1065" s="10" t="s">
        <v>73</v>
      </c>
      <c r="F1065" s="10" t="s">
        <v>74</v>
      </c>
      <c r="G1065" s="10" t="s">
        <v>454</v>
      </c>
      <c r="H1065" s="10" t="s">
        <v>73</v>
      </c>
      <c r="I1065" s="10" t="s">
        <v>73</v>
      </c>
      <c r="J1065" s="10" t="s">
        <v>73</v>
      </c>
      <c r="K1065" s="12" t="s">
        <v>73</v>
      </c>
      <c r="L1065" s="10" t="s">
        <v>452</v>
      </c>
      <c r="M1065" s="5" t="str">
        <f t="array" ref="M1065">Y806</f>
        <v>1ХВС::1.1</v>
      </c>
      <c r="Y1065" s="10">
        <v>1</v>
      </c>
      <c r="AB1065" s="29" t="str">
        <f>AB$340&amp;"."&amp;Y1065</f>
        <v>3.1.3.1.1</v>
      </c>
      <c r="AC1065" s="294" t="s">
        <v>455</v>
      </c>
      <c r="AD1065" s="370" t="s">
        <v>111</v>
      </c>
      <c r="AE1065" s="175">
        <f t="shared" ref="AE1065:BK1065" si="386">AE674+AE341</f>
        <v>8019.85</v>
      </c>
      <c r="AF1065" s="73">
        <f t="shared" si="386"/>
        <v>8747.52</v>
      </c>
      <c r="AG1065" s="176">
        <f t="shared" si="386"/>
        <v>8774.130000000001</v>
      </c>
      <c r="AH1065" s="443">
        <f t="shared" si="386"/>
        <v>0</v>
      </c>
      <c r="AI1065" s="73">
        <f t="shared" si="386"/>
        <v>0</v>
      </c>
      <c r="AJ1065" s="176">
        <f t="shared" si="386"/>
        <v>0</v>
      </c>
      <c r="AK1065" s="175">
        <f t="shared" si="386"/>
        <v>335.26</v>
      </c>
      <c r="AL1065" s="73">
        <f t="shared" si="386"/>
        <v>350.43</v>
      </c>
      <c r="AM1065" s="176">
        <f t="shared" si="386"/>
        <v>368.89</v>
      </c>
      <c r="AN1065" s="175">
        <f t="shared" si="386"/>
        <v>162.19</v>
      </c>
      <c r="AO1065" s="73">
        <f t="shared" si="386"/>
        <v>0</v>
      </c>
      <c r="AP1065" s="176">
        <f t="shared" si="386"/>
        <v>178.45999999999998</v>
      </c>
      <c r="AQ1065" s="175">
        <f t="shared" si="386"/>
        <v>0</v>
      </c>
      <c r="AR1065" s="73">
        <f t="shared" si="386"/>
        <v>0</v>
      </c>
      <c r="AS1065" s="176">
        <f t="shared" si="386"/>
        <v>0</v>
      </c>
      <c r="AT1065" s="175">
        <f t="shared" si="386"/>
        <v>0</v>
      </c>
      <c r="AU1065" s="73">
        <f t="shared" si="386"/>
        <v>0</v>
      </c>
      <c r="AV1065" s="176">
        <f t="shared" si="386"/>
        <v>0</v>
      </c>
      <c r="AW1065" s="175">
        <f t="shared" si="386"/>
        <v>0</v>
      </c>
      <c r="AX1065" s="73">
        <f t="shared" si="386"/>
        <v>0</v>
      </c>
      <c r="AY1065" s="176">
        <f t="shared" si="386"/>
        <v>0</v>
      </c>
      <c r="AZ1065" s="175">
        <f t="shared" si="386"/>
        <v>905.58999999999992</v>
      </c>
      <c r="BA1065" s="73">
        <f t="shared" si="386"/>
        <v>853.29</v>
      </c>
      <c r="BB1065" s="176">
        <f t="shared" si="386"/>
        <v>3095.92</v>
      </c>
      <c r="BC1065" s="175">
        <f t="shared" si="386"/>
        <v>2608.85</v>
      </c>
      <c r="BD1065" s="73">
        <f t="shared" si="386"/>
        <v>1241.24</v>
      </c>
      <c r="BE1065" s="176">
        <f t="shared" si="386"/>
        <v>3160.9300000000003</v>
      </c>
      <c r="BF1065" s="175">
        <f t="shared" si="386"/>
        <v>0</v>
      </c>
      <c r="BG1065" s="73">
        <f t="shared" si="386"/>
        <v>0</v>
      </c>
      <c r="BH1065" s="176">
        <f t="shared" si="386"/>
        <v>0</v>
      </c>
      <c r="BI1065" s="175">
        <f t="shared" si="386"/>
        <v>0</v>
      </c>
      <c r="BJ1065" s="73">
        <f t="shared" si="386"/>
        <v>0</v>
      </c>
      <c r="BK1065" s="176">
        <f t="shared" si="386"/>
        <v>0</v>
      </c>
      <c r="BN1065" s="125">
        <f t="shared" si="380"/>
        <v>12031.740000000002</v>
      </c>
      <c r="BO1065" s="126">
        <f t="shared" si="381"/>
        <v>11192.480000000001</v>
      </c>
      <c r="BP1065" s="127">
        <f t="shared" si="382"/>
        <v>15578.33</v>
      </c>
    </row>
    <row r="1066" spans="1:68" ht="14.25" hidden="1" customHeight="1" outlineLevel="4" x14ac:dyDescent="0.25">
      <c r="C1066" s="10" t="s">
        <v>83</v>
      </c>
      <c r="D1066" s="10" t="s">
        <v>84</v>
      </c>
      <c r="E1066" s="10" t="s">
        <v>73</v>
      </c>
      <c r="F1066" s="10" t="s">
        <v>74</v>
      </c>
      <c r="G1066" s="10" t="s">
        <v>456</v>
      </c>
      <c r="H1066" s="10" t="s">
        <v>73</v>
      </c>
      <c r="I1066" s="10" t="s">
        <v>73</v>
      </c>
      <c r="J1066" s="10" t="s">
        <v>73</v>
      </c>
      <c r="K1066" s="12" t="s">
        <v>73</v>
      </c>
      <c r="L1066" s="10" t="s">
        <v>452</v>
      </c>
      <c r="M1066" s="5" t="str">
        <f t="array" ref="M1066">Y806</f>
        <v>1ХВС::1.1</v>
      </c>
      <c r="Y1066" s="10">
        <f>COUNT($Y1064:Y1065)+1</f>
        <v>2</v>
      </c>
      <c r="AB1066" s="29" t="str">
        <f>AB$340&amp;"."&amp;Y1066</f>
        <v>3.1.3.1.2</v>
      </c>
      <c r="AC1066" s="294" t="s">
        <v>456</v>
      </c>
      <c r="AD1066" s="370" t="s">
        <v>111</v>
      </c>
      <c r="AE1066" s="175">
        <f t="shared" ref="AE1066:BK1066" si="387">AE675+AE342</f>
        <v>0</v>
      </c>
      <c r="AF1066" s="73">
        <f t="shared" si="387"/>
        <v>5393.65</v>
      </c>
      <c r="AG1066" s="176">
        <f t="shared" si="387"/>
        <v>0</v>
      </c>
      <c r="AH1066" s="443">
        <f t="shared" si="387"/>
        <v>0</v>
      </c>
      <c r="AI1066" s="73">
        <f t="shared" si="387"/>
        <v>0</v>
      </c>
      <c r="AJ1066" s="176">
        <f t="shared" si="387"/>
        <v>0</v>
      </c>
      <c r="AK1066" s="175">
        <f t="shared" si="387"/>
        <v>0</v>
      </c>
      <c r="AL1066" s="73">
        <f t="shared" si="387"/>
        <v>0</v>
      </c>
      <c r="AM1066" s="176">
        <f t="shared" si="387"/>
        <v>0</v>
      </c>
      <c r="AN1066" s="175">
        <f t="shared" si="387"/>
        <v>0</v>
      </c>
      <c r="AO1066" s="73">
        <f t="shared" si="387"/>
        <v>0</v>
      </c>
      <c r="AP1066" s="176">
        <f t="shared" si="387"/>
        <v>0</v>
      </c>
      <c r="AQ1066" s="175">
        <f t="shared" si="387"/>
        <v>0</v>
      </c>
      <c r="AR1066" s="73">
        <f t="shared" si="387"/>
        <v>0</v>
      </c>
      <c r="AS1066" s="176">
        <f t="shared" si="387"/>
        <v>0</v>
      </c>
      <c r="AT1066" s="175">
        <f t="shared" si="387"/>
        <v>0</v>
      </c>
      <c r="AU1066" s="73">
        <f t="shared" si="387"/>
        <v>0</v>
      </c>
      <c r="AV1066" s="176">
        <f t="shared" si="387"/>
        <v>0</v>
      </c>
      <c r="AW1066" s="175">
        <f t="shared" si="387"/>
        <v>0</v>
      </c>
      <c r="AX1066" s="73">
        <f t="shared" si="387"/>
        <v>0</v>
      </c>
      <c r="AY1066" s="176">
        <f t="shared" si="387"/>
        <v>0</v>
      </c>
      <c r="AZ1066" s="175">
        <f t="shared" si="387"/>
        <v>0</v>
      </c>
      <c r="BA1066" s="73">
        <f t="shared" si="387"/>
        <v>0</v>
      </c>
      <c r="BB1066" s="176">
        <f t="shared" si="387"/>
        <v>0</v>
      </c>
      <c r="BC1066" s="175">
        <f t="shared" si="387"/>
        <v>0</v>
      </c>
      <c r="BD1066" s="73">
        <f t="shared" si="387"/>
        <v>0</v>
      </c>
      <c r="BE1066" s="176">
        <f t="shared" si="387"/>
        <v>0</v>
      </c>
      <c r="BF1066" s="175">
        <f t="shared" si="387"/>
        <v>0</v>
      </c>
      <c r="BG1066" s="73">
        <f t="shared" si="387"/>
        <v>0</v>
      </c>
      <c r="BH1066" s="176">
        <f t="shared" si="387"/>
        <v>0</v>
      </c>
      <c r="BI1066" s="175">
        <f t="shared" si="387"/>
        <v>0</v>
      </c>
      <c r="BJ1066" s="73">
        <f t="shared" si="387"/>
        <v>0</v>
      </c>
      <c r="BK1066" s="176">
        <f t="shared" si="387"/>
        <v>0</v>
      </c>
      <c r="BN1066" s="125">
        <f t="shared" si="380"/>
        <v>0</v>
      </c>
      <c r="BO1066" s="126">
        <f t="shared" si="381"/>
        <v>5393.65</v>
      </c>
      <c r="BP1066" s="127">
        <f t="shared" si="382"/>
        <v>0</v>
      </c>
    </row>
    <row r="1067" spans="1:68" ht="14.25" customHeight="1" outlineLevel="4" x14ac:dyDescent="0.25">
      <c r="C1067" s="10" t="s">
        <v>83</v>
      </c>
      <c r="D1067" s="10" t="s">
        <v>84</v>
      </c>
      <c r="E1067" s="10" t="s">
        <v>73</v>
      </c>
      <c r="F1067" s="10" t="s">
        <v>74</v>
      </c>
      <c r="G1067" s="10" t="s">
        <v>457</v>
      </c>
      <c r="H1067" s="10" t="s">
        <v>73</v>
      </c>
      <c r="I1067" s="10" t="s">
        <v>73</v>
      </c>
      <c r="J1067" s="10" t="s">
        <v>73</v>
      </c>
      <c r="K1067" s="12" t="s">
        <v>73</v>
      </c>
      <c r="L1067" s="10" t="s">
        <v>452</v>
      </c>
      <c r="M1067" s="5" t="str">
        <f t="array" ref="M1067">Y806</f>
        <v>1ХВС::1.1</v>
      </c>
      <c r="Y1067" s="10">
        <f>COUNT($Y1064:Y1066)+1</f>
        <v>3</v>
      </c>
      <c r="AB1067" s="29" t="str">
        <f>AB$340&amp;"."&amp;Y1067</f>
        <v>3.1.3.1.3</v>
      </c>
      <c r="AC1067" s="294" t="s">
        <v>457</v>
      </c>
      <c r="AD1067" s="370" t="s">
        <v>111</v>
      </c>
      <c r="AE1067" s="175">
        <f t="shared" ref="AE1067:BK1067" si="388">AE676+AE343</f>
        <v>5843.7800000000007</v>
      </c>
      <c r="AF1067" s="73">
        <f t="shared" si="388"/>
        <v>775.98</v>
      </c>
      <c r="AG1067" s="176">
        <f t="shared" si="388"/>
        <v>9873.68</v>
      </c>
      <c r="AH1067" s="443">
        <f t="shared" si="388"/>
        <v>0</v>
      </c>
      <c r="AI1067" s="73">
        <f t="shared" si="388"/>
        <v>0</v>
      </c>
      <c r="AJ1067" s="176">
        <f t="shared" si="388"/>
        <v>0</v>
      </c>
      <c r="AK1067" s="175">
        <f t="shared" si="388"/>
        <v>0</v>
      </c>
      <c r="AL1067" s="73">
        <f t="shared" si="388"/>
        <v>0</v>
      </c>
      <c r="AM1067" s="176">
        <f t="shared" si="388"/>
        <v>0</v>
      </c>
      <c r="AN1067" s="175">
        <f t="shared" si="388"/>
        <v>0</v>
      </c>
      <c r="AO1067" s="73">
        <f t="shared" si="388"/>
        <v>0</v>
      </c>
      <c r="AP1067" s="176">
        <f t="shared" si="388"/>
        <v>0</v>
      </c>
      <c r="AQ1067" s="175">
        <f t="shared" si="388"/>
        <v>0</v>
      </c>
      <c r="AR1067" s="73">
        <f t="shared" si="388"/>
        <v>0</v>
      </c>
      <c r="AS1067" s="176">
        <f t="shared" si="388"/>
        <v>0</v>
      </c>
      <c r="AT1067" s="175">
        <f t="shared" si="388"/>
        <v>0</v>
      </c>
      <c r="AU1067" s="73">
        <f t="shared" si="388"/>
        <v>0</v>
      </c>
      <c r="AV1067" s="176">
        <f t="shared" si="388"/>
        <v>0</v>
      </c>
      <c r="AW1067" s="175">
        <f t="shared" si="388"/>
        <v>0</v>
      </c>
      <c r="AX1067" s="73">
        <f t="shared" si="388"/>
        <v>0</v>
      </c>
      <c r="AY1067" s="176">
        <f t="shared" si="388"/>
        <v>0</v>
      </c>
      <c r="AZ1067" s="175">
        <f t="shared" si="388"/>
        <v>16.614999999999998</v>
      </c>
      <c r="BA1067" s="73">
        <f t="shared" si="388"/>
        <v>0</v>
      </c>
      <c r="BB1067" s="176">
        <f t="shared" si="388"/>
        <v>26.82</v>
      </c>
      <c r="BC1067" s="175">
        <f t="shared" si="388"/>
        <v>358.29</v>
      </c>
      <c r="BD1067" s="73">
        <f t="shared" si="388"/>
        <v>0</v>
      </c>
      <c r="BE1067" s="176">
        <f t="shared" si="388"/>
        <v>585.32000000000005</v>
      </c>
      <c r="BF1067" s="175">
        <f t="shared" si="388"/>
        <v>0</v>
      </c>
      <c r="BG1067" s="73">
        <f t="shared" si="388"/>
        <v>0</v>
      </c>
      <c r="BH1067" s="176">
        <f t="shared" si="388"/>
        <v>0</v>
      </c>
      <c r="BI1067" s="175">
        <f t="shared" si="388"/>
        <v>0</v>
      </c>
      <c r="BJ1067" s="73">
        <f t="shared" si="388"/>
        <v>0</v>
      </c>
      <c r="BK1067" s="176">
        <f t="shared" si="388"/>
        <v>0</v>
      </c>
      <c r="BN1067" s="125">
        <f t="shared" si="380"/>
        <v>6218.6850000000004</v>
      </c>
      <c r="BO1067" s="126">
        <f t="shared" si="381"/>
        <v>775.98</v>
      </c>
      <c r="BP1067" s="127">
        <f t="shared" si="382"/>
        <v>10485.82</v>
      </c>
    </row>
    <row r="1068" spans="1:68" ht="14.25" hidden="1" customHeight="1" outlineLevel="4" x14ac:dyDescent="0.25">
      <c r="A1068" s="76" t="b">
        <f>OR($AD$52="да",$U806="Водоснабжение")</f>
        <v>1</v>
      </c>
      <c r="B1068" s="5" t="b">
        <f t="array" ref="B1068">A1068</f>
        <v>1</v>
      </c>
      <c r="C1068" s="10" t="s">
        <v>83</v>
      </c>
      <c r="D1068" s="10" t="s">
        <v>84</v>
      </c>
      <c r="E1068" s="10" t="s">
        <v>73</v>
      </c>
      <c r="F1068" s="10" t="s">
        <v>74</v>
      </c>
      <c r="G1068" s="10" t="s">
        <v>458</v>
      </c>
      <c r="H1068" s="10" t="s">
        <v>73</v>
      </c>
      <c r="I1068" s="10" t="s">
        <v>73</v>
      </c>
      <c r="J1068" s="10" t="s">
        <v>73</v>
      </c>
      <c r="K1068" s="12" t="s">
        <v>73</v>
      </c>
      <c r="L1068" s="10" t="s">
        <v>452</v>
      </c>
      <c r="M1068" s="5" t="str">
        <f t="array" ref="M1068">Y806</f>
        <v>1ХВС::1.1</v>
      </c>
      <c r="Y1068" s="10">
        <f>COUNT($Y1064:Y1067)+1</f>
        <v>4</v>
      </c>
      <c r="AB1068" s="29" t="str">
        <f>AB$340&amp;"."&amp;Y1068</f>
        <v>3.1.3.1.4</v>
      </c>
      <c r="AC1068" s="294" t="s">
        <v>459</v>
      </c>
      <c r="AD1068" s="370" t="s">
        <v>111</v>
      </c>
      <c r="AE1068" s="175">
        <f t="shared" ref="AE1068:BK1068" si="389">AE677+AE344</f>
        <v>0</v>
      </c>
      <c r="AF1068" s="73">
        <f t="shared" si="389"/>
        <v>0</v>
      </c>
      <c r="AG1068" s="176">
        <f t="shared" si="389"/>
        <v>0</v>
      </c>
      <c r="AH1068" s="443">
        <f t="shared" si="389"/>
        <v>0</v>
      </c>
      <c r="AI1068" s="73">
        <f t="shared" si="389"/>
        <v>0</v>
      </c>
      <c r="AJ1068" s="176">
        <f t="shared" si="389"/>
        <v>0</v>
      </c>
      <c r="AK1068" s="175">
        <f t="shared" si="389"/>
        <v>0</v>
      </c>
      <c r="AL1068" s="73">
        <f t="shared" si="389"/>
        <v>0</v>
      </c>
      <c r="AM1068" s="176">
        <f t="shared" si="389"/>
        <v>0</v>
      </c>
      <c r="AN1068" s="175">
        <f t="shared" si="389"/>
        <v>0</v>
      </c>
      <c r="AO1068" s="73">
        <f t="shared" si="389"/>
        <v>0</v>
      </c>
      <c r="AP1068" s="176">
        <f t="shared" si="389"/>
        <v>0</v>
      </c>
      <c r="AQ1068" s="175">
        <f t="shared" si="389"/>
        <v>0</v>
      </c>
      <c r="AR1068" s="73">
        <f t="shared" si="389"/>
        <v>0</v>
      </c>
      <c r="AS1068" s="176">
        <f t="shared" si="389"/>
        <v>0</v>
      </c>
      <c r="AT1068" s="175">
        <f t="shared" si="389"/>
        <v>0</v>
      </c>
      <c r="AU1068" s="73">
        <f t="shared" si="389"/>
        <v>0</v>
      </c>
      <c r="AV1068" s="176">
        <f t="shared" si="389"/>
        <v>0</v>
      </c>
      <c r="AW1068" s="175">
        <f t="shared" si="389"/>
        <v>0</v>
      </c>
      <c r="AX1068" s="73">
        <f t="shared" si="389"/>
        <v>0</v>
      </c>
      <c r="AY1068" s="176">
        <f t="shared" si="389"/>
        <v>0</v>
      </c>
      <c r="AZ1068" s="175">
        <f t="shared" si="389"/>
        <v>0</v>
      </c>
      <c r="BA1068" s="73">
        <f t="shared" si="389"/>
        <v>0</v>
      </c>
      <c r="BB1068" s="176">
        <f t="shared" si="389"/>
        <v>0</v>
      </c>
      <c r="BC1068" s="175">
        <f t="shared" si="389"/>
        <v>0</v>
      </c>
      <c r="BD1068" s="73">
        <f t="shared" si="389"/>
        <v>0</v>
      </c>
      <c r="BE1068" s="176">
        <f t="shared" si="389"/>
        <v>0</v>
      </c>
      <c r="BF1068" s="175">
        <f t="shared" si="389"/>
        <v>0</v>
      </c>
      <c r="BG1068" s="73">
        <f t="shared" si="389"/>
        <v>0</v>
      </c>
      <c r="BH1068" s="176">
        <f t="shared" si="389"/>
        <v>0</v>
      </c>
      <c r="BI1068" s="175">
        <f t="shared" si="389"/>
        <v>0</v>
      </c>
      <c r="BJ1068" s="73">
        <f t="shared" si="389"/>
        <v>0</v>
      </c>
      <c r="BK1068" s="176">
        <f t="shared" si="389"/>
        <v>0</v>
      </c>
      <c r="BN1068" s="125">
        <f t="shared" si="380"/>
        <v>0</v>
      </c>
      <c r="BO1068" s="126">
        <f t="shared" si="381"/>
        <v>0</v>
      </c>
      <c r="BP1068" s="127">
        <f t="shared" si="382"/>
        <v>0</v>
      </c>
    </row>
    <row r="1069" spans="1:68" ht="14.25" customHeight="1" outlineLevel="4" x14ac:dyDescent="0.25">
      <c r="C1069" s="10" t="s">
        <v>83</v>
      </c>
      <c r="D1069" s="10" t="s">
        <v>84</v>
      </c>
      <c r="E1069" s="10" t="s">
        <v>73</v>
      </c>
      <c r="F1069" s="10" t="s">
        <v>74</v>
      </c>
      <c r="G1069" s="10" t="s">
        <v>460</v>
      </c>
      <c r="H1069" s="10" t="s">
        <v>73</v>
      </c>
      <c r="I1069" s="10" t="s">
        <v>73</v>
      </c>
      <c r="J1069" s="10" t="s">
        <v>73</v>
      </c>
      <c r="K1069" s="12" t="s">
        <v>73</v>
      </c>
      <c r="L1069" s="10" t="s">
        <v>452</v>
      </c>
      <c r="M1069" s="5" t="str">
        <f t="array" ref="M1069">Y806</f>
        <v>1ХВС::1.1</v>
      </c>
      <c r="Y1069" s="10">
        <f>COUNT($Y1064:Y1068)+1</f>
        <v>5</v>
      </c>
      <c r="AB1069" s="29" t="str">
        <f>AB$340&amp;"."&amp;Y1069</f>
        <v>3.1.3.1.5</v>
      </c>
      <c r="AC1069" s="294" t="s">
        <v>461</v>
      </c>
      <c r="AD1069" s="370" t="s">
        <v>111</v>
      </c>
      <c r="AE1069" s="175">
        <f t="shared" ref="AE1069:BK1069" si="390">AE678+AE345</f>
        <v>24494.805</v>
      </c>
      <c r="AF1069" s="73">
        <f t="shared" si="390"/>
        <v>28985.16</v>
      </c>
      <c r="AG1069" s="176">
        <f t="shared" si="390"/>
        <v>25054.81</v>
      </c>
      <c r="AH1069" s="443">
        <f t="shared" si="390"/>
        <v>0</v>
      </c>
      <c r="AI1069" s="73">
        <f t="shared" si="390"/>
        <v>0</v>
      </c>
      <c r="AJ1069" s="176">
        <f t="shared" si="390"/>
        <v>0</v>
      </c>
      <c r="AK1069" s="175">
        <f t="shared" si="390"/>
        <v>0</v>
      </c>
      <c r="AL1069" s="73">
        <f t="shared" si="390"/>
        <v>0</v>
      </c>
      <c r="AM1069" s="176">
        <f t="shared" si="390"/>
        <v>0</v>
      </c>
      <c r="AN1069" s="175">
        <f t="shared" si="390"/>
        <v>0</v>
      </c>
      <c r="AO1069" s="73">
        <f t="shared" si="390"/>
        <v>1820.19</v>
      </c>
      <c r="AP1069" s="176">
        <f t="shared" si="390"/>
        <v>0</v>
      </c>
      <c r="AQ1069" s="175">
        <f t="shared" si="390"/>
        <v>0</v>
      </c>
      <c r="AR1069" s="73">
        <f t="shared" si="390"/>
        <v>0</v>
      </c>
      <c r="AS1069" s="176">
        <f t="shared" si="390"/>
        <v>0</v>
      </c>
      <c r="AT1069" s="175">
        <f t="shared" si="390"/>
        <v>0</v>
      </c>
      <c r="AU1069" s="73">
        <f t="shared" si="390"/>
        <v>0</v>
      </c>
      <c r="AV1069" s="176">
        <f t="shared" si="390"/>
        <v>0</v>
      </c>
      <c r="AW1069" s="175">
        <f t="shared" si="390"/>
        <v>0</v>
      </c>
      <c r="AX1069" s="73">
        <f t="shared" si="390"/>
        <v>0</v>
      </c>
      <c r="AY1069" s="176">
        <f t="shared" si="390"/>
        <v>0</v>
      </c>
      <c r="AZ1069" s="175">
        <f t="shared" si="390"/>
        <v>0</v>
      </c>
      <c r="BA1069" s="73">
        <f t="shared" si="390"/>
        <v>5482.75</v>
      </c>
      <c r="BB1069" s="176">
        <f t="shared" si="390"/>
        <v>0</v>
      </c>
      <c r="BC1069" s="175">
        <f t="shared" si="390"/>
        <v>0</v>
      </c>
      <c r="BD1069" s="73">
        <f t="shared" si="390"/>
        <v>0</v>
      </c>
      <c r="BE1069" s="176">
        <f t="shared" si="390"/>
        <v>0</v>
      </c>
      <c r="BF1069" s="175">
        <f t="shared" si="390"/>
        <v>0</v>
      </c>
      <c r="BG1069" s="73">
        <f t="shared" si="390"/>
        <v>0</v>
      </c>
      <c r="BH1069" s="176">
        <f t="shared" si="390"/>
        <v>0</v>
      </c>
      <c r="BI1069" s="175">
        <f t="shared" si="390"/>
        <v>0</v>
      </c>
      <c r="BJ1069" s="73">
        <f t="shared" si="390"/>
        <v>0</v>
      </c>
      <c r="BK1069" s="176">
        <f t="shared" si="390"/>
        <v>0</v>
      </c>
      <c r="BN1069" s="125">
        <f t="shared" si="380"/>
        <v>24494.805</v>
      </c>
      <c r="BO1069" s="126">
        <f t="shared" si="381"/>
        <v>36288.1</v>
      </c>
      <c r="BP1069" s="127">
        <f t="shared" si="382"/>
        <v>25054.81</v>
      </c>
    </row>
    <row r="1070" spans="1:68" ht="14.25" hidden="1" customHeight="1" outlineLevel="4" x14ac:dyDescent="0.25">
      <c r="A1070" s="76" t="b">
        <f>$AD$52="да"</f>
        <v>0</v>
      </c>
      <c r="B1070" s="5" t="b">
        <f t="array" ref="B1070">A1070</f>
        <v>0</v>
      </c>
      <c r="C1070" s="10" t="s">
        <v>83</v>
      </c>
      <c r="D1070" s="10" t="s">
        <v>84</v>
      </c>
      <c r="E1070" s="10" t="s">
        <v>73</v>
      </c>
      <c r="F1070" s="10" t="s">
        <v>74</v>
      </c>
      <c r="G1070" s="10" t="s">
        <v>462</v>
      </c>
      <c r="H1070" s="10" t="s">
        <v>73</v>
      </c>
      <c r="I1070" s="10" t="s">
        <v>73</v>
      </c>
      <c r="J1070" s="10" t="s">
        <v>73</v>
      </c>
      <c r="K1070" s="12" t="s">
        <v>73</v>
      </c>
      <c r="L1070" s="10" t="s">
        <v>452</v>
      </c>
      <c r="M1070" s="5" t="str">
        <f t="array" ref="M1070">Y806</f>
        <v>1ХВС::1.1</v>
      </c>
      <c r="Y1070" s="10">
        <f>COUNT($Y1064:Y1069)+1</f>
        <v>6</v>
      </c>
      <c r="Z1070" s="6"/>
      <c r="AA1070" s="6"/>
      <c r="AB1070" s="29"/>
      <c r="AC1070" s="153"/>
      <c r="AD1070" s="370"/>
      <c r="AE1070" s="175">
        <f t="shared" ref="AE1070:BK1070" si="391">AE679+AE346</f>
        <v>0</v>
      </c>
      <c r="AF1070" s="73">
        <f t="shared" si="391"/>
        <v>0</v>
      </c>
      <c r="AG1070" s="176">
        <f t="shared" si="391"/>
        <v>0</v>
      </c>
      <c r="AH1070" s="443">
        <f t="shared" si="391"/>
        <v>0</v>
      </c>
      <c r="AI1070" s="73">
        <f t="shared" si="391"/>
        <v>0</v>
      </c>
      <c r="AJ1070" s="176">
        <f t="shared" si="391"/>
        <v>0</v>
      </c>
      <c r="AK1070" s="175">
        <f t="shared" si="391"/>
        <v>0</v>
      </c>
      <c r="AL1070" s="73">
        <f t="shared" si="391"/>
        <v>0</v>
      </c>
      <c r="AM1070" s="176">
        <f t="shared" si="391"/>
        <v>0</v>
      </c>
      <c r="AN1070" s="175">
        <f t="shared" si="391"/>
        <v>0</v>
      </c>
      <c r="AO1070" s="73">
        <f t="shared" si="391"/>
        <v>0</v>
      </c>
      <c r="AP1070" s="176">
        <f t="shared" si="391"/>
        <v>0</v>
      </c>
      <c r="AQ1070" s="175">
        <f t="shared" si="391"/>
        <v>0</v>
      </c>
      <c r="AR1070" s="73">
        <f t="shared" si="391"/>
        <v>0</v>
      </c>
      <c r="AS1070" s="176">
        <f t="shared" si="391"/>
        <v>0</v>
      </c>
      <c r="AT1070" s="175">
        <f t="shared" si="391"/>
        <v>0</v>
      </c>
      <c r="AU1070" s="73">
        <f t="shared" si="391"/>
        <v>0</v>
      </c>
      <c r="AV1070" s="176">
        <f t="shared" si="391"/>
        <v>0</v>
      </c>
      <c r="AW1070" s="175">
        <f t="shared" si="391"/>
        <v>0</v>
      </c>
      <c r="AX1070" s="73">
        <f t="shared" si="391"/>
        <v>0</v>
      </c>
      <c r="AY1070" s="176">
        <f t="shared" si="391"/>
        <v>0</v>
      </c>
      <c r="AZ1070" s="175">
        <f t="shared" si="391"/>
        <v>0</v>
      </c>
      <c r="BA1070" s="73">
        <f t="shared" si="391"/>
        <v>0</v>
      </c>
      <c r="BB1070" s="176">
        <f t="shared" si="391"/>
        <v>0</v>
      </c>
      <c r="BC1070" s="175">
        <f t="shared" si="391"/>
        <v>0</v>
      </c>
      <c r="BD1070" s="73">
        <f t="shared" si="391"/>
        <v>0</v>
      </c>
      <c r="BE1070" s="176">
        <f t="shared" si="391"/>
        <v>0</v>
      </c>
      <c r="BF1070" s="175">
        <f t="shared" si="391"/>
        <v>0</v>
      </c>
      <c r="BG1070" s="73">
        <f t="shared" si="391"/>
        <v>0</v>
      </c>
      <c r="BH1070" s="176">
        <f t="shared" si="391"/>
        <v>0</v>
      </c>
      <c r="BI1070" s="175">
        <f t="shared" si="391"/>
        <v>0</v>
      </c>
      <c r="BJ1070" s="73">
        <f t="shared" si="391"/>
        <v>0</v>
      </c>
      <c r="BK1070" s="176">
        <f t="shared" si="391"/>
        <v>0</v>
      </c>
      <c r="BN1070" s="125">
        <f t="shared" si="380"/>
        <v>0</v>
      </c>
      <c r="BO1070" s="126">
        <f t="shared" si="381"/>
        <v>0</v>
      </c>
      <c r="BP1070" s="127">
        <f t="shared" si="382"/>
        <v>0</v>
      </c>
    </row>
    <row r="1071" spans="1:68" ht="14.25" hidden="1" customHeight="1" outlineLevel="4" x14ac:dyDescent="0.25">
      <c r="A1071" s="76" t="b">
        <f t="array" ref="A1071">A1070</f>
        <v>0</v>
      </c>
      <c r="B1071" s="5" t="b">
        <f t="array" ref="B1071">A1071</f>
        <v>0</v>
      </c>
      <c r="C1071" s="10" t="s">
        <v>83</v>
      </c>
      <c r="D1071" s="10" t="s">
        <v>84</v>
      </c>
      <c r="E1071" s="10" t="s">
        <v>73</v>
      </c>
      <c r="F1071" s="10" t="s">
        <v>74</v>
      </c>
      <c r="G1071" s="10" t="s">
        <v>463</v>
      </c>
      <c r="H1071" s="10" t="s">
        <v>73</v>
      </c>
      <c r="I1071" s="10" t="s">
        <v>73</v>
      </c>
      <c r="J1071" s="10" t="s">
        <v>73</v>
      </c>
      <c r="K1071" s="12" t="s">
        <v>73</v>
      </c>
      <c r="L1071" s="10" t="s">
        <v>452</v>
      </c>
      <c r="M1071" s="5" t="str">
        <f t="array" ref="M1071">Y806</f>
        <v>1ХВС::1.1</v>
      </c>
      <c r="Y1071" s="10">
        <f>COUNT($Y1064:Y1070)+1</f>
        <v>7</v>
      </c>
      <c r="Z1071" s="6"/>
      <c r="AA1071" s="6"/>
      <c r="AB1071" s="29"/>
      <c r="AC1071" s="153"/>
      <c r="AD1071" s="370"/>
      <c r="AE1071" s="175">
        <f t="shared" ref="AE1071:BK1071" si="392">AE680+AE347</f>
        <v>0</v>
      </c>
      <c r="AF1071" s="73">
        <f t="shared" si="392"/>
        <v>0</v>
      </c>
      <c r="AG1071" s="176">
        <f t="shared" si="392"/>
        <v>0</v>
      </c>
      <c r="AH1071" s="443">
        <f t="shared" si="392"/>
        <v>0</v>
      </c>
      <c r="AI1071" s="73">
        <f t="shared" si="392"/>
        <v>0</v>
      </c>
      <c r="AJ1071" s="176">
        <f t="shared" si="392"/>
        <v>0</v>
      </c>
      <c r="AK1071" s="175">
        <f t="shared" si="392"/>
        <v>0</v>
      </c>
      <c r="AL1071" s="73">
        <f t="shared" si="392"/>
        <v>0</v>
      </c>
      <c r="AM1071" s="176">
        <f t="shared" si="392"/>
        <v>0</v>
      </c>
      <c r="AN1071" s="175">
        <f t="shared" si="392"/>
        <v>0</v>
      </c>
      <c r="AO1071" s="73">
        <f t="shared" si="392"/>
        <v>0</v>
      </c>
      <c r="AP1071" s="176">
        <f t="shared" si="392"/>
        <v>0</v>
      </c>
      <c r="AQ1071" s="175">
        <f t="shared" si="392"/>
        <v>0</v>
      </c>
      <c r="AR1071" s="73">
        <f t="shared" si="392"/>
        <v>0</v>
      </c>
      <c r="AS1071" s="176">
        <f t="shared" si="392"/>
        <v>0</v>
      </c>
      <c r="AT1071" s="175">
        <f t="shared" si="392"/>
        <v>0</v>
      </c>
      <c r="AU1071" s="73">
        <f t="shared" si="392"/>
        <v>0</v>
      </c>
      <c r="AV1071" s="176">
        <f t="shared" si="392"/>
        <v>0</v>
      </c>
      <c r="AW1071" s="175">
        <f t="shared" si="392"/>
        <v>0</v>
      </c>
      <c r="AX1071" s="73">
        <f t="shared" si="392"/>
        <v>0</v>
      </c>
      <c r="AY1071" s="176">
        <f t="shared" si="392"/>
        <v>0</v>
      </c>
      <c r="AZ1071" s="175">
        <f t="shared" si="392"/>
        <v>0</v>
      </c>
      <c r="BA1071" s="73">
        <f t="shared" si="392"/>
        <v>0</v>
      </c>
      <c r="BB1071" s="176">
        <f t="shared" si="392"/>
        <v>0</v>
      </c>
      <c r="BC1071" s="175">
        <f t="shared" si="392"/>
        <v>0</v>
      </c>
      <c r="BD1071" s="73">
        <f t="shared" si="392"/>
        <v>0</v>
      </c>
      <c r="BE1071" s="176">
        <f t="shared" si="392"/>
        <v>0</v>
      </c>
      <c r="BF1071" s="175">
        <f t="shared" si="392"/>
        <v>0</v>
      </c>
      <c r="BG1071" s="73">
        <f t="shared" si="392"/>
        <v>0</v>
      </c>
      <c r="BH1071" s="176">
        <f t="shared" si="392"/>
        <v>0</v>
      </c>
      <c r="BI1071" s="175">
        <f t="shared" si="392"/>
        <v>0</v>
      </c>
      <c r="BJ1071" s="73">
        <f t="shared" si="392"/>
        <v>0</v>
      </c>
      <c r="BK1071" s="176">
        <f t="shared" si="392"/>
        <v>0</v>
      </c>
      <c r="BN1071" s="125">
        <f t="shared" si="380"/>
        <v>0</v>
      </c>
      <c r="BO1071" s="126">
        <f t="shared" si="381"/>
        <v>0</v>
      </c>
      <c r="BP1071" s="127">
        <f t="shared" si="382"/>
        <v>0</v>
      </c>
    </row>
    <row r="1072" spans="1:68" ht="14.25" hidden="1" customHeight="1" outlineLevel="4" x14ac:dyDescent="0.25">
      <c r="A1072" s="76" t="b">
        <f t="array" ref="A1072">A1071</f>
        <v>0</v>
      </c>
      <c r="B1072" s="5" t="b">
        <f t="array" ref="B1072">A1072</f>
        <v>0</v>
      </c>
      <c r="C1072" s="10" t="s">
        <v>83</v>
      </c>
      <c r="D1072" s="10" t="s">
        <v>84</v>
      </c>
      <c r="E1072" s="10" t="s">
        <v>73</v>
      </c>
      <c r="F1072" s="10" t="s">
        <v>74</v>
      </c>
      <c r="G1072" s="10" t="s">
        <v>464</v>
      </c>
      <c r="H1072" s="10" t="s">
        <v>73</v>
      </c>
      <c r="I1072" s="10" t="s">
        <v>73</v>
      </c>
      <c r="J1072" s="10" t="s">
        <v>73</v>
      </c>
      <c r="K1072" s="12" t="s">
        <v>73</v>
      </c>
      <c r="L1072" s="10" t="s">
        <v>452</v>
      </c>
      <c r="M1072" s="5" t="str">
        <f t="array" ref="M1072">Y806</f>
        <v>1ХВС::1.1</v>
      </c>
      <c r="Y1072" s="10">
        <f>COUNT($Y1064:Y1071)+1</f>
        <v>8</v>
      </c>
      <c r="Z1072" s="6"/>
      <c r="AA1072" s="6"/>
      <c r="AB1072" s="29"/>
      <c r="AC1072" s="153"/>
      <c r="AD1072" s="370"/>
      <c r="AE1072" s="175">
        <f t="shared" ref="AE1072:BK1072" si="393">AE681+AE348</f>
        <v>0</v>
      </c>
      <c r="AF1072" s="73">
        <f t="shared" si="393"/>
        <v>0</v>
      </c>
      <c r="AG1072" s="176">
        <f t="shared" si="393"/>
        <v>0</v>
      </c>
      <c r="AH1072" s="443">
        <f t="shared" si="393"/>
        <v>0</v>
      </c>
      <c r="AI1072" s="73">
        <f t="shared" si="393"/>
        <v>0</v>
      </c>
      <c r="AJ1072" s="176">
        <f t="shared" si="393"/>
        <v>0</v>
      </c>
      <c r="AK1072" s="175">
        <f t="shared" si="393"/>
        <v>0</v>
      </c>
      <c r="AL1072" s="73">
        <f t="shared" si="393"/>
        <v>0</v>
      </c>
      <c r="AM1072" s="176">
        <f t="shared" si="393"/>
        <v>0</v>
      </c>
      <c r="AN1072" s="175">
        <f t="shared" si="393"/>
        <v>0</v>
      </c>
      <c r="AO1072" s="73">
        <f t="shared" si="393"/>
        <v>0</v>
      </c>
      <c r="AP1072" s="176">
        <f t="shared" si="393"/>
        <v>0</v>
      </c>
      <c r="AQ1072" s="175">
        <f t="shared" si="393"/>
        <v>0</v>
      </c>
      <c r="AR1072" s="73">
        <f t="shared" si="393"/>
        <v>0</v>
      </c>
      <c r="AS1072" s="176">
        <f t="shared" si="393"/>
        <v>0</v>
      </c>
      <c r="AT1072" s="175">
        <f t="shared" si="393"/>
        <v>0</v>
      </c>
      <c r="AU1072" s="73">
        <f t="shared" si="393"/>
        <v>0</v>
      </c>
      <c r="AV1072" s="176">
        <f t="shared" si="393"/>
        <v>0</v>
      </c>
      <c r="AW1072" s="175">
        <f t="shared" si="393"/>
        <v>0</v>
      </c>
      <c r="AX1072" s="73">
        <f t="shared" si="393"/>
        <v>0</v>
      </c>
      <c r="AY1072" s="176">
        <f t="shared" si="393"/>
        <v>0</v>
      </c>
      <c r="AZ1072" s="175">
        <f t="shared" si="393"/>
        <v>0</v>
      </c>
      <c r="BA1072" s="73">
        <f t="shared" si="393"/>
        <v>0</v>
      </c>
      <c r="BB1072" s="176">
        <f t="shared" si="393"/>
        <v>0</v>
      </c>
      <c r="BC1072" s="175">
        <f t="shared" si="393"/>
        <v>0</v>
      </c>
      <c r="BD1072" s="73">
        <f t="shared" si="393"/>
        <v>0</v>
      </c>
      <c r="BE1072" s="176">
        <f t="shared" si="393"/>
        <v>0</v>
      </c>
      <c r="BF1072" s="175">
        <f t="shared" si="393"/>
        <v>0</v>
      </c>
      <c r="BG1072" s="73">
        <f t="shared" si="393"/>
        <v>0</v>
      </c>
      <c r="BH1072" s="176">
        <f t="shared" si="393"/>
        <v>0</v>
      </c>
      <c r="BI1072" s="175">
        <f t="shared" si="393"/>
        <v>0</v>
      </c>
      <c r="BJ1072" s="73">
        <f t="shared" si="393"/>
        <v>0</v>
      </c>
      <c r="BK1072" s="176">
        <f t="shared" si="393"/>
        <v>0</v>
      </c>
      <c r="BN1072" s="125">
        <f t="shared" si="380"/>
        <v>0</v>
      </c>
      <c r="BO1072" s="126">
        <f t="shared" si="381"/>
        <v>0</v>
      </c>
      <c r="BP1072" s="127">
        <f t="shared" si="382"/>
        <v>0</v>
      </c>
    </row>
    <row r="1073" spans="1:68" ht="14.25" hidden="1" customHeight="1" outlineLevel="4" x14ac:dyDescent="0.25">
      <c r="A1073" s="76" t="b">
        <f t="array" ref="A1073">A1072</f>
        <v>0</v>
      </c>
      <c r="B1073" s="5" t="b">
        <f t="array" ref="B1073">A1073</f>
        <v>0</v>
      </c>
      <c r="C1073" s="10" t="s">
        <v>83</v>
      </c>
      <c r="D1073" s="10" t="s">
        <v>84</v>
      </c>
      <c r="E1073" s="10" t="s">
        <v>73</v>
      </c>
      <c r="F1073" s="10" t="s">
        <v>74</v>
      </c>
      <c r="G1073" s="10" t="s">
        <v>465</v>
      </c>
      <c r="H1073" s="10" t="s">
        <v>73</v>
      </c>
      <c r="I1073" s="10" t="s">
        <v>73</v>
      </c>
      <c r="J1073" s="10" t="s">
        <v>73</v>
      </c>
      <c r="K1073" s="12" t="s">
        <v>73</v>
      </c>
      <c r="L1073" s="10" t="s">
        <v>452</v>
      </c>
      <c r="M1073" s="5" t="str">
        <f t="array" ref="M1073">Y806</f>
        <v>1ХВС::1.1</v>
      </c>
      <c r="Y1073" s="10">
        <f>COUNT($Y1064:Y1072)+1</f>
        <v>9</v>
      </c>
      <c r="Z1073" s="6"/>
      <c r="AA1073" s="6"/>
      <c r="AB1073" s="29"/>
      <c r="AC1073" s="153"/>
      <c r="AD1073" s="370"/>
      <c r="AE1073" s="175">
        <f t="shared" ref="AE1073:BK1073" si="394">AE682+AE349</f>
        <v>0</v>
      </c>
      <c r="AF1073" s="73">
        <f t="shared" si="394"/>
        <v>0</v>
      </c>
      <c r="AG1073" s="176">
        <f t="shared" si="394"/>
        <v>0</v>
      </c>
      <c r="AH1073" s="443">
        <f t="shared" si="394"/>
        <v>0</v>
      </c>
      <c r="AI1073" s="73">
        <f t="shared" si="394"/>
        <v>0</v>
      </c>
      <c r="AJ1073" s="176">
        <f t="shared" si="394"/>
        <v>0</v>
      </c>
      <c r="AK1073" s="175">
        <f t="shared" si="394"/>
        <v>0</v>
      </c>
      <c r="AL1073" s="73">
        <f t="shared" si="394"/>
        <v>0</v>
      </c>
      <c r="AM1073" s="176">
        <f t="shared" si="394"/>
        <v>0</v>
      </c>
      <c r="AN1073" s="175">
        <f t="shared" si="394"/>
        <v>0</v>
      </c>
      <c r="AO1073" s="73">
        <f t="shared" si="394"/>
        <v>0</v>
      </c>
      <c r="AP1073" s="176">
        <f t="shared" si="394"/>
        <v>0</v>
      </c>
      <c r="AQ1073" s="175">
        <f t="shared" si="394"/>
        <v>0</v>
      </c>
      <c r="AR1073" s="73">
        <f t="shared" si="394"/>
        <v>0</v>
      </c>
      <c r="AS1073" s="176">
        <f t="shared" si="394"/>
        <v>0</v>
      </c>
      <c r="AT1073" s="175">
        <f t="shared" si="394"/>
        <v>0</v>
      </c>
      <c r="AU1073" s="73">
        <f t="shared" si="394"/>
        <v>0</v>
      </c>
      <c r="AV1073" s="176">
        <f t="shared" si="394"/>
        <v>0</v>
      </c>
      <c r="AW1073" s="175">
        <f t="shared" si="394"/>
        <v>0</v>
      </c>
      <c r="AX1073" s="73">
        <f t="shared" si="394"/>
        <v>0</v>
      </c>
      <c r="AY1073" s="176">
        <f t="shared" si="394"/>
        <v>0</v>
      </c>
      <c r="AZ1073" s="175">
        <f t="shared" si="394"/>
        <v>0</v>
      </c>
      <c r="BA1073" s="73">
        <f t="shared" si="394"/>
        <v>0</v>
      </c>
      <c r="BB1073" s="176">
        <f t="shared" si="394"/>
        <v>0</v>
      </c>
      <c r="BC1073" s="175">
        <f t="shared" si="394"/>
        <v>0</v>
      </c>
      <c r="BD1073" s="73">
        <f t="shared" si="394"/>
        <v>0</v>
      </c>
      <c r="BE1073" s="176">
        <f t="shared" si="394"/>
        <v>0</v>
      </c>
      <c r="BF1073" s="175">
        <f t="shared" si="394"/>
        <v>0</v>
      </c>
      <c r="BG1073" s="73">
        <f t="shared" si="394"/>
        <v>0</v>
      </c>
      <c r="BH1073" s="176">
        <f t="shared" si="394"/>
        <v>0</v>
      </c>
      <c r="BI1073" s="175">
        <f t="shared" si="394"/>
        <v>0</v>
      </c>
      <c r="BJ1073" s="73">
        <f t="shared" si="394"/>
        <v>0</v>
      </c>
      <c r="BK1073" s="176">
        <f t="shared" si="394"/>
        <v>0</v>
      </c>
      <c r="BN1073" s="125">
        <f t="shared" si="380"/>
        <v>0</v>
      </c>
      <c r="BO1073" s="126">
        <f t="shared" si="381"/>
        <v>0</v>
      </c>
      <c r="BP1073" s="127">
        <f t="shared" si="382"/>
        <v>0</v>
      </c>
    </row>
    <row r="1074" spans="1:68" ht="14.25" hidden="1" customHeight="1" outlineLevel="4" x14ac:dyDescent="0.25">
      <c r="A1074" s="76" t="b">
        <f t="array" ref="A1074">A1073</f>
        <v>0</v>
      </c>
      <c r="B1074" s="5" t="b">
        <f t="array" ref="B1074">A1074</f>
        <v>0</v>
      </c>
      <c r="C1074" s="10" t="s">
        <v>83</v>
      </c>
      <c r="D1074" s="10" t="s">
        <v>84</v>
      </c>
      <c r="E1074" s="10" t="s">
        <v>73</v>
      </c>
      <c r="F1074" s="10" t="s">
        <v>74</v>
      </c>
      <c r="G1074" s="10" t="s">
        <v>466</v>
      </c>
      <c r="H1074" s="10" t="s">
        <v>73</v>
      </c>
      <c r="I1074" s="10" t="s">
        <v>73</v>
      </c>
      <c r="J1074" s="10" t="s">
        <v>73</v>
      </c>
      <c r="K1074" s="12" t="s">
        <v>73</v>
      </c>
      <c r="L1074" s="10" t="s">
        <v>452</v>
      </c>
      <c r="M1074" s="5" t="str">
        <f t="array" ref="M1074">Y806</f>
        <v>1ХВС::1.1</v>
      </c>
      <c r="Y1074" s="10">
        <f>COUNT($Y1064:Y1073)+1</f>
        <v>10</v>
      </c>
      <c r="Z1074" s="6"/>
      <c r="AA1074" s="6"/>
      <c r="AB1074" s="29"/>
      <c r="AC1074" s="153"/>
      <c r="AD1074" s="370"/>
      <c r="AE1074" s="175">
        <f t="shared" ref="AE1074:BK1074" si="395">AE683+AE350</f>
        <v>0</v>
      </c>
      <c r="AF1074" s="73">
        <f t="shared" si="395"/>
        <v>0</v>
      </c>
      <c r="AG1074" s="176">
        <f t="shared" si="395"/>
        <v>0</v>
      </c>
      <c r="AH1074" s="443">
        <f t="shared" si="395"/>
        <v>0</v>
      </c>
      <c r="AI1074" s="73">
        <f t="shared" si="395"/>
        <v>0</v>
      </c>
      <c r="AJ1074" s="176">
        <f t="shared" si="395"/>
        <v>0</v>
      </c>
      <c r="AK1074" s="175">
        <f t="shared" si="395"/>
        <v>0</v>
      </c>
      <c r="AL1074" s="73">
        <f t="shared" si="395"/>
        <v>0</v>
      </c>
      <c r="AM1074" s="176">
        <f t="shared" si="395"/>
        <v>0</v>
      </c>
      <c r="AN1074" s="175">
        <f t="shared" si="395"/>
        <v>0</v>
      </c>
      <c r="AO1074" s="73">
        <f t="shared" si="395"/>
        <v>0</v>
      </c>
      <c r="AP1074" s="176">
        <f t="shared" si="395"/>
        <v>0</v>
      </c>
      <c r="AQ1074" s="175">
        <f t="shared" si="395"/>
        <v>0</v>
      </c>
      <c r="AR1074" s="73">
        <f t="shared" si="395"/>
        <v>0</v>
      </c>
      <c r="AS1074" s="176">
        <f t="shared" si="395"/>
        <v>0</v>
      </c>
      <c r="AT1074" s="175">
        <f t="shared" si="395"/>
        <v>0</v>
      </c>
      <c r="AU1074" s="73">
        <f t="shared" si="395"/>
        <v>0</v>
      </c>
      <c r="AV1074" s="176">
        <f t="shared" si="395"/>
        <v>0</v>
      </c>
      <c r="AW1074" s="175">
        <f t="shared" si="395"/>
        <v>0</v>
      </c>
      <c r="AX1074" s="73">
        <f t="shared" si="395"/>
        <v>0</v>
      </c>
      <c r="AY1074" s="176">
        <f t="shared" si="395"/>
        <v>0</v>
      </c>
      <c r="AZ1074" s="175">
        <f t="shared" si="395"/>
        <v>0</v>
      </c>
      <c r="BA1074" s="73">
        <f t="shared" si="395"/>
        <v>0</v>
      </c>
      <c r="BB1074" s="176">
        <f t="shared" si="395"/>
        <v>0</v>
      </c>
      <c r="BC1074" s="175">
        <f t="shared" si="395"/>
        <v>0</v>
      </c>
      <c r="BD1074" s="73">
        <f t="shared" si="395"/>
        <v>0</v>
      </c>
      <c r="BE1074" s="176">
        <f t="shared" si="395"/>
        <v>0</v>
      </c>
      <c r="BF1074" s="175">
        <f t="shared" si="395"/>
        <v>0</v>
      </c>
      <c r="BG1074" s="73">
        <f t="shared" si="395"/>
        <v>0</v>
      </c>
      <c r="BH1074" s="176">
        <f t="shared" si="395"/>
        <v>0</v>
      </c>
      <c r="BI1074" s="175">
        <f t="shared" si="395"/>
        <v>0</v>
      </c>
      <c r="BJ1074" s="73">
        <f t="shared" si="395"/>
        <v>0</v>
      </c>
      <c r="BK1074" s="176">
        <f t="shared" si="395"/>
        <v>0</v>
      </c>
      <c r="BN1074" s="125">
        <f t="shared" si="380"/>
        <v>0</v>
      </c>
      <c r="BO1074" s="126">
        <f t="shared" si="381"/>
        <v>0</v>
      </c>
      <c r="BP1074" s="127">
        <f t="shared" si="382"/>
        <v>0</v>
      </c>
    </row>
    <row r="1075" spans="1:68" ht="14.25" customHeight="1" outlineLevel="4" x14ac:dyDescent="0.25">
      <c r="C1075" s="10" t="s">
        <v>83</v>
      </c>
      <c r="D1075" s="10" t="s">
        <v>84</v>
      </c>
      <c r="E1075" s="10" t="s">
        <v>73</v>
      </c>
      <c r="F1075" s="10" t="s">
        <v>74</v>
      </c>
      <c r="G1075" s="10" t="s">
        <v>467</v>
      </c>
      <c r="H1075" s="10" t="s">
        <v>73</v>
      </c>
      <c r="I1075" s="10" t="s">
        <v>73</v>
      </c>
      <c r="J1075" s="10" t="s">
        <v>73</v>
      </c>
      <c r="K1075" s="12" t="s">
        <v>73</v>
      </c>
      <c r="L1075" s="10" t="s">
        <v>452</v>
      </c>
      <c r="M1075" s="5" t="str">
        <f t="array" ref="M1075">Y806</f>
        <v>1ХВС::1.1</v>
      </c>
      <c r="Y1075" s="10">
        <f>COUNT($Y1064:Y1074)+1</f>
        <v>11</v>
      </c>
      <c r="AB1075" s="29" t="str">
        <f>AB$340&amp;"."&amp;Y1075</f>
        <v>3.1.3.1.11</v>
      </c>
      <c r="AC1075" s="294" t="s">
        <v>468</v>
      </c>
      <c r="AD1075" s="370" t="s">
        <v>111</v>
      </c>
      <c r="AE1075" s="175">
        <f t="shared" ref="AE1075:BK1075" si="396">AE684+AE351</f>
        <v>688.59</v>
      </c>
      <c r="AF1075" s="73">
        <f t="shared" si="396"/>
        <v>1027.3800000000001</v>
      </c>
      <c r="AG1075" s="176">
        <f t="shared" si="396"/>
        <v>886.21</v>
      </c>
      <c r="AH1075" s="443">
        <f t="shared" si="396"/>
        <v>0</v>
      </c>
      <c r="AI1075" s="73">
        <f t="shared" si="396"/>
        <v>0</v>
      </c>
      <c r="AJ1075" s="176">
        <f t="shared" si="396"/>
        <v>0</v>
      </c>
      <c r="AK1075" s="175">
        <f t="shared" si="396"/>
        <v>60.11</v>
      </c>
      <c r="AL1075" s="73">
        <f t="shared" si="396"/>
        <v>0</v>
      </c>
      <c r="AM1075" s="176">
        <f t="shared" si="396"/>
        <v>66.14</v>
      </c>
      <c r="AN1075" s="175">
        <f t="shared" si="396"/>
        <v>1191.57</v>
      </c>
      <c r="AO1075" s="73">
        <f t="shared" si="396"/>
        <v>126.63</v>
      </c>
      <c r="AP1075" s="176">
        <f t="shared" si="396"/>
        <v>1311.11</v>
      </c>
      <c r="AQ1075" s="175">
        <f t="shared" si="396"/>
        <v>0</v>
      </c>
      <c r="AR1075" s="73">
        <f t="shared" si="396"/>
        <v>0</v>
      </c>
      <c r="AS1075" s="176">
        <f t="shared" si="396"/>
        <v>0</v>
      </c>
      <c r="AT1075" s="175">
        <f t="shared" si="396"/>
        <v>0</v>
      </c>
      <c r="AU1075" s="73">
        <f t="shared" si="396"/>
        <v>0</v>
      </c>
      <c r="AV1075" s="176">
        <f t="shared" si="396"/>
        <v>0</v>
      </c>
      <c r="AW1075" s="175">
        <f t="shared" si="396"/>
        <v>0</v>
      </c>
      <c r="AX1075" s="73">
        <f t="shared" si="396"/>
        <v>0</v>
      </c>
      <c r="AY1075" s="176">
        <f t="shared" si="396"/>
        <v>0</v>
      </c>
      <c r="AZ1075" s="175">
        <f t="shared" si="396"/>
        <v>0</v>
      </c>
      <c r="BA1075" s="73">
        <f t="shared" si="396"/>
        <v>0</v>
      </c>
      <c r="BB1075" s="176">
        <f t="shared" si="396"/>
        <v>0</v>
      </c>
      <c r="BC1075" s="175">
        <f t="shared" si="396"/>
        <v>0</v>
      </c>
      <c r="BD1075" s="73">
        <f t="shared" si="396"/>
        <v>0</v>
      </c>
      <c r="BE1075" s="176">
        <f t="shared" si="396"/>
        <v>0</v>
      </c>
      <c r="BF1075" s="175">
        <f t="shared" si="396"/>
        <v>0</v>
      </c>
      <c r="BG1075" s="73">
        <f t="shared" si="396"/>
        <v>0</v>
      </c>
      <c r="BH1075" s="176">
        <f t="shared" si="396"/>
        <v>0</v>
      </c>
      <c r="BI1075" s="175">
        <f t="shared" si="396"/>
        <v>0</v>
      </c>
      <c r="BJ1075" s="73">
        <f t="shared" si="396"/>
        <v>0</v>
      </c>
      <c r="BK1075" s="176">
        <f t="shared" si="396"/>
        <v>0</v>
      </c>
      <c r="BN1075" s="125">
        <f t="shared" si="380"/>
        <v>1940.27</v>
      </c>
      <c r="BO1075" s="126">
        <f t="shared" si="381"/>
        <v>1154.0100000000002</v>
      </c>
      <c r="BP1075" s="127">
        <f t="shared" si="382"/>
        <v>2263.46</v>
      </c>
    </row>
    <row r="1076" spans="1:68" ht="14.25" hidden="1" customHeight="1" outlineLevel="4" x14ac:dyDescent="0.25">
      <c r="A1076" s="76" t="b">
        <f>OR($AD$52="да",$U806&lt;&gt;"Водоснабжение")</f>
        <v>0</v>
      </c>
      <c r="B1076" s="5" t="b">
        <f t="array" ref="B1076">A1076</f>
        <v>0</v>
      </c>
      <c r="C1076" s="10" t="s">
        <v>83</v>
      </c>
      <c r="D1076" s="10" t="s">
        <v>84</v>
      </c>
      <c r="E1076" s="10" t="s">
        <v>73</v>
      </c>
      <c r="F1076" s="10" t="s">
        <v>74</v>
      </c>
      <c r="G1076" s="10" t="s">
        <v>469</v>
      </c>
      <c r="H1076" s="10" t="s">
        <v>73</v>
      </c>
      <c r="I1076" s="10" t="s">
        <v>73</v>
      </c>
      <c r="J1076" s="10" t="s">
        <v>73</v>
      </c>
      <c r="K1076" s="12" t="s">
        <v>73</v>
      </c>
      <c r="L1076" s="10" t="s">
        <v>452</v>
      </c>
      <c r="M1076" s="5" t="str">
        <f t="array" ref="M1076">Y806</f>
        <v>1ХВС::1.1</v>
      </c>
      <c r="Y1076" s="10">
        <f>COUNT($Y1064:Y1075)+1</f>
        <v>12</v>
      </c>
      <c r="Z1076" s="6"/>
      <c r="AA1076" s="6"/>
      <c r="AB1076" s="29"/>
      <c r="AC1076" s="153"/>
      <c r="AD1076" s="370"/>
      <c r="AE1076" s="175">
        <f t="shared" ref="AE1076:BK1076" si="397">AE685+AE352</f>
        <v>0</v>
      </c>
      <c r="AF1076" s="73">
        <f t="shared" si="397"/>
        <v>0</v>
      </c>
      <c r="AG1076" s="176">
        <f t="shared" si="397"/>
        <v>0</v>
      </c>
      <c r="AH1076" s="443">
        <f t="shared" si="397"/>
        <v>0</v>
      </c>
      <c r="AI1076" s="73">
        <f t="shared" si="397"/>
        <v>0</v>
      </c>
      <c r="AJ1076" s="176">
        <f t="shared" si="397"/>
        <v>0</v>
      </c>
      <c r="AK1076" s="175">
        <f t="shared" si="397"/>
        <v>0</v>
      </c>
      <c r="AL1076" s="73">
        <f t="shared" si="397"/>
        <v>0</v>
      </c>
      <c r="AM1076" s="176">
        <f t="shared" si="397"/>
        <v>0</v>
      </c>
      <c r="AN1076" s="175">
        <f t="shared" si="397"/>
        <v>0</v>
      </c>
      <c r="AO1076" s="73">
        <f t="shared" si="397"/>
        <v>0</v>
      </c>
      <c r="AP1076" s="176">
        <f t="shared" si="397"/>
        <v>0</v>
      </c>
      <c r="AQ1076" s="175">
        <f t="shared" si="397"/>
        <v>0</v>
      </c>
      <c r="AR1076" s="73">
        <f t="shared" si="397"/>
        <v>0</v>
      </c>
      <c r="AS1076" s="176">
        <f t="shared" si="397"/>
        <v>0</v>
      </c>
      <c r="AT1076" s="175">
        <f t="shared" si="397"/>
        <v>0</v>
      </c>
      <c r="AU1076" s="73">
        <f t="shared" si="397"/>
        <v>0</v>
      </c>
      <c r="AV1076" s="176">
        <f t="shared" si="397"/>
        <v>0</v>
      </c>
      <c r="AW1076" s="175">
        <f t="shared" si="397"/>
        <v>0</v>
      </c>
      <c r="AX1076" s="73">
        <f t="shared" si="397"/>
        <v>0</v>
      </c>
      <c r="AY1076" s="176">
        <f t="shared" si="397"/>
        <v>0</v>
      </c>
      <c r="AZ1076" s="175">
        <f t="shared" si="397"/>
        <v>0</v>
      </c>
      <c r="BA1076" s="73">
        <f t="shared" si="397"/>
        <v>0</v>
      </c>
      <c r="BB1076" s="176">
        <f t="shared" si="397"/>
        <v>0</v>
      </c>
      <c r="BC1076" s="175">
        <f t="shared" si="397"/>
        <v>0</v>
      </c>
      <c r="BD1076" s="73">
        <f t="shared" si="397"/>
        <v>0</v>
      </c>
      <c r="BE1076" s="176">
        <f t="shared" si="397"/>
        <v>0</v>
      </c>
      <c r="BF1076" s="175">
        <f t="shared" si="397"/>
        <v>0</v>
      </c>
      <c r="BG1076" s="73">
        <f t="shared" si="397"/>
        <v>0</v>
      </c>
      <c r="BH1076" s="176">
        <f t="shared" si="397"/>
        <v>0</v>
      </c>
      <c r="BI1076" s="175">
        <f t="shared" si="397"/>
        <v>0</v>
      </c>
      <c r="BJ1076" s="73">
        <f t="shared" si="397"/>
        <v>0</v>
      </c>
      <c r="BK1076" s="176">
        <f t="shared" si="397"/>
        <v>0</v>
      </c>
      <c r="BN1076" s="125">
        <f t="shared" si="380"/>
        <v>0</v>
      </c>
      <c r="BO1076" s="126">
        <f t="shared" si="381"/>
        <v>0</v>
      </c>
      <c r="BP1076" s="127">
        <f t="shared" si="382"/>
        <v>0</v>
      </c>
    </row>
    <row r="1077" spans="1:68" ht="14.25" customHeight="1" outlineLevel="3" x14ac:dyDescent="0.25">
      <c r="C1077" s="10" t="s">
        <v>83</v>
      </c>
      <c r="D1077" s="10" t="s">
        <v>84</v>
      </c>
      <c r="E1077" s="10" t="s">
        <v>73</v>
      </c>
      <c r="F1077" s="10" t="s">
        <v>74</v>
      </c>
      <c r="G1077" s="10" t="s">
        <v>470</v>
      </c>
      <c r="H1077" s="10" t="s">
        <v>73</v>
      </c>
      <c r="I1077" s="10" t="s">
        <v>73</v>
      </c>
      <c r="J1077" s="10" t="s">
        <v>73</v>
      </c>
      <c r="K1077" s="12" t="s">
        <v>73</v>
      </c>
      <c r="L1077" s="10" t="s">
        <v>452</v>
      </c>
      <c r="M1077" s="5" t="str">
        <f t="array" ref="M1077">Y806</f>
        <v>1ХВС::1.1</v>
      </c>
      <c r="AB1077" s="65" t="str">
        <f>AB1063&amp;".2"</f>
        <v>3.1.3.2</v>
      </c>
      <c r="AC1077" s="92" t="s">
        <v>471</v>
      </c>
      <c r="AD1077" s="370" t="s">
        <v>111</v>
      </c>
      <c r="AE1077" s="175">
        <f t="shared" ref="AE1077:BK1077" si="398">AE686+AE353</f>
        <v>175561.60499999998</v>
      </c>
      <c r="AF1077" s="73">
        <f t="shared" si="398"/>
        <v>259782.01</v>
      </c>
      <c r="AG1077" s="176">
        <f t="shared" si="398"/>
        <v>280465.15000000002</v>
      </c>
      <c r="AH1077" s="443">
        <f t="shared" si="398"/>
        <v>105.92</v>
      </c>
      <c r="AI1077" s="73">
        <f t="shared" si="398"/>
        <v>803.88</v>
      </c>
      <c r="AJ1077" s="176">
        <f t="shared" si="398"/>
        <v>538.54</v>
      </c>
      <c r="AK1077" s="175">
        <f t="shared" si="398"/>
        <v>210.45</v>
      </c>
      <c r="AL1077" s="73">
        <f t="shared" si="398"/>
        <v>164</v>
      </c>
      <c r="AM1077" s="176">
        <f t="shared" si="398"/>
        <v>365.25</v>
      </c>
      <c r="AN1077" s="175">
        <f t="shared" si="398"/>
        <v>369.03</v>
      </c>
      <c r="AO1077" s="73">
        <f t="shared" si="398"/>
        <v>477.88</v>
      </c>
      <c r="AP1077" s="176">
        <f t="shared" si="398"/>
        <v>547.57000000000005</v>
      </c>
      <c r="AQ1077" s="175">
        <f t="shared" si="398"/>
        <v>320.27999999999997</v>
      </c>
      <c r="AR1077" s="73">
        <f t="shared" si="398"/>
        <v>20.77</v>
      </c>
      <c r="AS1077" s="176">
        <f t="shared" si="398"/>
        <v>368.33</v>
      </c>
      <c r="AT1077" s="175">
        <f t="shared" si="398"/>
        <v>6.24</v>
      </c>
      <c r="AU1077" s="73">
        <f t="shared" si="398"/>
        <v>1002.04</v>
      </c>
      <c r="AV1077" s="176">
        <f t="shared" si="398"/>
        <v>763.15</v>
      </c>
      <c r="AW1077" s="175">
        <f t="shared" si="398"/>
        <v>201.52</v>
      </c>
      <c r="AX1077" s="73">
        <f t="shared" si="398"/>
        <v>0</v>
      </c>
      <c r="AY1077" s="176">
        <f t="shared" si="398"/>
        <v>331.17</v>
      </c>
      <c r="AZ1077" s="175">
        <f t="shared" si="398"/>
        <v>802.79</v>
      </c>
      <c r="BA1077" s="73">
        <f t="shared" si="398"/>
        <v>1484.86</v>
      </c>
      <c r="BB1077" s="176">
        <f t="shared" si="398"/>
        <v>1747.39</v>
      </c>
      <c r="BC1077" s="175">
        <f t="shared" si="398"/>
        <v>423.23</v>
      </c>
      <c r="BD1077" s="73">
        <f t="shared" si="398"/>
        <v>6197.24</v>
      </c>
      <c r="BE1077" s="176">
        <f t="shared" si="398"/>
        <v>3662.09</v>
      </c>
      <c r="BF1077" s="175">
        <f t="shared" si="398"/>
        <v>0</v>
      </c>
      <c r="BG1077" s="73">
        <f t="shared" si="398"/>
        <v>205</v>
      </c>
      <c r="BH1077" s="176">
        <f t="shared" si="398"/>
        <v>127.6</v>
      </c>
      <c r="BI1077" s="175">
        <f t="shared" si="398"/>
        <v>78.02</v>
      </c>
      <c r="BJ1077" s="73">
        <f t="shared" si="398"/>
        <v>483.76499999999999</v>
      </c>
      <c r="BK1077" s="176">
        <f t="shared" si="398"/>
        <v>656.59999999999991</v>
      </c>
      <c r="BN1077" s="125">
        <f t="shared" si="380"/>
        <v>178079.08499999999</v>
      </c>
      <c r="BO1077" s="126">
        <f t="shared" si="381"/>
        <v>270621.44500000001</v>
      </c>
      <c r="BP1077" s="127">
        <f t="shared" si="382"/>
        <v>289572.84000000003</v>
      </c>
    </row>
    <row r="1078" spans="1:68" ht="14.25" customHeight="1" outlineLevel="3" x14ac:dyDescent="0.25">
      <c r="C1078" s="10" t="s">
        <v>83</v>
      </c>
      <c r="D1078" s="10" t="s">
        <v>84</v>
      </c>
      <c r="E1078" s="10" t="s">
        <v>73</v>
      </c>
      <c r="F1078" s="10" t="s">
        <v>74</v>
      </c>
      <c r="G1078" s="10" t="s">
        <v>472</v>
      </c>
      <c r="H1078" s="10" t="s">
        <v>73</v>
      </c>
      <c r="I1078" s="10" t="s">
        <v>73</v>
      </c>
      <c r="J1078" s="10" t="s">
        <v>73</v>
      </c>
      <c r="K1078" s="12" t="s">
        <v>73</v>
      </c>
      <c r="L1078" s="10" t="s">
        <v>452</v>
      </c>
      <c r="M1078" s="5" t="str">
        <f t="array" ref="M1078">Y806</f>
        <v>1ХВС::1.1</v>
      </c>
      <c r="AB1078" s="65" t="str">
        <f>AB1063&amp;".3"</f>
        <v>3.1.3.3</v>
      </c>
      <c r="AC1078" s="92" t="s">
        <v>473</v>
      </c>
      <c r="AD1078" s="370" t="s">
        <v>111</v>
      </c>
      <c r="AE1078" s="175">
        <f t="shared" ref="AE1078:BK1078" si="399">AE1079+AE1080+AE1081+AE1082+AE1083+AE1084+AE1085+AE1086+AE1087</f>
        <v>185045.00999999998</v>
      </c>
      <c r="AF1078" s="73">
        <f t="shared" si="399"/>
        <v>192052.39999999997</v>
      </c>
      <c r="AG1078" s="176">
        <f t="shared" si="399"/>
        <v>212365.84</v>
      </c>
      <c r="AH1078" s="179">
        <f t="shared" si="399"/>
        <v>5889.7199999999993</v>
      </c>
      <c r="AI1078" s="73">
        <f t="shared" si="399"/>
        <v>6252.53</v>
      </c>
      <c r="AJ1078" s="74">
        <f t="shared" si="399"/>
        <v>5651.18</v>
      </c>
      <c r="AK1078" s="179">
        <f t="shared" si="399"/>
        <v>6944.4440000000004</v>
      </c>
      <c r="AL1078" s="73">
        <f t="shared" si="399"/>
        <v>3137.8399999999997</v>
      </c>
      <c r="AM1078" s="74">
        <f t="shared" si="399"/>
        <v>6951.579999999999</v>
      </c>
      <c r="AN1078" s="179">
        <f t="shared" si="399"/>
        <v>4303.1939999999995</v>
      </c>
      <c r="AO1078" s="73">
        <f t="shared" si="399"/>
        <v>2363.15</v>
      </c>
      <c r="AP1078" s="74">
        <f t="shared" si="399"/>
        <v>5633.84</v>
      </c>
      <c r="AQ1078" s="179">
        <f t="shared" si="399"/>
        <v>551.83000000000004</v>
      </c>
      <c r="AR1078" s="73">
        <f t="shared" si="399"/>
        <v>919.93000000000006</v>
      </c>
      <c r="AS1078" s="74">
        <f t="shared" si="399"/>
        <v>1978.22</v>
      </c>
      <c r="AT1078" s="179">
        <f t="shared" si="399"/>
        <v>4542.91</v>
      </c>
      <c r="AU1078" s="73">
        <f t="shared" si="399"/>
        <v>3767.61</v>
      </c>
      <c r="AV1078" s="74">
        <f t="shared" si="399"/>
        <v>5790.0199999999995</v>
      </c>
      <c r="AW1078" s="179">
        <f t="shared" si="399"/>
        <v>961.65</v>
      </c>
      <c r="AX1078" s="73">
        <f t="shared" si="399"/>
        <v>1123.5</v>
      </c>
      <c r="AY1078" s="74">
        <f t="shared" si="399"/>
        <v>946.1049999999999</v>
      </c>
      <c r="AZ1078" s="179">
        <f t="shared" si="399"/>
        <v>11178.866</v>
      </c>
      <c r="BA1078" s="73">
        <f t="shared" si="399"/>
        <v>5554.1200000000008</v>
      </c>
      <c r="BB1078" s="74">
        <f t="shared" si="399"/>
        <v>47309.81</v>
      </c>
      <c r="BC1078" s="179">
        <f t="shared" si="399"/>
        <v>25319.036</v>
      </c>
      <c r="BD1078" s="73">
        <f t="shared" si="399"/>
        <v>23765.190000000002</v>
      </c>
      <c r="BE1078" s="74">
        <f t="shared" si="399"/>
        <v>28387.7</v>
      </c>
      <c r="BF1078" s="139">
        <f t="shared" si="399"/>
        <v>447.96999999999997</v>
      </c>
      <c r="BG1078" s="140">
        <f t="shared" si="399"/>
        <v>300.7</v>
      </c>
      <c r="BH1078" s="143">
        <f t="shared" si="399"/>
        <v>299.41799999999995</v>
      </c>
      <c r="BI1078" s="142">
        <f t="shared" si="399"/>
        <v>6894.19</v>
      </c>
      <c r="BJ1078" s="140">
        <f t="shared" si="399"/>
        <v>6512.2950000000001</v>
      </c>
      <c r="BK1078" s="143">
        <f t="shared" si="399"/>
        <v>11345.29</v>
      </c>
      <c r="BN1078" s="125">
        <f t="shared" si="380"/>
        <v>252078.81999999995</v>
      </c>
      <c r="BO1078" s="126">
        <f t="shared" si="381"/>
        <v>245749.26499999996</v>
      </c>
      <c r="BP1078" s="127">
        <f t="shared" si="382"/>
        <v>326659.00299999997</v>
      </c>
    </row>
    <row r="1079" spans="1:68" ht="14.25" hidden="1" customHeight="1" outlineLevel="4" x14ac:dyDescent="0.25">
      <c r="C1079" s="10" t="s">
        <v>83</v>
      </c>
      <c r="D1079" s="10" t="s">
        <v>84</v>
      </c>
      <c r="E1079" s="10" t="s">
        <v>73</v>
      </c>
      <c r="F1079" s="10" t="s">
        <v>74</v>
      </c>
      <c r="G1079" s="10" t="s">
        <v>474</v>
      </c>
      <c r="H1079" s="10" t="s">
        <v>73</v>
      </c>
      <c r="I1079" s="10" t="s">
        <v>73</v>
      </c>
      <c r="J1079" s="10" t="s">
        <v>73</v>
      </c>
      <c r="K1079" s="12" t="s">
        <v>73</v>
      </c>
      <c r="L1079" s="10" t="s">
        <v>452</v>
      </c>
      <c r="M1079" s="5" t="str">
        <f t="array" ref="M1079">Y806</f>
        <v>1ХВС::1.1</v>
      </c>
      <c r="Y1079" s="10">
        <v>1</v>
      </c>
      <c r="AB1079" s="29" t="str">
        <f t="shared" ref="AB1079:AB1087" si="400">AB$354&amp;"."&amp;Y1079</f>
        <v>3.1.3.3.1</v>
      </c>
      <c r="AC1079" s="294" t="s">
        <v>474</v>
      </c>
      <c r="AD1079" s="370" t="s">
        <v>111</v>
      </c>
      <c r="AE1079" s="175"/>
      <c r="AF1079" s="73"/>
      <c r="AG1079" s="176"/>
      <c r="AH1079" s="179"/>
      <c r="AI1079" s="178"/>
      <c r="AJ1079" s="74"/>
      <c r="AK1079" s="179"/>
      <c r="AL1079" s="178"/>
      <c r="AM1079" s="74"/>
      <c r="AN1079" s="179"/>
      <c r="AO1079" s="178"/>
      <c r="AP1079" s="74"/>
      <c r="AQ1079" s="179"/>
      <c r="AR1079" s="178"/>
      <c r="AS1079" s="74"/>
      <c r="AT1079" s="179"/>
      <c r="AU1079" s="178"/>
      <c r="AV1079" s="74"/>
      <c r="AW1079" s="179">
        <v>0</v>
      </c>
      <c r="AX1079" s="178"/>
      <c r="AY1079" s="74">
        <v>0</v>
      </c>
      <c r="AZ1079" s="179"/>
      <c r="BA1079" s="178"/>
      <c r="BB1079" s="74"/>
      <c r="BC1079" s="179"/>
      <c r="BD1079" s="178"/>
      <c r="BE1079" s="74"/>
      <c r="BF1079" s="139"/>
      <c r="BG1079" s="183"/>
      <c r="BH1079" s="143"/>
      <c r="BI1079" s="142"/>
      <c r="BJ1079" s="183"/>
      <c r="BK1079" s="143"/>
      <c r="BN1079" s="125">
        <f t="shared" si="380"/>
        <v>0</v>
      </c>
      <c r="BO1079" s="126">
        <f t="shared" si="381"/>
        <v>0</v>
      </c>
      <c r="BP1079" s="127">
        <f t="shared" si="382"/>
        <v>0</v>
      </c>
    </row>
    <row r="1080" spans="1:68" ht="14.25" customHeight="1" outlineLevel="4" x14ac:dyDescent="0.25">
      <c r="C1080" s="10" t="s">
        <v>83</v>
      </c>
      <c r="D1080" s="10" t="s">
        <v>84</v>
      </c>
      <c r="E1080" s="10" t="s">
        <v>73</v>
      </c>
      <c r="F1080" s="10" t="s">
        <v>74</v>
      </c>
      <c r="G1080" s="10" t="s">
        <v>475</v>
      </c>
      <c r="H1080" s="10" t="s">
        <v>73</v>
      </c>
      <c r="I1080" s="10" t="s">
        <v>73</v>
      </c>
      <c r="J1080" s="10" t="s">
        <v>73</v>
      </c>
      <c r="K1080" s="12" t="s">
        <v>73</v>
      </c>
      <c r="L1080" s="10" t="s">
        <v>452</v>
      </c>
      <c r="M1080" s="5" t="str">
        <f t="array" ref="M1080">Y806</f>
        <v>1ХВС::1.1</v>
      </c>
      <c r="Y1080" s="10">
        <f>COUNT($Y1079:Y1079)+1</f>
        <v>2</v>
      </c>
      <c r="AB1080" s="29" t="str">
        <f t="shared" si="400"/>
        <v>3.1.3.3.2</v>
      </c>
      <c r="AC1080" s="294" t="s">
        <v>475</v>
      </c>
      <c r="AD1080" s="370" t="s">
        <v>111</v>
      </c>
      <c r="AE1080" s="175">
        <f t="shared" ref="AE1080:BK1080" si="401">AE356+AE689</f>
        <v>157263.10999999999</v>
      </c>
      <c r="AF1080" s="73">
        <f t="shared" si="401"/>
        <v>147883.16999999998</v>
      </c>
      <c r="AG1080" s="176">
        <f t="shared" si="401"/>
        <v>160466.78</v>
      </c>
      <c r="AH1080" s="443">
        <f t="shared" si="401"/>
        <v>5634.24</v>
      </c>
      <c r="AI1080" s="73">
        <f t="shared" si="401"/>
        <v>5167.8</v>
      </c>
      <c r="AJ1080" s="176">
        <f t="shared" si="401"/>
        <v>5333.91</v>
      </c>
      <c r="AK1080" s="175">
        <f t="shared" si="401"/>
        <v>6189.7539999999999</v>
      </c>
      <c r="AL1080" s="73">
        <f t="shared" si="401"/>
        <v>2341.71</v>
      </c>
      <c r="AM1080" s="176">
        <f t="shared" si="401"/>
        <v>5806.78</v>
      </c>
      <c r="AN1080" s="175">
        <f t="shared" si="401"/>
        <v>2123.0699999999997</v>
      </c>
      <c r="AO1080" s="73">
        <f t="shared" si="401"/>
        <v>534.43000000000006</v>
      </c>
      <c r="AP1080" s="176">
        <f t="shared" si="401"/>
        <v>3272.91</v>
      </c>
      <c r="AQ1080" s="175">
        <f t="shared" si="401"/>
        <v>108.41</v>
      </c>
      <c r="AR1080" s="73">
        <f t="shared" si="401"/>
        <v>502.25</v>
      </c>
      <c r="AS1080" s="176">
        <f t="shared" si="401"/>
        <v>680.68999999999994</v>
      </c>
      <c r="AT1080" s="175">
        <f t="shared" si="401"/>
        <v>1235.19</v>
      </c>
      <c r="AU1080" s="73">
        <f t="shared" si="401"/>
        <v>1294.43</v>
      </c>
      <c r="AV1080" s="176">
        <f t="shared" si="401"/>
        <v>1587.37</v>
      </c>
      <c r="AW1080" s="175">
        <f t="shared" si="401"/>
        <v>175.49</v>
      </c>
      <c r="AX1080" s="73">
        <f t="shared" si="401"/>
        <v>784.66</v>
      </c>
      <c r="AY1080" s="176">
        <f t="shared" si="401"/>
        <v>159.33999999999997</v>
      </c>
      <c r="AZ1080" s="175">
        <f t="shared" si="401"/>
        <v>8273.48</v>
      </c>
      <c r="BA1080" s="73">
        <f t="shared" si="401"/>
        <v>4241.09</v>
      </c>
      <c r="BB1080" s="176">
        <f t="shared" si="401"/>
        <v>9317.93</v>
      </c>
      <c r="BC1080" s="175">
        <f t="shared" si="401"/>
        <v>22003.502</v>
      </c>
      <c r="BD1080" s="73">
        <f t="shared" si="401"/>
        <v>20514.72</v>
      </c>
      <c r="BE1080" s="176">
        <f t="shared" si="401"/>
        <v>24426.07</v>
      </c>
      <c r="BF1080" s="175">
        <f t="shared" si="401"/>
        <v>250.93</v>
      </c>
      <c r="BG1080" s="73">
        <f t="shared" si="401"/>
        <v>232.07</v>
      </c>
      <c r="BH1080" s="176">
        <f t="shared" si="401"/>
        <v>216.114</v>
      </c>
      <c r="BI1080" s="175">
        <f t="shared" si="401"/>
        <v>6731.71</v>
      </c>
      <c r="BJ1080" s="73">
        <f t="shared" si="401"/>
        <v>6353.3249999999998</v>
      </c>
      <c r="BK1080" s="176">
        <f t="shared" si="401"/>
        <v>6472.54</v>
      </c>
      <c r="BN1080" s="125">
        <f t="shared" si="380"/>
        <v>209988.88599999997</v>
      </c>
      <c r="BO1080" s="126">
        <f t="shared" si="381"/>
        <v>189849.65499999997</v>
      </c>
      <c r="BP1080" s="127">
        <f t="shared" si="382"/>
        <v>217740.43400000001</v>
      </c>
    </row>
    <row r="1081" spans="1:68" ht="14.25" hidden="1" customHeight="1" outlineLevel="4" x14ac:dyDescent="0.25">
      <c r="C1081" s="10" t="s">
        <v>83</v>
      </c>
      <c r="D1081" s="10" t="s">
        <v>84</v>
      </c>
      <c r="E1081" s="10" t="s">
        <v>73</v>
      </c>
      <c r="F1081" s="10" t="s">
        <v>74</v>
      </c>
      <c r="G1081" s="10" t="s">
        <v>476</v>
      </c>
      <c r="H1081" s="10" t="s">
        <v>73</v>
      </c>
      <c r="I1081" s="10" t="s">
        <v>73</v>
      </c>
      <c r="J1081" s="10" t="s">
        <v>73</v>
      </c>
      <c r="K1081" s="12" t="s">
        <v>73</v>
      </c>
      <c r="L1081" s="10" t="s">
        <v>452</v>
      </c>
      <c r="M1081" s="5" t="str">
        <f t="array" ref="M1081">Y806</f>
        <v>1ХВС::1.1</v>
      </c>
      <c r="Y1081" s="10">
        <f>COUNT($Y1079:Y1080)+1</f>
        <v>3</v>
      </c>
      <c r="AB1081" s="29" t="str">
        <f t="shared" si="400"/>
        <v>3.1.3.3.3</v>
      </c>
      <c r="AC1081" s="294" t="s">
        <v>476</v>
      </c>
      <c r="AD1081" s="370" t="s">
        <v>111</v>
      </c>
      <c r="AE1081" s="175"/>
      <c r="AF1081" s="73"/>
      <c r="AG1081" s="176"/>
      <c r="AH1081" s="443"/>
      <c r="AI1081" s="73"/>
      <c r="AJ1081" s="176"/>
      <c r="AK1081" s="175"/>
      <c r="AL1081" s="73"/>
      <c r="AM1081" s="176"/>
      <c r="AN1081" s="175"/>
      <c r="AO1081" s="73"/>
      <c r="AP1081" s="176"/>
      <c r="AQ1081" s="175"/>
      <c r="AR1081" s="73"/>
      <c r="AS1081" s="176"/>
      <c r="AT1081" s="175"/>
      <c r="AU1081" s="73"/>
      <c r="AV1081" s="176"/>
      <c r="AW1081" s="175"/>
      <c r="AX1081" s="73"/>
      <c r="AY1081" s="176"/>
      <c r="AZ1081" s="175"/>
      <c r="BA1081" s="73"/>
      <c r="BB1081" s="176"/>
      <c r="BC1081" s="175"/>
      <c r="BD1081" s="73"/>
      <c r="BE1081" s="176"/>
      <c r="BF1081" s="175"/>
      <c r="BG1081" s="73"/>
      <c r="BH1081" s="176"/>
      <c r="BI1081" s="175"/>
      <c r="BJ1081" s="73"/>
      <c r="BK1081" s="176"/>
      <c r="BN1081" s="125">
        <f t="shared" ref="BN1081:BN1112" si="402">AE1081+AH1081+AK1081+AN1081+AQ1081+AT1081+AW1081+AZ1081+BC1081+BF1081+BI1081</f>
        <v>0</v>
      </c>
      <c r="BO1081" s="126">
        <f t="shared" ref="BO1081:BO1112" si="403">AF1081+AI1081+AL1081+AO1081+AR1081+AU1081+AX1081+BA1081+BD1081+BG1081+BJ1081</f>
        <v>0</v>
      </c>
      <c r="BP1081" s="127">
        <f t="shared" ref="BP1081:BP1112" si="404">AG1081+AJ1081+AM1081+AP1081+AS1081+AV1081+AY1081+BB1081+BE1081+BH1081+BK1081</f>
        <v>0</v>
      </c>
    </row>
    <row r="1082" spans="1:68" ht="14.25" customHeight="1" outlineLevel="4" x14ac:dyDescent="0.25">
      <c r="A1082" s="10" t="b">
        <f>$U806="Водоснабжение"</f>
        <v>1</v>
      </c>
      <c r="B1082" s="5" t="b">
        <f t="array" ref="B1082">A1082</f>
        <v>1</v>
      </c>
      <c r="C1082" s="10" t="s">
        <v>83</v>
      </c>
      <c r="D1082" s="10" t="s">
        <v>84</v>
      </c>
      <c r="E1082" s="10" t="s">
        <v>73</v>
      </c>
      <c r="F1082" s="10" t="s">
        <v>74</v>
      </c>
      <c r="G1082" s="10" t="s">
        <v>477</v>
      </c>
      <c r="H1082" s="10" t="s">
        <v>73</v>
      </c>
      <c r="I1082" s="10" t="s">
        <v>73</v>
      </c>
      <c r="J1082" s="10" t="s">
        <v>73</v>
      </c>
      <c r="K1082" s="12" t="s">
        <v>73</v>
      </c>
      <c r="L1082" s="10" t="s">
        <v>452</v>
      </c>
      <c r="M1082" s="5" t="str">
        <f t="array" ref="M1082">Y806</f>
        <v>1ХВС::1.1</v>
      </c>
      <c r="Y1082" s="10">
        <f>COUNT($Y1079:Y1081)+1</f>
        <v>4</v>
      </c>
      <c r="AB1082" s="29" t="str">
        <f t="shared" si="400"/>
        <v>3.1.3.3.4</v>
      </c>
      <c r="AC1082" s="294" t="s">
        <v>477</v>
      </c>
      <c r="AD1082" s="370" t="s">
        <v>111</v>
      </c>
      <c r="AE1082" s="175">
        <f t="shared" ref="AE1082:BK1082" si="405">AE358</f>
        <v>7042.5</v>
      </c>
      <c r="AF1082" s="73">
        <f t="shared" si="405"/>
        <v>8971.5499999999993</v>
      </c>
      <c r="AG1082" s="176">
        <f t="shared" si="405"/>
        <v>13845.57</v>
      </c>
      <c r="AH1082" s="443">
        <f t="shared" si="405"/>
        <v>255.48</v>
      </c>
      <c r="AI1082" s="73">
        <f t="shared" si="405"/>
        <v>291.49</v>
      </c>
      <c r="AJ1082" s="176">
        <f t="shared" si="405"/>
        <v>317.27</v>
      </c>
      <c r="AK1082" s="175">
        <f t="shared" si="405"/>
        <v>739.51</v>
      </c>
      <c r="AL1082" s="73">
        <f t="shared" si="405"/>
        <v>793.14</v>
      </c>
      <c r="AM1082" s="176">
        <f t="shared" si="405"/>
        <v>1126.0999999999999</v>
      </c>
      <c r="AN1082" s="175">
        <f t="shared" si="405"/>
        <v>2180.1239999999998</v>
      </c>
      <c r="AO1082" s="73">
        <f t="shared" si="405"/>
        <v>1828.72</v>
      </c>
      <c r="AP1082" s="176">
        <f t="shared" si="405"/>
        <v>2360.9299999999998</v>
      </c>
      <c r="AQ1082" s="175">
        <f t="shared" si="405"/>
        <v>443.42</v>
      </c>
      <c r="AR1082" s="73">
        <f t="shared" si="405"/>
        <v>417.68</v>
      </c>
      <c r="AS1082" s="176">
        <f t="shared" si="405"/>
        <v>340.05</v>
      </c>
      <c r="AT1082" s="175">
        <f t="shared" si="405"/>
        <v>3307.72</v>
      </c>
      <c r="AU1082" s="73">
        <f t="shared" si="405"/>
        <v>2458.12</v>
      </c>
      <c r="AV1082" s="176">
        <f t="shared" si="405"/>
        <v>4202.6499999999996</v>
      </c>
      <c r="AW1082" s="175">
        <f t="shared" si="405"/>
        <v>767.27</v>
      </c>
      <c r="AX1082" s="73">
        <f t="shared" si="405"/>
        <v>338.84</v>
      </c>
      <c r="AY1082" s="176">
        <f t="shared" si="405"/>
        <v>767.875</v>
      </c>
      <c r="AZ1082" s="175">
        <f t="shared" si="405"/>
        <v>2871.94</v>
      </c>
      <c r="BA1082" s="73">
        <f t="shared" si="405"/>
        <v>1301.3900000000001</v>
      </c>
      <c r="BB1082" s="176">
        <f t="shared" si="405"/>
        <v>2150.5700000000002</v>
      </c>
      <c r="BC1082" s="175">
        <f t="shared" si="405"/>
        <v>3222.8519999999999</v>
      </c>
      <c r="BD1082" s="73">
        <f t="shared" si="405"/>
        <v>3250.47</v>
      </c>
      <c r="BE1082" s="176">
        <f t="shared" si="405"/>
        <v>3961.63</v>
      </c>
      <c r="BF1082" s="175">
        <f t="shared" si="405"/>
        <v>190.33</v>
      </c>
      <c r="BG1082" s="73">
        <f t="shared" si="405"/>
        <v>68.63</v>
      </c>
      <c r="BH1082" s="176">
        <f t="shared" si="405"/>
        <v>76.593999999999994</v>
      </c>
      <c r="BI1082" s="175">
        <f t="shared" si="405"/>
        <v>160.97999999999999</v>
      </c>
      <c r="BJ1082" s="73">
        <f t="shared" si="405"/>
        <v>158.97</v>
      </c>
      <c r="BK1082" s="176">
        <f t="shared" si="405"/>
        <v>143.15</v>
      </c>
      <c r="BN1082" s="125">
        <f t="shared" si="402"/>
        <v>21182.126</v>
      </c>
      <c r="BO1082" s="126">
        <f t="shared" si="403"/>
        <v>19879</v>
      </c>
      <c r="BP1082" s="127">
        <f t="shared" si="404"/>
        <v>29292.389000000003</v>
      </c>
    </row>
    <row r="1083" spans="1:68" ht="14.25" customHeight="1" outlineLevel="4" x14ac:dyDescent="0.25">
      <c r="A1083" s="10" t="b">
        <f t="array" ref="A1083">A1082</f>
        <v>1</v>
      </c>
      <c r="B1083" s="5" t="b">
        <f t="array" ref="B1083">A1083</f>
        <v>1</v>
      </c>
      <c r="C1083" s="10" t="s">
        <v>83</v>
      </c>
      <c r="D1083" s="10" t="s">
        <v>84</v>
      </c>
      <c r="E1083" s="10" t="s">
        <v>73</v>
      </c>
      <c r="F1083" s="10" t="s">
        <v>74</v>
      </c>
      <c r="G1083" s="10" t="s">
        <v>478</v>
      </c>
      <c r="H1083" s="10" t="s">
        <v>73</v>
      </c>
      <c r="I1083" s="10" t="s">
        <v>73</v>
      </c>
      <c r="J1083" s="10" t="s">
        <v>73</v>
      </c>
      <c r="K1083" s="12" t="s">
        <v>73</v>
      </c>
      <c r="L1083" s="10" t="s">
        <v>452</v>
      </c>
      <c r="M1083" s="5" t="str">
        <f t="array" ref="M1083">Y806</f>
        <v>1ХВС::1.1</v>
      </c>
      <c r="Y1083" s="10">
        <f>COUNT($Y1079:Y1082)+1</f>
        <v>5</v>
      </c>
      <c r="AB1083" s="29" t="str">
        <f t="shared" si="400"/>
        <v>3.1.3.3.5</v>
      </c>
      <c r="AC1083" s="294" t="s">
        <v>478</v>
      </c>
      <c r="AD1083" s="370" t="s">
        <v>111</v>
      </c>
      <c r="AE1083" s="175">
        <f t="shared" ref="AE1083:BK1083" si="406">AE359</f>
        <v>19492.62</v>
      </c>
      <c r="AF1083" s="73">
        <f t="shared" si="406"/>
        <v>24031.599999999999</v>
      </c>
      <c r="AG1083" s="176">
        <f t="shared" si="406"/>
        <v>24169.88</v>
      </c>
      <c r="AH1083" s="443">
        <f t="shared" si="406"/>
        <v>0</v>
      </c>
      <c r="AI1083" s="73">
        <f t="shared" si="406"/>
        <v>0</v>
      </c>
      <c r="AJ1083" s="176">
        <f t="shared" si="406"/>
        <v>0</v>
      </c>
      <c r="AK1083" s="175">
        <f t="shared" si="406"/>
        <v>0</v>
      </c>
      <c r="AL1083" s="73">
        <f t="shared" si="406"/>
        <v>0</v>
      </c>
      <c r="AM1083" s="176">
        <f t="shared" si="406"/>
        <v>0</v>
      </c>
      <c r="AN1083" s="175">
        <f t="shared" si="406"/>
        <v>0</v>
      </c>
      <c r="AO1083" s="73">
        <f t="shared" si="406"/>
        <v>0</v>
      </c>
      <c r="AP1083" s="176">
        <f t="shared" si="406"/>
        <v>0</v>
      </c>
      <c r="AQ1083" s="175">
        <f t="shared" si="406"/>
        <v>0</v>
      </c>
      <c r="AR1083" s="73">
        <f t="shared" si="406"/>
        <v>0</v>
      </c>
      <c r="AS1083" s="176">
        <f t="shared" si="406"/>
        <v>0</v>
      </c>
      <c r="AT1083" s="175">
        <f t="shared" si="406"/>
        <v>0</v>
      </c>
      <c r="AU1083" s="73">
        <f t="shared" si="406"/>
        <v>0</v>
      </c>
      <c r="AV1083" s="176">
        <f t="shared" si="406"/>
        <v>0</v>
      </c>
      <c r="AW1083" s="175">
        <f t="shared" si="406"/>
        <v>0.01</v>
      </c>
      <c r="AX1083" s="73">
        <f t="shared" si="406"/>
        <v>0</v>
      </c>
      <c r="AY1083" s="176">
        <f t="shared" si="406"/>
        <v>0.01</v>
      </c>
      <c r="AZ1083" s="175">
        <f t="shared" si="406"/>
        <v>0</v>
      </c>
      <c r="BA1083" s="73">
        <f t="shared" si="406"/>
        <v>0</v>
      </c>
      <c r="BB1083" s="176">
        <f t="shared" si="406"/>
        <v>0</v>
      </c>
      <c r="BC1083" s="175">
        <f t="shared" si="406"/>
        <v>0</v>
      </c>
      <c r="BD1083" s="73">
        <f t="shared" si="406"/>
        <v>0</v>
      </c>
      <c r="BE1083" s="176">
        <f t="shared" si="406"/>
        <v>0</v>
      </c>
      <c r="BF1083" s="175">
        <f t="shared" si="406"/>
        <v>0</v>
      </c>
      <c r="BG1083" s="73">
        <f t="shared" si="406"/>
        <v>0</v>
      </c>
      <c r="BH1083" s="176">
        <f t="shared" si="406"/>
        <v>0</v>
      </c>
      <c r="BI1083" s="175">
        <f t="shared" si="406"/>
        <v>0</v>
      </c>
      <c r="BJ1083" s="73">
        <f t="shared" si="406"/>
        <v>0</v>
      </c>
      <c r="BK1083" s="176">
        <f t="shared" si="406"/>
        <v>0</v>
      </c>
      <c r="BN1083" s="125">
        <f t="shared" si="402"/>
        <v>19492.629999999997</v>
      </c>
      <c r="BO1083" s="126">
        <f t="shared" si="403"/>
        <v>24031.599999999999</v>
      </c>
      <c r="BP1083" s="127">
        <f t="shared" si="404"/>
        <v>24169.89</v>
      </c>
    </row>
    <row r="1084" spans="1:68" ht="15" customHeight="1" outlineLevel="4" x14ac:dyDescent="0.25">
      <c r="C1084" s="10" t="s">
        <v>83</v>
      </c>
      <c r="D1084" s="10" t="s">
        <v>84</v>
      </c>
      <c r="E1084" s="10" t="s">
        <v>73</v>
      </c>
      <c r="F1084" s="10" t="s">
        <v>74</v>
      </c>
      <c r="G1084" s="10" t="s">
        <v>479</v>
      </c>
      <c r="H1084" s="10" t="s">
        <v>73</v>
      </c>
      <c r="I1084" s="10" t="s">
        <v>73</v>
      </c>
      <c r="J1084" s="10" t="s">
        <v>73</v>
      </c>
      <c r="K1084" s="12" t="s">
        <v>73</v>
      </c>
      <c r="L1084" s="10" t="s">
        <v>452</v>
      </c>
      <c r="M1084" s="5" t="str">
        <f t="array" ref="M1084">Y806</f>
        <v>1ХВС::1.1</v>
      </c>
      <c r="Y1084" s="10">
        <f>COUNT($Y1079:Y1083)+1</f>
        <v>6</v>
      </c>
      <c r="AB1084" s="29" t="str">
        <f t="shared" si="400"/>
        <v>3.1.3.3.6</v>
      </c>
      <c r="AC1084" s="294" t="s">
        <v>479</v>
      </c>
      <c r="AD1084" s="370" t="s">
        <v>111</v>
      </c>
      <c r="AE1084" s="175">
        <f t="shared" ref="AE1084:BK1084" si="407">AE360+AE693</f>
        <v>1208.5900000000001</v>
      </c>
      <c r="AF1084" s="73">
        <f t="shared" si="407"/>
        <v>1048.6100000000001</v>
      </c>
      <c r="AG1084" s="176">
        <f t="shared" si="407"/>
        <v>1208.6100000000001</v>
      </c>
      <c r="AH1084" s="443">
        <f t="shared" si="407"/>
        <v>0</v>
      </c>
      <c r="AI1084" s="73">
        <f t="shared" si="407"/>
        <v>0</v>
      </c>
      <c r="AJ1084" s="176">
        <f t="shared" si="407"/>
        <v>0</v>
      </c>
      <c r="AK1084" s="175">
        <f t="shared" si="407"/>
        <v>15.18</v>
      </c>
      <c r="AL1084" s="73">
        <f t="shared" si="407"/>
        <v>2.99</v>
      </c>
      <c r="AM1084" s="176">
        <f t="shared" si="407"/>
        <v>18.7</v>
      </c>
      <c r="AN1084" s="175">
        <f t="shared" si="407"/>
        <v>0</v>
      </c>
      <c r="AO1084" s="73">
        <f t="shared" si="407"/>
        <v>0</v>
      </c>
      <c r="AP1084" s="176">
        <f t="shared" si="407"/>
        <v>0</v>
      </c>
      <c r="AQ1084" s="175">
        <f t="shared" si="407"/>
        <v>0</v>
      </c>
      <c r="AR1084" s="73">
        <f t="shared" si="407"/>
        <v>0</v>
      </c>
      <c r="AS1084" s="176">
        <f t="shared" si="407"/>
        <v>0</v>
      </c>
      <c r="AT1084" s="175">
        <f t="shared" si="407"/>
        <v>0</v>
      </c>
      <c r="AU1084" s="73">
        <f t="shared" si="407"/>
        <v>15.06</v>
      </c>
      <c r="AV1084" s="176">
        <f t="shared" si="407"/>
        <v>0</v>
      </c>
      <c r="AW1084" s="175">
        <f t="shared" si="407"/>
        <v>18.88</v>
      </c>
      <c r="AX1084" s="73">
        <f t="shared" si="407"/>
        <v>0</v>
      </c>
      <c r="AY1084" s="176">
        <f t="shared" si="407"/>
        <v>18.88</v>
      </c>
      <c r="AZ1084" s="175">
        <f t="shared" si="407"/>
        <v>33.436</v>
      </c>
      <c r="BA1084" s="73">
        <f t="shared" si="407"/>
        <v>11.64</v>
      </c>
      <c r="BB1084" s="176">
        <f t="shared" si="407"/>
        <v>32.5</v>
      </c>
      <c r="BC1084" s="175">
        <f t="shared" si="407"/>
        <v>92.682000000000002</v>
      </c>
      <c r="BD1084" s="73">
        <f t="shared" si="407"/>
        <v>0</v>
      </c>
      <c r="BE1084" s="176">
        <f t="shared" si="407"/>
        <v>0</v>
      </c>
      <c r="BF1084" s="175">
        <f t="shared" si="407"/>
        <v>6.71</v>
      </c>
      <c r="BG1084" s="73">
        <f t="shared" si="407"/>
        <v>0</v>
      </c>
      <c r="BH1084" s="176">
        <f t="shared" si="407"/>
        <v>6.71</v>
      </c>
      <c r="BI1084" s="175">
        <f t="shared" si="407"/>
        <v>1.5</v>
      </c>
      <c r="BJ1084" s="73">
        <f t="shared" si="407"/>
        <v>0</v>
      </c>
      <c r="BK1084" s="176">
        <f t="shared" si="407"/>
        <v>1.5</v>
      </c>
      <c r="BN1084" s="125">
        <f t="shared" si="402"/>
        <v>1376.9780000000003</v>
      </c>
      <c r="BO1084" s="126">
        <f t="shared" si="403"/>
        <v>1078.3000000000002</v>
      </c>
      <c r="BP1084" s="127">
        <f t="shared" si="404"/>
        <v>1286.9000000000003</v>
      </c>
    </row>
    <row r="1085" spans="1:68" ht="15.75" customHeight="1" outlineLevel="4" x14ac:dyDescent="0.25">
      <c r="C1085" s="10" t="s">
        <v>83</v>
      </c>
      <c r="D1085" s="10" t="s">
        <v>84</v>
      </c>
      <c r="E1085" s="10" t="s">
        <v>73</v>
      </c>
      <c r="F1085" s="10" t="s">
        <v>74</v>
      </c>
      <c r="G1085" s="10" t="s">
        <v>480</v>
      </c>
      <c r="H1085" s="10" t="s">
        <v>73</v>
      </c>
      <c r="I1085" s="10" t="s">
        <v>73</v>
      </c>
      <c r="J1085" s="10" t="s">
        <v>73</v>
      </c>
      <c r="K1085" s="12" t="s">
        <v>73</v>
      </c>
      <c r="L1085" s="10" t="s">
        <v>452</v>
      </c>
      <c r="M1085" s="5" t="str">
        <f t="array" ref="M1085">Y806</f>
        <v>1ХВС::1.1</v>
      </c>
      <c r="Y1085" s="10">
        <f>COUNT($Y1079:Y1084)+1</f>
        <v>7</v>
      </c>
      <c r="AB1085" s="29" t="str">
        <f t="shared" si="400"/>
        <v>3.1.3.3.7</v>
      </c>
      <c r="AC1085" s="294" t="s">
        <v>480</v>
      </c>
      <c r="AD1085" s="370" t="s">
        <v>111</v>
      </c>
      <c r="AE1085" s="175">
        <f t="shared" ref="AE1085:BK1085" si="408">AE361+AE694</f>
        <v>38.19</v>
      </c>
      <c r="AF1085" s="73">
        <f t="shared" si="408"/>
        <v>10117.470000000001</v>
      </c>
      <c r="AG1085" s="176">
        <f t="shared" si="408"/>
        <v>12675</v>
      </c>
      <c r="AH1085" s="443">
        <f t="shared" si="408"/>
        <v>0</v>
      </c>
      <c r="AI1085" s="73">
        <f t="shared" si="408"/>
        <v>793.24</v>
      </c>
      <c r="AJ1085" s="176">
        <f t="shared" si="408"/>
        <v>0</v>
      </c>
      <c r="AK1085" s="175">
        <f t="shared" si="408"/>
        <v>0</v>
      </c>
      <c r="AL1085" s="73">
        <f t="shared" si="408"/>
        <v>0</v>
      </c>
      <c r="AM1085" s="176">
        <f t="shared" si="408"/>
        <v>0</v>
      </c>
      <c r="AN1085" s="175">
        <f t="shared" si="408"/>
        <v>0</v>
      </c>
      <c r="AO1085" s="73">
        <f t="shared" si="408"/>
        <v>0</v>
      </c>
      <c r="AP1085" s="176">
        <f t="shared" si="408"/>
        <v>0</v>
      </c>
      <c r="AQ1085" s="175">
        <f t="shared" si="408"/>
        <v>0</v>
      </c>
      <c r="AR1085" s="73">
        <f t="shared" si="408"/>
        <v>0</v>
      </c>
      <c r="AS1085" s="176">
        <f t="shared" si="408"/>
        <v>957.48</v>
      </c>
      <c r="AT1085" s="175">
        <f t="shared" si="408"/>
        <v>0</v>
      </c>
      <c r="AU1085" s="73">
        <f t="shared" si="408"/>
        <v>0</v>
      </c>
      <c r="AV1085" s="176">
        <f t="shared" si="408"/>
        <v>0</v>
      </c>
      <c r="AW1085" s="175">
        <f t="shared" si="408"/>
        <v>0</v>
      </c>
      <c r="AX1085" s="73">
        <f t="shared" si="408"/>
        <v>0</v>
      </c>
      <c r="AY1085" s="176">
        <f t="shared" si="408"/>
        <v>0</v>
      </c>
      <c r="AZ1085" s="175">
        <f t="shared" si="408"/>
        <v>0.01</v>
      </c>
      <c r="BA1085" s="73">
        <f t="shared" si="408"/>
        <v>0</v>
      </c>
      <c r="BB1085" s="176">
        <f t="shared" si="408"/>
        <v>35808.81</v>
      </c>
      <c r="BC1085" s="175">
        <f t="shared" si="408"/>
        <v>0</v>
      </c>
      <c r="BD1085" s="73">
        <f t="shared" si="408"/>
        <v>0</v>
      </c>
      <c r="BE1085" s="176">
        <f t="shared" si="408"/>
        <v>0</v>
      </c>
      <c r="BF1085" s="175">
        <f t="shared" si="408"/>
        <v>0</v>
      </c>
      <c r="BG1085" s="73">
        <f t="shared" si="408"/>
        <v>0</v>
      </c>
      <c r="BH1085" s="176">
        <f t="shared" si="408"/>
        <v>0</v>
      </c>
      <c r="BI1085" s="175">
        <f t="shared" si="408"/>
        <v>0</v>
      </c>
      <c r="BJ1085" s="73">
        <f t="shared" si="408"/>
        <v>0</v>
      </c>
      <c r="BK1085" s="176">
        <f t="shared" si="408"/>
        <v>4728.1000000000004</v>
      </c>
      <c r="BN1085" s="125">
        <f t="shared" si="402"/>
        <v>38.199999999999996</v>
      </c>
      <c r="BO1085" s="126">
        <f t="shared" si="403"/>
        <v>10910.710000000001</v>
      </c>
      <c r="BP1085" s="127">
        <f t="shared" si="404"/>
        <v>54169.389999999992</v>
      </c>
    </row>
    <row r="1086" spans="1:68" ht="14.25" hidden="1" customHeight="1" outlineLevel="4" x14ac:dyDescent="0.25">
      <c r="C1086" s="10" t="s">
        <v>83</v>
      </c>
      <c r="D1086" s="10" t="s">
        <v>84</v>
      </c>
      <c r="E1086" s="10" t="s">
        <v>73</v>
      </c>
      <c r="F1086" s="10" t="s">
        <v>74</v>
      </c>
      <c r="G1086" s="10" t="s">
        <v>481</v>
      </c>
      <c r="H1086" s="10" t="s">
        <v>73</v>
      </c>
      <c r="I1086" s="10" t="s">
        <v>73</v>
      </c>
      <c r="J1086" s="10" t="s">
        <v>73</v>
      </c>
      <c r="K1086" s="12" t="s">
        <v>73</v>
      </c>
      <c r="L1086" s="10" t="s">
        <v>452</v>
      </c>
      <c r="M1086" s="5" t="str">
        <f t="array" ref="M1086">Y806</f>
        <v>1ХВС::1.1</v>
      </c>
      <c r="Y1086" s="10">
        <f>COUNT($Y1079:Y1085)+1</f>
        <v>8</v>
      </c>
      <c r="AB1086" s="29" t="str">
        <f t="shared" si="400"/>
        <v>3.1.3.3.8</v>
      </c>
      <c r="AC1086" s="294" t="s">
        <v>481</v>
      </c>
      <c r="AD1086" s="370" t="s">
        <v>111</v>
      </c>
      <c r="AE1086" s="175">
        <f t="shared" ref="AE1086:AG1087" si="409">AE362+AE695</f>
        <v>0</v>
      </c>
      <c r="AF1086" s="73">
        <f t="shared" si="409"/>
        <v>0</v>
      </c>
      <c r="AG1086" s="176">
        <f t="shared" si="409"/>
        <v>0</v>
      </c>
      <c r="AH1086" s="179"/>
      <c r="AI1086" s="178"/>
      <c r="AJ1086" s="74"/>
      <c r="AK1086" s="179"/>
      <c r="AL1086" s="178"/>
      <c r="AM1086" s="74"/>
      <c r="AN1086" s="179"/>
      <c r="AO1086" s="178"/>
      <c r="AP1086" s="74"/>
      <c r="AQ1086" s="179"/>
      <c r="AR1086" s="178"/>
      <c r="AS1086" s="74"/>
      <c r="AT1086" s="179"/>
      <c r="AU1086" s="178"/>
      <c r="AV1086" s="74"/>
      <c r="AW1086" s="179">
        <v>0</v>
      </c>
      <c r="AX1086" s="178"/>
      <c r="AY1086" s="74">
        <v>0</v>
      </c>
      <c r="AZ1086" s="179"/>
      <c r="BA1086" s="178"/>
      <c r="BB1086" s="74"/>
      <c r="BC1086" s="179"/>
      <c r="BD1086" s="178"/>
      <c r="BE1086" s="74"/>
      <c r="BF1086" s="139"/>
      <c r="BG1086" s="183"/>
      <c r="BH1086" s="143"/>
      <c r="BI1086" s="142"/>
      <c r="BJ1086" s="183"/>
      <c r="BK1086" s="143"/>
      <c r="BN1086" s="125">
        <f t="shared" si="402"/>
        <v>0</v>
      </c>
      <c r="BO1086" s="126">
        <f t="shared" si="403"/>
        <v>0</v>
      </c>
      <c r="BP1086" s="127">
        <f t="shared" si="404"/>
        <v>0</v>
      </c>
    </row>
    <row r="1087" spans="1:68" ht="14.25" hidden="1" customHeight="1" outlineLevel="4" x14ac:dyDescent="0.25">
      <c r="C1087" s="10" t="s">
        <v>83</v>
      </c>
      <c r="D1087" s="10" t="s">
        <v>84</v>
      </c>
      <c r="E1087" s="10" t="s">
        <v>73</v>
      </c>
      <c r="F1087" s="10" t="s">
        <v>74</v>
      </c>
      <c r="G1087" s="10" t="s">
        <v>482</v>
      </c>
      <c r="H1087" s="10" t="s">
        <v>73</v>
      </c>
      <c r="I1087" s="10" t="s">
        <v>73</v>
      </c>
      <c r="J1087" s="10" t="s">
        <v>73</v>
      </c>
      <c r="K1087" s="12" t="s">
        <v>73</v>
      </c>
      <c r="L1087" s="10" t="s">
        <v>452</v>
      </c>
      <c r="M1087" s="5" t="str">
        <f t="array" ref="M1087">Y806</f>
        <v>1ХВС::1.1</v>
      </c>
      <c r="Y1087" s="10">
        <f>COUNT($Y1079:Y1086)+1</f>
        <v>9</v>
      </c>
      <c r="AB1087" s="29" t="str">
        <f t="shared" si="400"/>
        <v>3.1.3.3.9</v>
      </c>
      <c r="AC1087" s="294" t="s">
        <v>483</v>
      </c>
      <c r="AD1087" s="370" t="s">
        <v>111</v>
      </c>
      <c r="AE1087" s="175">
        <f t="shared" si="409"/>
        <v>0</v>
      </c>
      <c r="AF1087" s="73">
        <f t="shared" si="409"/>
        <v>0</v>
      </c>
      <c r="AG1087" s="176">
        <f t="shared" si="409"/>
        <v>0</v>
      </c>
      <c r="AH1087" s="179"/>
      <c r="AI1087" s="178"/>
      <c r="AJ1087" s="74"/>
      <c r="AK1087" s="179"/>
      <c r="AL1087" s="178"/>
      <c r="AM1087" s="74"/>
      <c r="AN1087" s="179"/>
      <c r="AO1087" s="178"/>
      <c r="AP1087" s="74"/>
      <c r="AQ1087" s="179"/>
      <c r="AR1087" s="178"/>
      <c r="AS1087" s="74"/>
      <c r="AT1087" s="179"/>
      <c r="AU1087" s="178"/>
      <c r="AV1087" s="74"/>
      <c r="AW1087" s="179">
        <v>0</v>
      </c>
      <c r="AX1087" s="178"/>
      <c r="AY1087" s="74">
        <v>0</v>
      </c>
      <c r="AZ1087" s="179"/>
      <c r="BA1087" s="178"/>
      <c r="BB1087" s="74"/>
      <c r="BC1087" s="179"/>
      <c r="BD1087" s="178"/>
      <c r="BE1087" s="74"/>
      <c r="BF1087" s="139"/>
      <c r="BG1087" s="183"/>
      <c r="BH1087" s="143"/>
      <c r="BI1087" s="142"/>
      <c r="BJ1087" s="183"/>
      <c r="BK1087" s="143"/>
      <c r="BN1087" s="125">
        <f t="shared" si="402"/>
        <v>0</v>
      </c>
      <c r="BO1087" s="126">
        <f t="shared" si="403"/>
        <v>0</v>
      </c>
      <c r="BP1087" s="127">
        <f t="shared" si="404"/>
        <v>0</v>
      </c>
    </row>
    <row r="1088" spans="1:68" ht="22.5" customHeight="1" outlineLevel="3" x14ac:dyDescent="0.25">
      <c r="C1088" s="10" t="s">
        <v>83</v>
      </c>
      <c r="D1088" s="10" t="s">
        <v>84</v>
      </c>
      <c r="E1088" s="10" t="s">
        <v>73</v>
      </c>
      <c r="F1088" s="10" t="s">
        <v>74</v>
      </c>
      <c r="G1088" s="10" t="s">
        <v>484</v>
      </c>
      <c r="H1088" s="10" t="s">
        <v>73</v>
      </c>
      <c r="I1088" s="10" t="s">
        <v>73</v>
      </c>
      <c r="J1088" s="10" t="s">
        <v>73</v>
      </c>
      <c r="K1088" s="12" t="s">
        <v>73</v>
      </c>
      <c r="L1088" s="10" t="s">
        <v>407</v>
      </c>
      <c r="M1088" s="5" t="str">
        <f t="array" ref="M1088">Y806</f>
        <v>1ХВС::1.1</v>
      </c>
      <c r="AB1088" s="65" t="str">
        <f>AB1063&amp;".4"</f>
        <v>3.1.3.4</v>
      </c>
      <c r="AC1088" s="92" t="s">
        <v>485</v>
      </c>
      <c r="AD1088" s="370" t="s">
        <v>111</v>
      </c>
      <c r="AE1088" s="175">
        <f t="shared" ref="AE1088:AQ1088" si="410">AE1089+AE1092+AE1093+AE1094</f>
        <v>43644.58</v>
      </c>
      <c r="AF1088" s="73">
        <f t="shared" si="410"/>
        <v>5066.4100000000017</v>
      </c>
      <c r="AG1088" s="176">
        <f t="shared" si="410"/>
        <v>66420.849999999991</v>
      </c>
      <c r="AH1088" s="179">
        <f t="shared" si="410"/>
        <v>207.4</v>
      </c>
      <c r="AI1088" s="73">
        <f t="shared" si="410"/>
        <v>0</v>
      </c>
      <c r="AJ1088" s="74">
        <f t="shared" si="410"/>
        <v>207.4</v>
      </c>
      <c r="AK1088" s="179">
        <f t="shared" si="410"/>
        <v>416.76</v>
      </c>
      <c r="AL1088" s="73">
        <f t="shared" si="410"/>
        <v>0</v>
      </c>
      <c r="AM1088" s="74">
        <f t="shared" si="410"/>
        <v>563.11</v>
      </c>
      <c r="AN1088" s="179">
        <f t="shared" si="410"/>
        <v>184.82</v>
      </c>
      <c r="AO1088" s="73">
        <f t="shared" si="410"/>
        <v>0</v>
      </c>
      <c r="AP1088" s="74">
        <f t="shared" si="410"/>
        <v>237.81</v>
      </c>
      <c r="AQ1088" s="179">
        <f t="shared" si="410"/>
        <v>46.37</v>
      </c>
      <c r="AR1088" s="73">
        <v>180</v>
      </c>
      <c r="AS1088" s="74">
        <f>AS1089+AS1092+AS1093+AS1094</f>
        <v>57.99</v>
      </c>
      <c r="AT1088" s="179">
        <f>AT1089+AT1092+AT1093+AT1094</f>
        <v>0</v>
      </c>
      <c r="AU1088" s="73">
        <f>AU1089+AU1092+AU1093+AU1094</f>
        <v>0</v>
      </c>
      <c r="AV1088" s="74">
        <f>AV1089+AV1092+AV1093+AV1094</f>
        <v>0</v>
      </c>
      <c r="AW1088" s="179">
        <f>AW1089+AW1092+AW1093+AW1094</f>
        <v>251.57</v>
      </c>
      <c r="AX1088" s="73">
        <v>480</v>
      </c>
      <c r="AY1088" s="74">
        <f t="shared" ref="AY1088:BE1088" si="411">AY1089+AY1092+AY1093+AY1094</f>
        <v>277.87700000000001</v>
      </c>
      <c r="AZ1088" s="179">
        <f t="shared" si="411"/>
        <v>9.52</v>
      </c>
      <c r="BA1088" s="73">
        <f t="shared" si="411"/>
        <v>0</v>
      </c>
      <c r="BB1088" s="74">
        <f t="shared" si="411"/>
        <v>45.97</v>
      </c>
      <c r="BC1088" s="179">
        <f t="shared" si="411"/>
        <v>1036.3499999999999</v>
      </c>
      <c r="BD1088" s="73">
        <f t="shared" si="411"/>
        <v>0</v>
      </c>
      <c r="BE1088" s="74">
        <f t="shared" si="411"/>
        <v>764.24</v>
      </c>
      <c r="BF1088" s="139">
        <f t="shared" ref="BF1088:BK1088" si="412">SUM(BF1089:BF1098)</f>
        <v>176.32</v>
      </c>
      <c r="BG1088" s="140">
        <f t="shared" si="412"/>
        <v>0</v>
      </c>
      <c r="BH1088" s="143">
        <f t="shared" si="412"/>
        <v>194.53</v>
      </c>
      <c r="BI1088" s="142">
        <f t="shared" si="412"/>
        <v>250.72499999999999</v>
      </c>
      <c r="BJ1088" s="140">
        <f t="shared" si="412"/>
        <v>0</v>
      </c>
      <c r="BK1088" s="143">
        <f t="shared" si="412"/>
        <v>260.99</v>
      </c>
      <c r="BN1088" s="125">
        <f t="shared" si="402"/>
        <v>46224.415000000001</v>
      </c>
      <c r="BO1088" s="126">
        <f t="shared" si="403"/>
        <v>5726.4100000000017</v>
      </c>
      <c r="BP1088" s="127">
        <f t="shared" si="404"/>
        <v>69030.766999999993</v>
      </c>
    </row>
    <row r="1089" spans="1:68" ht="14.25" hidden="1" customHeight="1" outlineLevel="4" x14ac:dyDescent="0.25">
      <c r="C1089" s="10" t="s">
        <v>83</v>
      </c>
      <c r="D1089" s="10" t="s">
        <v>84</v>
      </c>
      <c r="E1089" s="10" t="s">
        <v>73</v>
      </c>
      <c r="F1089" s="10" t="s">
        <v>74</v>
      </c>
      <c r="G1089" s="10" t="s">
        <v>486</v>
      </c>
      <c r="H1089" s="10" t="s">
        <v>73</v>
      </c>
      <c r="I1089" s="10" t="s">
        <v>73</v>
      </c>
      <c r="J1089" s="10" t="s">
        <v>73</v>
      </c>
      <c r="K1089" s="12" t="s">
        <v>73</v>
      </c>
      <c r="L1089" s="10" t="s">
        <v>407</v>
      </c>
      <c r="M1089" s="5" t="str">
        <f t="array" ref="M1089">Y806</f>
        <v>1ХВС::1.1</v>
      </c>
      <c r="Y1089" s="10">
        <v>1</v>
      </c>
      <c r="AB1089" s="29" t="str">
        <f>AB$364&amp;"."&amp;Y1089</f>
        <v>3.1.3.4.1</v>
      </c>
      <c r="AC1089" s="294" t="s">
        <v>486</v>
      </c>
      <c r="AD1089" s="370" t="s">
        <v>111</v>
      </c>
      <c r="AE1089" s="175">
        <f t="shared" ref="AE1089:BK1089" si="413">AE1090+AE1091</f>
        <v>0</v>
      </c>
      <c r="AF1089" s="73">
        <f t="shared" si="413"/>
        <v>0</v>
      </c>
      <c r="AG1089" s="176">
        <f t="shared" si="413"/>
        <v>0</v>
      </c>
      <c r="AH1089" s="179">
        <f t="shared" si="413"/>
        <v>0</v>
      </c>
      <c r="AI1089" s="73">
        <f t="shared" si="413"/>
        <v>0</v>
      </c>
      <c r="AJ1089" s="74">
        <f t="shared" si="413"/>
        <v>0</v>
      </c>
      <c r="AK1089" s="179">
        <f t="shared" si="413"/>
        <v>0</v>
      </c>
      <c r="AL1089" s="73">
        <f t="shared" si="413"/>
        <v>0</v>
      </c>
      <c r="AM1089" s="74">
        <f t="shared" si="413"/>
        <v>0</v>
      </c>
      <c r="AN1089" s="179">
        <f t="shared" si="413"/>
        <v>0</v>
      </c>
      <c r="AO1089" s="73">
        <f t="shared" si="413"/>
        <v>0</v>
      </c>
      <c r="AP1089" s="74">
        <f t="shared" si="413"/>
        <v>0</v>
      </c>
      <c r="AQ1089" s="179">
        <f t="shared" si="413"/>
        <v>0</v>
      </c>
      <c r="AR1089" s="73">
        <f t="shared" si="413"/>
        <v>0</v>
      </c>
      <c r="AS1089" s="74">
        <f t="shared" si="413"/>
        <v>0</v>
      </c>
      <c r="AT1089" s="179">
        <f t="shared" si="413"/>
        <v>0</v>
      </c>
      <c r="AU1089" s="73">
        <f t="shared" si="413"/>
        <v>0</v>
      </c>
      <c r="AV1089" s="74">
        <f t="shared" si="413"/>
        <v>0</v>
      </c>
      <c r="AW1089" s="179">
        <f t="shared" si="413"/>
        <v>0</v>
      </c>
      <c r="AX1089" s="73">
        <f t="shared" si="413"/>
        <v>0</v>
      </c>
      <c r="AY1089" s="74">
        <f t="shared" si="413"/>
        <v>0</v>
      </c>
      <c r="AZ1089" s="179">
        <f t="shared" si="413"/>
        <v>0</v>
      </c>
      <c r="BA1089" s="73">
        <f t="shared" si="413"/>
        <v>0</v>
      </c>
      <c r="BB1089" s="74">
        <f t="shared" si="413"/>
        <v>0</v>
      </c>
      <c r="BC1089" s="179">
        <f t="shared" si="413"/>
        <v>0</v>
      </c>
      <c r="BD1089" s="73">
        <f t="shared" si="413"/>
        <v>0</v>
      </c>
      <c r="BE1089" s="74">
        <f t="shared" si="413"/>
        <v>0</v>
      </c>
      <c r="BF1089" s="179">
        <f t="shared" si="413"/>
        <v>0</v>
      </c>
      <c r="BG1089" s="73">
        <f t="shared" si="413"/>
        <v>0</v>
      </c>
      <c r="BH1089" s="74">
        <f t="shared" si="413"/>
        <v>0</v>
      </c>
      <c r="BI1089" s="72">
        <f t="shared" si="413"/>
        <v>0</v>
      </c>
      <c r="BJ1089" s="73">
        <f t="shared" si="413"/>
        <v>0</v>
      </c>
      <c r="BK1089" s="74">
        <f t="shared" si="413"/>
        <v>0</v>
      </c>
      <c r="BN1089" s="125">
        <f t="shared" si="402"/>
        <v>0</v>
      </c>
      <c r="BO1089" s="126">
        <f t="shared" si="403"/>
        <v>0</v>
      </c>
      <c r="BP1089" s="127">
        <f t="shared" si="404"/>
        <v>0</v>
      </c>
    </row>
    <row r="1090" spans="1:68" s="211" customFormat="1" ht="14.25" hidden="1" customHeight="1" outlineLevel="4" x14ac:dyDescent="0.25">
      <c r="A1090" s="6"/>
      <c r="B1090" s="6"/>
      <c r="C1090" s="116" t="s">
        <v>83</v>
      </c>
      <c r="D1090" s="116" t="s">
        <v>84</v>
      </c>
      <c r="E1090" s="116" t="s">
        <v>73</v>
      </c>
      <c r="F1090" s="116" t="s">
        <v>74</v>
      </c>
      <c r="G1090" s="116" t="s">
        <v>487</v>
      </c>
      <c r="H1090" s="116" t="s">
        <v>73</v>
      </c>
      <c r="I1090" s="116" t="s">
        <v>73</v>
      </c>
      <c r="J1090" s="116" t="s">
        <v>73</v>
      </c>
      <c r="K1090" s="209" t="s">
        <v>73</v>
      </c>
      <c r="L1090" s="116" t="s">
        <v>73</v>
      </c>
      <c r="M1090" s="6" t="str">
        <f t="array" ref="M1090">Y806</f>
        <v>1ХВС::1.1</v>
      </c>
      <c r="N1090" s="6"/>
      <c r="O1090" s="6"/>
      <c r="P1090" s="6"/>
      <c r="Q1090" s="6"/>
      <c r="R1090" s="6"/>
      <c r="S1090" s="6"/>
      <c r="T1090" s="6"/>
      <c r="U1090" s="6"/>
      <c r="V1090" s="6"/>
      <c r="W1090" s="6"/>
      <c r="X1090" s="6"/>
      <c r="Y1090" s="6"/>
      <c r="Z1090" s="6"/>
      <c r="AA1090" s="6"/>
      <c r="AB1090" s="29" t="str">
        <f>AB1089&amp;".1"</f>
        <v>3.1.3.4.1.1</v>
      </c>
      <c r="AC1090" s="231" t="s">
        <v>487</v>
      </c>
      <c r="AD1090" s="370" t="s">
        <v>111</v>
      </c>
      <c r="AE1090" s="445"/>
      <c r="AF1090" s="178"/>
      <c r="AG1090" s="446"/>
      <c r="AH1090" s="187"/>
      <c r="AI1090" s="178"/>
      <c r="AJ1090" s="96"/>
      <c r="AK1090" s="187"/>
      <c r="AL1090" s="178"/>
      <c r="AM1090" s="96"/>
      <c r="AN1090" s="187"/>
      <c r="AO1090" s="178"/>
      <c r="AP1090" s="96"/>
      <c r="AQ1090" s="187"/>
      <c r="AR1090" s="178"/>
      <c r="AS1090" s="96"/>
      <c r="AT1090" s="187"/>
      <c r="AU1090" s="178"/>
      <c r="AV1090" s="96"/>
      <c r="AW1090" s="187"/>
      <c r="AX1090" s="178"/>
      <c r="AY1090" s="96"/>
      <c r="AZ1090" s="187"/>
      <c r="BA1090" s="178"/>
      <c r="BB1090" s="96"/>
      <c r="BC1090" s="187"/>
      <c r="BD1090" s="178"/>
      <c r="BE1090" s="96"/>
      <c r="BF1090" s="182"/>
      <c r="BG1090" s="183"/>
      <c r="BH1090" s="186"/>
      <c r="BI1090" s="185"/>
      <c r="BJ1090" s="183"/>
      <c r="BK1090" s="186"/>
      <c r="BL1090" s="6"/>
      <c r="BM1090" s="6"/>
      <c r="BN1090" s="125">
        <f t="shared" si="402"/>
        <v>0</v>
      </c>
      <c r="BO1090" s="126">
        <f t="shared" si="403"/>
        <v>0</v>
      </c>
      <c r="BP1090" s="127">
        <f t="shared" si="404"/>
        <v>0</v>
      </c>
    </row>
    <row r="1091" spans="1:68" s="211" customFormat="1" ht="14.25" hidden="1" customHeight="1" outlineLevel="4" x14ac:dyDescent="0.25">
      <c r="A1091" s="6"/>
      <c r="B1091" s="6"/>
      <c r="C1091" s="116" t="s">
        <v>83</v>
      </c>
      <c r="D1091" s="116" t="s">
        <v>84</v>
      </c>
      <c r="E1091" s="116" t="s">
        <v>73</v>
      </c>
      <c r="F1091" s="116" t="s">
        <v>74</v>
      </c>
      <c r="G1091" s="116" t="s">
        <v>488</v>
      </c>
      <c r="H1091" s="116" t="s">
        <v>73</v>
      </c>
      <c r="I1091" s="116" t="s">
        <v>73</v>
      </c>
      <c r="J1091" s="116" t="s">
        <v>73</v>
      </c>
      <c r="K1091" s="209" t="s">
        <v>73</v>
      </c>
      <c r="L1091" s="116" t="s">
        <v>73</v>
      </c>
      <c r="M1091" s="6" t="str">
        <f t="array" ref="M1091">Y806</f>
        <v>1ХВС::1.1</v>
      </c>
      <c r="N1091" s="6"/>
      <c r="O1091" s="6"/>
      <c r="P1091" s="6"/>
      <c r="Q1091" s="6"/>
      <c r="R1091" s="6"/>
      <c r="S1091" s="6"/>
      <c r="T1091" s="6"/>
      <c r="U1091" s="6"/>
      <c r="V1091" s="6"/>
      <c r="W1091" s="6"/>
      <c r="X1091" s="6"/>
      <c r="Y1091" s="6"/>
      <c r="Z1091" s="6"/>
      <c r="AA1091" s="6"/>
      <c r="AB1091" s="29" t="str">
        <f>AB1089&amp;".2"</f>
        <v>3.1.3.4.1.2</v>
      </c>
      <c r="AC1091" s="231" t="s">
        <v>488</v>
      </c>
      <c r="AD1091" s="370" t="s">
        <v>111</v>
      </c>
      <c r="AE1091" s="175"/>
      <c r="AF1091" s="73"/>
      <c r="AG1091" s="176"/>
      <c r="AH1091" s="179"/>
      <c r="AI1091" s="73"/>
      <c r="AJ1091" s="74"/>
      <c r="AK1091" s="179"/>
      <c r="AL1091" s="73"/>
      <c r="AM1091" s="74"/>
      <c r="AN1091" s="179"/>
      <c r="AO1091" s="73"/>
      <c r="AP1091" s="74"/>
      <c r="AQ1091" s="179"/>
      <c r="AR1091" s="73"/>
      <c r="AS1091" s="74"/>
      <c r="AT1091" s="179"/>
      <c r="AU1091" s="73"/>
      <c r="AV1091" s="74"/>
      <c r="AW1091" s="179"/>
      <c r="AX1091" s="73"/>
      <c r="AY1091" s="74"/>
      <c r="AZ1091" s="179"/>
      <c r="BA1091" s="73"/>
      <c r="BB1091" s="74"/>
      <c r="BC1091" s="179"/>
      <c r="BD1091" s="73"/>
      <c r="BE1091" s="74"/>
      <c r="BF1091" s="139"/>
      <c r="BG1091" s="140"/>
      <c r="BH1091" s="143"/>
      <c r="BI1091" s="142"/>
      <c r="BJ1091" s="140"/>
      <c r="BK1091" s="143"/>
      <c r="BL1091" s="6"/>
      <c r="BM1091" s="6"/>
      <c r="BN1091" s="125">
        <f t="shared" si="402"/>
        <v>0</v>
      </c>
      <c r="BO1091" s="126">
        <f t="shared" si="403"/>
        <v>0</v>
      </c>
      <c r="BP1091" s="127">
        <f t="shared" si="404"/>
        <v>0</v>
      </c>
    </row>
    <row r="1092" spans="1:68" s="211" customFormat="1" ht="14.25" hidden="1" customHeight="1" outlineLevel="4" x14ac:dyDescent="0.25">
      <c r="A1092" s="6"/>
      <c r="B1092" s="6"/>
      <c r="C1092" s="116" t="s">
        <v>83</v>
      </c>
      <c r="D1092" s="116" t="s">
        <v>84</v>
      </c>
      <c r="E1092" s="116" t="s">
        <v>73</v>
      </c>
      <c r="F1092" s="116" t="s">
        <v>74</v>
      </c>
      <c r="G1092" s="116" t="s">
        <v>489</v>
      </c>
      <c r="H1092" s="116" t="s">
        <v>73</v>
      </c>
      <c r="I1092" s="116" t="s">
        <v>73</v>
      </c>
      <c r="J1092" s="116" t="s">
        <v>73</v>
      </c>
      <c r="K1092" s="209" t="s">
        <v>73</v>
      </c>
      <c r="L1092" s="116" t="s">
        <v>407</v>
      </c>
      <c r="M1092" s="6" t="str">
        <f t="array" ref="M1092">Y806</f>
        <v>1ХВС::1.1</v>
      </c>
      <c r="N1092" s="6"/>
      <c r="O1092" s="6"/>
      <c r="P1092" s="6"/>
      <c r="Q1092" s="6"/>
      <c r="R1092" s="6"/>
      <c r="S1092" s="6"/>
      <c r="T1092" s="6"/>
      <c r="U1092" s="6"/>
      <c r="V1092" s="6"/>
      <c r="W1092" s="6"/>
      <c r="X1092" s="6"/>
      <c r="Y1092" s="116">
        <f>COUNT($Y1089:Y1089)+1</f>
        <v>2</v>
      </c>
      <c r="Z1092" s="6"/>
      <c r="AA1092" s="6"/>
      <c r="AB1092" s="29" t="str">
        <f>AB$364&amp;"."&amp;Y1092</f>
        <v>3.1.3.4.2</v>
      </c>
      <c r="AC1092" s="294" t="s">
        <v>489</v>
      </c>
      <c r="AD1092" s="370" t="s">
        <v>111</v>
      </c>
      <c r="AE1092" s="175"/>
      <c r="AF1092" s="73"/>
      <c r="AG1092" s="176"/>
      <c r="AH1092" s="179"/>
      <c r="AI1092" s="178"/>
      <c r="AJ1092" s="74"/>
      <c r="AK1092" s="179"/>
      <c r="AL1092" s="178"/>
      <c r="AM1092" s="74"/>
      <c r="AN1092" s="179"/>
      <c r="AO1092" s="178"/>
      <c r="AP1092" s="74"/>
      <c r="AQ1092" s="179"/>
      <c r="AR1092" s="178"/>
      <c r="AS1092" s="74"/>
      <c r="AT1092" s="179"/>
      <c r="AU1092" s="178"/>
      <c r="AV1092" s="74"/>
      <c r="AW1092" s="179"/>
      <c r="AX1092" s="178"/>
      <c r="AY1092" s="74"/>
      <c r="AZ1092" s="179"/>
      <c r="BA1092" s="178"/>
      <c r="BB1092" s="74"/>
      <c r="BC1092" s="179"/>
      <c r="BD1092" s="178"/>
      <c r="BE1092" s="74"/>
      <c r="BF1092" s="139"/>
      <c r="BG1092" s="183"/>
      <c r="BH1092" s="143"/>
      <c r="BI1092" s="142"/>
      <c r="BJ1092" s="183"/>
      <c r="BK1092" s="143"/>
      <c r="BL1092" s="6"/>
      <c r="BM1092" s="6"/>
      <c r="BN1092" s="125">
        <f t="shared" si="402"/>
        <v>0</v>
      </c>
      <c r="BO1092" s="126">
        <f t="shared" si="403"/>
        <v>0</v>
      </c>
      <c r="BP1092" s="127">
        <f t="shared" si="404"/>
        <v>0</v>
      </c>
    </row>
    <row r="1093" spans="1:68" ht="17.25" customHeight="1" outlineLevel="4" x14ac:dyDescent="0.25">
      <c r="C1093" s="10" t="s">
        <v>83</v>
      </c>
      <c r="D1093" s="10" t="s">
        <v>84</v>
      </c>
      <c r="E1093" s="10" t="s">
        <v>73</v>
      </c>
      <c r="F1093" s="10" t="s">
        <v>74</v>
      </c>
      <c r="G1093" s="10" t="s">
        <v>490</v>
      </c>
      <c r="H1093" s="10" t="s">
        <v>73</v>
      </c>
      <c r="I1093" s="10" t="s">
        <v>73</v>
      </c>
      <c r="J1093" s="10" t="s">
        <v>73</v>
      </c>
      <c r="K1093" s="12" t="s">
        <v>73</v>
      </c>
      <c r="L1093" s="10" t="s">
        <v>407</v>
      </c>
      <c r="M1093" s="5" t="str">
        <f t="array" ref="M1093">Y806</f>
        <v>1ХВС::1.1</v>
      </c>
      <c r="Y1093" s="10">
        <f>COUNT($Y1089:Y1092)+1</f>
        <v>3</v>
      </c>
      <c r="AB1093" s="501" t="s">
        <v>643</v>
      </c>
      <c r="AC1093" s="294" t="s">
        <v>490</v>
      </c>
      <c r="AD1093" s="370" t="s">
        <v>111</v>
      </c>
      <c r="AE1093" s="175">
        <f t="shared" ref="AE1093:BK1093" si="414">AE369+AE702</f>
        <v>39850.18</v>
      </c>
      <c r="AF1093" s="73">
        <f t="shared" si="414"/>
        <v>2557.8300000000017</v>
      </c>
      <c r="AG1093" s="176">
        <f t="shared" si="414"/>
        <v>62626.45</v>
      </c>
      <c r="AH1093" s="443">
        <f t="shared" si="414"/>
        <v>0</v>
      </c>
      <c r="AI1093" s="73">
        <f t="shared" si="414"/>
        <v>0</v>
      </c>
      <c r="AJ1093" s="176">
        <f t="shared" si="414"/>
        <v>0</v>
      </c>
      <c r="AK1093" s="175">
        <f t="shared" si="414"/>
        <v>0</v>
      </c>
      <c r="AL1093" s="73">
        <f t="shared" si="414"/>
        <v>0</v>
      </c>
      <c r="AM1093" s="176">
        <f t="shared" si="414"/>
        <v>0</v>
      </c>
      <c r="AN1093" s="175">
        <f t="shared" si="414"/>
        <v>0</v>
      </c>
      <c r="AO1093" s="73">
        <f t="shared" si="414"/>
        <v>0</v>
      </c>
      <c r="AP1093" s="176">
        <f t="shared" si="414"/>
        <v>0</v>
      </c>
      <c r="AQ1093" s="175">
        <f t="shared" si="414"/>
        <v>0</v>
      </c>
      <c r="AR1093" s="73">
        <f t="shared" si="414"/>
        <v>0</v>
      </c>
      <c r="AS1093" s="176">
        <f t="shared" si="414"/>
        <v>0</v>
      </c>
      <c r="AT1093" s="175">
        <f t="shared" si="414"/>
        <v>0</v>
      </c>
      <c r="AU1093" s="73">
        <f t="shared" si="414"/>
        <v>0</v>
      </c>
      <c r="AV1093" s="176">
        <f t="shared" si="414"/>
        <v>0</v>
      </c>
      <c r="AW1093" s="175">
        <f t="shared" si="414"/>
        <v>0</v>
      </c>
      <c r="AX1093" s="73">
        <f t="shared" si="414"/>
        <v>0</v>
      </c>
      <c r="AY1093" s="176">
        <f t="shared" si="414"/>
        <v>0</v>
      </c>
      <c r="AZ1093" s="175">
        <f t="shared" si="414"/>
        <v>0</v>
      </c>
      <c r="BA1093" s="73">
        <f t="shared" si="414"/>
        <v>0</v>
      </c>
      <c r="BB1093" s="176">
        <f t="shared" si="414"/>
        <v>0</v>
      </c>
      <c r="BC1093" s="175">
        <f t="shared" si="414"/>
        <v>0</v>
      </c>
      <c r="BD1093" s="73">
        <f t="shared" si="414"/>
        <v>0</v>
      </c>
      <c r="BE1093" s="176">
        <f t="shared" si="414"/>
        <v>0</v>
      </c>
      <c r="BF1093" s="175">
        <f t="shared" si="414"/>
        <v>0</v>
      </c>
      <c r="BG1093" s="73">
        <f t="shared" si="414"/>
        <v>0</v>
      </c>
      <c r="BH1093" s="176">
        <f t="shared" si="414"/>
        <v>0</v>
      </c>
      <c r="BI1093" s="175">
        <f t="shared" si="414"/>
        <v>0</v>
      </c>
      <c r="BJ1093" s="73">
        <f t="shared" si="414"/>
        <v>0</v>
      </c>
      <c r="BK1093" s="176">
        <f t="shared" si="414"/>
        <v>0</v>
      </c>
      <c r="BN1093" s="125">
        <f t="shared" si="402"/>
        <v>39850.18</v>
      </c>
      <c r="BO1093" s="126">
        <f t="shared" si="403"/>
        <v>2557.8300000000017</v>
      </c>
      <c r="BP1093" s="127">
        <f t="shared" si="404"/>
        <v>62626.45</v>
      </c>
    </row>
    <row r="1094" spans="1:68" ht="18" customHeight="1" outlineLevel="4" x14ac:dyDescent="0.25">
      <c r="C1094" s="10" t="s">
        <v>83</v>
      </c>
      <c r="D1094" s="10" t="s">
        <v>84</v>
      </c>
      <c r="E1094" s="10" t="s">
        <v>73</v>
      </c>
      <c r="F1094" s="10" t="s">
        <v>74</v>
      </c>
      <c r="G1094" s="10" t="s">
        <v>491</v>
      </c>
      <c r="H1094" s="10" t="s">
        <v>73</v>
      </c>
      <c r="I1094" s="10" t="s">
        <v>73</v>
      </c>
      <c r="J1094" s="10" t="s">
        <v>73</v>
      </c>
      <c r="K1094" s="12" t="s">
        <v>73</v>
      </c>
      <c r="L1094" s="10" t="s">
        <v>407</v>
      </c>
      <c r="M1094" s="5" t="str">
        <f t="array" ref="M1094">Y806</f>
        <v>1ХВС::1.1</v>
      </c>
      <c r="Y1094" s="10">
        <f>COUNT($Y1089:Y1093)+1</f>
        <v>4</v>
      </c>
      <c r="AB1094" s="501" t="s">
        <v>644</v>
      </c>
      <c r="AC1094" s="294" t="s">
        <v>491</v>
      </c>
      <c r="AD1094" s="370" t="s">
        <v>111</v>
      </c>
      <c r="AE1094" s="175">
        <f t="shared" ref="AE1094:BK1094" si="415">AE370+AE703</f>
        <v>3794.3999999999996</v>
      </c>
      <c r="AF1094" s="73">
        <f t="shared" si="415"/>
        <v>2508.58</v>
      </c>
      <c r="AG1094" s="176">
        <f t="shared" si="415"/>
        <v>3794.3999999999996</v>
      </c>
      <c r="AH1094" s="443">
        <f t="shared" si="415"/>
        <v>207.4</v>
      </c>
      <c r="AI1094" s="73">
        <f t="shared" si="415"/>
        <v>0</v>
      </c>
      <c r="AJ1094" s="176">
        <f t="shared" si="415"/>
        <v>207.4</v>
      </c>
      <c r="AK1094" s="175">
        <f t="shared" si="415"/>
        <v>416.76</v>
      </c>
      <c r="AL1094" s="73">
        <f t="shared" si="415"/>
        <v>0</v>
      </c>
      <c r="AM1094" s="176">
        <f t="shared" si="415"/>
        <v>563.11</v>
      </c>
      <c r="AN1094" s="175">
        <f t="shared" si="415"/>
        <v>184.82</v>
      </c>
      <c r="AO1094" s="73">
        <f t="shared" si="415"/>
        <v>0</v>
      </c>
      <c r="AP1094" s="176">
        <f t="shared" si="415"/>
        <v>237.81</v>
      </c>
      <c r="AQ1094" s="175">
        <f t="shared" si="415"/>
        <v>46.37</v>
      </c>
      <c r="AR1094" s="73">
        <f t="shared" si="415"/>
        <v>0</v>
      </c>
      <c r="AS1094" s="176">
        <f t="shared" si="415"/>
        <v>57.99</v>
      </c>
      <c r="AT1094" s="175">
        <f t="shared" si="415"/>
        <v>0</v>
      </c>
      <c r="AU1094" s="73">
        <f t="shared" si="415"/>
        <v>0</v>
      </c>
      <c r="AV1094" s="176">
        <f t="shared" si="415"/>
        <v>0</v>
      </c>
      <c r="AW1094" s="175">
        <f t="shared" si="415"/>
        <v>251.57</v>
      </c>
      <c r="AX1094" s="73">
        <f t="shared" si="415"/>
        <v>0</v>
      </c>
      <c r="AY1094" s="176">
        <f t="shared" si="415"/>
        <v>277.87700000000001</v>
      </c>
      <c r="AZ1094" s="175">
        <f t="shared" si="415"/>
        <v>9.52</v>
      </c>
      <c r="BA1094" s="73">
        <f t="shared" si="415"/>
        <v>0</v>
      </c>
      <c r="BB1094" s="176">
        <f t="shared" si="415"/>
        <v>45.97</v>
      </c>
      <c r="BC1094" s="175">
        <f t="shared" si="415"/>
        <v>1036.3499999999999</v>
      </c>
      <c r="BD1094" s="73">
        <f t="shared" si="415"/>
        <v>0</v>
      </c>
      <c r="BE1094" s="176">
        <f t="shared" si="415"/>
        <v>764.24</v>
      </c>
      <c r="BF1094" s="175">
        <f t="shared" si="415"/>
        <v>176.32</v>
      </c>
      <c r="BG1094" s="73">
        <f t="shared" si="415"/>
        <v>0</v>
      </c>
      <c r="BH1094" s="176">
        <f t="shared" si="415"/>
        <v>194.53</v>
      </c>
      <c r="BI1094" s="175">
        <f t="shared" si="415"/>
        <v>250.72499999999999</v>
      </c>
      <c r="BJ1094" s="73">
        <f t="shared" si="415"/>
        <v>0</v>
      </c>
      <c r="BK1094" s="176">
        <f t="shared" si="415"/>
        <v>260.99</v>
      </c>
      <c r="BN1094" s="125">
        <f t="shared" si="402"/>
        <v>6374.2349999999988</v>
      </c>
      <c r="BO1094" s="126">
        <f t="shared" si="403"/>
        <v>2508.58</v>
      </c>
      <c r="BP1094" s="127">
        <f t="shared" si="404"/>
        <v>6404.317</v>
      </c>
    </row>
    <row r="1095" spans="1:68" ht="14.25" customHeight="1" outlineLevel="3" x14ac:dyDescent="0.25">
      <c r="C1095" s="10" t="s">
        <v>83</v>
      </c>
      <c r="D1095" s="10" t="s">
        <v>84</v>
      </c>
      <c r="E1095" s="10" t="s">
        <v>73</v>
      </c>
      <c r="F1095" s="10" t="s">
        <v>74</v>
      </c>
      <c r="G1095" s="10" t="s">
        <v>492</v>
      </c>
      <c r="H1095" s="10" t="s">
        <v>73</v>
      </c>
      <c r="I1095" s="10" t="s">
        <v>73</v>
      </c>
      <c r="J1095" s="10" t="s">
        <v>73</v>
      </c>
      <c r="K1095" s="12" t="s">
        <v>73</v>
      </c>
      <c r="L1095" s="10" t="s">
        <v>452</v>
      </c>
      <c r="M1095" s="5" t="str">
        <f t="array" ref="M1095">Y806</f>
        <v>1ХВС::1.1</v>
      </c>
      <c r="Y1095" s="10">
        <f>COUNT($Y1089:Y1094)+1</f>
        <v>5</v>
      </c>
      <c r="AB1095" s="65" t="str">
        <f>AB1063&amp;".5"</f>
        <v>3.1.3.5</v>
      </c>
      <c r="AC1095" s="92" t="s">
        <v>493</v>
      </c>
      <c r="AD1095" s="370" t="s">
        <v>111</v>
      </c>
      <c r="AE1095" s="445">
        <f t="shared" ref="AE1095:BK1095" si="416">AE371+AE704</f>
        <v>1019.5309999999999</v>
      </c>
      <c r="AF1095" s="178">
        <f t="shared" si="416"/>
        <v>617.52599999999995</v>
      </c>
      <c r="AG1095" s="446">
        <f t="shared" si="416"/>
        <v>1019.5309999999999</v>
      </c>
      <c r="AH1095" s="636">
        <f t="shared" si="416"/>
        <v>0</v>
      </c>
      <c r="AI1095" s="178">
        <f t="shared" si="416"/>
        <v>0</v>
      </c>
      <c r="AJ1095" s="446">
        <f t="shared" si="416"/>
        <v>0</v>
      </c>
      <c r="AK1095" s="445">
        <f t="shared" si="416"/>
        <v>0</v>
      </c>
      <c r="AL1095" s="178">
        <f t="shared" si="416"/>
        <v>0</v>
      </c>
      <c r="AM1095" s="446">
        <f t="shared" si="416"/>
        <v>0</v>
      </c>
      <c r="AN1095" s="445">
        <f t="shared" si="416"/>
        <v>3.09</v>
      </c>
      <c r="AO1095" s="178">
        <f t="shared" si="416"/>
        <v>0</v>
      </c>
      <c r="AP1095" s="446">
        <f t="shared" si="416"/>
        <v>3.09</v>
      </c>
      <c r="AQ1095" s="445">
        <f t="shared" si="416"/>
        <v>18.450000000000003</v>
      </c>
      <c r="AR1095" s="178">
        <f t="shared" si="416"/>
        <v>0</v>
      </c>
      <c r="AS1095" s="446">
        <f t="shared" si="416"/>
        <v>18.450000000000003</v>
      </c>
      <c r="AT1095" s="445">
        <f t="shared" si="416"/>
        <v>0</v>
      </c>
      <c r="AU1095" s="178">
        <f t="shared" si="416"/>
        <v>0</v>
      </c>
      <c r="AV1095" s="446">
        <f t="shared" si="416"/>
        <v>0</v>
      </c>
      <c r="AW1095" s="445">
        <f t="shared" si="416"/>
        <v>0</v>
      </c>
      <c r="AX1095" s="178">
        <f t="shared" si="416"/>
        <v>0</v>
      </c>
      <c r="AY1095" s="446">
        <f t="shared" si="416"/>
        <v>0</v>
      </c>
      <c r="AZ1095" s="445">
        <f t="shared" si="416"/>
        <v>0</v>
      </c>
      <c r="BA1095" s="178">
        <f t="shared" si="416"/>
        <v>0</v>
      </c>
      <c r="BB1095" s="446">
        <f t="shared" si="416"/>
        <v>0</v>
      </c>
      <c r="BC1095" s="445">
        <f t="shared" si="416"/>
        <v>0</v>
      </c>
      <c r="BD1095" s="178">
        <f t="shared" si="416"/>
        <v>0</v>
      </c>
      <c r="BE1095" s="446">
        <f t="shared" si="416"/>
        <v>0</v>
      </c>
      <c r="BF1095" s="445">
        <f t="shared" si="416"/>
        <v>0</v>
      </c>
      <c r="BG1095" s="178">
        <f t="shared" si="416"/>
        <v>0</v>
      </c>
      <c r="BH1095" s="446">
        <f t="shared" si="416"/>
        <v>0</v>
      </c>
      <c r="BI1095" s="445">
        <f t="shared" si="416"/>
        <v>0</v>
      </c>
      <c r="BJ1095" s="178">
        <f t="shared" si="416"/>
        <v>0</v>
      </c>
      <c r="BK1095" s="446">
        <f t="shared" si="416"/>
        <v>0</v>
      </c>
      <c r="BN1095" s="125">
        <f t="shared" si="402"/>
        <v>1041.0709999999999</v>
      </c>
      <c r="BO1095" s="126">
        <f t="shared" si="403"/>
        <v>617.52599999999995</v>
      </c>
      <c r="BP1095" s="127">
        <f t="shared" si="404"/>
        <v>1041.0709999999999</v>
      </c>
    </row>
    <row r="1096" spans="1:68" ht="14.25" hidden="1" customHeight="1" outlineLevel="3" x14ac:dyDescent="0.25">
      <c r="A1096" s="10" t="b">
        <f>AND(PREVIOUS_REGULATION_METHODS="Метод индексации",REGULATION_METHODS="Метод индексации")</f>
        <v>1</v>
      </c>
      <c r="B1096" s="5" t="b">
        <f t="array" ref="B1096">A1096</f>
        <v>1</v>
      </c>
      <c r="C1096" s="10" t="s">
        <v>83</v>
      </c>
      <c r="D1096" s="10" t="s">
        <v>84</v>
      </c>
      <c r="E1096" s="10" t="s">
        <v>73</v>
      </c>
      <c r="F1096" s="10" t="s">
        <v>74</v>
      </c>
      <c r="G1096" s="10" t="s">
        <v>494</v>
      </c>
      <c r="H1096" s="10" t="s">
        <v>73</v>
      </c>
      <c r="I1096" s="10" t="s">
        <v>73</v>
      </c>
      <c r="J1096" s="10" t="s">
        <v>73</v>
      </c>
      <c r="K1096" s="12" t="s">
        <v>73</v>
      </c>
      <c r="L1096" s="10" t="s">
        <v>452</v>
      </c>
      <c r="M1096" s="5" t="str">
        <f t="array" ref="M1096">Y806</f>
        <v>1ХВС::1.1</v>
      </c>
      <c r="Y1096" s="10">
        <f>COUNT($Y1089:Y1095)+1</f>
        <v>6</v>
      </c>
      <c r="AB1096" s="65" t="str">
        <f>AB1063&amp;"."&amp;Y1096</f>
        <v>3.1.3.6</v>
      </c>
      <c r="AC1096" s="92" t="s">
        <v>494</v>
      </c>
      <c r="AD1096" s="370" t="s">
        <v>111</v>
      </c>
      <c r="AE1096" s="445"/>
      <c r="AF1096" s="178"/>
      <c r="AG1096" s="446"/>
      <c r="AH1096" s="187"/>
      <c r="AI1096" s="178"/>
      <c r="AJ1096" s="96"/>
      <c r="AK1096" s="187"/>
      <c r="AL1096" s="178"/>
      <c r="AM1096" s="96"/>
      <c r="AN1096" s="187"/>
      <c r="AO1096" s="178"/>
      <c r="AP1096" s="96"/>
      <c r="AQ1096" s="187"/>
      <c r="AR1096" s="178"/>
      <c r="AS1096" s="96"/>
      <c r="AT1096" s="187"/>
      <c r="AU1096" s="178"/>
      <c r="AV1096" s="96"/>
      <c r="AW1096" s="187"/>
      <c r="AX1096" s="178"/>
      <c r="AY1096" s="96"/>
      <c r="AZ1096" s="187"/>
      <c r="BA1096" s="178"/>
      <c r="BB1096" s="96"/>
      <c r="BC1096" s="187"/>
      <c r="BD1096" s="178"/>
      <c r="BE1096" s="96"/>
      <c r="BF1096" s="182"/>
      <c r="BG1096" s="183"/>
      <c r="BH1096" s="186"/>
      <c r="BI1096" s="185"/>
      <c r="BJ1096" s="183"/>
      <c r="BK1096" s="186"/>
      <c r="BN1096" s="125">
        <f t="shared" si="402"/>
        <v>0</v>
      </c>
      <c r="BO1096" s="126">
        <f t="shared" si="403"/>
        <v>0</v>
      </c>
      <c r="BP1096" s="127">
        <f t="shared" si="404"/>
        <v>0</v>
      </c>
    </row>
    <row r="1097" spans="1:68" ht="14.25" hidden="1" customHeight="1" outlineLevel="3" x14ac:dyDescent="0.25">
      <c r="A1097" s="10" t="b">
        <f>REGULATION_METHODS="Метод индексации"</f>
        <v>1</v>
      </c>
      <c r="B1097" s="5" t="b">
        <f t="array" ref="B1097">A1097</f>
        <v>1</v>
      </c>
      <c r="C1097" s="10" t="s">
        <v>83</v>
      </c>
      <c r="D1097" s="10" t="s">
        <v>84</v>
      </c>
      <c r="E1097" s="10" t="s">
        <v>73</v>
      </c>
      <c r="F1097" s="10" t="s">
        <v>74</v>
      </c>
      <c r="G1097" s="10" t="s">
        <v>495</v>
      </c>
      <c r="H1097" s="10" t="s">
        <v>73</v>
      </c>
      <c r="I1097" s="10" t="s">
        <v>73</v>
      </c>
      <c r="J1097" s="10" t="s">
        <v>73</v>
      </c>
      <c r="K1097" s="12" t="s">
        <v>73</v>
      </c>
      <c r="L1097" s="10" t="s">
        <v>452</v>
      </c>
      <c r="M1097" s="5" t="str">
        <f t="array" ref="M1097">Y806</f>
        <v>1ХВС::1.1</v>
      </c>
      <c r="Y1097" s="10">
        <f>COUNT($Y1089:Y1096)+1</f>
        <v>7</v>
      </c>
      <c r="AB1097" s="65" t="str">
        <f>AB1063&amp;"."&amp;Y1097</f>
        <v>3.1.3.7</v>
      </c>
      <c r="AC1097" s="92" t="s">
        <v>495</v>
      </c>
      <c r="AD1097" s="370" t="s">
        <v>111</v>
      </c>
      <c r="AE1097" s="445"/>
      <c r="AF1097" s="178"/>
      <c r="AG1097" s="446"/>
      <c r="AH1097" s="187"/>
      <c r="AI1097" s="178"/>
      <c r="AJ1097" s="96"/>
      <c r="AK1097" s="187"/>
      <c r="AL1097" s="178"/>
      <c r="AM1097" s="96"/>
      <c r="AN1097" s="187"/>
      <c r="AO1097" s="178"/>
      <c r="AP1097" s="96"/>
      <c r="AQ1097" s="187"/>
      <c r="AR1097" s="178"/>
      <c r="AS1097" s="96"/>
      <c r="AT1097" s="187"/>
      <c r="AU1097" s="178"/>
      <c r="AV1097" s="96"/>
      <c r="AW1097" s="187"/>
      <c r="AX1097" s="178"/>
      <c r="AY1097" s="96"/>
      <c r="AZ1097" s="187"/>
      <c r="BA1097" s="178"/>
      <c r="BB1097" s="96"/>
      <c r="BC1097" s="187"/>
      <c r="BD1097" s="178"/>
      <c r="BE1097" s="96"/>
      <c r="BF1097" s="182"/>
      <c r="BG1097" s="183"/>
      <c r="BH1097" s="186"/>
      <c r="BI1097" s="185"/>
      <c r="BJ1097" s="183"/>
      <c r="BK1097" s="186"/>
      <c r="BN1097" s="125">
        <f t="shared" si="402"/>
        <v>0</v>
      </c>
      <c r="BO1097" s="126">
        <f t="shared" si="403"/>
        <v>0</v>
      </c>
      <c r="BP1097" s="127">
        <f t="shared" si="404"/>
        <v>0</v>
      </c>
    </row>
    <row r="1098" spans="1:68" ht="14.25" hidden="1" customHeight="1" outlineLevel="3" x14ac:dyDescent="0.25">
      <c r="A1098" s="5" t="b">
        <f>REGULATION_METHODS&lt;&gt;"МЭОР"</f>
        <v>1</v>
      </c>
      <c r="C1098" s="10" t="s">
        <v>83</v>
      </c>
      <c r="D1098" s="10" t="s">
        <v>84</v>
      </c>
      <c r="E1098" s="10" t="s">
        <v>73</v>
      </c>
      <c r="F1098" s="10" t="s">
        <v>74</v>
      </c>
      <c r="G1098" s="10" t="s">
        <v>496</v>
      </c>
      <c r="H1098" s="10" t="s">
        <v>73</v>
      </c>
      <c r="I1098" s="10" t="s">
        <v>73</v>
      </c>
      <c r="J1098" s="10" t="s">
        <v>73</v>
      </c>
      <c r="K1098" s="12" t="s">
        <v>73</v>
      </c>
      <c r="L1098" s="10" t="s">
        <v>452</v>
      </c>
      <c r="M1098" s="5" t="str">
        <f t="array" ref="M1098">Y806</f>
        <v>1ХВС::1.1</v>
      </c>
      <c r="Y1098" s="10">
        <f>COUNT($Y1089:Y1097)+1</f>
        <v>8</v>
      </c>
      <c r="AB1098" s="65" t="str">
        <f>AB1063&amp;"."&amp;Y1098</f>
        <v>3.1.3.8</v>
      </c>
      <c r="AC1098" s="92" t="s">
        <v>496</v>
      </c>
      <c r="AD1098" s="370" t="s">
        <v>111</v>
      </c>
      <c r="AE1098" s="445"/>
      <c r="AF1098" s="178"/>
      <c r="AG1098" s="446"/>
      <c r="AH1098" s="187"/>
      <c r="AI1098" s="178"/>
      <c r="AJ1098" s="96"/>
      <c r="AK1098" s="187"/>
      <c r="AL1098" s="178"/>
      <c r="AM1098" s="96"/>
      <c r="AN1098" s="187"/>
      <c r="AO1098" s="178"/>
      <c r="AP1098" s="96"/>
      <c r="AQ1098" s="187"/>
      <c r="AR1098" s="178"/>
      <c r="AS1098" s="96"/>
      <c r="AT1098" s="187"/>
      <c r="AU1098" s="178"/>
      <c r="AV1098" s="96"/>
      <c r="AW1098" s="187"/>
      <c r="AX1098" s="178"/>
      <c r="AY1098" s="96"/>
      <c r="AZ1098" s="187"/>
      <c r="BA1098" s="178"/>
      <c r="BB1098" s="96"/>
      <c r="BC1098" s="187"/>
      <c r="BD1098" s="178"/>
      <c r="BE1098" s="96"/>
      <c r="BF1098" s="139"/>
      <c r="BG1098" s="140"/>
      <c r="BH1098" s="143"/>
      <c r="BI1098" s="142"/>
      <c r="BJ1098" s="140"/>
      <c r="BK1098" s="143"/>
      <c r="BN1098" s="125">
        <f t="shared" si="402"/>
        <v>0</v>
      </c>
      <c r="BO1098" s="126">
        <f t="shared" si="403"/>
        <v>0</v>
      </c>
      <c r="BP1098" s="127">
        <f t="shared" si="404"/>
        <v>0</v>
      </c>
    </row>
    <row r="1099" spans="1:68" s="171" customFormat="1" ht="22.5" customHeight="1" outlineLevel="1" x14ac:dyDescent="0.25">
      <c r="A1099" s="166"/>
      <c r="B1099" s="166"/>
      <c r="C1099" s="167" t="s">
        <v>83</v>
      </c>
      <c r="D1099" s="167" t="s">
        <v>84</v>
      </c>
      <c r="E1099" s="167" t="s">
        <v>73</v>
      </c>
      <c r="F1099" s="167" t="s">
        <v>74</v>
      </c>
      <c r="G1099" s="167" t="s">
        <v>497</v>
      </c>
      <c r="H1099" s="167" t="s">
        <v>73</v>
      </c>
      <c r="I1099" s="167" t="s">
        <v>73</v>
      </c>
      <c r="J1099" s="167" t="s">
        <v>73</v>
      </c>
      <c r="K1099" s="168" t="s">
        <v>73</v>
      </c>
      <c r="L1099" s="167" t="s">
        <v>133</v>
      </c>
      <c r="M1099" s="166" t="str">
        <f t="array" ref="M1099">Y806</f>
        <v>1ХВС::1.1</v>
      </c>
      <c r="N1099" s="166"/>
      <c r="O1099" s="166"/>
      <c r="P1099" s="166"/>
      <c r="Q1099" s="166"/>
      <c r="R1099" s="166"/>
      <c r="S1099" s="166"/>
      <c r="T1099" s="166"/>
      <c r="U1099" s="166"/>
      <c r="V1099" s="166"/>
      <c r="W1099" s="166"/>
      <c r="X1099" s="166"/>
      <c r="Y1099" s="166"/>
      <c r="Z1099" s="166"/>
      <c r="AA1099" s="166"/>
      <c r="AB1099" s="623" t="str">
        <f>AB855&amp;".2"</f>
        <v>3.2</v>
      </c>
      <c r="AC1099" s="672" t="s">
        <v>497</v>
      </c>
      <c r="AD1099" s="625" t="s">
        <v>111</v>
      </c>
      <c r="AE1099" s="626">
        <f t="shared" ref="AE1099:BK1099" si="417">AE375+AE716</f>
        <v>437971.24</v>
      </c>
      <c r="AF1099" s="627">
        <f t="shared" si="417"/>
        <v>49053.55</v>
      </c>
      <c r="AG1099" s="628">
        <f t="shared" si="417"/>
        <v>399828.51</v>
      </c>
      <c r="AH1099" s="629">
        <f t="shared" si="417"/>
        <v>31022.489999999998</v>
      </c>
      <c r="AI1099" s="627">
        <f t="shared" si="417"/>
        <v>0</v>
      </c>
      <c r="AJ1099" s="628">
        <f t="shared" si="417"/>
        <v>17050.580000000002</v>
      </c>
      <c r="AK1099" s="626">
        <f t="shared" si="417"/>
        <v>14011.64</v>
      </c>
      <c r="AL1099" s="627">
        <f t="shared" si="417"/>
        <v>2580</v>
      </c>
      <c r="AM1099" s="628">
        <f t="shared" si="417"/>
        <v>13884.48</v>
      </c>
      <c r="AN1099" s="626">
        <f t="shared" si="417"/>
        <v>5176.96</v>
      </c>
      <c r="AO1099" s="627">
        <f t="shared" si="417"/>
        <v>1145.5999999999999</v>
      </c>
      <c r="AP1099" s="628">
        <f t="shared" si="417"/>
        <v>8422.86</v>
      </c>
      <c r="AQ1099" s="626">
        <f t="shared" si="417"/>
        <v>2170.06</v>
      </c>
      <c r="AR1099" s="627">
        <f t="shared" si="417"/>
        <v>799.9</v>
      </c>
      <c r="AS1099" s="628">
        <f t="shared" si="417"/>
        <v>2369.8100000000004</v>
      </c>
      <c r="AT1099" s="626">
        <f t="shared" si="417"/>
        <v>2197.33</v>
      </c>
      <c r="AU1099" s="627">
        <f t="shared" si="417"/>
        <v>0</v>
      </c>
      <c r="AV1099" s="628">
        <f t="shared" si="417"/>
        <v>2565.9299999999998</v>
      </c>
      <c r="AW1099" s="626">
        <f t="shared" si="417"/>
        <v>4681.5999999999995</v>
      </c>
      <c r="AX1099" s="627">
        <f t="shared" si="417"/>
        <v>1009.5</v>
      </c>
      <c r="AY1099" s="628">
        <f t="shared" si="417"/>
        <v>3313.15</v>
      </c>
      <c r="AZ1099" s="626">
        <f t="shared" si="417"/>
        <v>20200.45</v>
      </c>
      <c r="BA1099" s="627">
        <f t="shared" si="417"/>
        <v>0</v>
      </c>
      <c r="BB1099" s="628">
        <f t="shared" si="417"/>
        <v>19266.964</v>
      </c>
      <c r="BC1099" s="626">
        <f t="shared" si="417"/>
        <v>64776.729999999996</v>
      </c>
      <c r="BD1099" s="627">
        <f t="shared" si="417"/>
        <v>0</v>
      </c>
      <c r="BE1099" s="628">
        <f t="shared" si="417"/>
        <v>68306.33</v>
      </c>
      <c r="BF1099" s="626">
        <f t="shared" si="417"/>
        <v>1063.6600000000001</v>
      </c>
      <c r="BG1099" s="627">
        <f t="shared" si="417"/>
        <v>0</v>
      </c>
      <c r="BH1099" s="628">
        <f t="shared" si="417"/>
        <v>1063.664</v>
      </c>
      <c r="BI1099" s="626">
        <f t="shared" si="417"/>
        <v>15881.745000000001</v>
      </c>
      <c r="BJ1099" s="627">
        <f t="shared" si="417"/>
        <v>0</v>
      </c>
      <c r="BK1099" s="628">
        <f t="shared" si="417"/>
        <v>15873.665000000001</v>
      </c>
      <c r="BL1099" s="170"/>
      <c r="BM1099" s="166"/>
      <c r="BN1099" s="630">
        <f t="shared" si="402"/>
        <v>599153.90500000003</v>
      </c>
      <c r="BO1099" s="631">
        <f t="shared" si="403"/>
        <v>54588.55</v>
      </c>
      <c r="BP1099" s="632">
        <f t="shared" si="404"/>
        <v>551945.94299999997</v>
      </c>
    </row>
    <row r="1100" spans="1:68" s="171" customFormat="1" ht="22.5" customHeight="1" outlineLevel="1" x14ac:dyDescent="0.25">
      <c r="A1100" s="166"/>
      <c r="B1100" s="166"/>
      <c r="C1100" s="167" t="s">
        <v>83</v>
      </c>
      <c r="D1100" s="167" t="s">
        <v>84</v>
      </c>
      <c r="E1100" s="167" t="s">
        <v>73</v>
      </c>
      <c r="F1100" s="167" t="s">
        <v>74</v>
      </c>
      <c r="G1100" s="167" t="s">
        <v>498</v>
      </c>
      <c r="H1100" s="167" t="s">
        <v>73</v>
      </c>
      <c r="I1100" s="167" t="s">
        <v>73</v>
      </c>
      <c r="J1100" s="167" t="s">
        <v>73</v>
      </c>
      <c r="K1100" s="168" t="s">
        <v>73</v>
      </c>
      <c r="L1100" s="167" t="s">
        <v>133</v>
      </c>
      <c r="M1100" s="166" t="str">
        <f t="array" ref="M1100">Y806</f>
        <v>1ХВС::1.1</v>
      </c>
      <c r="N1100" s="166"/>
      <c r="O1100" s="166"/>
      <c r="P1100" s="166"/>
      <c r="Q1100" s="166"/>
      <c r="R1100" s="166"/>
      <c r="S1100" s="166"/>
      <c r="T1100" s="166"/>
      <c r="U1100" s="166"/>
      <c r="V1100" s="166"/>
      <c r="W1100" s="166"/>
      <c r="X1100" s="166"/>
      <c r="Y1100" s="166"/>
      <c r="Z1100" s="166"/>
      <c r="AA1100" s="166"/>
      <c r="AB1100" s="623" t="str">
        <f>AB855&amp;".3"</f>
        <v>3.3</v>
      </c>
      <c r="AC1100" s="633" t="s">
        <v>498</v>
      </c>
      <c r="AD1100" s="625" t="s">
        <v>111</v>
      </c>
      <c r="AE1100" s="626">
        <f t="shared" ref="AE1100:BK1100" si="418">AE1101</f>
        <v>10241.716</v>
      </c>
      <c r="AF1100" s="627">
        <f t="shared" si="418"/>
        <v>24068.734</v>
      </c>
      <c r="AG1100" s="628">
        <f t="shared" si="418"/>
        <v>27512.010000000002</v>
      </c>
      <c r="AH1100" s="649">
        <f t="shared" si="418"/>
        <v>6.15</v>
      </c>
      <c r="AI1100" s="627">
        <f t="shared" si="418"/>
        <v>0</v>
      </c>
      <c r="AJ1100" s="650">
        <f t="shared" si="418"/>
        <v>60.35</v>
      </c>
      <c r="AK1100" s="649">
        <f t="shared" si="418"/>
        <v>0</v>
      </c>
      <c r="AL1100" s="627">
        <f t="shared" si="418"/>
        <v>0</v>
      </c>
      <c r="AM1100" s="650">
        <f t="shared" si="418"/>
        <v>664.46</v>
      </c>
      <c r="AN1100" s="649">
        <f t="shared" si="418"/>
        <v>0</v>
      </c>
      <c r="AO1100" s="627">
        <f t="shared" si="418"/>
        <v>0</v>
      </c>
      <c r="AP1100" s="650">
        <f t="shared" si="418"/>
        <v>971.71</v>
      </c>
      <c r="AQ1100" s="649">
        <f t="shared" si="418"/>
        <v>0</v>
      </c>
      <c r="AR1100" s="627">
        <f t="shared" si="418"/>
        <v>0</v>
      </c>
      <c r="AS1100" s="650">
        <f t="shared" si="418"/>
        <v>357.4</v>
      </c>
      <c r="AT1100" s="649">
        <f t="shared" si="418"/>
        <v>0</v>
      </c>
      <c r="AU1100" s="627">
        <f t="shared" si="418"/>
        <v>234.28000000000003</v>
      </c>
      <c r="AV1100" s="650">
        <f t="shared" si="418"/>
        <v>753.71</v>
      </c>
      <c r="AW1100" s="649">
        <f t="shared" si="418"/>
        <v>369.39</v>
      </c>
      <c r="AX1100" s="627">
        <f t="shared" si="418"/>
        <v>0</v>
      </c>
      <c r="AY1100" s="650">
        <f t="shared" si="418"/>
        <v>711.83999999999992</v>
      </c>
      <c r="AZ1100" s="649">
        <f t="shared" si="418"/>
        <v>1480.2850000000001</v>
      </c>
      <c r="BA1100" s="627">
        <f t="shared" si="418"/>
        <v>0</v>
      </c>
      <c r="BB1100" s="650">
        <f t="shared" si="418"/>
        <v>2321.5039999999999</v>
      </c>
      <c r="BC1100" s="649">
        <f t="shared" si="418"/>
        <v>0</v>
      </c>
      <c r="BD1100" s="627">
        <f t="shared" si="418"/>
        <v>0</v>
      </c>
      <c r="BE1100" s="650">
        <f t="shared" si="418"/>
        <v>0</v>
      </c>
      <c r="BF1100" s="651">
        <f t="shared" si="418"/>
        <v>38.983999999999995</v>
      </c>
      <c r="BG1100" s="652">
        <f t="shared" si="418"/>
        <v>0</v>
      </c>
      <c r="BH1100" s="653">
        <f t="shared" si="418"/>
        <v>75.244</v>
      </c>
      <c r="BI1100" s="654">
        <f t="shared" si="418"/>
        <v>280.10899999999998</v>
      </c>
      <c r="BJ1100" s="652">
        <f t="shared" si="418"/>
        <v>0</v>
      </c>
      <c r="BK1100" s="653">
        <f t="shared" si="418"/>
        <v>599.52</v>
      </c>
      <c r="BL1100" s="170"/>
      <c r="BM1100" s="166"/>
      <c r="BN1100" s="630">
        <f t="shared" si="402"/>
        <v>12416.634</v>
      </c>
      <c r="BO1100" s="631">
        <f t="shared" si="403"/>
        <v>24303.013999999999</v>
      </c>
      <c r="BP1100" s="632">
        <f t="shared" si="404"/>
        <v>34027.747999999992</v>
      </c>
    </row>
    <row r="1101" spans="1:68" ht="42" customHeight="1" outlineLevel="3" x14ac:dyDescent="0.25">
      <c r="C1101" s="10" t="s">
        <v>83</v>
      </c>
      <c r="D1101" s="10" t="s">
        <v>84</v>
      </c>
      <c r="E1101" s="10" t="s">
        <v>73</v>
      </c>
      <c r="F1101" s="10" t="s">
        <v>74</v>
      </c>
      <c r="G1101" s="10" t="s">
        <v>499</v>
      </c>
      <c r="H1101" s="10" t="s">
        <v>73</v>
      </c>
      <c r="I1101" s="10" t="s">
        <v>73</v>
      </c>
      <c r="J1101" s="10" t="s">
        <v>73</v>
      </c>
      <c r="K1101" s="12" t="s">
        <v>73</v>
      </c>
      <c r="L1101" s="10" t="s">
        <v>133</v>
      </c>
      <c r="M1101" s="5" t="str">
        <f t="array" ref="M1101">Y806</f>
        <v>1ХВС::1.1</v>
      </c>
      <c r="AB1101" s="65" t="str">
        <f>AB1100&amp;".3"</f>
        <v>3.3.3</v>
      </c>
      <c r="AC1101" s="87" t="s">
        <v>500</v>
      </c>
      <c r="AD1101" s="370" t="s">
        <v>111</v>
      </c>
      <c r="AE1101" s="445">
        <f t="shared" ref="AE1101:BK1101" si="419">AE728+AE377</f>
        <v>10241.716</v>
      </c>
      <c r="AF1101" s="178">
        <f t="shared" si="419"/>
        <v>24068.734</v>
      </c>
      <c r="AG1101" s="446">
        <f t="shared" si="419"/>
        <v>27512.010000000002</v>
      </c>
      <c r="AH1101" s="636">
        <f t="shared" si="419"/>
        <v>6.15</v>
      </c>
      <c r="AI1101" s="178">
        <f t="shared" si="419"/>
        <v>0</v>
      </c>
      <c r="AJ1101" s="446">
        <f t="shared" si="419"/>
        <v>60.35</v>
      </c>
      <c r="AK1101" s="445">
        <f t="shared" si="419"/>
        <v>0</v>
      </c>
      <c r="AL1101" s="178">
        <f t="shared" si="419"/>
        <v>0</v>
      </c>
      <c r="AM1101" s="446">
        <f t="shared" si="419"/>
        <v>664.46</v>
      </c>
      <c r="AN1101" s="445">
        <f t="shared" si="419"/>
        <v>0</v>
      </c>
      <c r="AO1101" s="178">
        <f t="shared" si="419"/>
        <v>0</v>
      </c>
      <c r="AP1101" s="446">
        <f t="shared" si="419"/>
        <v>971.71</v>
      </c>
      <c r="AQ1101" s="445">
        <f t="shared" si="419"/>
        <v>0</v>
      </c>
      <c r="AR1101" s="178">
        <f t="shared" si="419"/>
        <v>0</v>
      </c>
      <c r="AS1101" s="446">
        <f t="shared" si="419"/>
        <v>357.4</v>
      </c>
      <c r="AT1101" s="445">
        <f t="shared" si="419"/>
        <v>0</v>
      </c>
      <c r="AU1101" s="178">
        <f t="shared" si="419"/>
        <v>234.28000000000003</v>
      </c>
      <c r="AV1101" s="446">
        <f t="shared" si="419"/>
        <v>753.71</v>
      </c>
      <c r="AW1101" s="445">
        <f t="shared" si="419"/>
        <v>369.39</v>
      </c>
      <c r="AX1101" s="178">
        <f t="shared" si="419"/>
        <v>0</v>
      </c>
      <c r="AY1101" s="446">
        <f t="shared" si="419"/>
        <v>711.83999999999992</v>
      </c>
      <c r="AZ1101" s="445">
        <f t="shared" si="419"/>
        <v>1480.2850000000001</v>
      </c>
      <c r="BA1101" s="178">
        <f t="shared" si="419"/>
        <v>0</v>
      </c>
      <c r="BB1101" s="446">
        <f t="shared" si="419"/>
        <v>2321.5039999999999</v>
      </c>
      <c r="BC1101" s="445">
        <f t="shared" si="419"/>
        <v>0</v>
      </c>
      <c r="BD1101" s="178">
        <f t="shared" si="419"/>
        <v>0</v>
      </c>
      <c r="BE1101" s="446">
        <f t="shared" si="419"/>
        <v>0</v>
      </c>
      <c r="BF1101" s="445">
        <f t="shared" si="419"/>
        <v>38.983999999999995</v>
      </c>
      <c r="BG1101" s="178">
        <f t="shared" si="419"/>
        <v>0</v>
      </c>
      <c r="BH1101" s="446">
        <f t="shared" si="419"/>
        <v>75.244</v>
      </c>
      <c r="BI1101" s="445">
        <f t="shared" si="419"/>
        <v>280.10899999999998</v>
      </c>
      <c r="BJ1101" s="178">
        <f t="shared" si="419"/>
        <v>0</v>
      </c>
      <c r="BK1101" s="446">
        <f t="shared" si="419"/>
        <v>599.52</v>
      </c>
      <c r="BN1101" s="125">
        <f t="shared" si="402"/>
        <v>12416.634</v>
      </c>
      <c r="BO1101" s="126">
        <f t="shared" si="403"/>
        <v>24303.013999999999</v>
      </c>
      <c r="BP1101" s="127">
        <f t="shared" si="404"/>
        <v>34027.747999999992</v>
      </c>
    </row>
    <row r="1102" spans="1:68" ht="1.5" hidden="1" customHeight="1" outlineLevel="3" x14ac:dyDescent="0.25">
      <c r="C1102" s="10" t="s">
        <v>83</v>
      </c>
      <c r="D1102" s="297" t="s">
        <v>84</v>
      </c>
      <c r="E1102" s="297" t="s">
        <v>73</v>
      </c>
      <c r="F1102" s="10" t="s">
        <v>74</v>
      </c>
      <c r="G1102" s="297" t="s">
        <v>501</v>
      </c>
      <c r="H1102" s="297" t="s">
        <v>73</v>
      </c>
      <c r="I1102" s="297" t="s">
        <v>73</v>
      </c>
      <c r="J1102" s="297" t="s">
        <v>73</v>
      </c>
      <c r="K1102" s="298" t="s">
        <v>73</v>
      </c>
      <c r="L1102" s="10" t="s">
        <v>133</v>
      </c>
      <c r="M1102" s="5" t="str">
        <f t="array" ref="M1102">Y806</f>
        <v>1ХВС::1.1</v>
      </c>
      <c r="AB1102" s="299" t="s">
        <v>502</v>
      </c>
      <c r="AC1102" s="281" t="s">
        <v>503</v>
      </c>
      <c r="AD1102" s="370" t="s">
        <v>119</v>
      </c>
      <c r="AE1102" s="175">
        <v>0.64</v>
      </c>
      <c r="AF1102" s="73">
        <v>1.64</v>
      </c>
      <c r="AG1102" s="176">
        <v>2.64</v>
      </c>
      <c r="AH1102" s="179"/>
      <c r="AI1102" s="73"/>
      <c r="AJ1102" s="74"/>
      <c r="AK1102" s="179"/>
      <c r="AL1102" s="73"/>
      <c r="AM1102" s="74">
        <v>0.83</v>
      </c>
      <c r="AN1102" s="179"/>
      <c r="AO1102" s="73"/>
      <c r="AP1102" s="74">
        <v>0.62</v>
      </c>
      <c r="AQ1102" s="179"/>
      <c r="AR1102" s="73"/>
      <c r="AS1102" s="74">
        <v>0.32</v>
      </c>
      <c r="AT1102" s="179"/>
      <c r="AU1102" s="73">
        <v>0.24</v>
      </c>
      <c r="AV1102" s="74">
        <v>0.53</v>
      </c>
      <c r="AW1102" s="179"/>
      <c r="AX1102" s="73"/>
      <c r="AY1102" s="74"/>
      <c r="AZ1102" s="179"/>
      <c r="BA1102" s="73"/>
      <c r="BB1102" s="74"/>
      <c r="BC1102" s="179"/>
      <c r="BD1102" s="73"/>
      <c r="BE1102" s="74"/>
      <c r="BF1102" s="139">
        <v>0.06</v>
      </c>
      <c r="BG1102" s="140"/>
      <c r="BH1102" s="143">
        <v>0.1</v>
      </c>
      <c r="BI1102" s="142">
        <v>0.28999999999999998</v>
      </c>
      <c r="BJ1102" s="140"/>
      <c r="BK1102" s="143">
        <v>0.52</v>
      </c>
      <c r="BN1102" s="125">
        <f t="shared" si="402"/>
        <v>0.99</v>
      </c>
      <c r="BO1102" s="126">
        <f t="shared" si="403"/>
        <v>1.88</v>
      </c>
      <c r="BP1102" s="127">
        <f t="shared" si="404"/>
        <v>5.5600000000000005</v>
      </c>
    </row>
    <row r="1103" spans="1:68" s="171" customFormat="1" ht="25.5" customHeight="1" x14ac:dyDescent="0.25">
      <c r="A1103" s="167" t="b">
        <f>REGULATION_METHODS="Метод индексации"</f>
        <v>1</v>
      </c>
      <c r="B1103" s="166" t="b">
        <f t="array" ref="B1103">A1103</f>
        <v>1</v>
      </c>
      <c r="C1103" s="167" t="s">
        <v>83</v>
      </c>
      <c r="D1103" s="167" t="s">
        <v>84</v>
      </c>
      <c r="E1103" s="167" t="s">
        <v>73</v>
      </c>
      <c r="F1103" s="167" t="s">
        <v>74</v>
      </c>
      <c r="G1103" s="167" t="s">
        <v>504</v>
      </c>
      <c r="H1103" s="167" t="s">
        <v>73</v>
      </c>
      <c r="I1103" s="167" t="s">
        <v>73</v>
      </c>
      <c r="J1103" s="167" t="s">
        <v>73</v>
      </c>
      <c r="K1103" s="168" t="s">
        <v>73</v>
      </c>
      <c r="L1103" s="167" t="s">
        <v>133</v>
      </c>
      <c r="M1103" s="166" t="str">
        <f t="array" ref="M1103">Y806</f>
        <v>1ХВС::1.1</v>
      </c>
      <c r="N1103" s="166"/>
      <c r="O1103" s="166"/>
      <c r="P1103" s="166"/>
      <c r="Q1103" s="166"/>
      <c r="R1103" s="166"/>
      <c r="S1103" s="166"/>
      <c r="T1103" s="166"/>
      <c r="U1103" s="166"/>
      <c r="V1103" s="166"/>
      <c r="W1103" s="166"/>
      <c r="X1103" s="166"/>
      <c r="Y1103" s="166"/>
      <c r="Z1103" s="166"/>
      <c r="AA1103" s="166"/>
      <c r="AB1103" s="623">
        <f>AB855+1</f>
        <v>4</v>
      </c>
      <c r="AC1103" s="624" t="s">
        <v>504</v>
      </c>
      <c r="AD1103" s="625" t="s">
        <v>111</v>
      </c>
      <c r="AE1103" s="626">
        <f t="shared" ref="AE1103:BK1103" si="420">SUM(AE1104:AE1105)</f>
        <v>0</v>
      </c>
      <c r="AF1103" s="627">
        <f t="shared" si="420"/>
        <v>0</v>
      </c>
      <c r="AG1103" s="628">
        <f t="shared" si="420"/>
        <v>550381.09</v>
      </c>
      <c r="AH1103" s="629">
        <f t="shared" si="420"/>
        <v>0</v>
      </c>
      <c r="AI1103" s="627">
        <f t="shared" si="420"/>
        <v>-431.65</v>
      </c>
      <c r="AJ1103" s="628">
        <f t="shared" si="420"/>
        <v>11620.4</v>
      </c>
      <c r="AK1103" s="626">
        <f t="shared" si="420"/>
        <v>0</v>
      </c>
      <c r="AL1103" s="627">
        <f t="shared" si="420"/>
        <v>0</v>
      </c>
      <c r="AM1103" s="628">
        <f t="shared" si="420"/>
        <v>24652.343000000001</v>
      </c>
      <c r="AN1103" s="626">
        <f t="shared" si="420"/>
        <v>0</v>
      </c>
      <c r="AO1103" s="627">
        <f t="shared" si="420"/>
        <v>0</v>
      </c>
      <c r="AP1103" s="628">
        <f t="shared" si="420"/>
        <v>29888.239999999998</v>
      </c>
      <c r="AQ1103" s="626">
        <f t="shared" si="420"/>
        <v>0</v>
      </c>
      <c r="AR1103" s="627">
        <f t="shared" si="420"/>
        <v>961.74</v>
      </c>
      <c r="AS1103" s="628">
        <f t="shared" si="420"/>
        <v>32776.695</v>
      </c>
      <c r="AT1103" s="626">
        <f t="shared" si="420"/>
        <v>0</v>
      </c>
      <c r="AU1103" s="627">
        <f t="shared" si="420"/>
        <v>0</v>
      </c>
      <c r="AV1103" s="628">
        <f t="shared" si="420"/>
        <v>27003.41</v>
      </c>
      <c r="AW1103" s="626">
        <f t="shared" si="420"/>
        <v>0</v>
      </c>
      <c r="AX1103" s="627">
        <f t="shared" si="420"/>
        <v>-1679.81</v>
      </c>
      <c r="AY1103" s="628">
        <f t="shared" si="420"/>
        <v>0</v>
      </c>
      <c r="AZ1103" s="626">
        <f t="shared" si="420"/>
        <v>0</v>
      </c>
      <c r="BA1103" s="627">
        <f t="shared" si="420"/>
        <v>0</v>
      </c>
      <c r="BB1103" s="628">
        <f t="shared" si="420"/>
        <v>0</v>
      </c>
      <c r="BC1103" s="626">
        <f t="shared" si="420"/>
        <v>125387.70000000001</v>
      </c>
      <c r="BD1103" s="627">
        <f t="shared" si="420"/>
        <v>18030.669999999998</v>
      </c>
      <c r="BE1103" s="628">
        <f t="shared" si="420"/>
        <v>0</v>
      </c>
      <c r="BF1103" s="626">
        <f t="shared" si="420"/>
        <v>0</v>
      </c>
      <c r="BG1103" s="627">
        <f t="shared" si="420"/>
        <v>2102.62</v>
      </c>
      <c r="BH1103" s="628">
        <f t="shared" si="420"/>
        <v>3861.8040000000001</v>
      </c>
      <c r="BI1103" s="626">
        <f t="shared" si="420"/>
        <v>0</v>
      </c>
      <c r="BJ1103" s="627">
        <f t="shared" si="420"/>
        <v>3368.25</v>
      </c>
      <c r="BK1103" s="628">
        <f t="shared" si="420"/>
        <v>0</v>
      </c>
      <c r="BL1103" s="170"/>
      <c r="BM1103" s="166"/>
      <c r="BN1103" s="630">
        <f t="shared" si="402"/>
        <v>125387.70000000001</v>
      </c>
      <c r="BO1103" s="631">
        <f t="shared" si="403"/>
        <v>22351.819999999996</v>
      </c>
      <c r="BP1103" s="632">
        <f t="shared" si="404"/>
        <v>680183.98199999996</v>
      </c>
    </row>
    <row r="1104" spans="1:68" ht="39" customHeight="1" outlineLevel="1" x14ac:dyDescent="0.25">
      <c r="A1104" s="10" t="e">
        <f t="array" ref="A1104">#REF!</f>
        <v>#REF!</v>
      </c>
      <c r="B1104" s="5" t="e">
        <f t="array" ref="B1104">A1104</f>
        <v>#REF!</v>
      </c>
      <c r="C1104" s="10" t="s">
        <v>83</v>
      </c>
      <c r="D1104" s="10" t="s">
        <v>84</v>
      </c>
      <c r="E1104" s="10" t="s">
        <v>73</v>
      </c>
      <c r="F1104" s="10" t="s">
        <v>74</v>
      </c>
      <c r="G1104" s="10" t="s">
        <v>505</v>
      </c>
      <c r="H1104" s="10" t="s">
        <v>73</v>
      </c>
      <c r="I1104" s="10" t="s">
        <v>73</v>
      </c>
      <c r="J1104" s="10" t="s">
        <v>73</v>
      </c>
      <c r="K1104" s="12" t="s">
        <v>73</v>
      </c>
      <c r="L1104" s="10" t="s">
        <v>133</v>
      </c>
      <c r="M1104" s="5" t="str">
        <f t="array" ref="M1104">Y806</f>
        <v>1ХВС::1.1</v>
      </c>
      <c r="AB1104" s="65" t="str">
        <f>AB1103&amp;".4"</f>
        <v>4.4</v>
      </c>
      <c r="AC1104" s="80" t="s">
        <v>505</v>
      </c>
      <c r="AD1104" s="370" t="s">
        <v>111</v>
      </c>
      <c r="AE1104" s="445">
        <f t="shared" ref="AE1104:BK1104" si="421">AE380</f>
        <v>0</v>
      </c>
      <c r="AF1104" s="178">
        <f t="shared" si="421"/>
        <v>0</v>
      </c>
      <c r="AG1104" s="446">
        <f t="shared" si="421"/>
        <v>0</v>
      </c>
      <c r="AH1104" s="636">
        <f t="shared" si="421"/>
        <v>0</v>
      </c>
      <c r="AI1104" s="178">
        <f t="shared" si="421"/>
        <v>0</v>
      </c>
      <c r="AJ1104" s="446">
        <f t="shared" si="421"/>
        <v>0</v>
      </c>
      <c r="AK1104" s="445">
        <f t="shared" si="421"/>
        <v>0</v>
      </c>
      <c r="AL1104" s="178">
        <f t="shared" si="421"/>
        <v>0</v>
      </c>
      <c r="AM1104" s="446">
        <f t="shared" si="421"/>
        <v>0</v>
      </c>
      <c r="AN1104" s="445">
        <f t="shared" si="421"/>
        <v>0</v>
      </c>
      <c r="AO1104" s="178">
        <f t="shared" si="421"/>
        <v>0</v>
      </c>
      <c r="AP1104" s="446">
        <f t="shared" si="421"/>
        <v>0</v>
      </c>
      <c r="AQ1104" s="445">
        <f t="shared" si="421"/>
        <v>0</v>
      </c>
      <c r="AR1104" s="178">
        <f t="shared" si="421"/>
        <v>0</v>
      </c>
      <c r="AS1104" s="446">
        <f t="shared" si="421"/>
        <v>0</v>
      </c>
      <c r="AT1104" s="445">
        <f t="shared" si="421"/>
        <v>0</v>
      </c>
      <c r="AU1104" s="178">
        <f t="shared" si="421"/>
        <v>0</v>
      </c>
      <c r="AV1104" s="446">
        <f t="shared" si="421"/>
        <v>0</v>
      </c>
      <c r="AW1104" s="445">
        <f t="shared" si="421"/>
        <v>0</v>
      </c>
      <c r="AX1104" s="178">
        <f t="shared" si="421"/>
        <v>0</v>
      </c>
      <c r="AY1104" s="446">
        <f t="shared" si="421"/>
        <v>0</v>
      </c>
      <c r="AZ1104" s="445">
        <f t="shared" si="421"/>
        <v>0</v>
      </c>
      <c r="BA1104" s="178">
        <f t="shared" si="421"/>
        <v>0</v>
      </c>
      <c r="BB1104" s="446">
        <f t="shared" si="421"/>
        <v>0</v>
      </c>
      <c r="BC1104" s="445">
        <f t="shared" si="421"/>
        <v>0</v>
      </c>
      <c r="BD1104" s="178">
        <f t="shared" si="421"/>
        <v>0</v>
      </c>
      <c r="BE1104" s="446">
        <f t="shared" si="421"/>
        <v>0</v>
      </c>
      <c r="BF1104" s="445">
        <f t="shared" si="421"/>
        <v>0</v>
      </c>
      <c r="BG1104" s="178">
        <f t="shared" si="421"/>
        <v>0</v>
      </c>
      <c r="BH1104" s="446">
        <f t="shared" si="421"/>
        <v>0</v>
      </c>
      <c r="BI1104" s="445">
        <f t="shared" si="421"/>
        <v>0</v>
      </c>
      <c r="BJ1104" s="178">
        <f t="shared" si="421"/>
        <v>0</v>
      </c>
      <c r="BK1104" s="446">
        <f t="shared" si="421"/>
        <v>0</v>
      </c>
      <c r="BN1104" s="125">
        <f t="shared" si="402"/>
        <v>0</v>
      </c>
      <c r="BO1104" s="126">
        <f t="shared" si="403"/>
        <v>0</v>
      </c>
      <c r="BP1104" s="127">
        <f t="shared" si="404"/>
        <v>0</v>
      </c>
    </row>
    <row r="1105" spans="1:68" ht="59.25" customHeight="1" outlineLevel="1" x14ac:dyDescent="0.25">
      <c r="A1105" s="10" t="e">
        <f t="array" ref="A1105">#REF!</f>
        <v>#REF!</v>
      </c>
      <c r="B1105" s="5" t="e">
        <f t="array" ref="B1105">A1105</f>
        <v>#REF!</v>
      </c>
      <c r="C1105" s="10" t="s">
        <v>83</v>
      </c>
      <c r="D1105" s="10" t="s">
        <v>84</v>
      </c>
      <c r="E1105" s="10" t="s">
        <v>73</v>
      </c>
      <c r="F1105" s="10" t="s">
        <v>74</v>
      </c>
      <c r="G1105" s="10" t="s">
        <v>513</v>
      </c>
      <c r="H1105" s="10" t="s">
        <v>73</v>
      </c>
      <c r="I1105" s="10" t="s">
        <v>73</v>
      </c>
      <c r="J1105" s="10" t="s">
        <v>73</v>
      </c>
      <c r="K1105" s="12" t="s">
        <v>73</v>
      </c>
      <c r="L1105" s="10" t="s">
        <v>133</v>
      </c>
      <c r="M1105" s="5" t="str">
        <f t="array" ref="M1105">Y806</f>
        <v>1ХВС::1.1</v>
      </c>
      <c r="AB1105" s="65" t="str">
        <f>AB1103&amp;".6"</f>
        <v>4.6</v>
      </c>
      <c r="AC1105" s="80" t="s">
        <v>513</v>
      </c>
      <c r="AD1105" s="370" t="s">
        <v>111</v>
      </c>
      <c r="AE1105" s="445">
        <f t="shared" ref="AE1105:BK1105" si="422">AE742+AE387</f>
        <v>0</v>
      </c>
      <c r="AF1105" s="178">
        <f t="shared" si="422"/>
        <v>0</v>
      </c>
      <c r="AG1105" s="446">
        <f t="shared" si="422"/>
        <v>550381.09</v>
      </c>
      <c r="AH1105" s="636">
        <f t="shared" si="422"/>
        <v>0</v>
      </c>
      <c r="AI1105" s="178">
        <f t="shared" si="422"/>
        <v>-431.65</v>
      </c>
      <c r="AJ1105" s="446">
        <f t="shared" si="422"/>
        <v>11620.4</v>
      </c>
      <c r="AK1105" s="445">
        <f t="shared" si="422"/>
        <v>0</v>
      </c>
      <c r="AL1105" s="178">
        <f t="shared" si="422"/>
        <v>0</v>
      </c>
      <c r="AM1105" s="446">
        <f t="shared" si="422"/>
        <v>24652.343000000001</v>
      </c>
      <c r="AN1105" s="445">
        <f t="shared" si="422"/>
        <v>0</v>
      </c>
      <c r="AO1105" s="178">
        <f t="shared" si="422"/>
        <v>0</v>
      </c>
      <c r="AP1105" s="446">
        <f t="shared" si="422"/>
        <v>29888.239999999998</v>
      </c>
      <c r="AQ1105" s="445">
        <f t="shared" si="422"/>
        <v>0</v>
      </c>
      <c r="AR1105" s="178">
        <f t="shared" si="422"/>
        <v>961.74</v>
      </c>
      <c r="AS1105" s="446">
        <f t="shared" si="422"/>
        <v>32776.695</v>
      </c>
      <c r="AT1105" s="445">
        <f t="shared" si="422"/>
        <v>0</v>
      </c>
      <c r="AU1105" s="178">
        <f t="shared" si="422"/>
        <v>0</v>
      </c>
      <c r="AV1105" s="446">
        <f t="shared" si="422"/>
        <v>27003.41</v>
      </c>
      <c r="AW1105" s="445">
        <f t="shared" si="422"/>
        <v>0</v>
      </c>
      <c r="AX1105" s="178">
        <f t="shared" si="422"/>
        <v>-1679.81</v>
      </c>
      <c r="AY1105" s="446">
        <f t="shared" si="422"/>
        <v>0</v>
      </c>
      <c r="AZ1105" s="445">
        <f t="shared" si="422"/>
        <v>0</v>
      </c>
      <c r="BA1105" s="178">
        <f t="shared" si="422"/>
        <v>0</v>
      </c>
      <c r="BB1105" s="446">
        <f t="shared" si="422"/>
        <v>0</v>
      </c>
      <c r="BC1105" s="445">
        <f t="shared" si="422"/>
        <v>125387.70000000001</v>
      </c>
      <c r="BD1105" s="178">
        <f t="shared" si="422"/>
        <v>18030.669999999998</v>
      </c>
      <c r="BE1105" s="446">
        <f t="shared" si="422"/>
        <v>0</v>
      </c>
      <c r="BF1105" s="445">
        <f t="shared" si="422"/>
        <v>0</v>
      </c>
      <c r="BG1105" s="178">
        <f t="shared" si="422"/>
        <v>2102.62</v>
      </c>
      <c r="BH1105" s="446">
        <f t="shared" si="422"/>
        <v>3861.8040000000001</v>
      </c>
      <c r="BI1105" s="445">
        <f t="shared" si="422"/>
        <v>0</v>
      </c>
      <c r="BJ1105" s="178">
        <f t="shared" si="422"/>
        <v>3368.25</v>
      </c>
      <c r="BK1105" s="446">
        <f t="shared" si="422"/>
        <v>0</v>
      </c>
      <c r="BN1105" s="125">
        <f t="shared" si="402"/>
        <v>125387.70000000001</v>
      </c>
      <c r="BO1105" s="126">
        <f t="shared" si="403"/>
        <v>22351.819999999996</v>
      </c>
      <c r="BP1105" s="127">
        <f t="shared" si="404"/>
        <v>680183.98199999996</v>
      </c>
    </row>
    <row r="1106" spans="1:68" s="171" customFormat="1" ht="28.5" customHeight="1" x14ac:dyDescent="0.25">
      <c r="A1106" s="167" t="b">
        <f>REGULATION_METHODS="Метод индексации"</f>
        <v>1</v>
      </c>
      <c r="B1106" s="166" t="b">
        <f t="array" ref="B1106">A1106</f>
        <v>1</v>
      </c>
      <c r="C1106" s="167" t="s">
        <v>83</v>
      </c>
      <c r="D1106" s="167" t="s">
        <v>84</v>
      </c>
      <c r="E1106" s="167" t="s">
        <v>73</v>
      </c>
      <c r="F1106" s="167" t="s">
        <v>74</v>
      </c>
      <c r="G1106" s="167" t="s">
        <v>514</v>
      </c>
      <c r="H1106" s="167" t="s">
        <v>73</v>
      </c>
      <c r="I1106" s="167" t="s">
        <v>73</v>
      </c>
      <c r="J1106" s="167" t="s">
        <v>73</v>
      </c>
      <c r="K1106" s="168" t="s">
        <v>73</v>
      </c>
      <c r="L1106" s="167" t="s">
        <v>133</v>
      </c>
      <c r="M1106" s="166" t="str">
        <f t="array" ref="M1106">Y806</f>
        <v>1ХВС::1.1</v>
      </c>
      <c r="N1106" s="166"/>
      <c r="O1106" s="166"/>
      <c r="P1106" s="166"/>
      <c r="Q1106" s="166"/>
      <c r="R1106" s="166"/>
      <c r="S1106" s="166"/>
      <c r="T1106" s="166"/>
      <c r="U1106" s="166"/>
      <c r="V1106" s="166"/>
      <c r="W1106" s="166"/>
      <c r="X1106" s="166"/>
      <c r="Y1106" s="166"/>
      <c r="Z1106" s="166"/>
      <c r="AA1106" s="166"/>
      <c r="AB1106" s="623">
        <f>COUNT(AB1103,AB855,AB809)+2</f>
        <v>5</v>
      </c>
      <c r="AC1106" s="624" t="s">
        <v>515</v>
      </c>
      <c r="AD1106" s="625" t="s">
        <v>111</v>
      </c>
      <c r="AE1106" s="673">
        <f t="shared" ref="AE1106:BK1106" si="423">AE388+AE758</f>
        <v>0</v>
      </c>
      <c r="AF1106" s="674">
        <f t="shared" si="423"/>
        <v>-7490</v>
      </c>
      <c r="AG1106" s="675">
        <f t="shared" si="423"/>
        <v>0</v>
      </c>
      <c r="AH1106" s="676">
        <f t="shared" si="423"/>
        <v>0</v>
      </c>
      <c r="AI1106" s="674">
        <f t="shared" si="423"/>
        <v>0</v>
      </c>
      <c r="AJ1106" s="675">
        <f t="shared" si="423"/>
        <v>0</v>
      </c>
      <c r="AK1106" s="673">
        <f t="shared" si="423"/>
        <v>0</v>
      </c>
      <c r="AL1106" s="674">
        <f t="shared" si="423"/>
        <v>245</v>
      </c>
      <c r="AM1106" s="675">
        <f t="shared" si="423"/>
        <v>0</v>
      </c>
      <c r="AN1106" s="673">
        <f t="shared" si="423"/>
        <v>0</v>
      </c>
      <c r="AO1106" s="674">
        <f t="shared" si="423"/>
        <v>0</v>
      </c>
      <c r="AP1106" s="675">
        <f t="shared" si="423"/>
        <v>0</v>
      </c>
      <c r="AQ1106" s="673">
        <f t="shared" si="423"/>
        <v>0</v>
      </c>
      <c r="AR1106" s="674">
        <f t="shared" si="423"/>
        <v>1350</v>
      </c>
      <c r="AS1106" s="675">
        <f t="shared" si="423"/>
        <v>0</v>
      </c>
      <c r="AT1106" s="673">
        <f t="shared" si="423"/>
        <v>0</v>
      </c>
      <c r="AU1106" s="674">
        <f t="shared" si="423"/>
        <v>0</v>
      </c>
      <c r="AV1106" s="675">
        <f t="shared" si="423"/>
        <v>0</v>
      </c>
      <c r="AW1106" s="673">
        <f t="shared" si="423"/>
        <v>0</v>
      </c>
      <c r="AX1106" s="674">
        <f t="shared" si="423"/>
        <v>1400</v>
      </c>
      <c r="AY1106" s="675">
        <f t="shared" si="423"/>
        <v>0</v>
      </c>
      <c r="AZ1106" s="673">
        <f t="shared" si="423"/>
        <v>0</v>
      </c>
      <c r="BA1106" s="674">
        <f t="shared" si="423"/>
        <v>0</v>
      </c>
      <c r="BB1106" s="675">
        <f t="shared" si="423"/>
        <v>0</v>
      </c>
      <c r="BC1106" s="673">
        <f t="shared" si="423"/>
        <v>0</v>
      </c>
      <c r="BD1106" s="674">
        <f t="shared" si="423"/>
        <v>-49000</v>
      </c>
      <c r="BE1106" s="675">
        <f t="shared" si="423"/>
        <v>0</v>
      </c>
      <c r="BF1106" s="673">
        <f t="shared" si="423"/>
        <v>0</v>
      </c>
      <c r="BG1106" s="674">
        <f t="shared" si="423"/>
        <v>-10500</v>
      </c>
      <c r="BH1106" s="675">
        <f t="shared" si="423"/>
        <v>0</v>
      </c>
      <c r="BI1106" s="673">
        <f t="shared" si="423"/>
        <v>0</v>
      </c>
      <c r="BJ1106" s="674">
        <f t="shared" si="423"/>
        <v>-11000</v>
      </c>
      <c r="BK1106" s="675">
        <f t="shared" si="423"/>
        <v>0</v>
      </c>
      <c r="BL1106" s="170"/>
      <c r="BM1106" s="166"/>
      <c r="BN1106" s="630">
        <f t="shared" si="402"/>
        <v>0</v>
      </c>
      <c r="BO1106" s="631">
        <f t="shared" si="403"/>
        <v>-74995</v>
      </c>
      <c r="BP1106" s="632">
        <f t="shared" si="404"/>
        <v>0</v>
      </c>
    </row>
    <row r="1107" spans="1:68" s="171" customFormat="1" ht="31.5" customHeight="1" x14ac:dyDescent="0.25">
      <c r="A1107" s="166"/>
      <c r="B1107" s="166"/>
      <c r="C1107" s="167" t="s">
        <v>83</v>
      </c>
      <c r="D1107" s="167" t="s">
        <v>84</v>
      </c>
      <c r="E1107" s="167" t="s">
        <v>73</v>
      </c>
      <c r="F1107" s="167" t="s">
        <v>74</v>
      </c>
      <c r="G1107" s="314" t="s">
        <v>516</v>
      </c>
      <c r="H1107" s="167" t="s">
        <v>73</v>
      </c>
      <c r="I1107" s="167" t="s">
        <v>73</v>
      </c>
      <c r="J1107" s="167" t="s">
        <v>73</v>
      </c>
      <c r="K1107" s="168" t="s">
        <v>73</v>
      </c>
      <c r="L1107" s="315" t="s">
        <v>73</v>
      </c>
      <c r="M1107" s="166" t="str">
        <f t="array" ref="M1107">Y806</f>
        <v>1ХВС::1.1</v>
      </c>
      <c r="N1107" s="166"/>
      <c r="O1107" s="166"/>
      <c r="P1107" s="166"/>
      <c r="Q1107" s="166"/>
      <c r="R1107" s="166"/>
      <c r="S1107" s="166"/>
      <c r="T1107" s="166"/>
      <c r="U1107" s="166"/>
      <c r="V1107" s="166"/>
      <c r="W1107" s="166"/>
      <c r="X1107" s="166"/>
      <c r="Y1107" s="166"/>
      <c r="Z1107" s="166"/>
      <c r="AA1107" s="166"/>
      <c r="AB1107" s="623">
        <f>COUNT(AB1103,AB855,AB809,AB1106,#REF!)+2</f>
        <v>6</v>
      </c>
      <c r="AC1107" s="624" t="s">
        <v>517</v>
      </c>
      <c r="AD1107" s="625" t="s">
        <v>111</v>
      </c>
      <c r="AE1107" s="673">
        <f t="shared" ref="AE1107:BK1107" si="424">AE1109</f>
        <v>0</v>
      </c>
      <c r="AF1107" s="674">
        <f t="shared" si="424"/>
        <v>0</v>
      </c>
      <c r="AG1107" s="675">
        <f t="shared" si="424"/>
        <v>0</v>
      </c>
      <c r="AH1107" s="677">
        <f t="shared" si="424"/>
        <v>0</v>
      </c>
      <c r="AI1107" s="674">
        <f t="shared" si="424"/>
        <v>0</v>
      </c>
      <c r="AJ1107" s="678">
        <f t="shared" si="424"/>
        <v>0</v>
      </c>
      <c r="AK1107" s="677">
        <f t="shared" si="424"/>
        <v>0</v>
      </c>
      <c r="AL1107" s="674">
        <f t="shared" si="424"/>
        <v>-1272.18</v>
      </c>
      <c r="AM1107" s="678">
        <f t="shared" si="424"/>
        <v>0</v>
      </c>
      <c r="AN1107" s="677">
        <f t="shared" si="424"/>
        <v>0</v>
      </c>
      <c r="AO1107" s="674">
        <f t="shared" si="424"/>
        <v>0</v>
      </c>
      <c r="AP1107" s="678">
        <f t="shared" si="424"/>
        <v>0</v>
      </c>
      <c r="AQ1107" s="677">
        <f t="shared" si="424"/>
        <v>0</v>
      </c>
      <c r="AR1107" s="674">
        <f t="shared" si="424"/>
        <v>-7488.5829999999996</v>
      </c>
      <c r="AS1107" s="678">
        <f t="shared" si="424"/>
        <v>0</v>
      </c>
      <c r="AT1107" s="677">
        <f t="shared" si="424"/>
        <v>0</v>
      </c>
      <c r="AU1107" s="674">
        <f t="shared" si="424"/>
        <v>-37848.1</v>
      </c>
      <c r="AV1107" s="678">
        <f t="shared" si="424"/>
        <v>0</v>
      </c>
      <c r="AW1107" s="677">
        <f t="shared" si="424"/>
        <v>0</v>
      </c>
      <c r="AX1107" s="674">
        <f t="shared" si="424"/>
        <v>12391.93</v>
      </c>
      <c r="AY1107" s="678">
        <f t="shared" si="424"/>
        <v>0</v>
      </c>
      <c r="AZ1107" s="677">
        <f t="shared" si="424"/>
        <v>0</v>
      </c>
      <c r="BA1107" s="674">
        <f t="shared" si="424"/>
        <v>91827.945000000007</v>
      </c>
      <c r="BB1107" s="678">
        <f t="shared" si="424"/>
        <v>0</v>
      </c>
      <c r="BC1107" s="677">
        <f t="shared" si="424"/>
        <v>0</v>
      </c>
      <c r="BD1107" s="674">
        <f t="shared" si="424"/>
        <v>-49505.69</v>
      </c>
      <c r="BE1107" s="678">
        <f t="shared" si="424"/>
        <v>0</v>
      </c>
      <c r="BF1107" s="677">
        <f t="shared" si="424"/>
        <v>0</v>
      </c>
      <c r="BG1107" s="674">
        <f t="shared" si="424"/>
        <v>-19508.84</v>
      </c>
      <c r="BH1107" s="678">
        <f t="shared" si="424"/>
        <v>0</v>
      </c>
      <c r="BI1107" s="679">
        <f t="shared" si="424"/>
        <v>0</v>
      </c>
      <c r="BJ1107" s="674">
        <f t="shared" si="424"/>
        <v>-41330.589999999997</v>
      </c>
      <c r="BK1107" s="678">
        <f t="shared" si="424"/>
        <v>0</v>
      </c>
      <c r="BL1107" s="170"/>
      <c r="BM1107" s="166"/>
      <c r="BN1107" s="630">
        <f t="shared" si="402"/>
        <v>0</v>
      </c>
      <c r="BO1107" s="631">
        <f t="shared" si="403"/>
        <v>-52734.107999999993</v>
      </c>
      <c r="BP1107" s="632">
        <f t="shared" si="404"/>
        <v>0</v>
      </c>
    </row>
    <row r="1108" spans="1:68" ht="37.5" hidden="1" customHeight="1" x14ac:dyDescent="0.25">
      <c r="C1108" s="316" t="s">
        <v>83</v>
      </c>
      <c r="D1108" s="316" t="s">
        <v>84</v>
      </c>
      <c r="E1108" s="316" t="s">
        <v>73</v>
      </c>
      <c r="F1108" s="316" t="s">
        <v>74</v>
      </c>
      <c r="G1108" s="316" t="s">
        <v>518</v>
      </c>
      <c r="H1108" s="316" t="s">
        <v>73</v>
      </c>
      <c r="I1108" s="316" t="s">
        <v>73</v>
      </c>
      <c r="J1108" s="316" t="s">
        <v>73</v>
      </c>
      <c r="K1108" s="317" t="s">
        <v>73</v>
      </c>
      <c r="L1108" s="316" t="s">
        <v>73</v>
      </c>
      <c r="M1108" s="5" t="str">
        <f t="array" ref="M1108">Y806</f>
        <v>1ХВС::1.1</v>
      </c>
      <c r="AB1108" s="29" t="str">
        <f>AB1107&amp;".1"</f>
        <v>6.1</v>
      </c>
      <c r="AC1108" s="80" t="s">
        <v>518</v>
      </c>
      <c r="AD1108" s="370" t="s">
        <v>111</v>
      </c>
      <c r="AE1108" s="445"/>
      <c r="AF1108" s="178"/>
      <c r="AG1108" s="446"/>
      <c r="AH1108" s="187"/>
      <c r="AI1108" s="178"/>
      <c r="AJ1108" s="96"/>
      <c r="AK1108" s="187"/>
      <c r="AL1108" s="178"/>
      <c r="AM1108" s="96"/>
      <c r="AN1108" s="187"/>
      <c r="AO1108" s="178"/>
      <c r="AP1108" s="96"/>
      <c r="AQ1108" s="187"/>
      <c r="AR1108" s="178"/>
      <c r="AS1108" s="96"/>
      <c r="AT1108" s="187"/>
      <c r="AU1108" s="178"/>
      <c r="AV1108" s="96"/>
      <c r="AW1108" s="187"/>
      <c r="AX1108" s="178"/>
      <c r="AY1108" s="96"/>
      <c r="AZ1108" s="187"/>
      <c r="BA1108" s="178"/>
      <c r="BB1108" s="96"/>
      <c r="BC1108" s="187"/>
      <c r="BD1108" s="178"/>
      <c r="BE1108" s="96"/>
      <c r="BF1108" s="182"/>
      <c r="BG1108" s="183"/>
      <c r="BH1108" s="186"/>
      <c r="BI1108" s="185"/>
      <c r="BJ1108" s="183"/>
      <c r="BK1108" s="186"/>
      <c r="BN1108" s="125">
        <f t="shared" si="402"/>
        <v>0</v>
      </c>
      <c r="BO1108" s="126">
        <f t="shared" si="403"/>
        <v>0</v>
      </c>
      <c r="BP1108" s="127">
        <f t="shared" si="404"/>
        <v>0</v>
      </c>
    </row>
    <row r="1109" spans="1:68" ht="45" customHeight="1" x14ac:dyDescent="0.25">
      <c r="C1109" s="316" t="s">
        <v>83</v>
      </c>
      <c r="D1109" s="316" t="s">
        <v>84</v>
      </c>
      <c r="E1109" s="316" t="s">
        <v>73</v>
      </c>
      <c r="F1109" s="316" t="s">
        <v>74</v>
      </c>
      <c r="G1109" s="316" t="s">
        <v>519</v>
      </c>
      <c r="H1109" s="316" t="s">
        <v>73</v>
      </c>
      <c r="I1109" s="316" t="s">
        <v>73</v>
      </c>
      <c r="J1109" s="316" t="s">
        <v>73</v>
      </c>
      <c r="K1109" s="317" t="s">
        <v>73</v>
      </c>
      <c r="L1109" s="316" t="s">
        <v>73</v>
      </c>
      <c r="M1109" s="5" t="str">
        <f t="array" ref="M1109">Y806</f>
        <v>1ХВС::1.1</v>
      </c>
      <c r="AB1109" s="29" t="str">
        <f>AB1107&amp;".2"</f>
        <v>6.2</v>
      </c>
      <c r="AC1109" s="80" t="s">
        <v>519</v>
      </c>
      <c r="AD1109" s="370" t="s">
        <v>111</v>
      </c>
      <c r="AE1109" s="445">
        <f t="shared" ref="AE1109:BK1109" si="425">AE391+AE765</f>
        <v>0</v>
      </c>
      <c r="AF1109" s="178">
        <f t="shared" si="425"/>
        <v>0</v>
      </c>
      <c r="AG1109" s="446">
        <f t="shared" si="425"/>
        <v>0</v>
      </c>
      <c r="AH1109" s="636">
        <f t="shared" si="425"/>
        <v>0</v>
      </c>
      <c r="AI1109" s="178">
        <f t="shared" si="425"/>
        <v>0</v>
      </c>
      <c r="AJ1109" s="446">
        <f t="shared" si="425"/>
        <v>0</v>
      </c>
      <c r="AK1109" s="445">
        <f t="shared" si="425"/>
        <v>0</v>
      </c>
      <c r="AL1109" s="178">
        <f t="shared" si="425"/>
        <v>-1272.18</v>
      </c>
      <c r="AM1109" s="446">
        <f t="shared" si="425"/>
        <v>0</v>
      </c>
      <c r="AN1109" s="445">
        <f t="shared" si="425"/>
        <v>0</v>
      </c>
      <c r="AO1109" s="178">
        <f t="shared" si="425"/>
        <v>0</v>
      </c>
      <c r="AP1109" s="446">
        <f t="shared" si="425"/>
        <v>0</v>
      </c>
      <c r="AQ1109" s="445">
        <f t="shared" si="425"/>
        <v>0</v>
      </c>
      <c r="AR1109" s="178">
        <f t="shared" si="425"/>
        <v>-7488.5829999999996</v>
      </c>
      <c r="AS1109" s="446">
        <f t="shared" si="425"/>
        <v>0</v>
      </c>
      <c r="AT1109" s="445">
        <f t="shared" si="425"/>
        <v>0</v>
      </c>
      <c r="AU1109" s="178">
        <f t="shared" si="425"/>
        <v>-37848.1</v>
      </c>
      <c r="AV1109" s="446">
        <f t="shared" si="425"/>
        <v>0</v>
      </c>
      <c r="AW1109" s="445">
        <f t="shared" si="425"/>
        <v>0</v>
      </c>
      <c r="AX1109" s="178">
        <f t="shared" si="425"/>
        <v>12391.93</v>
      </c>
      <c r="AY1109" s="446">
        <f t="shared" si="425"/>
        <v>0</v>
      </c>
      <c r="AZ1109" s="445">
        <f t="shared" si="425"/>
        <v>0</v>
      </c>
      <c r="BA1109" s="178">
        <f t="shared" si="425"/>
        <v>91827.945000000007</v>
      </c>
      <c r="BB1109" s="446">
        <f t="shared" si="425"/>
        <v>0</v>
      </c>
      <c r="BC1109" s="445">
        <f t="shared" si="425"/>
        <v>0</v>
      </c>
      <c r="BD1109" s="178">
        <f t="shared" si="425"/>
        <v>-49505.69</v>
      </c>
      <c r="BE1109" s="446">
        <f t="shared" si="425"/>
        <v>0</v>
      </c>
      <c r="BF1109" s="445">
        <f t="shared" si="425"/>
        <v>0</v>
      </c>
      <c r="BG1109" s="178">
        <f t="shared" si="425"/>
        <v>-19508.84</v>
      </c>
      <c r="BH1109" s="446">
        <f t="shared" si="425"/>
        <v>0</v>
      </c>
      <c r="BI1109" s="445">
        <f t="shared" si="425"/>
        <v>0</v>
      </c>
      <c r="BJ1109" s="178">
        <f t="shared" si="425"/>
        <v>-41330.589999999997</v>
      </c>
      <c r="BK1109" s="446">
        <f t="shared" si="425"/>
        <v>0</v>
      </c>
      <c r="BN1109" s="125">
        <f t="shared" si="402"/>
        <v>0</v>
      </c>
      <c r="BO1109" s="126">
        <f t="shared" si="403"/>
        <v>-52734.107999999993</v>
      </c>
      <c r="BP1109" s="127">
        <f t="shared" si="404"/>
        <v>0</v>
      </c>
    </row>
    <row r="1110" spans="1:68" s="171" customFormat="1" ht="30" hidden="1" customHeight="1" x14ac:dyDescent="0.25">
      <c r="A1110" s="166"/>
      <c r="B1110" s="166"/>
      <c r="C1110" s="321" t="s">
        <v>83</v>
      </c>
      <c r="D1110" s="315" t="s">
        <v>84</v>
      </c>
      <c r="E1110" s="315" t="s">
        <v>73</v>
      </c>
      <c r="F1110" s="315" t="s">
        <v>74</v>
      </c>
      <c r="G1110" s="315" t="s">
        <v>520</v>
      </c>
      <c r="H1110" s="315" t="s">
        <v>73</v>
      </c>
      <c r="I1110" s="315" t="s">
        <v>73</v>
      </c>
      <c r="J1110" s="315" t="s">
        <v>73</v>
      </c>
      <c r="K1110" s="322" t="s">
        <v>73</v>
      </c>
      <c r="L1110" s="315" t="s">
        <v>73</v>
      </c>
      <c r="M1110" s="166" t="str">
        <f t="array" ref="M1110">Y806</f>
        <v>1ХВС::1.1</v>
      </c>
      <c r="N1110" s="166"/>
      <c r="O1110" s="166"/>
      <c r="P1110" s="166"/>
      <c r="Q1110" s="166"/>
      <c r="R1110" s="166"/>
      <c r="S1110" s="166"/>
      <c r="T1110" s="166"/>
      <c r="U1110" s="166"/>
      <c r="V1110" s="166"/>
      <c r="W1110" s="166"/>
      <c r="X1110" s="166"/>
      <c r="Y1110" s="166"/>
      <c r="Z1110" s="166"/>
      <c r="AA1110" s="166"/>
      <c r="AB1110" s="323">
        <f>COUNT(AB1103,AB855,AB809,AB1106,#REF!,AB1107,#REF!)+2</f>
        <v>7</v>
      </c>
      <c r="AC1110" s="324" t="s">
        <v>520</v>
      </c>
      <c r="AD1110" s="325" t="s">
        <v>111</v>
      </c>
      <c r="AE1110" s="680"/>
      <c r="AF1110" s="330"/>
      <c r="AG1110" s="681"/>
      <c r="AH1110" s="682"/>
      <c r="AI1110" s="330"/>
      <c r="AJ1110" s="331"/>
      <c r="AK1110" s="682"/>
      <c r="AL1110" s="330"/>
      <c r="AM1110" s="331"/>
      <c r="AN1110" s="682"/>
      <c r="AO1110" s="330"/>
      <c r="AP1110" s="331"/>
      <c r="AQ1110" s="682"/>
      <c r="AR1110" s="330"/>
      <c r="AS1110" s="331"/>
      <c r="AT1110" s="682"/>
      <c r="AU1110" s="330"/>
      <c r="AV1110" s="331"/>
      <c r="AW1110" s="682"/>
      <c r="AX1110" s="330"/>
      <c r="AY1110" s="331"/>
      <c r="AZ1110" s="682"/>
      <c r="BA1110" s="330"/>
      <c r="BB1110" s="331"/>
      <c r="BC1110" s="682"/>
      <c r="BD1110" s="330"/>
      <c r="BE1110" s="331"/>
      <c r="BF1110" s="333"/>
      <c r="BG1110" s="334"/>
      <c r="BH1110" s="337"/>
      <c r="BI1110" s="336"/>
      <c r="BJ1110" s="334"/>
      <c r="BK1110" s="337"/>
      <c r="BL1110" s="170"/>
      <c r="BM1110" s="166"/>
      <c r="BN1110" s="125">
        <f t="shared" si="402"/>
        <v>0</v>
      </c>
      <c r="BO1110" s="126">
        <f t="shared" si="403"/>
        <v>0</v>
      </c>
      <c r="BP1110" s="127">
        <f t="shared" si="404"/>
        <v>0</v>
      </c>
    </row>
    <row r="1111" spans="1:68" s="171" customFormat="1" ht="31.5" hidden="1" customHeight="1" x14ac:dyDescent="0.25">
      <c r="A1111" s="166"/>
      <c r="B1111" s="166"/>
      <c r="C1111" s="321" t="s">
        <v>83</v>
      </c>
      <c r="D1111" s="315" t="s">
        <v>84</v>
      </c>
      <c r="E1111" s="315" t="s">
        <v>73</v>
      </c>
      <c r="F1111" s="315" t="s">
        <v>74</v>
      </c>
      <c r="G1111" s="315" t="s">
        <v>521</v>
      </c>
      <c r="H1111" s="315" t="s">
        <v>73</v>
      </c>
      <c r="I1111" s="315" t="s">
        <v>73</v>
      </c>
      <c r="J1111" s="315" t="s">
        <v>73</v>
      </c>
      <c r="K1111" s="322" t="s">
        <v>73</v>
      </c>
      <c r="L1111" s="315" t="s">
        <v>73</v>
      </c>
      <c r="M1111" s="166" t="str">
        <f t="array" ref="M1111">Y806</f>
        <v>1ХВС::1.1</v>
      </c>
      <c r="N1111" s="166"/>
      <c r="O1111" s="166"/>
      <c r="P1111" s="166"/>
      <c r="Q1111" s="166"/>
      <c r="R1111" s="166"/>
      <c r="S1111" s="166"/>
      <c r="T1111" s="166"/>
      <c r="U1111" s="166"/>
      <c r="V1111" s="166"/>
      <c r="W1111" s="166"/>
      <c r="X1111" s="166"/>
      <c r="Y1111" s="166"/>
      <c r="Z1111" s="166"/>
      <c r="AA1111" s="166"/>
      <c r="AB1111" s="338">
        <f>COUNT(AB1103,AB855,AB809,AB1106,#REF!,AB1107,AB1110,#REF!)+2</f>
        <v>8</v>
      </c>
      <c r="AC1111" s="339" t="s">
        <v>521</v>
      </c>
      <c r="AD1111" s="340" t="s">
        <v>111</v>
      </c>
      <c r="AE1111" s="683"/>
      <c r="AF1111" s="342"/>
      <c r="AG1111" s="684"/>
      <c r="AH1111" s="685"/>
      <c r="AI1111" s="342"/>
      <c r="AJ1111" s="343"/>
      <c r="AK1111" s="685"/>
      <c r="AL1111" s="342"/>
      <c r="AM1111" s="343"/>
      <c r="AN1111" s="685"/>
      <c r="AO1111" s="342"/>
      <c r="AP1111" s="343"/>
      <c r="AQ1111" s="685"/>
      <c r="AR1111" s="342"/>
      <c r="AS1111" s="343"/>
      <c r="AT1111" s="685"/>
      <c r="AU1111" s="342"/>
      <c r="AV1111" s="343"/>
      <c r="AW1111" s="685"/>
      <c r="AX1111" s="342"/>
      <c r="AY1111" s="343"/>
      <c r="AZ1111" s="685"/>
      <c r="BA1111" s="342"/>
      <c r="BB1111" s="343"/>
      <c r="BC1111" s="685"/>
      <c r="BD1111" s="342"/>
      <c r="BE1111" s="343"/>
      <c r="BF1111" s="345"/>
      <c r="BG1111" s="346"/>
      <c r="BH1111" s="349"/>
      <c r="BI1111" s="348"/>
      <c r="BJ1111" s="346"/>
      <c r="BK1111" s="349"/>
      <c r="BL1111" s="170"/>
      <c r="BM1111" s="166"/>
      <c r="BN1111" s="125">
        <f t="shared" si="402"/>
        <v>0</v>
      </c>
      <c r="BO1111" s="126">
        <f t="shared" si="403"/>
        <v>0</v>
      </c>
      <c r="BP1111" s="127">
        <f t="shared" si="404"/>
        <v>0</v>
      </c>
    </row>
    <row r="1112" spans="1:68" s="171" customFormat="1" ht="26.25" customHeight="1" x14ac:dyDescent="0.25">
      <c r="A1112" s="166"/>
      <c r="B1112" s="166"/>
      <c r="C1112" s="167" t="s">
        <v>83</v>
      </c>
      <c r="D1112" s="167" t="s">
        <v>84</v>
      </c>
      <c r="E1112" s="167" t="s">
        <v>73</v>
      </c>
      <c r="F1112" s="167" t="s">
        <v>74</v>
      </c>
      <c r="G1112" s="167" t="s">
        <v>85</v>
      </c>
      <c r="H1112" s="167" t="s">
        <v>73</v>
      </c>
      <c r="I1112" s="167" t="s">
        <v>73</v>
      </c>
      <c r="J1112" s="167" t="s">
        <v>73</v>
      </c>
      <c r="K1112" s="168" t="s">
        <v>73</v>
      </c>
      <c r="L1112" s="167" t="s">
        <v>133</v>
      </c>
      <c r="M1112" s="166" t="str">
        <f t="array" ref="M1112">Y806</f>
        <v>1ХВС::1.1</v>
      </c>
      <c r="N1112" s="166"/>
      <c r="O1112" s="166"/>
      <c r="P1112" s="166"/>
      <c r="Q1112" s="166"/>
      <c r="R1112" s="166"/>
      <c r="S1112" s="166"/>
      <c r="T1112" s="166"/>
      <c r="U1112" s="166"/>
      <c r="V1112" s="166"/>
      <c r="W1112" s="166"/>
      <c r="X1112" s="166"/>
      <c r="Y1112" s="166"/>
      <c r="Z1112" s="166"/>
      <c r="AA1112" s="166"/>
      <c r="AB1112" s="686">
        <f>COUNT(AB1103,AB855,AB809,AB1106,#REF!,AB1107,AB1110,AB1111,#REF!)+2</f>
        <v>9</v>
      </c>
      <c r="AC1112" s="687" t="s">
        <v>522</v>
      </c>
      <c r="AD1112" s="688" t="s">
        <v>111</v>
      </c>
      <c r="AE1112" s="689">
        <f t="shared" ref="AE1112:AW1112" si="426">AE856+AE1099+AE1100+AE1103+AE1106+AE1107</f>
        <v>2922484.877196053</v>
      </c>
      <c r="AF1112" s="690">
        <f t="shared" si="426"/>
        <v>2605907.4363414217</v>
      </c>
      <c r="AG1112" s="691">
        <f t="shared" si="426"/>
        <v>4213890.6317540249</v>
      </c>
      <c r="AH1112" s="692">
        <f t="shared" si="426"/>
        <v>58978.620963199995</v>
      </c>
      <c r="AI1112" s="690">
        <f t="shared" si="426"/>
        <v>18590.589999999997</v>
      </c>
      <c r="AJ1112" s="693">
        <f t="shared" si="426"/>
        <v>70758.690681099994</v>
      </c>
      <c r="AK1112" s="692">
        <f t="shared" si="426"/>
        <v>64126.689430819984</v>
      </c>
      <c r="AL1112" s="690">
        <f t="shared" si="426"/>
        <v>30052.438842399999</v>
      </c>
      <c r="AM1112" s="693">
        <f t="shared" si="426"/>
        <v>105297.8518944</v>
      </c>
      <c r="AN1112" s="692">
        <f t="shared" si="426"/>
        <v>88047.562562079998</v>
      </c>
      <c r="AO1112" s="690">
        <f t="shared" si="426"/>
        <v>52968.417376972</v>
      </c>
      <c r="AP1112" s="693">
        <f t="shared" si="426"/>
        <v>148329.53332398002</v>
      </c>
      <c r="AQ1112" s="692">
        <f t="shared" si="426"/>
        <v>49632.434299119996</v>
      </c>
      <c r="AR1112" s="690">
        <f t="shared" si="426"/>
        <v>10905.668695200002</v>
      </c>
      <c r="AS1112" s="693">
        <f t="shared" si="426"/>
        <v>101972.00218999997</v>
      </c>
      <c r="AT1112" s="692">
        <f t="shared" si="426"/>
        <v>100132.90446989999</v>
      </c>
      <c r="AU1112" s="690">
        <f t="shared" si="426"/>
        <v>73398.525503769983</v>
      </c>
      <c r="AV1112" s="693">
        <f t="shared" si="426"/>
        <v>178974.73742597</v>
      </c>
      <c r="AW1112" s="692">
        <f t="shared" si="426"/>
        <v>93075.908281860015</v>
      </c>
      <c r="AX1112" s="690">
        <f>AX856+AX1099+AX1100+AX1103+AX1106-AX1107</f>
        <v>18246.346825799996</v>
      </c>
      <c r="AY1112" s="693">
        <f>AY856+AY1099+AY1100+AY1103+AY1106+AY1107</f>
        <v>114050.2302762</v>
      </c>
      <c r="AZ1112" s="692">
        <f>AZ856+AZ1099+AZ1100+AZ1103+AZ1106+AZ1107</f>
        <v>231528.33272309505</v>
      </c>
      <c r="BA1112" s="690">
        <f>BA856+BA1099+BA1100+BA1103+BA1106-BA1107</f>
        <v>140135.30452299997</v>
      </c>
      <c r="BB1112" s="693">
        <f t="shared" ref="BB1112:BK1112" si="427">BB856+BB1099+BB1100+BB1103+BB1106+BB1107</f>
        <v>346584.17385939305</v>
      </c>
      <c r="BC1112" s="692">
        <f t="shared" si="427"/>
        <v>434336.10981360002</v>
      </c>
      <c r="BD1112" s="690">
        <f t="shared" si="427"/>
        <v>133440.08832740004</v>
      </c>
      <c r="BE1112" s="693">
        <f t="shared" si="427"/>
        <v>367783.36912500003</v>
      </c>
      <c r="BF1112" s="692">
        <f t="shared" si="427"/>
        <v>41682.485577500003</v>
      </c>
      <c r="BG1112" s="690">
        <f t="shared" si="427"/>
        <v>5685.3296759999976</v>
      </c>
      <c r="BH1112" s="693">
        <f t="shared" si="427"/>
        <v>51853.386646879997</v>
      </c>
      <c r="BI1112" s="694">
        <f t="shared" si="427"/>
        <v>73444.276699309994</v>
      </c>
      <c r="BJ1112" s="690">
        <f t="shared" si="427"/>
        <v>14332.327575200005</v>
      </c>
      <c r="BK1112" s="693">
        <f t="shared" si="427"/>
        <v>100935.56446020001</v>
      </c>
      <c r="BL1112" s="170"/>
      <c r="BM1112" s="166"/>
      <c r="BN1112" s="695">
        <f t="shared" si="402"/>
        <v>4157470.202016538</v>
      </c>
      <c r="BO1112" s="696">
        <f t="shared" si="403"/>
        <v>3103662.4736871636</v>
      </c>
      <c r="BP1112" s="697">
        <f t="shared" si="404"/>
        <v>5800430.1716371486</v>
      </c>
    </row>
    <row r="1113" spans="1:68" ht="14.25" hidden="1" customHeight="1" x14ac:dyDescent="0.25">
      <c r="A1113" s="10" t="b">
        <f>$W806&lt;&gt;"одноставочный"</f>
        <v>0</v>
      </c>
      <c r="B1113" s="5" t="b">
        <f t="array" ref="B1113">A1113</f>
        <v>0</v>
      </c>
      <c r="C1113" s="75" t="s">
        <v>527</v>
      </c>
      <c r="D1113" s="5" t="s">
        <v>528</v>
      </c>
      <c r="E1113" s="10" t="s">
        <v>73</v>
      </c>
      <c r="F1113" s="10" t="s">
        <v>74</v>
      </c>
      <c r="G1113" s="10" t="s">
        <v>73</v>
      </c>
      <c r="H1113" s="10" t="s">
        <v>73</v>
      </c>
      <c r="I1113" s="10" t="s">
        <v>73</v>
      </c>
      <c r="J1113" s="10" t="s">
        <v>73</v>
      </c>
      <c r="K1113" s="12" t="s">
        <v>73</v>
      </c>
      <c r="M1113" s="5" t="str">
        <f t="array" ref="M1113">Y806</f>
        <v>1ХВС::1.1</v>
      </c>
      <c r="Z1113" s="6"/>
      <c r="AA1113" s="6"/>
      <c r="AB1113" s="380"/>
      <c r="AC1113" s="381"/>
      <c r="AD1113" s="380"/>
      <c r="AE1113" s="382"/>
      <c r="AF1113" s="382"/>
      <c r="AG1113" s="382"/>
      <c r="BN1113" s="383">
        <f t="shared" ref="BN1113:BN1142" si="428">AE1113+AH1113+AK1113+AN1113+AQ1113+AT1113+AW1113+AZ1113+BC1113+BF1113+BI1113</f>
        <v>0</v>
      </c>
      <c r="BO1113" s="383">
        <f t="shared" ref="BO1113:BO1142" si="429">AF1113+AI1113+AL1113+AO1113+AR1113+AU1113+AX1113+BA1113+BD1113+BG1113+BJ1113</f>
        <v>0</v>
      </c>
      <c r="BP1113" s="383">
        <f t="shared" ref="BP1113:BP1142" si="430">AG1113+AJ1113+AM1113+AP1113+AS1113+AV1113+AY1113+BB1113+BE1113+BH1113+BK1113</f>
        <v>0</v>
      </c>
    </row>
    <row r="1114" spans="1:68" ht="14.25" hidden="1" customHeight="1" outlineLevel="1" x14ac:dyDescent="0.25">
      <c r="A1114" s="10" t="b">
        <f>AND($AD$56="нет",$W806&lt;&gt;"одноставочный")</f>
        <v>0</v>
      </c>
      <c r="B1114" s="5" t="b">
        <f t="array" ref="B1114">A1114</f>
        <v>0</v>
      </c>
      <c r="C1114" s="75" t="s">
        <v>529</v>
      </c>
      <c r="D1114" s="5" t="s">
        <v>530</v>
      </c>
      <c r="E1114" s="10" t="s">
        <v>73</v>
      </c>
      <c r="F1114" s="10" t="s">
        <v>74</v>
      </c>
      <c r="G1114" s="10" t="s">
        <v>73</v>
      </c>
      <c r="H1114" s="10" t="s">
        <v>73</v>
      </c>
      <c r="I1114" s="10" t="s">
        <v>73</v>
      </c>
      <c r="J1114" s="10" t="s">
        <v>73</v>
      </c>
      <c r="K1114" s="12" t="s">
        <v>73</v>
      </c>
      <c r="M1114" s="5" t="str">
        <f t="array" ref="M1114">Y806</f>
        <v>1ХВС::1.1</v>
      </c>
      <c r="Z1114" s="6"/>
      <c r="AA1114" s="6"/>
      <c r="AB1114" s="384"/>
      <c r="AC1114" s="385"/>
      <c r="AD1114" s="384"/>
      <c r="AE1114" s="386"/>
      <c r="AF1114" s="386"/>
      <c r="AG1114" s="386"/>
      <c r="BN1114" s="125">
        <f t="shared" si="428"/>
        <v>0</v>
      </c>
      <c r="BO1114" s="125">
        <f t="shared" si="429"/>
        <v>0</v>
      </c>
      <c r="BP1114" s="125">
        <f t="shared" si="430"/>
        <v>0</v>
      </c>
    </row>
    <row r="1115" spans="1:68" ht="14.25" hidden="1" customHeight="1" outlineLevel="1" x14ac:dyDescent="0.25">
      <c r="A1115" s="10" t="b">
        <f>AND($AD$56="нет",$W806&lt;&gt;"одноставочный")</f>
        <v>0</v>
      </c>
      <c r="B1115" s="5" t="b">
        <f t="array" ref="B1115">A1115</f>
        <v>0</v>
      </c>
      <c r="C1115" s="75" t="s">
        <v>531</v>
      </c>
      <c r="D1115" s="5" t="s">
        <v>532</v>
      </c>
      <c r="E1115" s="10" t="s">
        <v>73</v>
      </c>
      <c r="F1115" s="10" t="s">
        <v>74</v>
      </c>
      <c r="G1115" s="10" t="s">
        <v>73</v>
      </c>
      <c r="H1115" s="10" t="s">
        <v>73</v>
      </c>
      <c r="I1115" s="10" t="s">
        <v>73</v>
      </c>
      <c r="J1115" s="10" t="s">
        <v>73</v>
      </c>
      <c r="K1115" s="12" t="s">
        <v>73</v>
      </c>
      <c r="M1115" s="5" t="str">
        <f t="array" ref="M1115">Y806</f>
        <v>1ХВС::1.1</v>
      </c>
      <c r="Z1115" s="6"/>
      <c r="AA1115" s="6"/>
      <c r="AB1115" s="384"/>
      <c r="AC1115" s="385"/>
      <c r="AD1115" s="384"/>
      <c r="AE1115" s="386"/>
      <c r="AF1115" s="386"/>
      <c r="AG1115" s="386"/>
      <c r="BN1115" s="125">
        <f t="shared" si="428"/>
        <v>0</v>
      </c>
      <c r="BO1115" s="125">
        <f t="shared" si="429"/>
        <v>0</v>
      </c>
      <c r="BP1115" s="125">
        <f t="shared" si="430"/>
        <v>0</v>
      </c>
    </row>
    <row r="1116" spans="1:68" ht="14.25" hidden="1" customHeight="1" outlineLevel="1" x14ac:dyDescent="0.25">
      <c r="A1116" s="10" t="b">
        <f>$W806&lt;&gt;"одноставочный"</f>
        <v>0</v>
      </c>
      <c r="B1116" s="5" t="b">
        <f t="array" ref="B1116">A1116</f>
        <v>0</v>
      </c>
      <c r="C1116" s="75" t="s">
        <v>533</v>
      </c>
      <c r="D1116" s="5" t="s">
        <v>534</v>
      </c>
      <c r="E1116" s="10" t="s">
        <v>73</v>
      </c>
      <c r="F1116" s="10" t="s">
        <v>74</v>
      </c>
      <c r="G1116" s="10" t="s">
        <v>73</v>
      </c>
      <c r="H1116" s="10" t="s">
        <v>73</v>
      </c>
      <c r="I1116" s="10" t="s">
        <v>73</v>
      </c>
      <c r="J1116" s="10" t="s">
        <v>73</v>
      </c>
      <c r="K1116" s="12" t="s">
        <v>73</v>
      </c>
      <c r="M1116" s="5" t="str">
        <f t="array" ref="M1116">Y806</f>
        <v>1ХВС::1.1</v>
      </c>
      <c r="Z1116" s="6"/>
      <c r="AA1116" s="6"/>
      <c r="AB1116" s="384"/>
      <c r="AC1116" s="385"/>
      <c r="AD1116" s="384"/>
      <c r="AE1116" s="386"/>
      <c r="AF1116" s="386"/>
      <c r="AG1116" s="386"/>
      <c r="BN1116" s="125">
        <f t="shared" si="428"/>
        <v>0</v>
      </c>
      <c r="BO1116" s="125">
        <f t="shared" si="429"/>
        <v>0</v>
      </c>
      <c r="BP1116" s="125">
        <f t="shared" si="430"/>
        <v>0</v>
      </c>
    </row>
    <row r="1117" spans="1:68" ht="14.25" hidden="1" customHeight="1" x14ac:dyDescent="0.25">
      <c r="A1117" s="10" t="b">
        <f>$W806&lt;&gt;"одноставочный"</f>
        <v>0</v>
      </c>
      <c r="B1117" s="76" t="b">
        <f>AND(A1117,NOT(NDS="нет"))</f>
        <v>0</v>
      </c>
      <c r="C1117" s="75" t="s">
        <v>535</v>
      </c>
      <c r="D1117" s="5" t="s">
        <v>536</v>
      </c>
      <c r="E1117" s="10" t="s">
        <v>73</v>
      </c>
      <c r="F1117" s="10" t="s">
        <v>74</v>
      </c>
      <c r="G1117" s="10" t="s">
        <v>73</v>
      </c>
      <c r="H1117" s="10" t="s">
        <v>73</v>
      </c>
      <c r="I1117" s="10" t="s">
        <v>73</v>
      </c>
      <c r="J1117" s="10" t="s">
        <v>73</v>
      </c>
      <c r="K1117" s="12" t="s">
        <v>73</v>
      </c>
      <c r="M1117" s="5" t="str">
        <f t="array" ref="M1117">Y806</f>
        <v>1ХВС::1.1</v>
      </c>
      <c r="Z1117" s="6"/>
      <c r="AA1117" s="6"/>
      <c r="AB1117" s="387"/>
      <c r="AC1117" s="388"/>
      <c r="AD1117" s="387"/>
      <c r="AE1117" s="389"/>
      <c r="AF1117" s="389"/>
      <c r="AG1117" s="389"/>
      <c r="BN1117" s="125">
        <f t="shared" si="428"/>
        <v>0</v>
      </c>
      <c r="BO1117" s="125">
        <f t="shared" si="429"/>
        <v>0</v>
      </c>
      <c r="BP1117" s="125">
        <f t="shared" si="430"/>
        <v>0</v>
      </c>
    </row>
    <row r="1118" spans="1:68" ht="14.25" hidden="1" customHeight="1" outlineLevel="1" x14ac:dyDescent="0.25">
      <c r="A1118" s="10" t="b">
        <f>AND($AD$56="нет",$W806&lt;&gt;"одноставочный")</f>
        <v>0</v>
      </c>
      <c r="B1118" s="76" t="b">
        <f>AND(A1118,NOT(NDS="нет"))</f>
        <v>0</v>
      </c>
      <c r="C1118" s="75" t="s">
        <v>537</v>
      </c>
      <c r="D1118" s="5" t="s">
        <v>538</v>
      </c>
      <c r="E1118" s="10" t="s">
        <v>73</v>
      </c>
      <c r="F1118" s="10" t="s">
        <v>74</v>
      </c>
      <c r="G1118" s="10" t="s">
        <v>73</v>
      </c>
      <c r="H1118" s="10" t="s">
        <v>73</v>
      </c>
      <c r="I1118" s="10" t="s">
        <v>73</v>
      </c>
      <c r="J1118" s="10" t="s">
        <v>73</v>
      </c>
      <c r="K1118" s="12" t="s">
        <v>73</v>
      </c>
      <c r="M1118" s="5" t="str">
        <f t="array" ref="M1118">Y806</f>
        <v>1ХВС::1.1</v>
      </c>
      <c r="Z1118" s="6"/>
      <c r="AA1118" s="6"/>
      <c r="AB1118" s="384"/>
      <c r="AC1118" s="385"/>
      <c r="AD1118" s="384"/>
      <c r="AE1118" s="389"/>
      <c r="AF1118" s="389"/>
      <c r="AG1118" s="389"/>
      <c r="BN1118" s="125">
        <f t="shared" si="428"/>
        <v>0</v>
      </c>
      <c r="BO1118" s="125">
        <f t="shared" si="429"/>
        <v>0</v>
      </c>
      <c r="BP1118" s="125">
        <f t="shared" si="430"/>
        <v>0</v>
      </c>
    </row>
    <row r="1119" spans="1:68" ht="14.25" hidden="1" customHeight="1" outlineLevel="1" x14ac:dyDescent="0.25">
      <c r="A1119" s="10" t="b">
        <f>AND($AD$56="нет",$W806&lt;&gt;"одноставочный")</f>
        <v>0</v>
      </c>
      <c r="B1119" s="76" t="b">
        <f>AND(A1119,NOT(NDS="нет"))</f>
        <v>0</v>
      </c>
      <c r="C1119" s="75" t="s">
        <v>539</v>
      </c>
      <c r="D1119" s="5" t="s">
        <v>540</v>
      </c>
      <c r="E1119" s="10" t="s">
        <v>73</v>
      </c>
      <c r="F1119" s="10" t="s">
        <v>74</v>
      </c>
      <c r="G1119" s="10" t="s">
        <v>73</v>
      </c>
      <c r="H1119" s="10" t="s">
        <v>73</v>
      </c>
      <c r="I1119" s="10" t="s">
        <v>73</v>
      </c>
      <c r="J1119" s="10" t="s">
        <v>73</v>
      </c>
      <c r="K1119" s="12" t="s">
        <v>73</v>
      </c>
      <c r="M1119" s="5" t="str">
        <f t="array" ref="M1119">Y806</f>
        <v>1ХВС::1.1</v>
      </c>
      <c r="Z1119" s="6"/>
      <c r="AA1119" s="6"/>
      <c r="AB1119" s="384"/>
      <c r="AC1119" s="385"/>
      <c r="AD1119" s="384"/>
      <c r="AE1119" s="390"/>
      <c r="AF1119" s="390"/>
      <c r="AG1119" s="390"/>
      <c r="BN1119" s="125">
        <f t="shared" si="428"/>
        <v>0</v>
      </c>
      <c r="BO1119" s="125">
        <f t="shared" si="429"/>
        <v>0</v>
      </c>
      <c r="BP1119" s="125">
        <f t="shared" si="430"/>
        <v>0</v>
      </c>
    </row>
    <row r="1120" spans="1:68" ht="14.25" hidden="1" customHeight="1" outlineLevel="1" x14ac:dyDescent="0.25">
      <c r="A1120" s="10" t="b">
        <f>$W806&lt;&gt;"одноставочный"</f>
        <v>0</v>
      </c>
      <c r="B1120" s="76" t="b">
        <f>AND(A1120,NOT(NDS="нет"))</f>
        <v>0</v>
      </c>
      <c r="C1120" s="75" t="s">
        <v>541</v>
      </c>
      <c r="D1120" s="5" t="s">
        <v>542</v>
      </c>
      <c r="E1120" s="10" t="s">
        <v>73</v>
      </c>
      <c r="F1120" s="10" t="s">
        <v>74</v>
      </c>
      <c r="G1120" s="10" t="s">
        <v>73</v>
      </c>
      <c r="H1120" s="10" t="s">
        <v>73</v>
      </c>
      <c r="I1120" s="10" t="s">
        <v>73</v>
      </c>
      <c r="J1120" s="10" t="s">
        <v>73</v>
      </c>
      <c r="K1120" s="12" t="s">
        <v>73</v>
      </c>
      <c r="M1120" s="5" t="str">
        <f t="array" ref="M1120">Y806</f>
        <v>1ХВС::1.1</v>
      </c>
      <c r="Z1120" s="6"/>
      <c r="AA1120" s="6"/>
      <c r="AB1120" s="384"/>
      <c r="AC1120" s="385"/>
      <c r="AD1120" s="384"/>
      <c r="AE1120" s="389"/>
      <c r="AF1120" s="389"/>
      <c r="AG1120" s="389"/>
      <c r="BN1120" s="125">
        <f t="shared" si="428"/>
        <v>0</v>
      </c>
      <c r="BO1120" s="125">
        <f t="shared" si="429"/>
        <v>0</v>
      </c>
      <c r="BP1120" s="125">
        <f t="shared" si="430"/>
        <v>0</v>
      </c>
    </row>
    <row r="1121" spans="1:68" ht="14.25" hidden="1" customHeight="1" x14ac:dyDescent="0.25">
      <c r="A1121" s="10" t="b">
        <f>$W806&lt;&gt;"одноставочный"</f>
        <v>0</v>
      </c>
      <c r="B1121" s="5" t="b">
        <f t="array" ref="B1121">A1121</f>
        <v>0</v>
      </c>
      <c r="C1121" s="75" t="s">
        <v>543</v>
      </c>
      <c r="D1121" s="5" t="s">
        <v>544</v>
      </c>
      <c r="E1121" s="10" t="s">
        <v>73</v>
      </c>
      <c r="F1121" s="10" t="s">
        <v>74</v>
      </c>
      <c r="G1121" s="10" t="s">
        <v>73</v>
      </c>
      <c r="H1121" s="10" t="s">
        <v>73</v>
      </c>
      <c r="I1121" s="10" t="s">
        <v>73</v>
      </c>
      <c r="J1121" s="10" t="s">
        <v>73</v>
      </c>
      <c r="K1121" s="12" t="s">
        <v>73</v>
      </c>
      <c r="M1121" s="5" t="str">
        <f t="array" ref="M1121">Y806</f>
        <v>1ХВС::1.1</v>
      </c>
      <c r="Z1121" s="6"/>
      <c r="AA1121" s="6"/>
      <c r="AB1121" s="387"/>
      <c r="AC1121" s="388"/>
      <c r="AD1121" s="387"/>
      <c r="AE1121" s="386"/>
      <c r="AF1121" s="386"/>
      <c r="AG1121" s="386"/>
      <c r="BN1121" s="125">
        <f t="shared" si="428"/>
        <v>0</v>
      </c>
      <c r="BO1121" s="125">
        <f t="shared" si="429"/>
        <v>0</v>
      </c>
      <c r="BP1121" s="125">
        <f t="shared" si="430"/>
        <v>0</v>
      </c>
    </row>
    <row r="1122" spans="1:68" ht="14.25" hidden="1" customHeight="1" outlineLevel="1" x14ac:dyDescent="0.25">
      <c r="A1122" s="10" t="b">
        <f>AND($AD$56="нет",$W806&lt;&gt;"одноставочный")</f>
        <v>0</v>
      </c>
      <c r="B1122" s="5" t="b">
        <f t="array" ref="B1122">A1122</f>
        <v>0</v>
      </c>
      <c r="C1122" s="75" t="s">
        <v>545</v>
      </c>
      <c r="D1122" s="5" t="s">
        <v>546</v>
      </c>
      <c r="E1122" s="10" t="s">
        <v>73</v>
      </c>
      <c r="F1122" s="10" t="s">
        <v>74</v>
      </c>
      <c r="G1122" s="10" t="s">
        <v>73</v>
      </c>
      <c r="H1122" s="10" t="s">
        <v>73</v>
      </c>
      <c r="I1122" s="10" t="s">
        <v>73</v>
      </c>
      <c r="J1122" s="10" t="s">
        <v>73</v>
      </c>
      <c r="K1122" s="12" t="s">
        <v>73</v>
      </c>
      <c r="M1122" s="5" t="str">
        <f t="array" ref="M1122">Y806</f>
        <v>1ХВС::1.1</v>
      </c>
      <c r="Z1122" s="6"/>
      <c r="AA1122" s="6"/>
      <c r="AB1122" s="384"/>
      <c r="AC1122" s="385"/>
      <c r="AD1122" s="384"/>
      <c r="AE1122" s="386"/>
      <c r="AF1122" s="386"/>
      <c r="AG1122" s="386"/>
      <c r="BN1122" s="125">
        <f t="shared" si="428"/>
        <v>0</v>
      </c>
      <c r="BO1122" s="125">
        <f t="shared" si="429"/>
        <v>0</v>
      </c>
      <c r="BP1122" s="125">
        <f t="shared" si="430"/>
        <v>0</v>
      </c>
    </row>
    <row r="1123" spans="1:68" ht="14.25" hidden="1" customHeight="1" outlineLevel="1" x14ac:dyDescent="0.25">
      <c r="A1123" s="10" t="b">
        <f>AND($AD$56="нет",$W806&lt;&gt;"одноставочный")</f>
        <v>0</v>
      </c>
      <c r="B1123" s="5" t="b">
        <f t="array" ref="B1123">A1123</f>
        <v>0</v>
      </c>
      <c r="C1123" s="75" t="s">
        <v>547</v>
      </c>
      <c r="D1123" s="5" t="s">
        <v>548</v>
      </c>
      <c r="E1123" s="10" t="s">
        <v>73</v>
      </c>
      <c r="F1123" s="10" t="s">
        <v>74</v>
      </c>
      <c r="G1123" s="10" t="s">
        <v>73</v>
      </c>
      <c r="H1123" s="10" t="s">
        <v>73</v>
      </c>
      <c r="I1123" s="10" t="s">
        <v>73</v>
      </c>
      <c r="J1123" s="10" t="s">
        <v>73</v>
      </c>
      <c r="K1123" s="12" t="s">
        <v>73</v>
      </c>
      <c r="M1123" s="5" t="str">
        <f t="array" ref="M1123">Y806</f>
        <v>1ХВС::1.1</v>
      </c>
      <c r="Z1123" s="6"/>
      <c r="AA1123" s="6"/>
      <c r="AB1123" s="384"/>
      <c r="AC1123" s="385"/>
      <c r="AD1123" s="384"/>
      <c r="AE1123" s="386"/>
      <c r="AF1123" s="386"/>
      <c r="AG1123" s="386"/>
      <c r="BN1123" s="125">
        <f t="shared" si="428"/>
        <v>0</v>
      </c>
      <c r="BO1123" s="125">
        <f t="shared" si="429"/>
        <v>0</v>
      </c>
      <c r="BP1123" s="125">
        <f t="shared" si="430"/>
        <v>0</v>
      </c>
    </row>
    <row r="1124" spans="1:68" ht="14.25" hidden="1" customHeight="1" outlineLevel="1" x14ac:dyDescent="0.25">
      <c r="A1124" s="10" t="b">
        <f>$W806&lt;&gt;"одноставочный"</f>
        <v>0</v>
      </c>
      <c r="B1124" s="5" t="b">
        <f t="array" ref="B1124">A1124</f>
        <v>0</v>
      </c>
      <c r="C1124" s="75" t="s">
        <v>549</v>
      </c>
      <c r="D1124" s="5" t="s">
        <v>550</v>
      </c>
      <c r="E1124" s="10" t="s">
        <v>73</v>
      </c>
      <c r="F1124" s="10" t="s">
        <v>74</v>
      </c>
      <c r="G1124" s="10" t="s">
        <v>73</v>
      </c>
      <c r="H1124" s="10" t="s">
        <v>73</v>
      </c>
      <c r="I1124" s="10" t="s">
        <v>73</v>
      </c>
      <c r="J1124" s="10" t="s">
        <v>73</v>
      </c>
      <c r="K1124" s="12" t="s">
        <v>73</v>
      </c>
      <c r="M1124" s="5" t="str">
        <f t="array" ref="M1124">Y806</f>
        <v>1ХВС::1.1</v>
      </c>
      <c r="Z1124" s="6"/>
      <c r="AA1124" s="6"/>
      <c r="AB1124" s="384"/>
      <c r="AC1124" s="385"/>
      <c r="AD1124" s="384"/>
      <c r="AE1124" s="386"/>
      <c r="AF1124" s="386"/>
      <c r="AG1124" s="386"/>
      <c r="BN1124" s="125">
        <f t="shared" si="428"/>
        <v>0</v>
      </c>
      <c r="BO1124" s="125">
        <f t="shared" si="429"/>
        <v>0</v>
      </c>
      <c r="BP1124" s="125">
        <f t="shared" si="430"/>
        <v>0</v>
      </c>
    </row>
    <row r="1125" spans="1:68" ht="14.25" hidden="1" customHeight="1" x14ac:dyDescent="0.25">
      <c r="A1125" s="10" t="b">
        <f>$W806&lt;&gt;"одноставочный"</f>
        <v>0</v>
      </c>
      <c r="B1125" s="76" t="b">
        <f>AND(A1125,NOT(NDS="нет"))</f>
        <v>0</v>
      </c>
      <c r="C1125" s="75" t="s">
        <v>551</v>
      </c>
      <c r="D1125" s="5" t="s">
        <v>552</v>
      </c>
      <c r="E1125" s="10" t="s">
        <v>73</v>
      </c>
      <c r="F1125" s="10" t="s">
        <v>74</v>
      </c>
      <c r="G1125" s="10" t="s">
        <v>73</v>
      </c>
      <c r="H1125" s="10" t="s">
        <v>73</v>
      </c>
      <c r="I1125" s="10" t="s">
        <v>73</v>
      </c>
      <c r="J1125" s="10" t="s">
        <v>73</v>
      </c>
      <c r="K1125" s="12" t="s">
        <v>73</v>
      </c>
      <c r="M1125" s="5" t="str">
        <f t="array" ref="M1125">Y806</f>
        <v>1ХВС::1.1</v>
      </c>
      <c r="Z1125" s="6"/>
      <c r="AA1125" s="6"/>
      <c r="AB1125" s="387"/>
      <c r="AC1125" s="388"/>
      <c r="AD1125" s="387"/>
      <c r="AE1125" s="389"/>
      <c r="AF1125" s="389"/>
      <c r="AG1125" s="389"/>
      <c r="BN1125" s="125">
        <f t="shared" si="428"/>
        <v>0</v>
      </c>
      <c r="BO1125" s="125">
        <f t="shared" si="429"/>
        <v>0</v>
      </c>
      <c r="BP1125" s="125">
        <f t="shared" si="430"/>
        <v>0</v>
      </c>
    </row>
    <row r="1126" spans="1:68" ht="14.25" hidden="1" customHeight="1" outlineLevel="1" x14ac:dyDescent="0.25">
      <c r="A1126" s="10" t="b">
        <f>AND($AD$56="нет",$W806&lt;&gt;"одноставочный")</f>
        <v>0</v>
      </c>
      <c r="B1126" s="76" t="b">
        <f>AND(A1126,NOT(NDS="нет"))</f>
        <v>0</v>
      </c>
      <c r="C1126" s="75" t="s">
        <v>553</v>
      </c>
      <c r="D1126" s="5" t="s">
        <v>554</v>
      </c>
      <c r="E1126" s="10" t="s">
        <v>73</v>
      </c>
      <c r="F1126" s="10" t="s">
        <v>74</v>
      </c>
      <c r="G1126" s="10" t="s">
        <v>73</v>
      </c>
      <c r="H1126" s="10" t="s">
        <v>73</v>
      </c>
      <c r="I1126" s="10" t="s">
        <v>73</v>
      </c>
      <c r="J1126" s="10" t="s">
        <v>73</v>
      </c>
      <c r="K1126" s="12" t="s">
        <v>73</v>
      </c>
      <c r="M1126" s="5" t="str">
        <f t="array" ref="M1126">Y806</f>
        <v>1ХВС::1.1</v>
      </c>
      <c r="Z1126" s="6"/>
      <c r="AA1126" s="6"/>
      <c r="AB1126" s="384"/>
      <c r="AC1126" s="385"/>
      <c r="AD1126" s="384"/>
      <c r="AE1126" s="389"/>
      <c r="AF1126" s="389"/>
      <c r="AG1126" s="389"/>
      <c r="BN1126" s="125">
        <f t="shared" si="428"/>
        <v>0</v>
      </c>
      <c r="BO1126" s="125">
        <f t="shared" si="429"/>
        <v>0</v>
      </c>
      <c r="BP1126" s="125">
        <f t="shared" si="430"/>
        <v>0</v>
      </c>
    </row>
    <row r="1127" spans="1:68" ht="14.25" hidden="1" customHeight="1" outlineLevel="1" x14ac:dyDescent="0.25">
      <c r="A1127" s="10" t="b">
        <f>AND($AD$56="нет",$W806&lt;&gt;"одноставочный")</f>
        <v>0</v>
      </c>
      <c r="B1127" s="76" t="b">
        <f>AND(A1127,NOT(NDS="нет"))</f>
        <v>0</v>
      </c>
      <c r="C1127" s="75" t="s">
        <v>555</v>
      </c>
      <c r="D1127" s="5" t="s">
        <v>556</v>
      </c>
      <c r="E1127" s="10" t="s">
        <v>73</v>
      </c>
      <c r="F1127" s="10" t="s">
        <v>74</v>
      </c>
      <c r="G1127" s="10" t="s">
        <v>73</v>
      </c>
      <c r="H1127" s="10" t="s">
        <v>73</v>
      </c>
      <c r="I1127" s="10" t="s">
        <v>73</v>
      </c>
      <c r="J1127" s="10" t="s">
        <v>73</v>
      </c>
      <c r="K1127" s="12" t="s">
        <v>73</v>
      </c>
      <c r="M1127" s="5" t="str">
        <f t="array" ref="M1127">Y806</f>
        <v>1ХВС::1.1</v>
      </c>
      <c r="Z1127" s="6"/>
      <c r="AA1127" s="6"/>
      <c r="AB1127" s="384"/>
      <c r="AC1127" s="385"/>
      <c r="AD1127" s="384"/>
      <c r="AE1127" s="390"/>
      <c r="AF1127" s="390"/>
      <c r="AG1127" s="390"/>
      <c r="BN1127" s="125">
        <f t="shared" si="428"/>
        <v>0</v>
      </c>
      <c r="BO1127" s="125">
        <f t="shared" si="429"/>
        <v>0</v>
      </c>
      <c r="BP1127" s="125">
        <f t="shared" si="430"/>
        <v>0</v>
      </c>
    </row>
    <row r="1128" spans="1:68" ht="14.25" hidden="1" customHeight="1" outlineLevel="1" x14ac:dyDescent="0.25">
      <c r="A1128" s="10" t="b">
        <f>$W806&lt;&gt;"одноставочный"</f>
        <v>0</v>
      </c>
      <c r="B1128" s="76" t="b">
        <f>AND(A1128,NOT(NDS="нет"))</f>
        <v>0</v>
      </c>
      <c r="C1128" s="75" t="s">
        <v>557</v>
      </c>
      <c r="D1128" s="5" t="s">
        <v>558</v>
      </c>
      <c r="E1128" s="10" t="s">
        <v>73</v>
      </c>
      <c r="F1128" s="10" t="s">
        <v>74</v>
      </c>
      <c r="G1128" s="10" t="s">
        <v>73</v>
      </c>
      <c r="H1128" s="10" t="s">
        <v>73</v>
      </c>
      <c r="I1128" s="10" t="s">
        <v>73</v>
      </c>
      <c r="J1128" s="10" t="s">
        <v>73</v>
      </c>
      <c r="K1128" s="12" t="s">
        <v>73</v>
      </c>
      <c r="M1128" s="5" t="str">
        <f t="array" ref="M1128">Y806</f>
        <v>1ХВС::1.1</v>
      </c>
      <c r="Z1128" s="6"/>
      <c r="AA1128" s="6"/>
      <c r="AB1128" s="384"/>
      <c r="AC1128" s="385"/>
      <c r="AD1128" s="384"/>
      <c r="AE1128" s="386"/>
      <c r="AF1128" s="386"/>
      <c r="AG1128" s="386"/>
      <c r="BN1128" s="125">
        <f t="shared" si="428"/>
        <v>0</v>
      </c>
      <c r="BO1128" s="125">
        <f t="shared" si="429"/>
        <v>0</v>
      </c>
      <c r="BP1128" s="125">
        <f t="shared" si="430"/>
        <v>0</v>
      </c>
    </row>
    <row r="1129" spans="1:68" ht="14.25" hidden="1" customHeight="1" outlineLevel="1" x14ac:dyDescent="0.25">
      <c r="A1129" s="10" t="b">
        <f>$V806="разделение внутри одной сметы"</f>
        <v>0</v>
      </c>
      <c r="B1129" s="10" t="b">
        <f>AND($V806="разделение внутри одной сметы",A1129)</f>
        <v>0</v>
      </c>
      <c r="C1129" s="75" t="s">
        <v>559</v>
      </c>
      <c r="D1129" s="5" t="s">
        <v>560</v>
      </c>
      <c r="E1129" s="10" t="s">
        <v>73</v>
      </c>
      <c r="F1129" s="10" t="s">
        <v>74</v>
      </c>
      <c r="G1129" s="10" t="s">
        <v>73</v>
      </c>
      <c r="H1129" s="10" t="s">
        <v>73</v>
      </c>
      <c r="I1129" s="10" t="s">
        <v>73</v>
      </c>
      <c r="J1129" s="10" t="s">
        <v>73</v>
      </c>
      <c r="K1129" s="12" t="s">
        <v>73</v>
      </c>
      <c r="M1129" s="5" t="str">
        <f t="array" ref="M1129">Y806</f>
        <v>1ХВС::1.1</v>
      </c>
      <c r="Z1129" s="6"/>
      <c r="AA1129" s="6"/>
      <c r="AB1129" s="387"/>
      <c r="AC1129" s="388"/>
      <c r="AD1129" s="387"/>
      <c r="AE1129" s="387"/>
      <c r="AF1129" s="387"/>
      <c r="AG1129" s="387"/>
      <c r="BN1129" s="125">
        <f t="shared" si="428"/>
        <v>0</v>
      </c>
      <c r="BO1129" s="125">
        <f t="shared" si="429"/>
        <v>0</v>
      </c>
      <c r="BP1129" s="125">
        <f t="shared" si="430"/>
        <v>0</v>
      </c>
    </row>
    <row r="1130" spans="1:68" hidden="1" outlineLevel="2" x14ac:dyDescent="0.25">
      <c r="B1130" s="10" t="b">
        <f>$V807="разделение внутри одной сметы"</f>
        <v>0</v>
      </c>
      <c r="C1130" s="75" t="s">
        <v>561</v>
      </c>
      <c r="E1130" s="10" t="s">
        <v>73</v>
      </c>
      <c r="F1130" s="10" t="s">
        <v>74</v>
      </c>
      <c r="G1130" s="10" t="s">
        <v>73</v>
      </c>
      <c r="H1130" s="10" t="s">
        <v>73</v>
      </c>
      <c r="I1130" s="10" t="s">
        <v>73</v>
      </c>
      <c r="J1130" s="10" t="s">
        <v>73</v>
      </c>
      <c r="K1130" s="12" t="s">
        <v>73</v>
      </c>
      <c r="M1130" s="5" t="str">
        <f t="array" ref="M1130">Y806</f>
        <v>1ХВС::1.1</v>
      </c>
      <c r="AB1130" s="384" t="str">
        <f>AB1129&amp;".0"</f>
        <v>.0</v>
      </c>
      <c r="AC1130" s="385"/>
      <c r="AD1130" s="384"/>
      <c r="AE1130" s="391"/>
      <c r="AF1130" s="391"/>
      <c r="AG1130" s="391"/>
      <c r="BN1130" s="125">
        <f t="shared" si="428"/>
        <v>0</v>
      </c>
      <c r="BO1130" s="125">
        <f t="shared" si="429"/>
        <v>0</v>
      </c>
      <c r="BP1130" s="125">
        <f t="shared" si="430"/>
        <v>0</v>
      </c>
    </row>
    <row r="1131" spans="1:68" ht="14.25" hidden="1" customHeight="1" outlineLevel="2" x14ac:dyDescent="0.25">
      <c r="A1131" s="10" t="b">
        <f t="array" ref="A1131">$B1129</f>
        <v>0</v>
      </c>
      <c r="B1131" s="10" t="b">
        <f t="array" ref="B1131">$B1129</f>
        <v>0</v>
      </c>
      <c r="C1131" s="75" t="s">
        <v>562</v>
      </c>
      <c r="D1131" s="5" t="s">
        <v>563</v>
      </c>
      <c r="E1131" s="10" t="s">
        <v>73</v>
      </c>
      <c r="F1131" s="10" t="s">
        <v>74</v>
      </c>
      <c r="G1131" s="10" t="s">
        <v>73</v>
      </c>
      <c r="H1131" s="10" t="s">
        <v>73</v>
      </c>
      <c r="I1131" s="10" t="s">
        <v>73</v>
      </c>
      <c r="J1131" s="10" t="s">
        <v>73</v>
      </c>
      <c r="K1131" s="12" t="s">
        <v>73</v>
      </c>
      <c r="M1131" s="5" t="str">
        <f t="array" ref="M1131">Y806</f>
        <v>1ХВС::1.1</v>
      </c>
      <c r="Z1131" s="6"/>
      <c r="AA1131" s="6"/>
      <c r="AB1131" s="384"/>
      <c r="AC1131" s="392"/>
      <c r="AD1131" s="384"/>
      <c r="AE1131" s="393"/>
      <c r="AF1131" s="393"/>
      <c r="AG1131" s="393"/>
      <c r="BN1131" s="125">
        <f t="shared" si="428"/>
        <v>0</v>
      </c>
      <c r="BO1131" s="125">
        <f t="shared" si="429"/>
        <v>0</v>
      </c>
      <c r="BP1131" s="125">
        <f t="shared" si="430"/>
        <v>0</v>
      </c>
    </row>
    <row r="1132" spans="1:68" ht="14.25" hidden="1" customHeight="1" outlineLevel="3" x14ac:dyDescent="0.25">
      <c r="A1132" s="10" t="b">
        <f t="array" ref="A1132">$B1129</f>
        <v>0</v>
      </c>
      <c r="B1132" s="10" t="b">
        <f t="array" ref="B1132">$B1129</f>
        <v>0</v>
      </c>
      <c r="C1132" s="75" t="s">
        <v>564</v>
      </c>
      <c r="D1132" s="5" t="s">
        <v>565</v>
      </c>
      <c r="E1132" s="10" t="s">
        <v>73</v>
      </c>
      <c r="F1132" s="10" t="s">
        <v>74</v>
      </c>
      <c r="G1132" s="10" t="s">
        <v>73</v>
      </c>
      <c r="H1132" s="10" t="s">
        <v>73</v>
      </c>
      <c r="I1132" s="10" t="s">
        <v>73</v>
      </c>
      <c r="J1132" s="10" t="s">
        <v>73</v>
      </c>
      <c r="K1132" s="12" t="s">
        <v>73</v>
      </c>
      <c r="M1132" s="5" t="str">
        <f t="array" ref="M1132">Y806</f>
        <v>1ХВС::1.1</v>
      </c>
      <c r="Z1132" s="6"/>
      <c r="AA1132" s="6"/>
      <c r="AB1132" s="384"/>
      <c r="AC1132" s="394"/>
      <c r="AD1132" s="384"/>
      <c r="AE1132" s="393"/>
      <c r="AF1132" s="393"/>
      <c r="AG1132" s="393"/>
      <c r="BN1132" s="125">
        <f t="shared" si="428"/>
        <v>0</v>
      </c>
      <c r="BO1132" s="125">
        <f t="shared" si="429"/>
        <v>0</v>
      </c>
      <c r="BP1132" s="125">
        <f t="shared" si="430"/>
        <v>0</v>
      </c>
    </row>
    <row r="1133" spans="1:68" ht="14.25" hidden="1" customHeight="1" outlineLevel="3" x14ac:dyDescent="0.25">
      <c r="A1133" s="10" t="b">
        <f t="array" ref="A1133">$B1129</f>
        <v>0</v>
      </c>
      <c r="B1133" s="10" t="b">
        <f t="array" ref="B1133">$B1129</f>
        <v>0</v>
      </c>
      <c r="C1133" s="75" t="s">
        <v>566</v>
      </c>
      <c r="D1133" s="5" t="s">
        <v>567</v>
      </c>
      <c r="E1133" s="10" t="s">
        <v>73</v>
      </c>
      <c r="F1133" s="10" t="s">
        <v>74</v>
      </c>
      <c r="G1133" s="10" t="s">
        <v>73</v>
      </c>
      <c r="H1133" s="10" t="s">
        <v>73</v>
      </c>
      <c r="I1133" s="10" t="s">
        <v>73</v>
      </c>
      <c r="J1133" s="10" t="s">
        <v>73</v>
      </c>
      <c r="K1133" s="12" t="s">
        <v>73</v>
      </c>
      <c r="M1133" s="5" t="str">
        <f t="array" ref="M1133">Y806</f>
        <v>1ХВС::1.1</v>
      </c>
      <c r="Z1133" s="6"/>
      <c r="AA1133" s="6"/>
      <c r="AB1133" s="384"/>
      <c r="AC1133" s="394"/>
      <c r="AD1133" s="384"/>
      <c r="AE1133" s="393"/>
      <c r="AF1133" s="393"/>
      <c r="AG1133" s="393"/>
      <c r="BN1133" s="125">
        <f t="shared" si="428"/>
        <v>0</v>
      </c>
      <c r="BO1133" s="125">
        <f t="shared" si="429"/>
        <v>0</v>
      </c>
      <c r="BP1133" s="125">
        <f t="shared" si="430"/>
        <v>0</v>
      </c>
    </row>
    <row r="1134" spans="1:68" ht="14.25" hidden="1" customHeight="1" outlineLevel="3" x14ac:dyDescent="0.25">
      <c r="A1134" s="10" t="b">
        <f t="array" ref="A1134">$B1129</f>
        <v>0</v>
      </c>
      <c r="B1134" s="10" t="b">
        <f t="array" ref="B1134">$B1129</f>
        <v>0</v>
      </c>
      <c r="C1134" s="75" t="s">
        <v>568</v>
      </c>
      <c r="D1134" s="5" t="s">
        <v>569</v>
      </c>
      <c r="E1134" s="10" t="s">
        <v>73</v>
      </c>
      <c r="F1134" s="10" t="s">
        <v>74</v>
      </c>
      <c r="G1134" s="10" t="s">
        <v>73</v>
      </c>
      <c r="H1134" s="10" t="s">
        <v>73</v>
      </c>
      <c r="I1134" s="10" t="s">
        <v>73</v>
      </c>
      <c r="J1134" s="10" t="s">
        <v>73</v>
      </c>
      <c r="K1134" s="12" t="s">
        <v>73</v>
      </c>
      <c r="M1134" s="5" t="str">
        <f t="array" ref="M1134">Y806</f>
        <v>1ХВС::1.1</v>
      </c>
      <c r="Z1134" s="6"/>
      <c r="AA1134" s="6"/>
      <c r="AB1134" s="384"/>
      <c r="AC1134" s="394"/>
      <c r="AD1134" s="384"/>
      <c r="AE1134" s="393"/>
      <c r="AF1134" s="393"/>
      <c r="AG1134" s="393"/>
      <c r="BN1134" s="125">
        <f t="shared" si="428"/>
        <v>0</v>
      </c>
      <c r="BO1134" s="125">
        <f t="shared" si="429"/>
        <v>0</v>
      </c>
      <c r="BP1134" s="125">
        <f t="shared" si="430"/>
        <v>0</v>
      </c>
    </row>
    <row r="1135" spans="1:68" ht="14.25" hidden="1" customHeight="1" outlineLevel="3" x14ac:dyDescent="0.25">
      <c r="A1135" s="10" t="b">
        <f t="array" ref="A1135">$B1129</f>
        <v>0</v>
      </c>
      <c r="B1135" s="10" t="b">
        <f t="array" ref="B1135">$B1129</f>
        <v>0</v>
      </c>
      <c r="C1135" s="75" t="s">
        <v>570</v>
      </c>
      <c r="D1135" s="5" t="s">
        <v>571</v>
      </c>
      <c r="E1135" s="10" t="s">
        <v>73</v>
      </c>
      <c r="F1135" s="10" t="s">
        <v>74</v>
      </c>
      <c r="G1135" s="10" t="s">
        <v>73</v>
      </c>
      <c r="H1135" s="10" t="s">
        <v>73</v>
      </c>
      <c r="I1135" s="10" t="s">
        <v>73</v>
      </c>
      <c r="J1135" s="10" t="s">
        <v>73</v>
      </c>
      <c r="K1135" s="12" t="s">
        <v>73</v>
      </c>
      <c r="M1135" s="5" t="str">
        <f t="array" ref="M1135">Y806</f>
        <v>1ХВС::1.1</v>
      </c>
      <c r="Z1135" s="6"/>
      <c r="AA1135" s="6"/>
      <c r="AB1135" s="384"/>
      <c r="AC1135" s="385"/>
      <c r="AD1135" s="384"/>
      <c r="AE1135" s="393"/>
      <c r="AF1135" s="393"/>
      <c r="AG1135" s="393"/>
      <c r="BN1135" s="125">
        <f t="shared" si="428"/>
        <v>0</v>
      </c>
      <c r="BO1135" s="125">
        <f t="shared" si="429"/>
        <v>0</v>
      </c>
      <c r="BP1135" s="125">
        <f t="shared" si="430"/>
        <v>0</v>
      </c>
    </row>
    <row r="1136" spans="1:68" ht="14.25" hidden="1" customHeight="1" outlineLevel="4" x14ac:dyDescent="0.25">
      <c r="A1136" s="10" t="b">
        <f t="array" ref="A1136">$B1129</f>
        <v>0</v>
      </c>
      <c r="B1136" s="10" t="b">
        <f t="array" ref="B1136">$B1129</f>
        <v>0</v>
      </c>
      <c r="C1136" s="75" t="s">
        <v>572</v>
      </c>
      <c r="D1136" s="5" t="s">
        <v>573</v>
      </c>
      <c r="E1136" s="10" t="s">
        <v>73</v>
      </c>
      <c r="F1136" s="10" t="s">
        <v>74</v>
      </c>
      <c r="G1136" s="10" t="s">
        <v>73</v>
      </c>
      <c r="H1136" s="10" t="s">
        <v>73</v>
      </c>
      <c r="I1136" s="10" t="s">
        <v>73</v>
      </c>
      <c r="J1136" s="10" t="s">
        <v>73</v>
      </c>
      <c r="K1136" s="12" t="s">
        <v>73</v>
      </c>
      <c r="M1136" s="5" t="str">
        <f t="array" ref="M1136">Y806</f>
        <v>1ХВС::1.1</v>
      </c>
      <c r="Z1136" s="6"/>
      <c r="AA1136" s="6"/>
      <c r="AB1136" s="384"/>
      <c r="AC1136" s="394"/>
      <c r="AD1136" s="384"/>
      <c r="AE1136" s="393"/>
      <c r="AF1136" s="393"/>
      <c r="AG1136" s="393"/>
      <c r="BN1136" s="125">
        <f t="shared" si="428"/>
        <v>0</v>
      </c>
      <c r="BO1136" s="125">
        <f t="shared" si="429"/>
        <v>0</v>
      </c>
      <c r="BP1136" s="125">
        <f t="shared" si="430"/>
        <v>0</v>
      </c>
    </row>
    <row r="1137" spans="1:68" ht="14.25" hidden="1" customHeight="1" outlineLevel="4" x14ac:dyDescent="0.25">
      <c r="A1137" s="10" t="b">
        <f t="array" ref="A1137">$B1129</f>
        <v>0</v>
      </c>
      <c r="B1137" s="10" t="b">
        <f t="array" ref="B1137">$B1129</f>
        <v>0</v>
      </c>
      <c r="C1137" s="75" t="s">
        <v>574</v>
      </c>
      <c r="D1137" s="5" t="s">
        <v>575</v>
      </c>
      <c r="E1137" s="10" t="s">
        <v>73</v>
      </c>
      <c r="F1137" s="10" t="s">
        <v>74</v>
      </c>
      <c r="G1137" s="10" t="s">
        <v>73</v>
      </c>
      <c r="H1137" s="10" t="s">
        <v>73</v>
      </c>
      <c r="I1137" s="10" t="s">
        <v>73</v>
      </c>
      <c r="J1137" s="10" t="s">
        <v>73</v>
      </c>
      <c r="K1137" s="12" t="s">
        <v>73</v>
      </c>
      <c r="M1137" s="5" t="str">
        <f t="array" ref="M1137">Y806</f>
        <v>1ХВС::1.1</v>
      </c>
      <c r="Z1137" s="6"/>
      <c r="AA1137" s="6"/>
      <c r="AB1137" s="384"/>
      <c r="AC1137" s="394"/>
      <c r="AD1137" s="384"/>
      <c r="AE1137" s="393"/>
      <c r="AF1137" s="393"/>
      <c r="AG1137" s="393"/>
      <c r="BN1137" s="125">
        <f t="shared" si="428"/>
        <v>0</v>
      </c>
      <c r="BO1137" s="125">
        <f t="shared" si="429"/>
        <v>0</v>
      </c>
      <c r="BP1137" s="125">
        <f t="shared" si="430"/>
        <v>0</v>
      </c>
    </row>
    <row r="1138" spans="1:68" ht="14.25" hidden="1" customHeight="1" outlineLevel="3" x14ac:dyDescent="0.25">
      <c r="A1138" s="10" t="b">
        <f t="array" ref="A1138">$B1129</f>
        <v>0</v>
      </c>
      <c r="B1138" s="10" t="b">
        <f t="array" ref="B1138">$B1129</f>
        <v>0</v>
      </c>
      <c r="C1138" s="75" t="s">
        <v>576</v>
      </c>
      <c r="D1138" s="5" t="s">
        <v>577</v>
      </c>
      <c r="E1138" s="10" t="s">
        <v>73</v>
      </c>
      <c r="F1138" s="10" t="s">
        <v>74</v>
      </c>
      <c r="G1138" s="10" t="s">
        <v>73</v>
      </c>
      <c r="H1138" s="10" t="s">
        <v>73</v>
      </c>
      <c r="I1138" s="10" t="s">
        <v>73</v>
      </c>
      <c r="J1138" s="10" t="s">
        <v>73</v>
      </c>
      <c r="K1138" s="12" t="s">
        <v>73</v>
      </c>
      <c r="M1138" s="5" t="str">
        <f t="array" ref="M1138">Y806</f>
        <v>1ХВС::1.1</v>
      </c>
      <c r="Z1138" s="6"/>
      <c r="AA1138" s="6"/>
      <c r="AB1138" s="384"/>
      <c r="AC1138" s="385"/>
      <c r="AD1138" s="384"/>
      <c r="AE1138" s="393"/>
      <c r="AF1138" s="393"/>
      <c r="AG1138" s="393"/>
      <c r="BN1138" s="125">
        <f t="shared" si="428"/>
        <v>0</v>
      </c>
      <c r="BO1138" s="125">
        <f t="shared" si="429"/>
        <v>0</v>
      </c>
      <c r="BP1138" s="125">
        <f t="shared" si="430"/>
        <v>0</v>
      </c>
    </row>
    <row r="1139" spans="1:68" ht="14.25" hidden="1" customHeight="1" outlineLevel="4" x14ac:dyDescent="0.25">
      <c r="A1139" s="10" t="b">
        <f t="array" ref="A1139">$B1129</f>
        <v>0</v>
      </c>
      <c r="B1139" s="10" t="b">
        <f t="array" ref="B1139">$B1129</f>
        <v>0</v>
      </c>
      <c r="C1139" s="75" t="s">
        <v>86</v>
      </c>
      <c r="D1139" s="5" t="s">
        <v>87</v>
      </c>
      <c r="E1139" s="10" t="s">
        <v>73</v>
      </c>
      <c r="F1139" s="10" t="s">
        <v>74</v>
      </c>
      <c r="G1139" s="10" t="s">
        <v>73</v>
      </c>
      <c r="H1139" s="10" t="s">
        <v>73</v>
      </c>
      <c r="I1139" s="10" t="s">
        <v>73</v>
      </c>
      <c r="J1139" s="10" t="s">
        <v>73</v>
      </c>
      <c r="K1139" s="12" t="s">
        <v>73</v>
      </c>
      <c r="M1139" s="5" t="str">
        <f t="array" ref="M1139">Y806</f>
        <v>1ХВС::1.1</v>
      </c>
      <c r="Z1139" s="6"/>
      <c r="AA1139" s="6"/>
      <c r="AB1139" s="384"/>
      <c r="AC1139" s="394"/>
      <c r="AD1139" s="384"/>
      <c r="AE1139" s="393"/>
      <c r="AF1139" s="393"/>
      <c r="AG1139" s="393"/>
      <c r="BN1139" s="125">
        <f t="shared" si="428"/>
        <v>0</v>
      </c>
      <c r="BO1139" s="125">
        <f t="shared" si="429"/>
        <v>0</v>
      </c>
      <c r="BP1139" s="125">
        <f t="shared" si="430"/>
        <v>0</v>
      </c>
    </row>
    <row r="1140" spans="1:68" ht="14.25" hidden="1" customHeight="1" outlineLevel="4" x14ac:dyDescent="0.25">
      <c r="A1140" s="10" t="b">
        <f t="array" ref="A1140">$B1129</f>
        <v>0</v>
      </c>
      <c r="B1140" s="10" t="b">
        <f t="array" ref="B1140">$B1129</f>
        <v>0</v>
      </c>
      <c r="C1140" s="75" t="s">
        <v>88</v>
      </c>
      <c r="D1140" s="5" t="s">
        <v>89</v>
      </c>
      <c r="E1140" s="10" t="s">
        <v>73</v>
      </c>
      <c r="F1140" s="10" t="s">
        <v>74</v>
      </c>
      <c r="G1140" s="10" t="s">
        <v>73</v>
      </c>
      <c r="H1140" s="10" t="s">
        <v>73</v>
      </c>
      <c r="I1140" s="10" t="s">
        <v>73</v>
      </c>
      <c r="J1140" s="10" t="s">
        <v>73</v>
      </c>
      <c r="K1140" s="12" t="s">
        <v>73</v>
      </c>
      <c r="M1140" s="5" t="str">
        <f t="array" ref="M1140">Y806</f>
        <v>1ХВС::1.1</v>
      </c>
      <c r="Z1140" s="6"/>
      <c r="AA1140" s="6"/>
      <c r="AB1140" s="384"/>
      <c r="AC1140" s="394"/>
      <c r="AD1140" s="384"/>
      <c r="AE1140" s="393"/>
      <c r="AF1140" s="393"/>
      <c r="AG1140" s="393"/>
      <c r="BN1140" s="125">
        <f t="shared" si="428"/>
        <v>0</v>
      </c>
      <c r="BO1140" s="125">
        <f t="shared" si="429"/>
        <v>0</v>
      </c>
      <c r="BP1140" s="125">
        <f t="shared" si="430"/>
        <v>0</v>
      </c>
    </row>
    <row r="1141" spans="1:68" hidden="1" outlineLevel="4" x14ac:dyDescent="0.25">
      <c r="A1141" s="10" t="b">
        <f t="array" ref="A1141">$B1129</f>
        <v>0</v>
      </c>
      <c r="B1141" s="10" t="b">
        <f t="array" ref="B1141">$B1129</f>
        <v>0</v>
      </c>
      <c r="D1141" s="5" t="s">
        <v>577</v>
      </c>
      <c r="E1141" s="10" t="s">
        <v>73</v>
      </c>
      <c r="F1141" s="10" t="s">
        <v>74</v>
      </c>
      <c r="G1141" s="10" t="s">
        <v>73</v>
      </c>
      <c r="H1141" s="10" t="s">
        <v>73</v>
      </c>
      <c r="I1141" s="10" t="s">
        <v>73</v>
      </c>
      <c r="J1141" s="10" t="s">
        <v>73</v>
      </c>
      <c r="K1141" s="12" t="s">
        <v>73</v>
      </c>
      <c r="Z1141" s="6"/>
      <c r="AA1141" s="6"/>
      <c r="AB1141" s="384"/>
      <c r="AC1141" s="394"/>
      <c r="AD1141" s="384"/>
      <c r="AE1141" s="393"/>
      <c r="AF1141" s="393"/>
      <c r="AG1141" s="393"/>
      <c r="BN1141" s="125">
        <f t="shared" si="428"/>
        <v>0</v>
      </c>
      <c r="BO1141" s="125">
        <f t="shared" si="429"/>
        <v>0</v>
      </c>
      <c r="BP1141" s="125">
        <f t="shared" si="430"/>
        <v>0</v>
      </c>
    </row>
    <row r="1142" spans="1:68" ht="14.25" hidden="1" customHeight="1" outlineLevel="2" x14ac:dyDescent="0.25">
      <c r="A1142" s="10" t="b">
        <f t="array" ref="A1142">$B1129</f>
        <v>0</v>
      </c>
      <c r="B1142" s="10" t="b">
        <f t="array" ref="B1142">$B1129</f>
        <v>0</v>
      </c>
      <c r="Y1142" s="10" t="s">
        <v>578</v>
      </c>
      <c r="Z1142" s="6"/>
      <c r="AA1142" s="6"/>
      <c r="AB1142" s="395"/>
      <c r="AC1142" s="396"/>
      <c r="AD1142" s="397"/>
      <c r="AE1142" s="397"/>
      <c r="AF1142" s="397"/>
      <c r="AG1142" s="397"/>
      <c r="BN1142" s="125">
        <f t="shared" si="428"/>
        <v>0</v>
      </c>
      <c r="BO1142" s="125">
        <f t="shared" si="429"/>
        <v>0</v>
      </c>
      <c r="BP1142" s="125">
        <f t="shared" si="430"/>
        <v>0</v>
      </c>
    </row>
    <row r="1143" spans="1:68" ht="24.75" customHeight="1" x14ac:dyDescent="0.25">
      <c r="AD1143" s="4" t="s">
        <v>713</v>
      </c>
      <c r="AE1143" s="399">
        <f t="shared" ref="AE1143:BK1143" si="431">AE1112-AE1144</f>
        <v>0</v>
      </c>
      <c r="AF1143" s="399">
        <f t="shared" si="431"/>
        <v>322802.05200000014</v>
      </c>
      <c r="AG1143" s="399">
        <f t="shared" si="431"/>
        <v>0</v>
      </c>
      <c r="AH1143" s="399">
        <f t="shared" si="431"/>
        <v>0</v>
      </c>
      <c r="AI1143" s="399">
        <f t="shared" si="431"/>
        <v>335.56999999999607</v>
      </c>
      <c r="AJ1143" s="399">
        <f t="shared" si="431"/>
        <v>0</v>
      </c>
      <c r="AK1143" s="399">
        <f t="shared" si="431"/>
        <v>4.9999999901046976E-3</v>
      </c>
      <c r="AL1143" s="399">
        <f t="shared" si="431"/>
        <v>-4405.3510000000024</v>
      </c>
      <c r="AM1143" s="399">
        <f t="shared" si="431"/>
        <v>-1.0000000183936208E-3</v>
      </c>
      <c r="AN1143" s="399">
        <f t="shared" si="431"/>
        <v>0</v>
      </c>
      <c r="AO1143" s="399">
        <f t="shared" si="431"/>
        <v>1633.1499999999942</v>
      </c>
      <c r="AP1143" s="399">
        <f t="shared" si="431"/>
        <v>-8.7599994731135666E-4</v>
      </c>
      <c r="AQ1143" s="399">
        <f t="shared" si="431"/>
        <v>0</v>
      </c>
      <c r="AR1143" s="399">
        <f t="shared" si="431"/>
        <v>0</v>
      </c>
      <c r="AS1143" s="399">
        <f t="shared" si="431"/>
        <v>2.8619999648071826E-3</v>
      </c>
      <c r="AT1143" s="399">
        <f t="shared" si="431"/>
        <v>0</v>
      </c>
      <c r="AU1143" s="399">
        <f t="shared" si="431"/>
        <v>0</v>
      </c>
      <c r="AV1143" s="399">
        <f t="shared" si="431"/>
        <v>0</v>
      </c>
      <c r="AW1143" s="399">
        <f t="shared" si="431"/>
        <v>0</v>
      </c>
      <c r="AX1143" s="399">
        <f t="shared" si="431"/>
        <v>0</v>
      </c>
      <c r="AY1143" s="399">
        <f t="shared" si="431"/>
        <v>0</v>
      </c>
      <c r="AZ1143" s="399">
        <f t="shared" si="431"/>
        <v>0</v>
      </c>
      <c r="BA1143" s="399">
        <f t="shared" si="431"/>
        <v>0</v>
      </c>
      <c r="BB1143" s="399">
        <f t="shared" si="431"/>
        <v>0</v>
      </c>
      <c r="BC1143" s="399">
        <f t="shared" si="431"/>
        <v>2.0000000367872417E-3</v>
      </c>
      <c r="BD1143" s="399">
        <f t="shared" si="431"/>
        <v>-1.6725999885238707E-3</v>
      </c>
      <c r="BE1143" s="399">
        <f t="shared" si="431"/>
        <v>-3.1999999773688614E-3</v>
      </c>
      <c r="BF1143" s="399">
        <f t="shared" si="431"/>
        <v>0</v>
      </c>
      <c r="BG1143" s="399">
        <f t="shared" si="431"/>
        <v>0</v>
      </c>
      <c r="BH1143" s="399">
        <f t="shared" si="431"/>
        <v>0</v>
      </c>
      <c r="BI1143" s="399">
        <f t="shared" si="431"/>
        <v>0</v>
      </c>
      <c r="BJ1143" s="399">
        <f t="shared" si="431"/>
        <v>0</v>
      </c>
      <c r="BK1143" s="399">
        <f t="shared" si="431"/>
        <v>0</v>
      </c>
      <c r="BN1143" s="398"/>
      <c r="BO1143" s="398"/>
      <c r="BP1143" s="398"/>
    </row>
    <row r="1144" spans="1:68" s="400" customFormat="1" ht="22.5" customHeight="1" x14ac:dyDescent="0.25">
      <c r="A1144" s="5"/>
      <c r="B1144" s="5"/>
      <c r="C1144" s="5"/>
      <c r="D1144" s="5"/>
      <c r="E1144" s="5"/>
      <c r="F1144" s="5"/>
      <c r="G1144" s="5"/>
      <c r="H1144" s="5"/>
      <c r="I1144" s="5"/>
      <c r="J1144" s="5"/>
      <c r="K1144" s="5"/>
      <c r="L1144" s="5"/>
      <c r="M1144" s="5"/>
      <c r="N1144" s="5"/>
      <c r="O1144" s="5"/>
      <c r="P1144" s="5"/>
      <c r="Q1144" s="5"/>
      <c r="R1144" s="5"/>
      <c r="S1144" s="5"/>
      <c r="T1144" s="5"/>
      <c r="U1144" s="5"/>
      <c r="V1144" s="5"/>
      <c r="W1144" s="5"/>
      <c r="X1144" s="5"/>
      <c r="Y1144" s="5"/>
      <c r="Z1144" s="5"/>
      <c r="AA1144" s="5"/>
      <c r="AB1144" s="6"/>
      <c r="AC1144" s="6"/>
      <c r="AD1144" s="6" t="s">
        <v>580</v>
      </c>
      <c r="AE1144" s="698">
        <f t="shared" ref="AE1144:BK1144" si="432">AE394+AE769</f>
        <v>2922484.877196053</v>
      </c>
      <c r="AF1144" s="698">
        <f t="shared" si="432"/>
        <v>2283105.3843414215</v>
      </c>
      <c r="AG1144" s="698">
        <f t="shared" si="432"/>
        <v>4213890.6317540258</v>
      </c>
      <c r="AH1144" s="698">
        <f t="shared" si="432"/>
        <v>58978.620963199995</v>
      </c>
      <c r="AI1144" s="698">
        <f t="shared" si="432"/>
        <v>18255.02</v>
      </c>
      <c r="AJ1144" s="698">
        <f t="shared" si="432"/>
        <v>70758.690681100008</v>
      </c>
      <c r="AK1144" s="698">
        <f t="shared" si="432"/>
        <v>64126.684430819994</v>
      </c>
      <c r="AL1144" s="698">
        <f t="shared" si="432"/>
        <v>34457.789842400001</v>
      </c>
      <c r="AM1144" s="698">
        <f t="shared" si="432"/>
        <v>105297.85289440001</v>
      </c>
      <c r="AN1144" s="698">
        <f t="shared" si="432"/>
        <v>88047.562562080013</v>
      </c>
      <c r="AO1144" s="698">
        <f t="shared" si="432"/>
        <v>51335.267376972006</v>
      </c>
      <c r="AP1144" s="698">
        <f t="shared" si="432"/>
        <v>148329.53419997997</v>
      </c>
      <c r="AQ1144" s="698">
        <f t="shared" si="432"/>
        <v>49632.434299119996</v>
      </c>
      <c r="AR1144" s="698">
        <f t="shared" si="432"/>
        <v>10905.668695200002</v>
      </c>
      <c r="AS1144" s="698">
        <f t="shared" si="432"/>
        <v>101971.99932800001</v>
      </c>
      <c r="AT1144" s="698">
        <f t="shared" si="432"/>
        <v>100132.90446990002</v>
      </c>
      <c r="AU1144" s="698">
        <f t="shared" si="432"/>
        <v>73398.525503769997</v>
      </c>
      <c r="AV1144" s="698">
        <f t="shared" si="432"/>
        <v>178974.73742596997</v>
      </c>
      <c r="AW1144" s="698">
        <f t="shared" si="432"/>
        <v>93075.90828186</v>
      </c>
      <c r="AX1144" s="698">
        <f t="shared" si="432"/>
        <v>18246.346825799999</v>
      </c>
      <c r="AY1144" s="698">
        <f t="shared" si="432"/>
        <v>114050.23027620002</v>
      </c>
      <c r="AZ1144" s="698">
        <f t="shared" si="432"/>
        <v>231528.33272309497</v>
      </c>
      <c r="BA1144" s="698">
        <f t="shared" si="432"/>
        <v>140135.30452299997</v>
      </c>
      <c r="BB1144" s="698">
        <f t="shared" si="432"/>
        <v>346584.17385939311</v>
      </c>
      <c r="BC1144" s="698">
        <f t="shared" si="432"/>
        <v>434336.10781359999</v>
      </c>
      <c r="BD1144" s="698">
        <f t="shared" si="432"/>
        <v>133440.09000000003</v>
      </c>
      <c r="BE1144" s="698">
        <f t="shared" si="432"/>
        <v>367783.372325</v>
      </c>
      <c r="BF1144" s="698">
        <f t="shared" si="432"/>
        <v>41682.485577499996</v>
      </c>
      <c r="BG1144" s="698">
        <f t="shared" si="432"/>
        <v>5685.3296760000039</v>
      </c>
      <c r="BH1144" s="698">
        <f t="shared" si="432"/>
        <v>51853.386646880004</v>
      </c>
      <c r="BI1144" s="698">
        <f t="shared" si="432"/>
        <v>73444.276699309994</v>
      </c>
      <c r="BJ1144" s="698">
        <f t="shared" si="432"/>
        <v>14332.327575200012</v>
      </c>
      <c r="BK1144" s="698">
        <f t="shared" si="432"/>
        <v>100935.5644602</v>
      </c>
      <c r="BL1144" s="698"/>
      <c r="BM1144" s="698"/>
      <c r="BN1144" s="398">
        <f>BN394+BN769</f>
        <v>4157470.1950165383</v>
      </c>
      <c r="BO1144" s="398">
        <f>BO394+BO769</f>
        <v>2783297.0543597639</v>
      </c>
      <c r="BP1144" s="398">
        <f>BP394+BP769</f>
        <v>5800430.1738511482</v>
      </c>
    </row>
    <row r="1145" spans="1:68" s="400" customFormat="1" ht="14.25" customHeight="1" x14ac:dyDescent="0.25">
      <c r="A1145" s="5"/>
      <c r="B1145" s="5"/>
      <c r="C1145" s="5"/>
      <c r="D1145" s="5"/>
      <c r="E1145" s="5"/>
      <c r="F1145" s="5"/>
      <c r="G1145" s="5"/>
      <c r="H1145" s="5"/>
      <c r="I1145" s="5"/>
      <c r="J1145" s="5"/>
      <c r="K1145" s="5"/>
      <c r="L1145" s="5"/>
      <c r="M1145" s="5"/>
      <c r="N1145" s="5"/>
      <c r="O1145" s="5"/>
      <c r="P1145" s="5"/>
      <c r="Q1145" s="5"/>
      <c r="R1145" s="5"/>
      <c r="S1145" s="5"/>
      <c r="T1145" s="5"/>
      <c r="U1145" s="5"/>
      <c r="V1145" s="5"/>
      <c r="W1145" s="5"/>
      <c r="X1145" s="5"/>
      <c r="Y1145" s="5"/>
      <c r="Z1145" s="5"/>
      <c r="AA1145" s="5"/>
      <c r="AB1145" s="6"/>
      <c r="AC1145" s="6"/>
      <c r="AD1145" s="6"/>
      <c r="AE1145" s="6"/>
      <c r="AF1145" s="6"/>
      <c r="AG1145" s="6"/>
      <c r="AH1145" s="6"/>
      <c r="AI1145" s="6"/>
      <c r="AJ1145" s="6"/>
      <c r="AK1145" s="6"/>
      <c r="AL1145" s="6"/>
      <c r="AM1145" s="6"/>
      <c r="AN1145" s="6"/>
      <c r="AO1145" s="6"/>
      <c r="AP1145" s="6"/>
      <c r="AQ1145" s="6"/>
      <c r="AR1145" s="6"/>
      <c r="AS1145" s="6"/>
      <c r="AT1145" s="6"/>
      <c r="AU1145" s="6"/>
      <c r="AV1145" s="6"/>
      <c r="AW1145" s="6"/>
      <c r="AX1145" s="6"/>
      <c r="AY1145" s="6"/>
      <c r="AZ1145" s="6"/>
      <c r="BA1145" s="6"/>
      <c r="BB1145" s="6"/>
      <c r="BC1145" s="6"/>
      <c r="BD1145" s="6"/>
      <c r="BE1145" s="6"/>
      <c r="BF1145" s="6"/>
      <c r="BG1145" s="6"/>
      <c r="BH1145" s="6"/>
      <c r="BI1145" s="6"/>
      <c r="BJ1145" s="6"/>
      <c r="BK1145" s="6"/>
      <c r="BL1145" s="6"/>
      <c r="BM1145" s="5"/>
      <c r="BN1145" s="7"/>
      <c r="BO1145" s="7"/>
      <c r="BP1145" s="7"/>
    </row>
    <row r="1146" spans="1:68" s="400" customFormat="1" ht="14.25" customHeight="1" x14ac:dyDescent="0.25">
      <c r="A1146" s="5"/>
      <c r="B1146" s="5"/>
      <c r="C1146" s="5"/>
      <c r="D1146" s="5"/>
      <c r="E1146" s="5"/>
      <c r="F1146" s="5"/>
      <c r="G1146" s="5"/>
      <c r="H1146" s="5"/>
      <c r="I1146" s="5"/>
      <c r="J1146" s="5"/>
      <c r="K1146" s="5"/>
      <c r="L1146" s="5"/>
      <c r="M1146" s="5"/>
      <c r="N1146" s="5"/>
      <c r="O1146" s="5"/>
      <c r="P1146" s="5"/>
      <c r="Q1146" s="5"/>
      <c r="R1146" s="5"/>
      <c r="S1146" s="5"/>
      <c r="T1146" s="5"/>
      <c r="U1146" s="5"/>
      <c r="V1146" s="5"/>
      <c r="W1146" s="5"/>
      <c r="X1146" s="5"/>
      <c r="Y1146" s="5"/>
      <c r="Z1146" s="5"/>
      <c r="AA1146" s="5"/>
      <c r="AB1146" s="6"/>
      <c r="AC1146" s="6"/>
      <c r="AD1146" s="6"/>
      <c r="AE1146" s="6"/>
      <c r="AF1146" s="6"/>
      <c r="AG1146" s="6"/>
      <c r="AH1146" s="6"/>
      <c r="AI1146" s="6"/>
      <c r="AJ1146" s="6"/>
      <c r="AK1146" s="6"/>
      <c r="AL1146" s="6"/>
      <c r="AM1146" s="6"/>
      <c r="AN1146" s="6"/>
      <c r="AO1146" s="6"/>
      <c r="AP1146" s="6"/>
      <c r="AQ1146" s="6"/>
      <c r="AR1146" s="6"/>
      <c r="AS1146" s="6"/>
      <c r="AT1146" s="6"/>
      <c r="AU1146" s="6"/>
      <c r="AV1146" s="6"/>
      <c r="AW1146" s="6"/>
      <c r="AX1146" s="6"/>
      <c r="AY1146" s="6"/>
      <c r="AZ1146" s="6"/>
      <c r="BA1146" s="6"/>
      <c r="BB1146" s="6"/>
      <c r="BC1146" s="6"/>
      <c r="BD1146" s="6"/>
      <c r="BE1146" s="6"/>
      <c r="BF1146" s="6"/>
      <c r="BG1146" s="6"/>
      <c r="BH1146" s="6"/>
      <c r="BI1146" s="6"/>
      <c r="BJ1146" s="6"/>
      <c r="BK1146" s="6"/>
      <c r="BL1146" s="6"/>
      <c r="BM1146" s="5"/>
      <c r="BN1146" s="7"/>
      <c r="BO1146" s="7"/>
      <c r="BP1146" s="7"/>
    </row>
    <row r="1147" spans="1:68" s="400" customFormat="1" ht="14.25" customHeight="1" x14ac:dyDescent="0.25">
      <c r="A1147" s="5"/>
      <c r="B1147" s="5"/>
      <c r="C1147" s="5"/>
      <c r="D1147" s="5"/>
      <c r="E1147" s="5"/>
      <c r="F1147" s="5"/>
      <c r="G1147" s="5"/>
      <c r="H1147" s="5"/>
      <c r="I1147" s="5"/>
      <c r="J1147" s="5"/>
      <c r="K1147" s="5"/>
      <c r="L1147" s="5"/>
      <c r="M1147" s="5"/>
      <c r="N1147" s="5"/>
      <c r="O1147" s="5"/>
      <c r="P1147" s="5"/>
      <c r="Q1147" s="5"/>
      <c r="R1147" s="5"/>
      <c r="S1147" s="5"/>
      <c r="T1147" s="5"/>
      <c r="U1147" s="5"/>
      <c r="V1147" s="5"/>
      <c r="W1147" s="5"/>
      <c r="X1147" s="5"/>
      <c r="Y1147" s="5"/>
      <c r="Z1147" s="5"/>
      <c r="AA1147" s="5"/>
      <c r="AB1147" s="6"/>
      <c r="AC1147" s="6"/>
      <c r="AD1147" s="6"/>
      <c r="AE1147" s="6"/>
      <c r="AF1147" s="6"/>
      <c r="AG1147" s="6"/>
      <c r="AH1147" s="6"/>
      <c r="AI1147" s="6"/>
      <c r="AJ1147" s="6"/>
      <c r="AK1147" s="6"/>
      <c r="AL1147" s="6"/>
      <c r="AM1147" s="6"/>
      <c r="AN1147" s="6"/>
      <c r="AO1147" s="6"/>
      <c r="AP1147" s="6"/>
      <c r="AQ1147" s="6"/>
      <c r="AR1147" s="6"/>
      <c r="AS1147" s="6"/>
      <c r="AT1147" s="6"/>
      <c r="AU1147" s="6"/>
      <c r="AV1147" s="6"/>
      <c r="AW1147" s="6"/>
      <c r="AX1147" s="6"/>
      <c r="AY1147" s="6"/>
      <c r="AZ1147" s="6"/>
      <c r="BA1147" s="6"/>
      <c r="BB1147" s="6"/>
      <c r="BC1147" s="6"/>
      <c r="BD1147" s="6"/>
      <c r="BE1147" s="6"/>
      <c r="BF1147" s="6"/>
      <c r="BG1147" s="6"/>
      <c r="BH1147" s="6"/>
      <c r="BI1147" s="6"/>
      <c r="BJ1147" s="6"/>
      <c r="BK1147" s="6"/>
      <c r="BL1147" s="6"/>
      <c r="BM1147" s="5"/>
      <c r="BN1147" s="7"/>
      <c r="BO1147" s="7"/>
      <c r="BP1147" s="7"/>
    </row>
    <row r="1148" spans="1:68" s="400" customFormat="1" ht="14.25" customHeight="1" x14ac:dyDescent="0.25">
      <c r="A1148" s="5"/>
      <c r="B1148" s="5"/>
      <c r="C1148" s="5"/>
      <c r="D1148" s="5"/>
      <c r="E1148" s="5"/>
      <c r="F1148" s="5"/>
      <c r="G1148" s="5"/>
      <c r="H1148" s="5"/>
      <c r="I1148" s="5"/>
      <c r="J1148" s="5"/>
      <c r="K1148" s="5"/>
      <c r="L1148" s="5"/>
      <c r="M1148" s="5"/>
      <c r="N1148" s="5"/>
      <c r="O1148" s="5"/>
      <c r="P1148" s="5"/>
      <c r="Q1148" s="5"/>
      <c r="R1148" s="5"/>
      <c r="S1148" s="5"/>
      <c r="T1148" s="5"/>
      <c r="U1148" s="5"/>
      <c r="V1148" s="5"/>
      <c r="W1148" s="5"/>
      <c r="X1148" s="5"/>
      <c r="Y1148" s="5"/>
      <c r="Z1148" s="5"/>
      <c r="AA1148" s="5"/>
      <c r="AB1148" s="6"/>
      <c r="AC1148" s="6"/>
      <c r="AD1148" s="6"/>
      <c r="AE1148" s="6"/>
      <c r="AF1148" s="6"/>
      <c r="AG1148" s="6"/>
      <c r="AH1148" s="6"/>
      <c r="AI1148" s="6"/>
      <c r="AJ1148" s="6"/>
      <c r="AK1148" s="6"/>
      <c r="AL1148" s="6"/>
      <c r="AM1148" s="6"/>
      <c r="AN1148" s="6"/>
      <c r="AO1148" s="6"/>
      <c r="AP1148" s="6"/>
      <c r="AQ1148" s="6"/>
      <c r="AR1148" s="6"/>
      <c r="AS1148" s="6"/>
      <c r="AT1148" s="6"/>
      <c r="AU1148" s="6"/>
      <c r="AV1148" s="6"/>
      <c r="AW1148" s="6"/>
      <c r="AX1148" s="6"/>
      <c r="AY1148" s="6"/>
      <c r="AZ1148" s="6"/>
      <c r="BA1148" s="6"/>
      <c r="BB1148" s="6"/>
      <c r="BC1148" s="6"/>
      <c r="BD1148" s="6"/>
      <c r="BE1148" s="6"/>
      <c r="BF1148" s="6"/>
      <c r="BG1148" s="6"/>
      <c r="BH1148" s="6"/>
      <c r="BI1148" s="6"/>
      <c r="BJ1148" s="5"/>
      <c r="BK1148" s="5"/>
      <c r="BL1148" s="5"/>
      <c r="BM1148" s="5"/>
      <c r="BN1148" s="7"/>
      <c r="BO1148" s="7"/>
      <c r="BP1148" s="7"/>
    </row>
    <row r="1149" spans="1:68" s="400" customFormat="1" ht="30" customHeight="1" x14ac:dyDescent="0.25">
      <c r="A1149" s="5"/>
      <c r="B1149" s="5"/>
      <c r="C1149" s="5"/>
      <c r="D1149" s="5"/>
      <c r="E1149" s="5"/>
      <c r="F1149" s="5"/>
      <c r="G1149" s="5"/>
      <c r="H1149" s="5"/>
      <c r="I1149" s="5"/>
      <c r="J1149" s="5"/>
      <c r="K1149" s="5"/>
      <c r="L1149" s="5"/>
      <c r="M1149" s="5"/>
      <c r="N1149" s="5"/>
      <c r="O1149" s="5"/>
      <c r="P1149" s="5"/>
      <c r="Q1149" s="5"/>
      <c r="R1149" s="5"/>
      <c r="S1149" s="5"/>
      <c r="T1149" s="5"/>
      <c r="U1149" s="5"/>
      <c r="V1149" s="5"/>
      <c r="W1149" s="5"/>
      <c r="X1149" s="5"/>
      <c r="Y1149" s="5"/>
      <c r="Z1149" s="5"/>
      <c r="AA1149" s="5"/>
      <c r="AB1149" s="6"/>
      <c r="AC1149" s="699" t="s">
        <v>714</v>
      </c>
      <c r="AD1149" s="6"/>
      <c r="AE1149" s="6"/>
      <c r="AF1149" s="6"/>
      <c r="AG1149" s="6"/>
      <c r="AH1149" s="6"/>
      <c r="AI1149" s="6"/>
      <c r="AJ1149" s="6"/>
      <c r="AK1149" s="6"/>
      <c r="AL1149" s="6"/>
      <c r="AM1149" s="6"/>
      <c r="AN1149" s="6"/>
      <c r="AO1149" s="6"/>
      <c r="AP1149" s="6"/>
      <c r="AQ1149" s="6"/>
      <c r="AR1149" s="6"/>
      <c r="AS1149" s="6"/>
      <c r="AT1149" s="6"/>
      <c r="AU1149" s="6"/>
      <c r="AV1149" s="6"/>
      <c r="AW1149" s="6"/>
      <c r="AX1149" s="6"/>
      <c r="AY1149" s="6"/>
      <c r="AZ1149" s="6"/>
      <c r="BA1149" s="6"/>
      <c r="BB1149" s="6"/>
      <c r="BC1149" s="6"/>
      <c r="BD1149" s="6"/>
      <c r="BE1149" s="6"/>
      <c r="BF1149" s="6"/>
      <c r="BG1149" s="6"/>
      <c r="BH1149" s="6"/>
      <c r="BI1149" s="6"/>
      <c r="BJ1149" s="5"/>
      <c r="BK1149" s="5"/>
      <c r="BL1149" s="5"/>
      <c r="BM1149" s="5"/>
      <c r="BN1149" s="7"/>
      <c r="BO1149" s="7"/>
      <c r="BP1149" s="7"/>
    </row>
    <row r="1150" spans="1:68" s="400" customFormat="1" ht="32.25" customHeight="1" x14ac:dyDescent="0.25">
      <c r="A1150" s="5"/>
      <c r="B1150" s="5"/>
      <c r="C1150" s="5"/>
      <c r="D1150" s="5"/>
      <c r="E1150" s="5"/>
      <c r="F1150" s="5"/>
      <c r="G1150" s="5"/>
      <c r="H1150" s="5"/>
      <c r="I1150" s="5"/>
      <c r="J1150" s="5"/>
      <c r="K1150" s="5"/>
      <c r="L1150" s="5"/>
      <c r="M1150" s="5"/>
      <c r="N1150" s="5"/>
      <c r="O1150" s="5"/>
      <c r="P1150" s="5"/>
      <c r="Q1150" s="5"/>
      <c r="R1150" s="5"/>
      <c r="S1150" s="5"/>
      <c r="T1150" s="5"/>
      <c r="U1150" s="5"/>
      <c r="V1150" s="5"/>
      <c r="W1150" s="5"/>
      <c r="X1150" s="5"/>
      <c r="Y1150" s="5"/>
      <c r="Z1150" s="5"/>
      <c r="AA1150" s="5"/>
      <c r="AB1150" s="6"/>
      <c r="AC1150" s="1095" t="s">
        <v>715</v>
      </c>
      <c r="AD1150" s="1096" t="s">
        <v>65</v>
      </c>
      <c r="AE1150" s="1092" t="s">
        <v>51</v>
      </c>
      <c r="AF1150" s="1092"/>
      <c r="AG1150" s="1092"/>
      <c r="AH1150" s="1092" t="s">
        <v>52</v>
      </c>
      <c r="AI1150" s="1092"/>
      <c r="AJ1150" s="1092"/>
      <c r="AK1150" s="1092" t="s">
        <v>53</v>
      </c>
      <c r="AL1150" s="1092"/>
      <c r="AM1150" s="1092"/>
      <c r="AN1150" s="1092" t="s">
        <v>54</v>
      </c>
      <c r="AO1150" s="1092"/>
      <c r="AP1150" s="1092"/>
      <c r="AQ1150" s="1092" t="s">
        <v>55</v>
      </c>
      <c r="AR1150" s="1092"/>
      <c r="AS1150" s="1092"/>
      <c r="AT1150" s="1094" t="s">
        <v>56</v>
      </c>
      <c r="AU1150" s="1094"/>
      <c r="AV1150" s="1094"/>
      <c r="AW1150" s="1092" t="s">
        <v>57</v>
      </c>
      <c r="AX1150" s="1092"/>
      <c r="AY1150" s="1092"/>
      <c r="AZ1150" s="1092" t="s">
        <v>58</v>
      </c>
      <c r="BA1150" s="1092"/>
      <c r="BB1150" s="1092"/>
      <c r="BC1150" s="1092" t="s">
        <v>59</v>
      </c>
      <c r="BD1150" s="1092"/>
      <c r="BE1150" s="1092"/>
      <c r="BF1150" s="1092" t="s">
        <v>60</v>
      </c>
      <c r="BG1150" s="1092"/>
      <c r="BH1150" s="1092"/>
      <c r="BI1150" s="1092" t="s">
        <v>61</v>
      </c>
      <c r="BJ1150" s="1092"/>
      <c r="BK1150" s="1092"/>
      <c r="BL1150" s="6"/>
      <c r="BM1150" s="5"/>
      <c r="BN1150" s="1093" t="s">
        <v>710</v>
      </c>
      <c r="BO1150" s="1093"/>
      <c r="BP1150" s="1093"/>
    </row>
    <row r="1151" spans="1:68" s="400" customFormat="1" ht="31.5" customHeight="1" x14ac:dyDescent="0.25">
      <c r="A1151" s="5"/>
      <c r="B1151" s="5"/>
      <c r="C1151" s="5"/>
      <c r="D1151" s="5"/>
      <c r="E1151" s="5"/>
      <c r="F1151" s="5"/>
      <c r="G1151" s="5"/>
      <c r="H1151" s="5"/>
      <c r="I1151" s="5"/>
      <c r="J1151" s="5"/>
      <c r="K1151" s="5"/>
      <c r="L1151" s="5"/>
      <c r="M1151" s="5"/>
      <c r="N1151" s="5"/>
      <c r="O1151" s="5"/>
      <c r="P1151" s="5"/>
      <c r="Q1151" s="5"/>
      <c r="R1151" s="5"/>
      <c r="S1151" s="5"/>
      <c r="T1151" s="5"/>
      <c r="U1151" s="5"/>
      <c r="V1151" s="5"/>
      <c r="W1151" s="5"/>
      <c r="X1151" s="5"/>
      <c r="Y1151" s="5"/>
      <c r="Z1151" s="5"/>
      <c r="AA1151" s="5"/>
      <c r="AB1151" s="6"/>
      <c r="AC1151" s="1095"/>
      <c r="AD1151" s="1096"/>
      <c r="AE1151" s="29">
        <f>god-2</f>
        <v>2024</v>
      </c>
      <c r="AF1151" s="30">
        <v>2025</v>
      </c>
      <c r="AG1151" s="31">
        <f>god</f>
        <v>2026</v>
      </c>
      <c r="AH1151" s="29">
        <f>god-2</f>
        <v>2024</v>
      </c>
      <c r="AI1151" s="30">
        <f>god-1</f>
        <v>2025</v>
      </c>
      <c r="AJ1151" s="31">
        <f>god</f>
        <v>2026</v>
      </c>
      <c r="AK1151" s="29">
        <f>god-2</f>
        <v>2024</v>
      </c>
      <c r="AL1151" s="30">
        <f>god-1</f>
        <v>2025</v>
      </c>
      <c r="AM1151" s="31">
        <f>god</f>
        <v>2026</v>
      </c>
      <c r="AN1151" s="29">
        <f>god-2</f>
        <v>2024</v>
      </c>
      <c r="AO1151" s="30">
        <f>god-1</f>
        <v>2025</v>
      </c>
      <c r="AP1151" s="31">
        <f>god</f>
        <v>2026</v>
      </c>
      <c r="AQ1151" s="29">
        <f>god-2</f>
        <v>2024</v>
      </c>
      <c r="AR1151" s="30">
        <f>god-1</f>
        <v>2025</v>
      </c>
      <c r="AS1151" s="31">
        <f>god</f>
        <v>2026</v>
      </c>
      <c r="AT1151" s="33">
        <f>god-2</f>
        <v>2024</v>
      </c>
      <c r="AU1151" s="30">
        <f>god-1</f>
        <v>2025</v>
      </c>
      <c r="AV1151" s="31">
        <f>god</f>
        <v>2026</v>
      </c>
      <c r="AW1151" s="29">
        <f>god-2</f>
        <v>2024</v>
      </c>
      <c r="AX1151" s="30">
        <f>god-1</f>
        <v>2025</v>
      </c>
      <c r="AY1151" s="31">
        <f>god</f>
        <v>2026</v>
      </c>
      <c r="AZ1151" s="29">
        <f>god-2</f>
        <v>2024</v>
      </c>
      <c r="BA1151" s="30">
        <f>god-1</f>
        <v>2025</v>
      </c>
      <c r="BB1151" s="31">
        <f>god</f>
        <v>2026</v>
      </c>
      <c r="BC1151" s="29">
        <f>god-2</f>
        <v>2024</v>
      </c>
      <c r="BD1151" s="30">
        <f>god-1</f>
        <v>2025</v>
      </c>
      <c r="BE1151" s="31">
        <f>god</f>
        <v>2026</v>
      </c>
      <c r="BF1151" s="29">
        <f>god-2</f>
        <v>2024</v>
      </c>
      <c r="BG1151" s="30">
        <f>god-1</f>
        <v>2025</v>
      </c>
      <c r="BH1151" s="31">
        <f>god</f>
        <v>2026</v>
      </c>
      <c r="BI1151" s="29">
        <f>god-2</f>
        <v>2024</v>
      </c>
      <c r="BJ1151" s="30">
        <f>god-1</f>
        <v>2025</v>
      </c>
      <c r="BK1151" s="31">
        <f>god</f>
        <v>2026</v>
      </c>
      <c r="BL1151" s="6"/>
      <c r="BM1151" s="5"/>
      <c r="BN1151" s="34">
        <f>god-2</f>
        <v>2024</v>
      </c>
      <c r="BO1151" s="35">
        <f>god-1</f>
        <v>2025</v>
      </c>
      <c r="BP1151" s="36">
        <f>god</f>
        <v>2026</v>
      </c>
    </row>
    <row r="1152" spans="1:68" s="400" customFormat="1" ht="54.75" customHeight="1" x14ac:dyDescent="0.25">
      <c r="A1152" s="5"/>
      <c r="B1152" s="5"/>
      <c r="C1152" s="5"/>
      <c r="D1152" s="5"/>
      <c r="E1152" s="5"/>
      <c r="F1152" s="5"/>
      <c r="G1152" s="5"/>
      <c r="H1152" s="5"/>
      <c r="I1152" s="5"/>
      <c r="J1152" s="5"/>
      <c r="K1152" s="5"/>
      <c r="L1152" s="5"/>
      <c r="M1152" s="5"/>
      <c r="N1152" s="5"/>
      <c r="O1152" s="5"/>
      <c r="P1152" s="5"/>
      <c r="Q1152" s="5"/>
      <c r="R1152" s="5"/>
      <c r="S1152" s="5"/>
      <c r="T1152" s="5"/>
      <c r="U1152" s="5"/>
      <c r="V1152" s="5"/>
      <c r="W1152" s="5"/>
      <c r="X1152" s="5"/>
      <c r="Y1152" s="5"/>
      <c r="Z1152" s="5"/>
      <c r="AA1152" s="5"/>
      <c r="AB1152" s="6"/>
      <c r="AC1152" s="1095"/>
      <c r="AD1152" s="1096"/>
      <c r="AE1152" s="29" t="s">
        <v>66</v>
      </c>
      <c r="AF1152" s="30" t="s">
        <v>67</v>
      </c>
      <c r="AG1152" s="31" t="str">
        <f>"план организации"&amp;IF(TYPE="Корректировка"," (корректировка)","")</f>
        <v>план организации (корректировка)</v>
      </c>
      <c r="AH1152" s="29" t="s">
        <v>66</v>
      </c>
      <c r="AI1152" s="30" t="s">
        <v>67</v>
      </c>
      <c r="AJ1152" s="31" t="str">
        <f>"план организации"&amp;IF(TYPE="Корректировка"," (корректировка)","")</f>
        <v>план организации (корректировка)</v>
      </c>
      <c r="AK1152" s="29" t="s">
        <v>66</v>
      </c>
      <c r="AL1152" s="30" t="s">
        <v>67</v>
      </c>
      <c r="AM1152" s="31" t="str">
        <f>"план организации"&amp;IF(TYPE="Корректировка"," (корректировка)","")</f>
        <v>план организации (корректировка)</v>
      </c>
      <c r="AN1152" s="29" t="s">
        <v>66</v>
      </c>
      <c r="AO1152" s="30" t="s">
        <v>67</v>
      </c>
      <c r="AP1152" s="31" t="str">
        <f>"план организации"&amp;IF(TYPE="Корректировка"," (корректировка)","")</f>
        <v>план организации (корректировка)</v>
      </c>
      <c r="AQ1152" s="29" t="s">
        <v>66</v>
      </c>
      <c r="AR1152" s="30" t="s">
        <v>67</v>
      </c>
      <c r="AS1152" s="31" t="str">
        <f>"план организации"&amp;IF(TYPE="Корректировка"," (корректировка)","")</f>
        <v>план организации (корректировка)</v>
      </c>
      <c r="AT1152" s="33" t="s">
        <v>66</v>
      </c>
      <c r="AU1152" s="30" t="s">
        <v>67</v>
      </c>
      <c r="AV1152" s="31" t="str">
        <f>"план организации"&amp;IF(TYPE="Корректировка"," (корректировка)","")</f>
        <v>план организации (корректировка)</v>
      </c>
      <c r="AW1152" s="29" t="s">
        <v>66</v>
      </c>
      <c r="AX1152" s="30" t="s">
        <v>67</v>
      </c>
      <c r="AY1152" s="31" t="str">
        <f>"план организации"&amp;IF(TYPE="Корректировка"," (корректировка)","")</f>
        <v>план организации (корректировка)</v>
      </c>
      <c r="AZ1152" s="29" t="s">
        <v>66</v>
      </c>
      <c r="BA1152" s="30" t="s">
        <v>67</v>
      </c>
      <c r="BB1152" s="31" t="str">
        <f>"план организации"&amp;IF(TYPE="Корректировка"," (корректировка)","")</f>
        <v>план организации (корректировка)</v>
      </c>
      <c r="BC1152" s="29" t="s">
        <v>66</v>
      </c>
      <c r="BD1152" s="30" t="s">
        <v>67</v>
      </c>
      <c r="BE1152" s="31" t="str">
        <f>"план организации"&amp;IF(TYPE="Корректировка"," (корректировка)","")</f>
        <v>план организации (корректировка)</v>
      </c>
      <c r="BF1152" s="29" t="s">
        <v>66</v>
      </c>
      <c r="BG1152" s="30" t="s">
        <v>67</v>
      </c>
      <c r="BH1152" s="31" t="str">
        <f>"план организации"&amp;IF(TYPE="Корректировка"," (корректировка)","")</f>
        <v>план организации (корректировка)</v>
      </c>
      <c r="BI1152" s="29" t="s">
        <v>66</v>
      </c>
      <c r="BJ1152" s="30" t="s">
        <v>67</v>
      </c>
      <c r="BK1152" s="31" t="str">
        <f>"план организации"&amp;IF(TYPE="Корректировка"," (корректировка)","")</f>
        <v>план организации (корректировка)</v>
      </c>
      <c r="BL1152" s="6"/>
      <c r="BM1152" s="5"/>
      <c r="BN1152" s="34" t="s">
        <v>66</v>
      </c>
      <c r="BO1152" s="35" t="s">
        <v>67</v>
      </c>
      <c r="BP1152" s="36" t="str">
        <f>"план организации"&amp;IF(TYPE="Корректировка"," (корректировка)","")</f>
        <v>план организации (корректировка)</v>
      </c>
    </row>
    <row r="1153" spans="1:68" s="400" customFormat="1" ht="17.25" customHeight="1" x14ac:dyDescent="0.25">
      <c r="A1153" s="5"/>
      <c r="B1153" s="5"/>
      <c r="C1153" s="5"/>
      <c r="D1153" s="5"/>
      <c r="E1153" s="5"/>
      <c r="F1153" s="5"/>
      <c r="G1153" s="5"/>
      <c r="H1153" s="5"/>
      <c r="I1153" s="5"/>
      <c r="J1153" s="5"/>
      <c r="K1153" s="5"/>
      <c r="L1153" s="5"/>
      <c r="M1153" s="5"/>
      <c r="N1153" s="5"/>
      <c r="O1153" s="5"/>
      <c r="P1153" s="5"/>
      <c r="Q1153" s="5"/>
      <c r="R1153" s="5"/>
      <c r="S1153" s="5"/>
      <c r="T1153" s="5"/>
      <c r="U1153" s="5"/>
      <c r="V1153" s="5"/>
      <c r="W1153" s="5"/>
      <c r="X1153" s="5"/>
      <c r="Y1153" s="5"/>
      <c r="Z1153" s="5"/>
      <c r="AA1153" s="5"/>
      <c r="AB1153" s="6"/>
      <c r="AC1153" s="700" t="s">
        <v>716</v>
      </c>
      <c r="AD1153" s="701" t="s">
        <v>111</v>
      </c>
      <c r="AE1153" s="702">
        <f t="shared" ref="AE1153:BK1153" si="433">AE155+AE519</f>
        <v>570417.84100000001</v>
      </c>
      <c r="AF1153" s="703">
        <f t="shared" si="433"/>
        <v>710111.71</v>
      </c>
      <c r="AG1153" s="704">
        <f t="shared" si="433"/>
        <v>796234.69</v>
      </c>
      <c r="AH1153" s="702">
        <f t="shared" si="433"/>
        <v>9125.0299999999988</v>
      </c>
      <c r="AI1153" s="703">
        <f t="shared" si="433"/>
        <v>3540.67</v>
      </c>
      <c r="AJ1153" s="704">
        <f t="shared" si="433"/>
        <v>14820.39</v>
      </c>
      <c r="AK1153" s="702">
        <f t="shared" si="433"/>
        <v>9641.48</v>
      </c>
      <c r="AL1153" s="703">
        <f t="shared" si="433"/>
        <v>2083.8389999999999</v>
      </c>
      <c r="AM1153" s="704">
        <f t="shared" si="433"/>
        <v>10228.32</v>
      </c>
      <c r="AN1153" s="702">
        <f t="shared" si="433"/>
        <v>15986.358</v>
      </c>
      <c r="AO1153" s="703">
        <f t="shared" si="433"/>
        <v>11998.480000000001</v>
      </c>
      <c r="AP1153" s="704">
        <f t="shared" si="433"/>
        <v>21593.25</v>
      </c>
      <c r="AQ1153" s="702">
        <f t="shared" si="433"/>
        <v>9803.6929999999993</v>
      </c>
      <c r="AR1153" s="703">
        <f t="shared" si="433"/>
        <v>1873.89</v>
      </c>
      <c r="AS1153" s="704">
        <f t="shared" si="433"/>
        <v>10157.558000000001</v>
      </c>
      <c r="AT1153" s="705">
        <f t="shared" si="433"/>
        <v>16126.09</v>
      </c>
      <c r="AU1153" s="703">
        <f t="shared" si="433"/>
        <v>18523.879999999997</v>
      </c>
      <c r="AV1153" s="704">
        <f t="shared" si="433"/>
        <v>23729.63</v>
      </c>
      <c r="AW1153" s="702">
        <f t="shared" si="433"/>
        <v>16569.629999999997</v>
      </c>
      <c r="AX1153" s="703">
        <f t="shared" si="433"/>
        <v>3925.6373000000003</v>
      </c>
      <c r="AY1153" s="704">
        <f t="shared" si="433"/>
        <v>16555.925500000001</v>
      </c>
      <c r="AZ1153" s="702">
        <f t="shared" si="433"/>
        <v>50537.402000000002</v>
      </c>
      <c r="BA1153" s="703">
        <f t="shared" si="433"/>
        <v>46956.228000000003</v>
      </c>
      <c r="BB1153" s="704">
        <f t="shared" si="433"/>
        <v>52518.61</v>
      </c>
      <c r="BC1153" s="702">
        <f t="shared" si="433"/>
        <v>43789.221000000005</v>
      </c>
      <c r="BD1153" s="703">
        <f t="shared" si="433"/>
        <v>55310.369999999995</v>
      </c>
      <c r="BE1153" s="704">
        <f t="shared" si="433"/>
        <v>61831.19</v>
      </c>
      <c r="BF1153" s="702">
        <f t="shared" si="433"/>
        <v>5597.93</v>
      </c>
      <c r="BG1153" s="703">
        <f t="shared" si="433"/>
        <v>5108.7</v>
      </c>
      <c r="BH1153" s="704">
        <f t="shared" si="433"/>
        <v>3307.7</v>
      </c>
      <c r="BI1153" s="702">
        <f t="shared" si="433"/>
        <v>12194.75</v>
      </c>
      <c r="BJ1153" s="703">
        <f t="shared" si="433"/>
        <v>17021.23</v>
      </c>
      <c r="BK1153" s="704">
        <f t="shared" si="433"/>
        <v>19510.464</v>
      </c>
      <c r="BL1153" s="6"/>
      <c r="BM1153" s="5"/>
      <c r="BN1153" s="706">
        <f t="shared" ref="BN1153:BP1154" si="434">AE1153+AH1153+AK1153+AN1153+AQ1153+AT1153+AW1153+AZ1153+BC1153+BF1153+BI1153</f>
        <v>759789.42500000005</v>
      </c>
      <c r="BO1153" s="707">
        <f t="shared" si="434"/>
        <v>876454.63429999992</v>
      </c>
      <c r="BP1153" s="708">
        <f t="shared" si="434"/>
        <v>1030487.7274999999</v>
      </c>
    </row>
    <row r="1154" spans="1:68" s="400" customFormat="1" ht="17.25" customHeight="1" x14ac:dyDescent="0.25">
      <c r="A1154" s="5"/>
      <c r="B1154" s="5"/>
      <c r="C1154" s="5"/>
      <c r="D1154" s="5"/>
      <c r="E1154" s="5"/>
      <c r="F1154" s="5"/>
      <c r="G1154" s="5"/>
      <c r="H1154" s="5"/>
      <c r="I1154" s="5"/>
      <c r="J1154" s="5"/>
      <c r="K1154" s="5"/>
      <c r="L1154" s="5"/>
      <c r="M1154" s="5"/>
      <c r="N1154" s="5"/>
      <c r="O1154" s="5"/>
      <c r="P1154" s="5"/>
      <c r="Q1154" s="5"/>
      <c r="R1154" s="5"/>
      <c r="S1154" s="5"/>
      <c r="T1154" s="5"/>
      <c r="U1154" s="5"/>
      <c r="V1154" s="5"/>
      <c r="W1154" s="5"/>
      <c r="X1154" s="5"/>
      <c r="Y1154" s="5"/>
      <c r="Z1154" s="5"/>
      <c r="AA1154" s="5"/>
      <c r="AB1154" s="6"/>
      <c r="AC1154" s="709" t="s">
        <v>717</v>
      </c>
      <c r="AD1154" s="594" t="s">
        <v>111</v>
      </c>
      <c r="AE1154" s="710">
        <f t="shared" ref="AE1154:BK1154" si="435">AE157+AE521</f>
        <v>988.4</v>
      </c>
      <c r="AF1154" s="711">
        <f t="shared" si="435"/>
        <v>1157.1300000000001</v>
      </c>
      <c r="AG1154" s="712">
        <f t="shared" si="435"/>
        <v>1239.9000000000001</v>
      </c>
      <c r="AH1154" s="710">
        <f t="shared" si="435"/>
        <v>19.22</v>
      </c>
      <c r="AI1154" s="711">
        <f t="shared" si="435"/>
        <v>19.600000000000001</v>
      </c>
      <c r="AJ1154" s="712">
        <f t="shared" si="435"/>
        <v>27.7</v>
      </c>
      <c r="AK1154" s="710">
        <f t="shared" si="435"/>
        <v>17.28</v>
      </c>
      <c r="AL1154" s="711">
        <f t="shared" si="435"/>
        <v>6.83</v>
      </c>
      <c r="AM1154" s="712">
        <f t="shared" si="435"/>
        <v>22.6</v>
      </c>
      <c r="AN1154" s="710">
        <f t="shared" si="435"/>
        <v>26.68</v>
      </c>
      <c r="AO1154" s="711">
        <f t="shared" si="435"/>
        <v>29.5</v>
      </c>
      <c r="AP1154" s="712">
        <f t="shared" si="435"/>
        <v>42.6</v>
      </c>
      <c r="AQ1154" s="710">
        <f t="shared" si="435"/>
        <v>16.25</v>
      </c>
      <c r="AR1154" s="711">
        <f t="shared" si="435"/>
        <v>4.8599999999999994</v>
      </c>
      <c r="AS1154" s="712">
        <f t="shared" si="435"/>
        <v>18.7</v>
      </c>
      <c r="AT1154" s="713">
        <f t="shared" si="435"/>
        <v>27.59</v>
      </c>
      <c r="AU1154" s="711">
        <f t="shared" si="435"/>
        <v>38.5</v>
      </c>
      <c r="AV1154" s="712">
        <f t="shared" si="435"/>
        <v>47.9</v>
      </c>
      <c r="AW1154" s="710">
        <f t="shared" si="435"/>
        <v>28.12</v>
      </c>
      <c r="AX1154" s="711">
        <f t="shared" si="435"/>
        <v>7.5</v>
      </c>
      <c r="AY1154" s="712">
        <f t="shared" si="435"/>
        <v>31</v>
      </c>
      <c r="AZ1154" s="710">
        <f t="shared" si="435"/>
        <v>77.5</v>
      </c>
      <c r="BA1154" s="711">
        <f t="shared" si="435"/>
        <v>92.76</v>
      </c>
      <c r="BB1154" s="712">
        <f t="shared" si="435"/>
        <v>83.8</v>
      </c>
      <c r="BC1154" s="710">
        <f t="shared" si="435"/>
        <v>77.69</v>
      </c>
      <c r="BD1154" s="711">
        <f t="shared" si="435"/>
        <v>102</v>
      </c>
      <c r="BE1154" s="712">
        <f t="shared" si="435"/>
        <v>102</v>
      </c>
      <c r="BF1154" s="710">
        <f t="shared" si="435"/>
        <v>9.1999999999999993</v>
      </c>
      <c r="BG1154" s="711">
        <f t="shared" si="435"/>
        <v>12.5</v>
      </c>
      <c r="BH1154" s="712">
        <f t="shared" si="435"/>
        <v>6.5</v>
      </c>
      <c r="BI1154" s="710">
        <f t="shared" si="435"/>
        <v>21</v>
      </c>
      <c r="BJ1154" s="711">
        <f t="shared" si="435"/>
        <v>36.340000000000003</v>
      </c>
      <c r="BK1154" s="712">
        <f t="shared" si="435"/>
        <v>37</v>
      </c>
      <c r="BL1154" s="6"/>
      <c r="BM1154" s="5"/>
      <c r="BN1154" s="45">
        <f t="shared" si="434"/>
        <v>1308.93</v>
      </c>
      <c r="BO1154" s="46">
        <f t="shared" si="434"/>
        <v>1507.5199999999998</v>
      </c>
      <c r="BP1154" s="47">
        <f t="shared" si="434"/>
        <v>1659.7</v>
      </c>
    </row>
    <row r="1155" spans="1:68" s="400" customFormat="1" ht="17.25" customHeight="1" x14ac:dyDescent="0.25">
      <c r="A1155" s="5"/>
      <c r="B1155" s="5"/>
      <c r="C1155" s="5"/>
      <c r="D1155" s="5"/>
      <c r="E1155" s="5"/>
      <c r="F1155" s="5"/>
      <c r="G1155" s="5"/>
      <c r="H1155" s="5"/>
      <c r="I1155" s="5"/>
      <c r="J1155" s="5"/>
      <c r="K1155" s="5"/>
      <c r="L1155" s="5"/>
      <c r="M1155" s="5"/>
      <c r="N1155" s="5"/>
      <c r="O1155" s="5"/>
      <c r="P1155" s="5"/>
      <c r="Q1155" s="5"/>
      <c r="R1155" s="5"/>
      <c r="S1155" s="5"/>
      <c r="T1155" s="5"/>
      <c r="U1155" s="5"/>
      <c r="V1155" s="5"/>
      <c r="W1155" s="5"/>
      <c r="X1155" s="5"/>
      <c r="Y1155" s="5"/>
      <c r="Z1155" s="5"/>
      <c r="AA1155" s="5"/>
      <c r="AB1155" s="6"/>
      <c r="AC1155" s="709" t="s">
        <v>718</v>
      </c>
      <c r="AD1155" s="594" t="s">
        <v>111</v>
      </c>
      <c r="AE1155" s="45">
        <f t="shared" ref="AE1155:BK1155" si="436">(AE1153/AE1154)/12*1000</f>
        <v>48092.695349386217</v>
      </c>
      <c r="AF1155" s="46">
        <f t="shared" si="436"/>
        <v>51140.300427206392</v>
      </c>
      <c r="AG1155" s="47">
        <f t="shared" si="436"/>
        <v>53514.711535876537</v>
      </c>
      <c r="AH1155" s="45">
        <f t="shared" si="436"/>
        <v>39563.952480055501</v>
      </c>
      <c r="AI1155" s="46">
        <f t="shared" si="436"/>
        <v>15053.869047619048</v>
      </c>
      <c r="AJ1155" s="47">
        <f t="shared" si="436"/>
        <v>44586.010830324907</v>
      </c>
      <c r="AK1155" s="45">
        <f t="shared" si="436"/>
        <v>46496.334876543209</v>
      </c>
      <c r="AL1155" s="46">
        <f t="shared" si="436"/>
        <v>25425.073206442165</v>
      </c>
      <c r="AM1155" s="47">
        <f t="shared" si="436"/>
        <v>37715.044247787613</v>
      </c>
      <c r="AN1155" s="45">
        <f t="shared" si="436"/>
        <v>49932.402548725637</v>
      </c>
      <c r="AO1155" s="46">
        <f t="shared" si="436"/>
        <v>33894.011299435027</v>
      </c>
      <c r="AP1155" s="47">
        <f t="shared" si="436"/>
        <v>42240.316901408449</v>
      </c>
      <c r="AQ1155" s="45">
        <f t="shared" si="436"/>
        <v>50275.348717948713</v>
      </c>
      <c r="AR1155" s="46">
        <f t="shared" si="436"/>
        <v>32131.172839506176</v>
      </c>
      <c r="AS1155" s="47">
        <f t="shared" si="436"/>
        <v>45265.409982174693</v>
      </c>
      <c r="AT1155" s="714">
        <f t="shared" si="436"/>
        <v>48707.532922556478</v>
      </c>
      <c r="AU1155" s="46">
        <f t="shared" si="436"/>
        <v>40094.978354978346</v>
      </c>
      <c r="AV1155" s="47">
        <f t="shared" si="436"/>
        <v>41283.281141266532</v>
      </c>
      <c r="AW1155" s="45">
        <f t="shared" si="436"/>
        <v>49103.929587482213</v>
      </c>
      <c r="AX1155" s="46">
        <f t="shared" si="436"/>
        <v>43618.192222222227</v>
      </c>
      <c r="AY1155" s="47">
        <f t="shared" si="436"/>
        <v>44505.176075268821</v>
      </c>
      <c r="AZ1155" s="45">
        <f t="shared" si="436"/>
        <v>54341.292473118279</v>
      </c>
      <c r="BA1155" s="46">
        <f t="shared" si="436"/>
        <v>42184.33592065546</v>
      </c>
      <c r="BB1155" s="47">
        <f t="shared" si="436"/>
        <v>52226.14359586317</v>
      </c>
      <c r="BC1155" s="45">
        <f t="shared" si="436"/>
        <v>46970.031535590177</v>
      </c>
      <c r="BD1155" s="46">
        <f t="shared" si="436"/>
        <v>45188.210784313727</v>
      </c>
      <c r="BE1155" s="47">
        <f t="shared" si="436"/>
        <v>50515.678104575163</v>
      </c>
      <c r="BF1155" s="45">
        <f t="shared" si="436"/>
        <v>50705.887681159424</v>
      </c>
      <c r="BG1155" s="46">
        <f t="shared" si="436"/>
        <v>34058</v>
      </c>
      <c r="BH1155" s="47">
        <f t="shared" si="436"/>
        <v>42406.41025641025</v>
      </c>
      <c r="BI1155" s="45">
        <f t="shared" si="436"/>
        <v>48391.865079365081</v>
      </c>
      <c r="BJ1155" s="46">
        <f t="shared" si="436"/>
        <v>39032.356448358092</v>
      </c>
      <c r="BK1155" s="47">
        <f t="shared" si="436"/>
        <v>43942.486486486479</v>
      </c>
      <c r="BL1155" s="6"/>
      <c r="BM1155" s="5"/>
      <c r="BN1155" s="45">
        <f>(BN1153/BN1154)/12*1000</f>
        <v>48372.170717048786</v>
      </c>
      <c r="BO1155" s="46">
        <f>(BO1153/BO1154)/12*1000</f>
        <v>48449.032975792477</v>
      </c>
      <c r="BP1155" s="47">
        <f>(BP1153/BP1154)/12*1000</f>
        <v>51740.662343596225</v>
      </c>
    </row>
    <row r="1156" spans="1:68" s="400" customFormat="1" ht="17.25" customHeight="1" x14ac:dyDescent="0.25">
      <c r="A1156" s="5"/>
      <c r="B1156" s="5"/>
      <c r="C1156" s="5"/>
      <c r="D1156" s="5"/>
      <c r="E1156" s="5"/>
      <c r="F1156" s="5"/>
      <c r="G1156" s="5"/>
      <c r="H1156" s="5"/>
      <c r="I1156" s="5"/>
      <c r="J1156" s="5"/>
      <c r="K1156" s="5"/>
      <c r="L1156" s="5"/>
      <c r="M1156" s="5"/>
      <c r="N1156" s="5"/>
      <c r="O1156" s="5"/>
      <c r="P1156" s="5"/>
      <c r="Q1156" s="5"/>
      <c r="R1156" s="5"/>
      <c r="S1156" s="5"/>
      <c r="T1156" s="5"/>
      <c r="U1156" s="5"/>
      <c r="V1156" s="5"/>
      <c r="W1156" s="5"/>
      <c r="X1156" s="5"/>
      <c r="Y1156" s="5"/>
      <c r="Z1156" s="5"/>
      <c r="AA1156" s="5"/>
      <c r="AB1156" s="6"/>
      <c r="AC1156" s="715" t="s">
        <v>719</v>
      </c>
      <c r="AD1156" s="701" t="s">
        <v>111</v>
      </c>
      <c r="AE1156" s="702">
        <f t="shared" ref="AE1156:BK1156" si="437">AE253+AE599</f>
        <v>65683.740000000005</v>
      </c>
      <c r="AF1156" s="703">
        <f t="shared" si="437"/>
        <v>81225.727000000014</v>
      </c>
      <c r="AG1156" s="704">
        <f t="shared" si="437"/>
        <v>139707.37</v>
      </c>
      <c r="AH1156" s="702">
        <f t="shared" si="437"/>
        <v>555.15699999999993</v>
      </c>
      <c r="AI1156" s="703">
        <f t="shared" si="437"/>
        <v>958.19</v>
      </c>
      <c r="AJ1156" s="704">
        <f t="shared" si="437"/>
        <v>1844.1079999999999</v>
      </c>
      <c r="AK1156" s="702">
        <f t="shared" si="437"/>
        <v>4751.1350000000002</v>
      </c>
      <c r="AL1156" s="703">
        <f t="shared" si="437"/>
        <v>7019.22</v>
      </c>
      <c r="AM1156" s="704">
        <f t="shared" si="437"/>
        <v>8627.0789999999997</v>
      </c>
      <c r="AN1156" s="702">
        <f t="shared" si="437"/>
        <v>7780.1460000000006</v>
      </c>
      <c r="AO1156" s="703">
        <f t="shared" si="437"/>
        <v>5543.23</v>
      </c>
      <c r="AP1156" s="704">
        <f t="shared" si="437"/>
        <v>8686.3060000000005</v>
      </c>
      <c r="AQ1156" s="702">
        <f t="shared" si="437"/>
        <v>4408.241</v>
      </c>
      <c r="AR1156" s="703">
        <f t="shared" si="437"/>
        <v>1757.1194</v>
      </c>
      <c r="AS1156" s="704">
        <f t="shared" si="437"/>
        <v>7277.0020000000004</v>
      </c>
      <c r="AT1156" s="705">
        <f t="shared" si="437"/>
        <v>3819.0450000000001</v>
      </c>
      <c r="AU1156" s="703">
        <f t="shared" si="437"/>
        <v>24174.11</v>
      </c>
      <c r="AV1156" s="704">
        <f t="shared" si="437"/>
        <v>16785.760000000002</v>
      </c>
      <c r="AW1156" s="702">
        <f t="shared" si="437"/>
        <v>8238.5869999999995</v>
      </c>
      <c r="AX1156" s="703">
        <f t="shared" si="437"/>
        <v>1247.7737</v>
      </c>
      <c r="AY1156" s="704">
        <f t="shared" si="437"/>
        <v>8590.6440000000002</v>
      </c>
      <c r="AZ1156" s="702">
        <f t="shared" si="437"/>
        <v>13274.263999999999</v>
      </c>
      <c r="BA1156" s="703">
        <f t="shared" si="437"/>
        <v>44980.880000000005</v>
      </c>
      <c r="BB1156" s="704">
        <f t="shared" si="437"/>
        <v>39391.255632224078</v>
      </c>
      <c r="BC1156" s="702">
        <f t="shared" si="437"/>
        <v>13923.617</v>
      </c>
      <c r="BD1156" s="703">
        <f t="shared" si="437"/>
        <v>17850.550000000003</v>
      </c>
      <c r="BE1156" s="704">
        <f t="shared" si="437"/>
        <v>19115.32</v>
      </c>
      <c r="BF1156" s="702">
        <f t="shared" si="437"/>
        <v>2649.8739999999998</v>
      </c>
      <c r="BG1156" s="703">
        <f t="shared" si="437"/>
        <v>1297.42</v>
      </c>
      <c r="BH1156" s="704">
        <f t="shared" si="437"/>
        <v>5307.88</v>
      </c>
      <c r="BI1156" s="702">
        <f t="shared" si="437"/>
        <v>2396.88</v>
      </c>
      <c r="BJ1156" s="703">
        <f t="shared" si="437"/>
        <v>2088.2400000000002</v>
      </c>
      <c r="BK1156" s="704">
        <f t="shared" si="437"/>
        <v>2865.16</v>
      </c>
      <c r="BL1156" s="6"/>
      <c r="BM1156" s="5"/>
      <c r="BN1156" s="706">
        <f t="shared" ref="BN1156:BP1157" si="438">AE1156+AH1156+AK1156+AN1156+AQ1156+AT1156+AW1156+AZ1156+BC1156+BF1156+BI1156</f>
        <v>127480.686</v>
      </c>
      <c r="BO1156" s="707">
        <f t="shared" si="438"/>
        <v>188142.4601</v>
      </c>
      <c r="BP1156" s="708">
        <f t="shared" si="438"/>
        <v>258197.88463222413</v>
      </c>
    </row>
    <row r="1157" spans="1:68" s="400" customFormat="1" ht="17.25" customHeight="1" x14ac:dyDescent="0.25">
      <c r="A1157" s="5"/>
      <c r="B1157" s="5"/>
      <c r="C1157" s="5"/>
      <c r="D1157" s="5"/>
      <c r="E1157" s="5"/>
      <c r="F1157" s="5"/>
      <c r="G1157" s="5"/>
      <c r="H1157" s="5"/>
      <c r="I1157" s="5"/>
      <c r="J1157" s="5"/>
      <c r="K1157" s="5"/>
      <c r="L1157" s="5"/>
      <c r="M1157" s="5"/>
      <c r="N1157" s="5"/>
      <c r="O1157" s="5"/>
      <c r="P1157" s="5"/>
      <c r="Q1157" s="5"/>
      <c r="R1157" s="5"/>
      <c r="S1157" s="5"/>
      <c r="T1157" s="5"/>
      <c r="U1157" s="5"/>
      <c r="V1157" s="5"/>
      <c r="W1157" s="5"/>
      <c r="X1157" s="5"/>
      <c r="Y1157" s="5"/>
      <c r="Z1157" s="5"/>
      <c r="AA1157" s="5"/>
      <c r="AB1157" s="6"/>
      <c r="AC1157" s="709" t="s">
        <v>720</v>
      </c>
      <c r="AD1157" s="594" t="s">
        <v>111</v>
      </c>
      <c r="AE1157" s="710">
        <f t="shared" ref="AE1157:BK1157" si="439">AE255+AE601</f>
        <v>91.4</v>
      </c>
      <c r="AF1157" s="711">
        <f t="shared" si="439"/>
        <v>104.57</v>
      </c>
      <c r="AG1157" s="712">
        <f t="shared" si="439"/>
        <v>149.51</v>
      </c>
      <c r="AH1157" s="710">
        <f t="shared" si="439"/>
        <v>0.91999999999999993</v>
      </c>
      <c r="AI1157" s="711">
        <f t="shared" si="439"/>
        <v>2</v>
      </c>
      <c r="AJ1157" s="712">
        <f t="shared" si="439"/>
        <v>3.12</v>
      </c>
      <c r="AK1157" s="710">
        <f t="shared" si="439"/>
        <v>6.32</v>
      </c>
      <c r="AL1157" s="711">
        <f t="shared" si="439"/>
        <v>14.36</v>
      </c>
      <c r="AM1157" s="712">
        <f t="shared" si="439"/>
        <v>14.7</v>
      </c>
      <c r="AN1157" s="710">
        <f t="shared" si="439"/>
        <v>9.1</v>
      </c>
      <c r="AO1157" s="711">
        <f t="shared" si="439"/>
        <v>16.25</v>
      </c>
      <c r="AP1157" s="712">
        <f t="shared" si="439"/>
        <v>15.5</v>
      </c>
      <c r="AQ1157" s="710">
        <f t="shared" si="439"/>
        <v>7.1400000000000006</v>
      </c>
      <c r="AR1157" s="711">
        <f t="shared" si="439"/>
        <v>4.25</v>
      </c>
      <c r="AS1157" s="712">
        <f t="shared" si="439"/>
        <v>12.399999999999999</v>
      </c>
      <c r="AT1157" s="713">
        <f t="shared" si="439"/>
        <v>10.309999999999999</v>
      </c>
      <c r="AU1157" s="711">
        <f t="shared" si="439"/>
        <v>46.11</v>
      </c>
      <c r="AV1157" s="712">
        <f t="shared" si="439"/>
        <v>28.799999999999997</v>
      </c>
      <c r="AW1157" s="710">
        <f t="shared" si="439"/>
        <v>11.12</v>
      </c>
      <c r="AX1157" s="711">
        <f t="shared" si="439"/>
        <v>3</v>
      </c>
      <c r="AY1157" s="712">
        <f t="shared" si="439"/>
        <v>15</v>
      </c>
      <c r="AZ1157" s="710">
        <f t="shared" si="439"/>
        <v>28.1</v>
      </c>
      <c r="BA1157" s="711">
        <f t="shared" si="439"/>
        <v>78.6437253</v>
      </c>
      <c r="BB1157" s="712">
        <f t="shared" si="439"/>
        <v>62.8</v>
      </c>
      <c r="BC1157" s="710">
        <f t="shared" si="439"/>
        <v>22.560000000000002</v>
      </c>
      <c r="BD1157" s="711">
        <f t="shared" si="439"/>
        <v>31</v>
      </c>
      <c r="BE1157" s="712">
        <f t="shared" si="439"/>
        <v>31</v>
      </c>
      <c r="BF1157" s="710">
        <f t="shared" si="439"/>
        <v>4.2300000000000004</v>
      </c>
      <c r="BG1157" s="711">
        <f t="shared" si="439"/>
        <v>2.48</v>
      </c>
      <c r="BH1157" s="712">
        <f t="shared" si="439"/>
        <v>9.5</v>
      </c>
      <c r="BI1157" s="710">
        <f t="shared" si="439"/>
        <v>4.4799999999999995</v>
      </c>
      <c r="BJ1157" s="711">
        <f t="shared" si="439"/>
        <v>3.98</v>
      </c>
      <c r="BK1157" s="712">
        <f t="shared" si="439"/>
        <v>5</v>
      </c>
      <c r="BL1157" s="6"/>
      <c r="BM1157" s="5"/>
      <c r="BN1157" s="45">
        <f t="shared" si="438"/>
        <v>195.67999999999998</v>
      </c>
      <c r="BO1157" s="46">
        <f t="shared" si="438"/>
        <v>306.64372530000003</v>
      </c>
      <c r="BP1157" s="47">
        <f t="shared" si="438"/>
        <v>347.33</v>
      </c>
    </row>
    <row r="1158" spans="1:68" s="400" customFormat="1" ht="17.25" customHeight="1" x14ac:dyDescent="0.25">
      <c r="A1158" s="5"/>
      <c r="B1158" s="5"/>
      <c r="C1158" s="5"/>
      <c r="D1158" s="5"/>
      <c r="E1158" s="5"/>
      <c r="F1158" s="5"/>
      <c r="G1158" s="5"/>
      <c r="H1158" s="5"/>
      <c r="I1158" s="5"/>
      <c r="J1158" s="5"/>
      <c r="K1158" s="5"/>
      <c r="L1158" s="5"/>
      <c r="M1158" s="5"/>
      <c r="N1158" s="5"/>
      <c r="O1158" s="5"/>
      <c r="P1158" s="5"/>
      <c r="Q1158" s="5"/>
      <c r="R1158" s="5"/>
      <c r="S1158" s="5"/>
      <c r="T1158" s="5"/>
      <c r="U1158" s="5"/>
      <c r="V1158" s="5"/>
      <c r="W1158" s="5"/>
      <c r="X1158" s="5"/>
      <c r="Y1158" s="5"/>
      <c r="Z1158" s="5"/>
      <c r="AA1158" s="5"/>
      <c r="AB1158" s="6"/>
      <c r="AC1158" s="709" t="s">
        <v>718</v>
      </c>
      <c r="AD1158" s="594" t="s">
        <v>111</v>
      </c>
      <c r="AE1158" s="45">
        <f t="shared" ref="AE1158:BK1158" si="440">(AE1156/AE1157)/12*1000</f>
        <v>59886.706783369809</v>
      </c>
      <c r="AF1158" s="46">
        <f t="shared" si="440"/>
        <v>64729.94724427021</v>
      </c>
      <c r="AG1158" s="47">
        <f t="shared" si="440"/>
        <v>77869.579515305566</v>
      </c>
      <c r="AH1158" s="45">
        <f t="shared" si="440"/>
        <v>50285.960144927536</v>
      </c>
      <c r="AI1158" s="46">
        <f t="shared" si="440"/>
        <v>39924.583333333336</v>
      </c>
      <c r="AJ1158" s="47">
        <f t="shared" si="440"/>
        <v>49255.02136752136</v>
      </c>
      <c r="AK1158" s="45">
        <f t="shared" si="440"/>
        <v>62646.822257383967</v>
      </c>
      <c r="AL1158" s="46">
        <f t="shared" si="440"/>
        <v>40733.635097493039</v>
      </c>
      <c r="AM1158" s="47">
        <f t="shared" si="440"/>
        <v>48906.343537414963</v>
      </c>
      <c r="AN1158" s="45">
        <f t="shared" si="440"/>
        <v>71246.75824175826</v>
      </c>
      <c r="AO1158" s="46">
        <f t="shared" si="440"/>
        <v>28426.820512820512</v>
      </c>
      <c r="AP1158" s="47">
        <f t="shared" si="440"/>
        <v>46700.569892473119</v>
      </c>
      <c r="AQ1158" s="45">
        <f t="shared" si="440"/>
        <v>51450.058356676003</v>
      </c>
      <c r="AR1158" s="46">
        <f t="shared" si="440"/>
        <v>34453.321568627449</v>
      </c>
      <c r="AS1158" s="47">
        <f t="shared" si="440"/>
        <v>48904.583333333343</v>
      </c>
      <c r="AT1158" s="714">
        <f t="shared" si="440"/>
        <v>30868.452958292924</v>
      </c>
      <c r="AU1158" s="46">
        <f t="shared" si="440"/>
        <v>43689.203354297693</v>
      </c>
      <c r="AV1158" s="47">
        <f t="shared" si="440"/>
        <v>48569.907407407423</v>
      </c>
      <c r="AW1158" s="45">
        <f t="shared" si="440"/>
        <v>61740.010491606721</v>
      </c>
      <c r="AX1158" s="46">
        <f t="shared" si="440"/>
        <v>34660.380555555552</v>
      </c>
      <c r="AY1158" s="47">
        <f t="shared" si="440"/>
        <v>47725.8</v>
      </c>
      <c r="AZ1158" s="45">
        <f t="shared" si="440"/>
        <v>39366.144721233686</v>
      </c>
      <c r="BA1158" s="46">
        <f t="shared" si="440"/>
        <v>47663.13717169076</v>
      </c>
      <c r="BB1158" s="47">
        <f t="shared" si="440"/>
        <v>52270.774458896078</v>
      </c>
      <c r="BC1158" s="45">
        <f t="shared" si="440"/>
        <v>51431.800384160742</v>
      </c>
      <c r="BD1158" s="46">
        <f t="shared" si="440"/>
        <v>47985.349462365601</v>
      </c>
      <c r="BE1158" s="47">
        <f t="shared" si="440"/>
        <v>51385.268817204298</v>
      </c>
      <c r="BF1158" s="45">
        <f t="shared" si="440"/>
        <v>52203.979511426303</v>
      </c>
      <c r="BG1158" s="46">
        <f t="shared" si="440"/>
        <v>43596.102150537641</v>
      </c>
      <c r="BH1158" s="47">
        <f t="shared" si="440"/>
        <v>46560.350877192985</v>
      </c>
      <c r="BI1158" s="45">
        <f t="shared" si="440"/>
        <v>44584.821428571435</v>
      </c>
      <c r="BJ1158" s="46">
        <f t="shared" si="440"/>
        <v>43723.61809045227</v>
      </c>
      <c r="BK1158" s="47">
        <f t="shared" si="440"/>
        <v>47752.666666666664</v>
      </c>
      <c r="BL1158" s="6"/>
      <c r="BM1158" s="5"/>
      <c r="BN1158" s="45">
        <f>(BN1156/BN1157)/12*1000</f>
        <v>54289.608033524135</v>
      </c>
      <c r="BO1158" s="46">
        <f>(BO1156/BO1157)/12*1000</f>
        <v>51129.493441706065</v>
      </c>
      <c r="BP1158" s="47">
        <f>(BP1156/BP1157)/12*1000</f>
        <v>61948.263570721443</v>
      </c>
    </row>
    <row r="1159" spans="1:68" s="400" customFormat="1" ht="17.25" customHeight="1" x14ac:dyDescent="0.25">
      <c r="A1159" s="5"/>
      <c r="B1159" s="5"/>
      <c r="C1159" s="5"/>
      <c r="D1159" s="5"/>
      <c r="E1159" s="5"/>
      <c r="F1159" s="5"/>
      <c r="G1159" s="5"/>
      <c r="H1159" s="5"/>
      <c r="I1159" s="5"/>
      <c r="J1159" s="5"/>
      <c r="K1159" s="5"/>
      <c r="L1159" s="5"/>
      <c r="M1159" s="5"/>
      <c r="N1159" s="5"/>
      <c r="O1159" s="5"/>
      <c r="P1159" s="5"/>
      <c r="Q1159" s="5"/>
      <c r="R1159" s="5"/>
      <c r="S1159" s="5"/>
      <c r="T1159" s="5"/>
      <c r="U1159" s="5"/>
      <c r="V1159" s="5"/>
      <c r="W1159" s="5"/>
      <c r="X1159" s="5"/>
      <c r="Y1159" s="5"/>
      <c r="Z1159" s="5"/>
      <c r="AA1159" s="5"/>
      <c r="AB1159" s="6"/>
      <c r="AC1159" s="715" t="s">
        <v>721</v>
      </c>
      <c r="AD1159" s="701" t="s">
        <v>111</v>
      </c>
      <c r="AE1159" s="702">
        <f t="shared" ref="AE1159:BK1159" si="441">AE268+AE614</f>
        <v>133886.62</v>
      </c>
      <c r="AF1159" s="703">
        <f t="shared" si="441"/>
        <v>91489.1</v>
      </c>
      <c r="AG1159" s="704">
        <f t="shared" si="441"/>
        <v>141220.546</v>
      </c>
      <c r="AH1159" s="702">
        <f t="shared" si="441"/>
        <v>0</v>
      </c>
      <c r="AI1159" s="703">
        <f t="shared" si="441"/>
        <v>141.01</v>
      </c>
      <c r="AJ1159" s="704">
        <f t="shared" si="441"/>
        <v>0</v>
      </c>
      <c r="AK1159" s="702">
        <f t="shared" si="441"/>
        <v>1897.72</v>
      </c>
      <c r="AL1159" s="703">
        <f t="shared" si="441"/>
        <v>2304.91</v>
      </c>
      <c r="AM1159" s="704">
        <f t="shared" si="441"/>
        <v>2257.96</v>
      </c>
      <c r="AN1159" s="702">
        <f t="shared" si="441"/>
        <v>5531.2000000000007</v>
      </c>
      <c r="AO1159" s="703">
        <f t="shared" si="441"/>
        <v>3434.58</v>
      </c>
      <c r="AP1159" s="704">
        <f t="shared" si="441"/>
        <v>5043.3099999999995</v>
      </c>
      <c r="AQ1159" s="702">
        <f t="shared" si="441"/>
        <v>4690.6400000000003</v>
      </c>
      <c r="AR1159" s="703">
        <f t="shared" si="441"/>
        <v>816.48209999999995</v>
      </c>
      <c r="AS1159" s="704">
        <f t="shared" si="441"/>
        <v>3811.11</v>
      </c>
      <c r="AT1159" s="705">
        <f t="shared" si="441"/>
        <v>4386.2690000000002</v>
      </c>
      <c r="AU1159" s="703">
        <f t="shared" si="441"/>
        <v>9306.4599999999991</v>
      </c>
      <c r="AV1159" s="704">
        <f t="shared" si="441"/>
        <v>6987.4148999999998</v>
      </c>
      <c r="AW1159" s="702">
        <f t="shared" si="441"/>
        <v>0</v>
      </c>
      <c r="AX1159" s="703">
        <f t="shared" si="441"/>
        <v>1256.2769000000001</v>
      </c>
      <c r="AY1159" s="704">
        <f t="shared" si="441"/>
        <v>2094.1460000000002</v>
      </c>
      <c r="AZ1159" s="702">
        <f t="shared" si="441"/>
        <v>12103.401</v>
      </c>
      <c r="BA1159" s="703">
        <f t="shared" si="441"/>
        <v>16535.415999999997</v>
      </c>
      <c r="BB1159" s="704">
        <f t="shared" si="441"/>
        <v>14263.29527364621</v>
      </c>
      <c r="BC1159" s="702">
        <f t="shared" si="441"/>
        <v>0</v>
      </c>
      <c r="BD1159" s="703">
        <f t="shared" si="441"/>
        <v>0</v>
      </c>
      <c r="BE1159" s="704">
        <f t="shared" si="441"/>
        <v>0</v>
      </c>
      <c r="BF1159" s="702">
        <f t="shared" si="441"/>
        <v>0</v>
      </c>
      <c r="BG1159" s="703">
        <f t="shared" si="441"/>
        <v>0</v>
      </c>
      <c r="BH1159" s="704">
        <f t="shared" si="441"/>
        <v>893.36</v>
      </c>
      <c r="BI1159" s="702">
        <f t="shared" si="441"/>
        <v>0</v>
      </c>
      <c r="BJ1159" s="703">
        <f t="shared" si="441"/>
        <v>0</v>
      </c>
      <c r="BK1159" s="704">
        <f t="shared" si="441"/>
        <v>2066.3040000000001</v>
      </c>
      <c r="BL1159" s="6"/>
      <c r="BM1159" s="5"/>
      <c r="BN1159" s="706">
        <f t="shared" ref="BN1159:BP1160" si="442">AE1159+AH1159+AK1159+AN1159+AQ1159+AT1159+AW1159+AZ1159+BC1159+BF1159+BI1159</f>
        <v>162495.85000000003</v>
      </c>
      <c r="BO1159" s="707">
        <f t="shared" si="442"/>
        <v>125284.23499999999</v>
      </c>
      <c r="BP1159" s="708">
        <f t="shared" si="442"/>
        <v>178637.4461736462</v>
      </c>
    </row>
    <row r="1160" spans="1:68" s="400" customFormat="1" ht="17.25" customHeight="1" x14ac:dyDescent="0.25">
      <c r="A1160" s="5"/>
      <c r="B1160" s="5"/>
      <c r="C1160" s="5"/>
      <c r="D1160" s="5"/>
      <c r="E1160" s="5"/>
      <c r="F1160" s="5"/>
      <c r="G1160" s="5"/>
      <c r="H1160" s="5"/>
      <c r="I1160" s="5"/>
      <c r="J1160" s="5"/>
      <c r="K1160" s="5"/>
      <c r="L1160" s="5"/>
      <c r="M1160" s="5"/>
      <c r="N1160" s="5"/>
      <c r="O1160" s="5"/>
      <c r="P1160" s="5"/>
      <c r="Q1160" s="5"/>
      <c r="R1160" s="5"/>
      <c r="S1160" s="5"/>
      <c r="T1160" s="5"/>
      <c r="U1160" s="5"/>
      <c r="V1160" s="5"/>
      <c r="W1160" s="5"/>
      <c r="X1160" s="5"/>
      <c r="Y1160" s="5"/>
      <c r="Z1160" s="5"/>
      <c r="AA1160" s="5"/>
      <c r="AB1160" s="6"/>
      <c r="AC1160" s="709" t="s">
        <v>720</v>
      </c>
      <c r="AD1160" s="594" t="s">
        <v>111</v>
      </c>
      <c r="AE1160" s="710">
        <f t="shared" ref="AE1160:BK1160" si="443">AE270+AE616</f>
        <v>139.96</v>
      </c>
      <c r="AF1160" s="711">
        <f t="shared" si="443"/>
        <v>101.83</v>
      </c>
      <c r="AG1160" s="712">
        <f t="shared" si="443"/>
        <v>125.69</v>
      </c>
      <c r="AH1160" s="710">
        <f t="shared" si="443"/>
        <v>0</v>
      </c>
      <c r="AI1160" s="711">
        <f t="shared" si="443"/>
        <v>1</v>
      </c>
      <c r="AJ1160" s="712">
        <f t="shared" si="443"/>
        <v>0</v>
      </c>
      <c r="AK1160" s="710">
        <f t="shared" si="443"/>
        <v>3.28</v>
      </c>
      <c r="AL1160" s="711">
        <f t="shared" si="443"/>
        <v>3.81</v>
      </c>
      <c r="AM1160" s="712">
        <f t="shared" si="443"/>
        <v>3.6</v>
      </c>
      <c r="AN1160" s="710">
        <f t="shared" si="443"/>
        <v>8.2799999999999994</v>
      </c>
      <c r="AO1160" s="711">
        <f t="shared" si="443"/>
        <v>7.0699999999999994</v>
      </c>
      <c r="AP1160" s="712">
        <f t="shared" si="443"/>
        <v>8.1</v>
      </c>
      <c r="AQ1160" s="710">
        <f t="shared" si="443"/>
        <v>5.83</v>
      </c>
      <c r="AR1160" s="711">
        <f t="shared" si="443"/>
        <v>1.5699999999999998</v>
      </c>
      <c r="AS1160" s="712">
        <f t="shared" si="443"/>
        <v>6.1000000000000005</v>
      </c>
      <c r="AT1160" s="713">
        <f t="shared" si="443"/>
        <v>7.6099999999999994</v>
      </c>
      <c r="AU1160" s="711">
        <f t="shared" si="443"/>
        <v>15.879999999999999</v>
      </c>
      <c r="AV1160" s="712">
        <f t="shared" si="443"/>
        <v>11.2</v>
      </c>
      <c r="AW1160" s="710">
        <f t="shared" si="443"/>
        <v>0</v>
      </c>
      <c r="AX1160" s="711">
        <f t="shared" si="443"/>
        <v>2.41</v>
      </c>
      <c r="AY1160" s="712">
        <f t="shared" si="443"/>
        <v>3.5</v>
      </c>
      <c r="AZ1160" s="710">
        <f t="shared" si="443"/>
        <v>16</v>
      </c>
      <c r="BA1160" s="711">
        <f t="shared" si="443"/>
        <v>26.7</v>
      </c>
      <c r="BB1160" s="712">
        <f t="shared" si="443"/>
        <v>22.8</v>
      </c>
      <c r="BC1160" s="710">
        <f t="shared" si="443"/>
        <v>0</v>
      </c>
      <c r="BD1160" s="711">
        <f t="shared" si="443"/>
        <v>0</v>
      </c>
      <c r="BE1160" s="712">
        <f t="shared" si="443"/>
        <v>0</v>
      </c>
      <c r="BF1160" s="710">
        <f t="shared" si="443"/>
        <v>0</v>
      </c>
      <c r="BG1160" s="711">
        <f t="shared" si="443"/>
        <v>0</v>
      </c>
      <c r="BH1160" s="712">
        <f t="shared" si="443"/>
        <v>1</v>
      </c>
      <c r="BI1160" s="710">
        <f t="shared" si="443"/>
        <v>0</v>
      </c>
      <c r="BJ1160" s="711">
        <f t="shared" si="443"/>
        <v>0</v>
      </c>
      <c r="BK1160" s="712">
        <f t="shared" si="443"/>
        <v>4</v>
      </c>
      <c r="BL1160" s="6"/>
      <c r="BM1160" s="5"/>
      <c r="BN1160" s="45">
        <f t="shared" si="442"/>
        <v>180.96000000000004</v>
      </c>
      <c r="BO1160" s="46">
        <f t="shared" si="442"/>
        <v>160.26999999999998</v>
      </c>
      <c r="BP1160" s="47">
        <f t="shared" si="442"/>
        <v>185.98999999999998</v>
      </c>
    </row>
    <row r="1161" spans="1:68" s="400" customFormat="1" ht="17.25" customHeight="1" x14ac:dyDescent="0.25">
      <c r="A1161" s="5"/>
      <c r="B1161" s="5"/>
      <c r="C1161" s="5"/>
      <c r="D1161" s="5"/>
      <c r="E1161" s="5"/>
      <c r="F1161" s="5"/>
      <c r="G1161" s="5"/>
      <c r="H1161" s="5"/>
      <c r="I1161" s="5"/>
      <c r="J1161" s="5"/>
      <c r="K1161" s="5"/>
      <c r="L1161" s="5"/>
      <c r="M1161" s="5"/>
      <c r="N1161" s="5"/>
      <c r="O1161" s="5"/>
      <c r="P1161" s="5"/>
      <c r="Q1161" s="5"/>
      <c r="R1161" s="5"/>
      <c r="S1161" s="5"/>
      <c r="T1161" s="5"/>
      <c r="U1161" s="5"/>
      <c r="V1161" s="5"/>
      <c r="W1161" s="5"/>
      <c r="X1161" s="5"/>
      <c r="Y1161" s="5"/>
      <c r="Z1161" s="5"/>
      <c r="AA1161" s="5"/>
      <c r="AB1161" s="6"/>
      <c r="AC1161" s="716" t="s">
        <v>718</v>
      </c>
      <c r="AD1161" s="594" t="s">
        <v>111</v>
      </c>
      <c r="AE1161" s="45">
        <f t="shared" ref="AE1161:BK1161" si="444">(AE1159/AE1160)/12*1000</f>
        <v>79717.193007525944</v>
      </c>
      <c r="AF1161" s="46">
        <f t="shared" si="444"/>
        <v>74870.781367638891</v>
      </c>
      <c r="AG1161" s="47">
        <f t="shared" si="444"/>
        <v>93630.192006789192</v>
      </c>
      <c r="AH1161" s="45" t="e">
        <f t="shared" si="444"/>
        <v>#DIV/0!</v>
      </c>
      <c r="AI1161" s="46">
        <f t="shared" si="444"/>
        <v>11750.833333333332</v>
      </c>
      <c r="AJ1161" s="47" t="e">
        <f t="shared" si="444"/>
        <v>#DIV/0!</v>
      </c>
      <c r="AK1161" s="45">
        <f t="shared" si="444"/>
        <v>48214.430894308949</v>
      </c>
      <c r="AL1161" s="46">
        <f t="shared" si="444"/>
        <v>50413.604549431322</v>
      </c>
      <c r="AM1161" s="47">
        <f t="shared" si="444"/>
        <v>52267.592592592591</v>
      </c>
      <c r="AN1161" s="45">
        <f t="shared" si="444"/>
        <v>55668.276972624815</v>
      </c>
      <c r="AO1161" s="46">
        <f t="shared" si="444"/>
        <v>40483.026874115989</v>
      </c>
      <c r="AP1161" s="47">
        <f t="shared" si="444"/>
        <v>51885.905349794237</v>
      </c>
      <c r="AQ1161" s="45">
        <f t="shared" si="444"/>
        <v>67047.455688965129</v>
      </c>
      <c r="AR1161" s="46">
        <f t="shared" si="444"/>
        <v>43337.691082802543</v>
      </c>
      <c r="AS1161" s="47">
        <f t="shared" si="444"/>
        <v>52064.344262295075</v>
      </c>
      <c r="AT1161" s="714">
        <f t="shared" si="444"/>
        <v>48031.855015330715</v>
      </c>
      <c r="AU1161" s="46">
        <f t="shared" si="444"/>
        <v>48837.426532325771</v>
      </c>
      <c r="AV1161" s="47">
        <f t="shared" si="444"/>
        <v>51989.694196428565</v>
      </c>
      <c r="AW1161" s="45" t="e">
        <f t="shared" si="444"/>
        <v>#DIV/0!</v>
      </c>
      <c r="AX1161" s="46">
        <f t="shared" si="444"/>
        <v>43439.726832641776</v>
      </c>
      <c r="AY1161" s="47">
        <f t="shared" si="444"/>
        <v>49860.619047619053</v>
      </c>
      <c r="AZ1161" s="45">
        <f t="shared" si="444"/>
        <v>63038.546875</v>
      </c>
      <c r="BA1161" s="46">
        <f t="shared" si="444"/>
        <v>51608.664169787764</v>
      </c>
      <c r="BB1161" s="47">
        <f t="shared" si="444"/>
        <v>52131.927169759532</v>
      </c>
      <c r="BC1161" s="45" t="e">
        <f t="shared" si="444"/>
        <v>#DIV/0!</v>
      </c>
      <c r="BD1161" s="46" t="e">
        <f t="shared" si="444"/>
        <v>#DIV/0!</v>
      </c>
      <c r="BE1161" s="47" t="e">
        <f t="shared" si="444"/>
        <v>#DIV/0!</v>
      </c>
      <c r="BF1161" s="45" t="e">
        <f t="shared" si="444"/>
        <v>#DIV/0!</v>
      </c>
      <c r="BG1161" s="46" t="e">
        <f t="shared" si="444"/>
        <v>#DIV/0!</v>
      </c>
      <c r="BH1161" s="47">
        <f t="shared" si="444"/>
        <v>74446.666666666672</v>
      </c>
      <c r="BI1161" s="45" t="e">
        <f t="shared" si="444"/>
        <v>#DIV/0!</v>
      </c>
      <c r="BJ1161" s="46" t="e">
        <f t="shared" si="444"/>
        <v>#DIV/0!</v>
      </c>
      <c r="BK1161" s="47">
        <f t="shared" si="444"/>
        <v>43048</v>
      </c>
      <c r="BL1161" s="6"/>
      <c r="BM1161" s="5"/>
      <c r="BN1161" s="45">
        <f>(BN1159/BN1160)/12*1000</f>
        <v>74830.464375184209</v>
      </c>
      <c r="BO1161" s="46">
        <f>(BO1159/BO1160)/12*1000</f>
        <v>65142.278134814165</v>
      </c>
      <c r="BP1161" s="47">
        <f>(BP1159/BP1160)/12*1000</f>
        <v>80039.001278584066</v>
      </c>
    </row>
    <row r="1162" spans="1:68" s="400" customFormat="1" ht="17.25" customHeight="1" x14ac:dyDescent="0.25">
      <c r="A1162" s="5"/>
      <c r="B1162" s="5"/>
      <c r="C1162" s="5"/>
      <c r="D1162" s="5"/>
      <c r="E1162" s="5"/>
      <c r="F1162" s="5"/>
      <c r="G1162" s="5"/>
      <c r="H1162" s="5"/>
      <c r="I1162" s="5"/>
      <c r="J1162" s="5"/>
      <c r="K1162" s="5"/>
      <c r="L1162" s="5"/>
      <c r="M1162" s="5"/>
      <c r="N1162" s="5"/>
      <c r="O1162" s="5"/>
      <c r="P1162" s="5"/>
      <c r="Q1162" s="5"/>
      <c r="R1162" s="5"/>
      <c r="S1162" s="5"/>
      <c r="T1162" s="5"/>
      <c r="U1162" s="5"/>
      <c r="V1162" s="5"/>
      <c r="W1162" s="5"/>
      <c r="X1162" s="5"/>
      <c r="Y1162" s="5"/>
      <c r="Z1162" s="5"/>
      <c r="AA1162" s="5"/>
      <c r="AB1162" s="6"/>
      <c r="AC1162" s="715" t="s">
        <v>722</v>
      </c>
      <c r="AD1162" s="701" t="s">
        <v>111</v>
      </c>
      <c r="AE1162" s="702">
        <f t="shared" ref="AE1162:BK1162" si="445">AE312+AE645</f>
        <v>93457.509000000005</v>
      </c>
      <c r="AF1162" s="703">
        <f t="shared" si="445"/>
        <v>99540.65</v>
      </c>
      <c r="AG1162" s="704">
        <f t="shared" si="445"/>
        <v>113763.223</v>
      </c>
      <c r="AH1162" s="702">
        <f t="shared" si="445"/>
        <v>0</v>
      </c>
      <c r="AI1162" s="703">
        <f t="shared" si="445"/>
        <v>0</v>
      </c>
      <c r="AJ1162" s="704">
        <f t="shared" si="445"/>
        <v>0</v>
      </c>
      <c r="AK1162" s="702">
        <f t="shared" si="445"/>
        <v>1838.441</v>
      </c>
      <c r="AL1162" s="703">
        <f t="shared" si="445"/>
        <v>0</v>
      </c>
      <c r="AM1162" s="704">
        <f t="shared" si="445"/>
        <v>2685.1192000000001</v>
      </c>
      <c r="AN1162" s="702">
        <f t="shared" si="445"/>
        <v>4111.3069999999998</v>
      </c>
      <c r="AO1162" s="703">
        <f t="shared" si="445"/>
        <v>0</v>
      </c>
      <c r="AP1162" s="704">
        <f t="shared" si="445"/>
        <v>4801.558</v>
      </c>
      <c r="AQ1162" s="702">
        <f t="shared" si="445"/>
        <v>3034.7249999999999</v>
      </c>
      <c r="AR1162" s="703">
        <f t="shared" si="445"/>
        <v>0</v>
      </c>
      <c r="AS1162" s="704">
        <f t="shared" si="445"/>
        <v>3017.3589999999999</v>
      </c>
      <c r="AT1162" s="705">
        <f t="shared" si="445"/>
        <v>3432.8059999999996</v>
      </c>
      <c r="AU1162" s="703">
        <f t="shared" si="445"/>
        <v>7876.7199999999993</v>
      </c>
      <c r="AV1162" s="704">
        <f t="shared" si="445"/>
        <v>6555.3809999999994</v>
      </c>
      <c r="AW1162" s="702">
        <f t="shared" si="445"/>
        <v>2723.576</v>
      </c>
      <c r="AX1162" s="703">
        <f t="shared" si="445"/>
        <v>0</v>
      </c>
      <c r="AY1162" s="704">
        <f t="shared" si="445"/>
        <v>3954.3710000000001</v>
      </c>
      <c r="AZ1162" s="702">
        <f t="shared" si="445"/>
        <v>5071.6540000000005</v>
      </c>
      <c r="BA1162" s="703">
        <f t="shared" si="445"/>
        <v>5578.5124999999998</v>
      </c>
      <c r="BB1162" s="704">
        <f t="shared" si="445"/>
        <v>5895.0398000000005</v>
      </c>
      <c r="BC1162" s="702">
        <f t="shared" si="445"/>
        <v>6702.2129999999997</v>
      </c>
      <c r="BD1162" s="703">
        <f t="shared" si="445"/>
        <v>0</v>
      </c>
      <c r="BE1162" s="704">
        <f t="shared" si="445"/>
        <v>7374.5776000000005</v>
      </c>
      <c r="BF1162" s="702">
        <f t="shared" si="445"/>
        <v>392.16</v>
      </c>
      <c r="BG1162" s="703">
        <f t="shared" si="445"/>
        <v>0</v>
      </c>
      <c r="BH1162" s="704">
        <f t="shared" si="445"/>
        <v>463.22</v>
      </c>
      <c r="BI1162" s="702">
        <f t="shared" si="445"/>
        <v>2396.94</v>
      </c>
      <c r="BJ1162" s="703">
        <f t="shared" si="445"/>
        <v>0</v>
      </c>
      <c r="BK1162" s="704">
        <f t="shared" si="445"/>
        <v>2833.86</v>
      </c>
      <c r="BL1162" s="6"/>
      <c r="BM1162" s="5"/>
      <c r="BN1162" s="706">
        <f t="shared" ref="BN1162:BP1163" si="446">AE1162+AH1162+AK1162+AN1162+AQ1162+AT1162+AW1162+AZ1162+BC1162+BF1162+BI1162</f>
        <v>123161.33100000002</v>
      </c>
      <c r="BO1162" s="707">
        <f t="shared" si="446"/>
        <v>112995.88249999999</v>
      </c>
      <c r="BP1162" s="708">
        <f t="shared" si="446"/>
        <v>151343.70859999998</v>
      </c>
    </row>
    <row r="1163" spans="1:68" s="400" customFormat="1" ht="17.25" customHeight="1" x14ac:dyDescent="0.25">
      <c r="A1163" s="5"/>
      <c r="B1163" s="5"/>
      <c r="C1163" s="5"/>
      <c r="D1163" s="5"/>
      <c r="E1163" s="5"/>
      <c r="F1163" s="5"/>
      <c r="G1163" s="5"/>
      <c r="H1163" s="5"/>
      <c r="I1163" s="5"/>
      <c r="J1163" s="5"/>
      <c r="K1163" s="5"/>
      <c r="L1163" s="5"/>
      <c r="M1163" s="5"/>
      <c r="N1163" s="5"/>
      <c r="O1163" s="5"/>
      <c r="P1163" s="5"/>
      <c r="Q1163" s="5"/>
      <c r="R1163" s="5"/>
      <c r="S1163" s="5"/>
      <c r="T1163" s="5"/>
      <c r="U1163" s="5"/>
      <c r="V1163" s="5"/>
      <c r="W1163" s="5"/>
      <c r="X1163" s="5"/>
      <c r="Y1163" s="5"/>
      <c r="Z1163" s="5"/>
      <c r="AA1163" s="5"/>
      <c r="AB1163" s="6"/>
      <c r="AC1163" s="709" t="s">
        <v>720</v>
      </c>
      <c r="AD1163" s="594" t="s">
        <v>111</v>
      </c>
      <c r="AE1163" s="710">
        <f t="shared" ref="AE1163:BK1163" si="447">AE314+AE647</f>
        <v>125.7</v>
      </c>
      <c r="AF1163" s="711">
        <f t="shared" si="447"/>
        <v>132.5</v>
      </c>
      <c r="AG1163" s="712">
        <f t="shared" si="447"/>
        <v>153</v>
      </c>
      <c r="AH1163" s="710">
        <f t="shared" si="447"/>
        <v>0</v>
      </c>
      <c r="AI1163" s="711">
        <f t="shared" si="447"/>
        <v>0</v>
      </c>
      <c r="AJ1163" s="712">
        <f t="shared" si="447"/>
        <v>0</v>
      </c>
      <c r="AK1163" s="710">
        <f t="shared" si="447"/>
        <v>2.9</v>
      </c>
      <c r="AL1163" s="711">
        <f t="shared" si="447"/>
        <v>0</v>
      </c>
      <c r="AM1163" s="712">
        <f t="shared" si="447"/>
        <v>4.5999999999999996</v>
      </c>
      <c r="AN1163" s="710">
        <f t="shared" si="447"/>
        <v>6.3</v>
      </c>
      <c r="AO1163" s="711">
        <f t="shared" si="447"/>
        <v>0</v>
      </c>
      <c r="AP1163" s="712">
        <f t="shared" si="447"/>
        <v>8</v>
      </c>
      <c r="AQ1163" s="710">
        <f t="shared" si="447"/>
        <v>4.8000000000000007</v>
      </c>
      <c r="AR1163" s="711">
        <f t="shared" si="447"/>
        <v>0</v>
      </c>
      <c r="AS1163" s="712">
        <f t="shared" si="447"/>
        <v>5</v>
      </c>
      <c r="AT1163" s="713">
        <f t="shared" si="447"/>
        <v>5.3</v>
      </c>
      <c r="AU1163" s="711">
        <f t="shared" si="447"/>
        <v>13.690000000000001</v>
      </c>
      <c r="AV1163" s="712">
        <f t="shared" si="447"/>
        <v>10.9</v>
      </c>
      <c r="AW1163" s="710">
        <f t="shared" si="447"/>
        <v>5</v>
      </c>
      <c r="AX1163" s="711">
        <f t="shared" si="447"/>
        <v>0</v>
      </c>
      <c r="AY1163" s="712">
        <f t="shared" si="447"/>
        <v>7</v>
      </c>
      <c r="AZ1163" s="710">
        <f t="shared" si="447"/>
        <v>9</v>
      </c>
      <c r="BA1163" s="711">
        <f t="shared" si="447"/>
        <v>10</v>
      </c>
      <c r="BB1163" s="712">
        <f t="shared" si="447"/>
        <v>10</v>
      </c>
      <c r="BC1163" s="710">
        <f t="shared" si="447"/>
        <v>12.738</v>
      </c>
      <c r="BD1163" s="711">
        <f t="shared" si="447"/>
        <v>0</v>
      </c>
      <c r="BE1163" s="712">
        <f t="shared" si="447"/>
        <v>12.74</v>
      </c>
      <c r="BF1163" s="710">
        <f t="shared" si="447"/>
        <v>0.82</v>
      </c>
      <c r="BG1163" s="711">
        <f t="shared" si="447"/>
        <v>0</v>
      </c>
      <c r="BH1163" s="712">
        <f t="shared" si="447"/>
        <v>1</v>
      </c>
      <c r="BI1163" s="710">
        <f t="shared" si="447"/>
        <v>5</v>
      </c>
      <c r="BJ1163" s="711">
        <f t="shared" si="447"/>
        <v>0</v>
      </c>
      <c r="BK1163" s="712">
        <f t="shared" si="447"/>
        <v>6</v>
      </c>
      <c r="BL1163" s="6"/>
      <c r="BM1163" s="5"/>
      <c r="BN1163" s="45">
        <f t="shared" si="446"/>
        <v>177.55800000000002</v>
      </c>
      <c r="BO1163" s="46">
        <f t="shared" si="446"/>
        <v>156.19</v>
      </c>
      <c r="BP1163" s="47">
        <f t="shared" si="446"/>
        <v>218.24</v>
      </c>
    </row>
    <row r="1164" spans="1:68" s="400" customFormat="1" ht="17.25" customHeight="1" x14ac:dyDescent="0.25">
      <c r="A1164" s="5"/>
      <c r="B1164" s="5"/>
      <c r="C1164" s="5"/>
      <c r="D1164" s="5"/>
      <c r="E1164" s="5"/>
      <c r="F1164" s="5"/>
      <c r="G1164" s="5"/>
      <c r="H1164" s="5"/>
      <c r="I1164" s="5"/>
      <c r="J1164" s="5"/>
      <c r="K1164" s="5"/>
      <c r="L1164" s="5"/>
      <c r="M1164" s="5"/>
      <c r="N1164" s="5"/>
      <c r="O1164" s="5"/>
      <c r="P1164" s="5"/>
      <c r="Q1164" s="5"/>
      <c r="R1164" s="5"/>
      <c r="S1164" s="5"/>
      <c r="T1164" s="5"/>
      <c r="U1164" s="5"/>
      <c r="V1164" s="5"/>
      <c r="W1164" s="5"/>
      <c r="X1164" s="5"/>
      <c r="Y1164" s="5"/>
      <c r="Z1164" s="5"/>
      <c r="AA1164" s="5"/>
      <c r="AB1164" s="6"/>
      <c r="AC1164" s="716" t="s">
        <v>718</v>
      </c>
      <c r="AD1164" s="717" t="s">
        <v>111</v>
      </c>
      <c r="AE1164" s="718">
        <f t="shared" ref="AE1164:BK1164" si="448">(AE1162/AE1163)/12*1000</f>
        <v>61958.040970564834</v>
      </c>
      <c r="AF1164" s="719">
        <f t="shared" si="448"/>
        <v>62604.182389937101</v>
      </c>
      <c r="AG1164" s="720">
        <f t="shared" si="448"/>
        <v>61962.539760348584</v>
      </c>
      <c r="AH1164" s="718" t="e">
        <f t="shared" si="448"/>
        <v>#DIV/0!</v>
      </c>
      <c r="AI1164" s="719" t="e">
        <f t="shared" si="448"/>
        <v>#DIV/0!</v>
      </c>
      <c r="AJ1164" s="720" t="e">
        <f t="shared" si="448"/>
        <v>#DIV/0!</v>
      </c>
      <c r="AK1164" s="718">
        <f t="shared" si="448"/>
        <v>52828.764367816089</v>
      </c>
      <c r="AL1164" s="719" t="e">
        <f t="shared" si="448"/>
        <v>#DIV/0!</v>
      </c>
      <c r="AM1164" s="720">
        <f t="shared" si="448"/>
        <v>48643.463768115944</v>
      </c>
      <c r="AN1164" s="718">
        <f t="shared" si="448"/>
        <v>54382.36772486772</v>
      </c>
      <c r="AO1164" s="719" t="e">
        <f t="shared" si="448"/>
        <v>#DIV/0!</v>
      </c>
      <c r="AP1164" s="720">
        <f t="shared" si="448"/>
        <v>50016.229166666672</v>
      </c>
      <c r="AQ1164" s="718">
        <f t="shared" si="448"/>
        <v>52686.197916666657</v>
      </c>
      <c r="AR1164" s="719" t="e">
        <f t="shared" si="448"/>
        <v>#DIV/0!</v>
      </c>
      <c r="AS1164" s="720">
        <f t="shared" si="448"/>
        <v>50289.316666666673</v>
      </c>
      <c r="AT1164" s="721">
        <f t="shared" si="448"/>
        <v>53974.937106918238</v>
      </c>
      <c r="AU1164" s="719">
        <f t="shared" si="448"/>
        <v>47946.91989286583</v>
      </c>
      <c r="AV1164" s="720">
        <f t="shared" si="448"/>
        <v>50117.591743119257</v>
      </c>
      <c r="AW1164" s="718">
        <f t="shared" si="448"/>
        <v>45392.933333333334</v>
      </c>
      <c r="AX1164" s="719" t="e">
        <f t="shared" si="448"/>
        <v>#DIV/0!</v>
      </c>
      <c r="AY1164" s="720">
        <f t="shared" si="448"/>
        <v>47075.845238095244</v>
      </c>
      <c r="AZ1164" s="718">
        <f t="shared" si="448"/>
        <v>46959.759259259263</v>
      </c>
      <c r="BA1164" s="719">
        <f t="shared" si="448"/>
        <v>46487.604166666664</v>
      </c>
      <c r="BB1164" s="720">
        <f t="shared" si="448"/>
        <v>49125.331666666672</v>
      </c>
      <c r="BC1164" s="718">
        <f t="shared" si="448"/>
        <v>43846.581095933434</v>
      </c>
      <c r="BD1164" s="719" t="e">
        <f t="shared" si="448"/>
        <v>#DIV/0!</v>
      </c>
      <c r="BE1164" s="720">
        <f t="shared" si="448"/>
        <v>48237.687074829926</v>
      </c>
      <c r="BF1164" s="718">
        <f t="shared" si="448"/>
        <v>39853.658536585368</v>
      </c>
      <c r="BG1164" s="719" t="e">
        <f t="shared" si="448"/>
        <v>#DIV/0!</v>
      </c>
      <c r="BH1164" s="720">
        <f t="shared" si="448"/>
        <v>38601.666666666664</v>
      </c>
      <c r="BI1164" s="718">
        <f t="shared" si="448"/>
        <v>39949.000000000007</v>
      </c>
      <c r="BJ1164" s="719" t="e">
        <f t="shared" si="448"/>
        <v>#DIV/0!</v>
      </c>
      <c r="BK1164" s="720">
        <f t="shared" si="448"/>
        <v>39359.166666666664</v>
      </c>
      <c r="BL1164" s="6"/>
      <c r="BM1164" s="5"/>
      <c r="BN1164" s="718">
        <f>(BN1162/BN1163)/12*1000</f>
        <v>57803.333277013706</v>
      </c>
      <c r="BO1164" s="719">
        <f>(BO1162/BO1163)/12*1000</f>
        <v>60287.621113174122</v>
      </c>
      <c r="BP1164" s="720">
        <f>(BP1162/BP1163)/12*1000</f>
        <v>57789.478173875839</v>
      </c>
    </row>
    <row r="1165" spans="1:68" s="732" customFormat="1" ht="28.5" customHeight="1" x14ac:dyDescent="0.25">
      <c r="A1165" s="722"/>
      <c r="B1165" s="722"/>
      <c r="C1165" s="722"/>
      <c r="D1165" s="722"/>
      <c r="E1165" s="722"/>
      <c r="F1165" s="722"/>
      <c r="G1165" s="722"/>
      <c r="H1165" s="722"/>
      <c r="I1165" s="722"/>
      <c r="J1165" s="722"/>
      <c r="K1165" s="722"/>
      <c r="L1165" s="722"/>
      <c r="M1165" s="722"/>
      <c r="N1165" s="722"/>
      <c r="O1165" s="722"/>
      <c r="P1165" s="722"/>
      <c r="Q1165" s="722"/>
      <c r="R1165" s="722"/>
      <c r="S1165" s="722"/>
      <c r="T1165" s="722"/>
      <c r="U1165" s="722"/>
      <c r="V1165" s="722"/>
      <c r="W1165" s="722"/>
      <c r="X1165" s="722"/>
      <c r="Y1165" s="722"/>
      <c r="Z1165" s="722"/>
      <c r="AA1165" s="722"/>
      <c r="AB1165" s="723"/>
      <c r="AC1165" s="724" t="s">
        <v>723</v>
      </c>
      <c r="AD1165" s="724" t="s">
        <v>111</v>
      </c>
      <c r="AE1165" s="725">
        <f t="shared" ref="AE1165:BK1165" si="449">AE1153+AE1156+AE1159+AE1162</f>
        <v>863445.71</v>
      </c>
      <c r="AF1165" s="726">
        <f t="shared" si="449"/>
        <v>982367.18699999992</v>
      </c>
      <c r="AG1165" s="727">
        <f t="shared" si="449"/>
        <v>1190925.8289999999</v>
      </c>
      <c r="AH1165" s="725">
        <f t="shared" si="449"/>
        <v>9680.1869999999981</v>
      </c>
      <c r="AI1165" s="726">
        <f t="shared" si="449"/>
        <v>4639.8700000000008</v>
      </c>
      <c r="AJ1165" s="727">
        <f t="shared" si="449"/>
        <v>16664.498</v>
      </c>
      <c r="AK1165" s="725">
        <f t="shared" si="449"/>
        <v>18128.775999999998</v>
      </c>
      <c r="AL1165" s="726">
        <f t="shared" si="449"/>
        <v>11407.969000000001</v>
      </c>
      <c r="AM1165" s="727">
        <f t="shared" si="449"/>
        <v>23798.478199999998</v>
      </c>
      <c r="AN1165" s="725">
        <f t="shared" si="449"/>
        <v>33409.010999999999</v>
      </c>
      <c r="AO1165" s="726">
        <f t="shared" si="449"/>
        <v>20976.29</v>
      </c>
      <c r="AP1165" s="727">
        <f t="shared" si="449"/>
        <v>40124.423999999999</v>
      </c>
      <c r="AQ1165" s="725">
        <f t="shared" si="449"/>
        <v>21937.298999999999</v>
      </c>
      <c r="AR1165" s="726">
        <f t="shared" si="449"/>
        <v>4447.4915000000001</v>
      </c>
      <c r="AS1165" s="727">
        <f t="shared" si="449"/>
        <v>24263.029000000002</v>
      </c>
      <c r="AT1165" s="728">
        <f t="shared" si="449"/>
        <v>27764.210000000003</v>
      </c>
      <c r="AU1165" s="726">
        <f t="shared" si="449"/>
        <v>59881.17</v>
      </c>
      <c r="AV1165" s="727">
        <f t="shared" si="449"/>
        <v>54058.185900000004</v>
      </c>
      <c r="AW1165" s="725">
        <f t="shared" si="449"/>
        <v>27531.792999999998</v>
      </c>
      <c r="AX1165" s="726">
        <f t="shared" si="449"/>
        <v>6429.6878999999999</v>
      </c>
      <c r="AY1165" s="727">
        <f t="shared" si="449"/>
        <v>31195.086500000001</v>
      </c>
      <c r="AZ1165" s="725">
        <f t="shared" si="449"/>
        <v>80986.72099999999</v>
      </c>
      <c r="BA1165" s="726">
        <f t="shared" si="449"/>
        <v>114051.0365</v>
      </c>
      <c r="BB1165" s="727">
        <f t="shared" si="449"/>
        <v>112068.20070587029</v>
      </c>
      <c r="BC1165" s="725">
        <f t="shared" si="449"/>
        <v>64415.051000000007</v>
      </c>
      <c r="BD1165" s="726">
        <f t="shared" si="449"/>
        <v>73160.92</v>
      </c>
      <c r="BE1165" s="727">
        <f t="shared" si="449"/>
        <v>88321.087600000013</v>
      </c>
      <c r="BF1165" s="725">
        <f t="shared" si="449"/>
        <v>8639.9639999999999</v>
      </c>
      <c r="BG1165" s="726">
        <f t="shared" si="449"/>
        <v>6406.12</v>
      </c>
      <c r="BH1165" s="727">
        <f t="shared" si="449"/>
        <v>9972.16</v>
      </c>
      <c r="BI1165" s="725">
        <f t="shared" si="449"/>
        <v>16988.57</v>
      </c>
      <c r="BJ1165" s="726">
        <f t="shared" si="449"/>
        <v>19109.47</v>
      </c>
      <c r="BK1165" s="727">
        <f t="shared" si="449"/>
        <v>27275.788</v>
      </c>
      <c r="BL1165" s="723"/>
      <c r="BM1165" s="722"/>
      <c r="BN1165" s="729">
        <f>AE1165+AH1165+AK1165+AN1165+AQ1165+AT1165+AW1165+AZ1165+BC1165+BF1165+BI1165</f>
        <v>1172927.2919999997</v>
      </c>
      <c r="BO1165" s="730">
        <f>AF1165+AI1165+AL1165+AO1165+AR1165+AU1165+AX1165+BA1165+BD1165+BG1165+BJ1165</f>
        <v>1302877.2119</v>
      </c>
      <c r="BP1165" s="731">
        <f>AG1165+AJ1165+AM1165+AP1165+AS1165+AV1165+AY1165+BB1165+BE1165+BH1165+BK1165</f>
        <v>1618666.7669058701</v>
      </c>
    </row>
    <row r="1166" spans="1:68" s="738" customFormat="1" ht="27" customHeight="1" x14ac:dyDescent="0.25">
      <c r="A1166" s="733"/>
      <c r="B1166" s="733"/>
      <c r="C1166" s="733"/>
      <c r="D1166" s="733"/>
      <c r="E1166" s="733"/>
      <c r="F1166" s="733"/>
      <c r="G1166" s="733"/>
      <c r="H1166" s="733"/>
      <c r="I1166" s="733"/>
      <c r="J1166" s="733"/>
      <c r="K1166" s="733"/>
      <c r="L1166" s="733"/>
      <c r="M1166" s="733"/>
      <c r="N1166" s="733"/>
      <c r="O1166" s="733"/>
      <c r="P1166" s="733"/>
      <c r="Q1166" s="733"/>
      <c r="R1166" s="733"/>
      <c r="S1166" s="733"/>
      <c r="T1166" s="733"/>
      <c r="U1166" s="733"/>
      <c r="V1166" s="733"/>
      <c r="W1166" s="733"/>
      <c r="X1166" s="733"/>
      <c r="Y1166" s="733"/>
      <c r="Z1166" s="733"/>
      <c r="AA1166" s="733"/>
      <c r="AB1166" s="734"/>
      <c r="AC1166" s="734"/>
      <c r="AD1166" s="735" t="s">
        <v>713</v>
      </c>
      <c r="AE1166" s="736">
        <f t="shared" ref="AE1166:BK1166" si="450">AE1165-AE1168</f>
        <v>0</v>
      </c>
      <c r="AF1166" s="736">
        <f t="shared" si="450"/>
        <v>0</v>
      </c>
      <c r="AG1166" s="736">
        <f t="shared" si="450"/>
        <v>0</v>
      </c>
      <c r="AH1166" s="736">
        <f t="shared" si="450"/>
        <v>0</v>
      </c>
      <c r="AI1166" s="736">
        <f t="shared" si="450"/>
        <v>0</v>
      </c>
      <c r="AJ1166" s="736">
        <f t="shared" si="450"/>
        <v>0</v>
      </c>
      <c r="AK1166" s="736">
        <f t="shared" si="450"/>
        <v>0</v>
      </c>
      <c r="AL1166" s="736">
        <f t="shared" si="450"/>
        <v>0</v>
      </c>
      <c r="AM1166" s="736">
        <f t="shared" si="450"/>
        <v>0</v>
      </c>
      <c r="AN1166" s="736">
        <f t="shared" si="450"/>
        <v>0</v>
      </c>
      <c r="AO1166" s="736">
        <f t="shared" si="450"/>
        <v>0</v>
      </c>
      <c r="AP1166" s="736">
        <f t="shared" si="450"/>
        <v>0</v>
      </c>
      <c r="AQ1166" s="736">
        <f t="shared" si="450"/>
        <v>0</v>
      </c>
      <c r="AR1166" s="736">
        <f t="shared" si="450"/>
        <v>0</v>
      </c>
      <c r="AS1166" s="736">
        <f t="shared" si="450"/>
        <v>0</v>
      </c>
      <c r="AT1166" s="736">
        <f t="shared" si="450"/>
        <v>0</v>
      </c>
      <c r="AU1166" s="736">
        <f t="shared" si="450"/>
        <v>0</v>
      </c>
      <c r="AV1166" s="736">
        <f t="shared" si="450"/>
        <v>0</v>
      </c>
      <c r="AW1166" s="736">
        <f t="shared" si="450"/>
        <v>0</v>
      </c>
      <c r="AX1166" s="736">
        <f t="shared" si="450"/>
        <v>0</v>
      </c>
      <c r="AY1166" s="736">
        <f t="shared" si="450"/>
        <v>0</v>
      </c>
      <c r="AZ1166" s="736">
        <f t="shared" si="450"/>
        <v>0</v>
      </c>
      <c r="BA1166" s="736">
        <f t="shared" si="450"/>
        <v>0</v>
      </c>
      <c r="BB1166" s="736">
        <f t="shared" si="450"/>
        <v>0</v>
      </c>
      <c r="BC1166" s="736">
        <f t="shared" si="450"/>
        <v>0</v>
      </c>
      <c r="BD1166" s="736">
        <f t="shared" si="450"/>
        <v>0</v>
      </c>
      <c r="BE1166" s="736">
        <f t="shared" si="450"/>
        <v>0</v>
      </c>
      <c r="BF1166" s="736">
        <f t="shared" si="450"/>
        <v>0</v>
      </c>
      <c r="BG1166" s="736">
        <f t="shared" si="450"/>
        <v>0</v>
      </c>
      <c r="BH1166" s="736">
        <f t="shared" si="450"/>
        <v>0</v>
      </c>
      <c r="BI1166" s="736">
        <f t="shared" si="450"/>
        <v>0</v>
      </c>
      <c r="BJ1166" s="736">
        <f t="shared" si="450"/>
        <v>0</v>
      </c>
      <c r="BK1166" s="736">
        <f t="shared" si="450"/>
        <v>0</v>
      </c>
      <c r="BL1166" s="736"/>
      <c r="BM1166" s="736"/>
      <c r="BN1166" s="737">
        <f>BN1165-BN1168</f>
        <v>0</v>
      </c>
      <c r="BO1166" s="737">
        <f>BO1165-BO1168</f>
        <v>0</v>
      </c>
      <c r="BP1166" s="737">
        <f>BP1165-BP1168</f>
        <v>0</v>
      </c>
    </row>
    <row r="1167" spans="1:68" s="400" customFormat="1" ht="20.25" customHeight="1" x14ac:dyDescent="0.25">
      <c r="A1167" s="5"/>
      <c r="B1167" s="5"/>
      <c r="C1167" s="5"/>
      <c r="D1167" s="5"/>
      <c r="E1167" s="5"/>
      <c r="F1167" s="5"/>
      <c r="G1167" s="5"/>
      <c r="H1167" s="5"/>
      <c r="I1167" s="5"/>
      <c r="J1167" s="5"/>
      <c r="K1167" s="5"/>
      <c r="L1167" s="5"/>
      <c r="M1167" s="5"/>
      <c r="N1167" s="5"/>
      <c r="O1167" s="5"/>
      <c r="P1167" s="5"/>
      <c r="Q1167" s="5"/>
      <c r="R1167" s="5"/>
      <c r="S1167" s="5"/>
      <c r="T1167" s="5"/>
      <c r="U1167" s="5"/>
      <c r="V1167" s="5"/>
      <c r="W1167" s="5"/>
      <c r="X1167" s="5"/>
      <c r="Y1167" s="5"/>
      <c r="Z1167" s="5"/>
      <c r="AA1167" s="5"/>
      <c r="AB1167" s="6"/>
      <c r="AC1167" s="6"/>
      <c r="AD1167" s="6"/>
      <c r="AE1167" s="6"/>
      <c r="AF1167" s="6"/>
      <c r="AG1167" s="6"/>
      <c r="AH1167" s="6"/>
      <c r="AI1167" s="6"/>
      <c r="AJ1167" s="6"/>
      <c r="AK1167" s="6"/>
      <c r="AL1167" s="6"/>
      <c r="AM1167" s="6"/>
      <c r="AN1167" s="6"/>
      <c r="AO1167" s="6"/>
      <c r="AP1167" s="6"/>
      <c r="AQ1167" s="6"/>
      <c r="AR1167" s="6"/>
      <c r="AS1167" s="6"/>
      <c r="AT1167" s="6"/>
      <c r="AU1167" s="6"/>
      <c r="AV1167" s="6"/>
      <c r="AW1167" s="6"/>
      <c r="AX1167" s="6"/>
      <c r="AY1167" s="6"/>
      <c r="AZ1167" s="6"/>
      <c r="BA1167" s="6"/>
      <c r="BB1167" s="6"/>
      <c r="BC1167" s="6"/>
      <c r="BD1167" s="6"/>
      <c r="BE1167" s="6"/>
      <c r="BF1167" s="6"/>
      <c r="BG1167" s="6"/>
      <c r="BH1167" s="6"/>
      <c r="BI1167" s="6"/>
      <c r="BJ1167" s="6"/>
      <c r="BK1167" s="6"/>
      <c r="BL1167" s="6"/>
      <c r="BM1167" s="5" t="s">
        <v>580</v>
      </c>
      <c r="BN1167" s="7">
        <f>AE1165+AH1165+AK1165+AN1165+AQ1165+AT1165+AW1165+AZ1165+BC1165+BF1165+BI1165</f>
        <v>1172927.2919999997</v>
      </c>
      <c r="BO1167" s="7">
        <f>AF1165+AI1165+AL1165+AO1165+AR1165+AU1165+AX1165+BA1165+BD1165+BG1165+BJ1165</f>
        <v>1302877.2119</v>
      </c>
      <c r="BP1167" s="7">
        <f>AG1165+AJ1165+AM1165+AP1165+AS1165+AV1165+AY1165+BB1165+BE1165+BH1165+BK1165</f>
        <v>1618666.7669058701</v>
      </c>
    </row>
    <row r="1168" spans="1:68" s="400" customFormat="1" ht="20.25" customHeight="1" x14ac:dyDescent="0.25">
      <c r="A1168" s="5"/>
      <c r="B1168" s="5"/>
      <c r="C1168" s="5"/>
      <c r="D1168" s="5"/>
      <c r="E1168" s="5"/>
      <c r="F1168" s="5"/>
      <c r="G1168" s="5"/>
      <c r="H1168" s="5"/>
      <c r="I1168" s="5"/>
      <c r="J1168" s="5"/>
      <c r="K1168" s="5"/>
      <c r="L1168" s="5"/>
      <c r="M1168" s="5"/>
      <c r="N1168" s="5"/>
      <c r="O1168" s="5"/>
      <c r="P1168" s="5"/>
      <c r="Q1168" s="5"/>
      <c r="R1168" s="5"/>
      <c r="S1168" s="5"/>
      <c r="T1168" s="5"/>
      <c r="U1168" s="5"/>
      <c r="V1168" s="5"/>
      <c r="W1168" s="5"/>
      <c r="X1168" s="5"/>
      <c r="Y1168" s="5"/>
      <c r="Z1168" s="5"/>
      <c r="AA1168" s="5"/>
      <c r="AB1168" s="6"/>
      <c r="AC1168" s="6"/>
      <c r="AD1168" s="6" t="s">
        <v>580</v>
      </c>
      <c r="AE1168" s="698">
        <f t="shared" ref="AE1168:BK1168" si="451">AE865+AE977+AE992+AE1036</f>
        <v>863445.71</v>
      </c>
      <c r="AF1168" s="698">
        <f t="shared" si="451"/>
        <v>982367.18699999992</v>
      </c>
      <c r="AG1168" s="698">
        <f t="shared" si="451"/>
        <v>1190925.8289999999</v>
      </c>
      <c r="AH1168" s="698">
        <f t="shared" si="451"/>
        <v>9680.1869999999981</v>
      </c>
      <c r="AI1168" s="698">
        <f t="shared" si="451"/>
        <v>4639.8700000000008</v>
      </c>
      <c r="AJ1168" s="698">
        <f t="shared" si="451"/>
        <v>16664.498</v>
      </c>
      <c r="AK1168" s="698">
        <f t="shared" si="451"/>
        <v>18128.775999999998</v>
      </c>
      <c r="AL1168" s="698">
        <f t="shared" si="451"/>
        <v>11407.969000000001</v>
      </c>
      <c r="AM1168" s="698">
        <f t="shared" si="451"/>
        <v>23798.478199999998</v>
      </c>
      <c r="AN1168" s="698">
        <f t="shared" si="451"/>
        <v>33409.010999999999</v>
      </c>
      <c r="AO1168" s="698">
        <f t="shared" si="451"/>
        <v>20976.29</v>
      </c>
      <c r="AP1168" s="698">
        <f t="shared" si="451"/>
        <v>40124.423999999999</v>
      </c>
      <c r="AQ1168" s="698">
        <f t="shared" si="451"/>
        <v>21937.298999999999</v>
      </c>
      <c r="AR1168" s="698">
        <f t="shared" si="451"/>
        <v>4447.4915000000001</v>
      </c>
      <c r="AS1168" s="698">
        <f t="shared" si="451"/>
        <v>24263.029000000002</v>
      </c>
      <c r="AT1168" s="698">
        <f t="shared" si="451"/>
        <v>27764.210000000003</v>
      </c>
      <c r="AU1168" s="698">
        <f t="shared" si="451"/>
        <v>59881.17</v>
      </c>
      <c r="AV1168" s="698">
        <f t="shared" si="451"/>
        <v>54058.185900000004</v>
      </c>
      <c r="AW1168" s="698">
        <f t="shared" si="451"/>
        <v>27531.792999999998</v>
      </c>
      <c r="AX1168" s="698">
        <f t="shared" si="451"/>
        <v>6429.6878999999999</v>
      </c>
      <c r="AY1168" s="698">
        <f t="shared" si="451"/>
        <v>31195.086500000001</v>
      </c>
      <c r="AZ1168" s="698">
        <f t="shared" si="451"/>
        <v>80986.72099999999</v>
      </c>
      <c r="BA1168" s="698">
        <f t="shared" si="451"/>
        <v>114051.0365</v>
      </c>
      <c r="BB1168" s="698">
        <f t="shared" si="451"/>
        <v>112068.20070587029</v>
      </c>
      <c r="BC1168" s="698">
        <f t="shared" si="451"/>
        <v>64415.051000000007</v>
      </c>
      <c r="BD1168" s="698">
        <f t="shared" si="451"/>
        <v>73160.92</v>
      </c>
      <c r="BE1168" s="698">
        <f t="shared" si="451"/>
        <v>88321.087600000013</v>
      </c>
      <c r="BF1168" s="698">
        <f t="shared" si="451"/>
        <v>8639.9639999999999</v>
      </c>
      <c r="BG1168" s="698">
        <f t="shared" si="451"/>
        <v>6406.12</v>
      </c>
      <c r="BH1168" s="698">
        <f t="shared" si="451"/>
        <v>9972.16</v>
      </c>
      <c r="BI1168" s="698">
        <f t="shared" si="451"/>
        <v>16988.57</v>
      </c>
      <c r="BJ1168" s="698">
        <f t="shared" si="451"/>
        <v>19109.47</v>
      </c>
      <c r="BK1168" s="698">
        <f t="shared" si="451"/>
        <v>27275.788</v>
      </c>
      <c r="BL1168" s="698"/>
      <c r="BM1168" s="698"/>
      <c r="BN1168" s="398">
        <f>BN865+BN977+BN992+BN1036</f>
        <v>1172927.2920000001</v>
      </c>
      <c r="BO1168" s="398">
        <f>BO865+BO977+BO992+BO1036</f>
        <v>1302877.2118999998</v>
      </c>
      <c r="BP1168" s="398">
        <f>BP865+BP977+BP992+BP1036</f>
        <v>1618666.7669058703</v>
      </c>
    </row>
    <row r="1169" spans="1:68" s="400" customFormat="1" ht="14.25" customHeight="1" x14ac:dyDescent="0.25">
      <c r="A1169" s="5"/>
      <c r="B1169" s="5"/>
      <c r="C1169" s="5"/>
      <c r="D1169" s="5"/>
      <c r="E1169" s="5"/>
      <c r="F1169" s="5"/>
      <c r="G1169" s="5"/>
      <c r="H1169" s="5"/>
      <c r="I1169" s="5"/>
      <c r="J1169" s="5"/>
      <c r="K1169" s="5"/>
      <c r="L1169" s="5"/>
      <c r="M1169" s="5"/>
      <c r="N1169" s="5"/>
      <c r="O1169" s="5"/>
      <c r="P1169" s="5"/>
      <c r="Q1169" s="5"/>
      <c r="R1169" s="5"/>
      <c r="S1169" s="5"/>
      <c r="T1169" s="5"/>
      <c r="U1169" s="5"/>
      <c r="V1169" s="5"/>
      <c r="W1169" s="5"/>
      <c r="X1169" s="5"/>
      <c r="Y1169" s="5"/>
      <c r="Z1169" s="5"/>
      <c r="AA1169" s="5"/>
      <c r="AB1169" s="6"/>
      <c r="AC1169" s="6"/>
      <c r="AD1169" s="6"/>
      <c r="AE1169" s="6"/>
      <c r="AF1169" s="6"/>
      <c r="AG1169" s="6"/>
      <c r="AH1169" s="6"/>
      <c r="AI1169" s="6"/>
      <c r="AJ1169" s="6"/>
      <c r="AK1169" s="6"/>
      <c r="AL1169" s="6"/>
      <c r="AM1169" s="6"/>
      <c r="AN1169" s="6"/>
      <c r="AO1169" s="6"/>
      <c r="AP1169" s="6"/>
      <c r="AQ1169" s="6"/>
      <c r="AR1169" s="6"/>
      <c r="AS1169" s="6"/>
      <c r="AT1169" s="6"/>
      <c r="AU1169" s="6"/>
      <c r="AV1169" s="6"/>
      <c r="AW1169" s="6"/>
      <c r="AX1169" s="6"/>
      <c r="AY1169" s="6"/>
      <c r="AZ1169" s="6"/>
      <c r="BA1169" s="6"/>
      <c r="BB1169" s="6"/>
      <c r="BC1169" s="6"/>
      <c r="BD1169" s="6"/>
      <c r="BE1169" s="6"/>
      <c r="BF1169" s="6"/>
      <c r="BG1169" s="6"/>
      <c r="BH1169" s="6"/>
      <c r="BI1169" s="6"/>
      <c r="BJ1169" s="6"/>
      <c r="BK1169" s="6"/>
      <c r="BL1169" s="6"/>
      <c r="BM1169" s="5"/>
      <c r="BN1169" s="7"/>
      <c r="BO1169" s="7"/>
      <c r="BP1169" s="7"/>
    </row>
    <row r="1170" spans="1:68" s="400" customFormat="1" ht="14.25" customHeight="1" x14ac:dyDescent="0.25">
      <c r="A1170" s="5"/>
      <c r="B1170" s="5"/>
      <c r="C1170" s="5"/>
      <c r="D1170" s="5"/>
      <c r="E1170" s="5"/>
      <c r="F1170" s="5"/>
      <c r="G1170" s="5"/>
      <c r="H1170" s="5"/>
      <c r="I1170" s="5"/>
      <c r="J1170" s="5"/>
      <c r="K1170" s="5"/>
      <c r="L1170" s="5"/>
      <c r="M1170" s="5"/>
      <c r="N1170" s="5"/>
      <c r="O1170" s="5"/>
      <c r="P1170" s="5"/>
      <c r="Q1170" s="5"/>
      <c r="R1170" s="5"/>
      <c r="S1170" s="5"/>
      <c r="T1170" s="5"/>
      <c r="U1170" s="5"/>
      <c r="V1170" s="5"/>
      <c r="W1170" s="5"/>
      <c r="X1170" s="5"/>
      <c r="Y1170" s="5"/>
      <c r="Z1170" s="5"/>
      <c r="AA1170" s="5"/>
      <c r="AB1170" s="6"/>
      <c r="AC1170" s="6"/>
      <c r="AD1170" s="6"/>
      <c r="AE1170" s="6"/>
      <c r="AF1170" s="6"/>
      <c r="AG1170" s="6"/>
      <c r="AH1170" s="6"/>
      <c r="AI1170" s="6"/>
      <c r="AJ1170" s="6"/>
      <c r="AK1170" s="6"/>
      <c r="AL1170" s="6"/>
      <c r="AM1170" s="6"/>
      <c r="AN1170" s="6"/>
      <c r="AO1170" s="6"/>
      <c r="AP1170" s="6"/>
      <c r="AQ1170" s="6"/>
      <c r="AR1170" s="6"/>
      <c r="AS1170" s="6"/>
      <c r="AT1170" s="6"/>
      <c r="AU1170" s="6"/>
      <c r="AV1170" s="6"/>
      <c r="AW1170" s="6"/>
      <c r="AX1170" s="6"/>
      <c r="AY1170" s="6"/>
      <c r="AZ1170" s="6"/>
      <c r="BA1170" s="6"/>
      <c r="BB1170" s="6"/>
      <c r="BC1170" s="6"/>
      <c r="BD1170" s="6"/>
      <c r="BE1170" s="6"/>
      <c r="BF1170" s="6"/>
      <c r="BG1170" s="6"/>
      <c r="BH1170" s="6"/>
      <c r="BI1170" s="6"/>
      <c r="BJ1170" s="6"/>
      <c r="BK1170" s="6"/>
      <c r="BL1170" s="6"/>
      <c r="BM1170" s="5"/>
      <c r="BN1170" s="7"/>
      <c r="BO1170" s="7"/>
      <c r="BP1170" s="7"/>
    </row>
    <row r="1171" spans="1:68" s="400" customFormat="1" ht="14.25" customHeight="1" x14ac:dyDescent="0.25">
      <c r="A1171" s="5"/>
      <c r="B1171" s="5"/>
      <c r="C1171" s="5"/>
      <c r="D1171" s="5"/>
      <c r="E1171" s="5"/>
      <c r="F1171" s="5"/>
      <c r="G1171" s="5"/>
      <c r="H1171" s="5"/>
      <c r="I1171" s="5"/>
      <c r="J1171" s="5"/>
      <c r="K1171" s="5"/>
      <c r="L1171" s="5"/>
      <c r="M1171" s="5"/>
      <c r="N1171" s="5"/>
      <c r="O1171" s="5"/>
      <c r="P1171" s="5"/>
      <c r="Q1171" s="5"/>
      <c r="R1171" s="5"/>
      <c r="S1171" s="5"/>
      <c r="T1171" s="5"/>
      <c r="U1171" s="5"/>
      <c r="V1171" s="5"/>
      <c r="W1171" s="5"/>
      <c r="X1171" s="5"/>
      <c r="Y1171" s="5"/>
      <c r="Z1171" s="5"/>
      <c r="AA1171" s="5"/>
      <c r="AB1171" s="6"/>
      <c r="AC1171" s="6"/>
      <c r="AD1171" s="6"/>
      <c r="AE1171" s="6"/>
      <c r="AF1171" s="6"/>
      <c r="AG1171" s="6"/>
      <c r="AH1171" s="6"/>
      <c r="AI1171" s="6"/>
      <c r="AJ1171" s="6"/>
      <c r="AK1171" s="6"/>
      <c r="AL1171" s="6"/>
      <c r="AM1171" s="6"/>
      <c r="AN1171" s="6"/>
      <c r="AO1171" s="6"/>
      <c r="AP1171" s="6"/>
      <c r="AQ1171" s="6"/>
      <c r="AR1171" s="6"/>
      <c r="AS1171" s="6"/>
      <c r="AT1171" s="6"/>
      <c r="AU1171" s="6"/>
      <c r="AV1171" s="6"/>
      <c r="AW1171" s="6"/>
      <c r="AX1171" s="6"/>
      <c r="AY1171" s="6"/>
      <c r="AZ1171" s="6"/>
      <c r="BA1171" s="6"/>
      <c r="BB1171" s="6"/>
      <c r="BC1171" s="6"/>
      <c r="BD1171" s="6"/>
      <c r="BE1171" s="6"/>
      <c r="BF1171" s="6"/>
      <c r="BG1171" s="6"/>
      <c r="BH1171" s="6"/>
      <c r="BI1171" s="6"/>
      <c r="BJ1171" s="6"/>
      <c r="BK1171" s="6"/>
      <c r="BL1171" s="6"/>
      <c r="BM1171" s="5"/>
      <c r="BN1171" s="7"/>
      <c r="BO1171" s="7"/>
      <c r="BP1171" s="7"/>
    </row>
    <row r="1172" spans="1:68" s="400" customFormat="1" ht="14.25" customHeight="1" x14ac:dyDescent="0.25">
      <c r="A1172" s="5"/>
      <c r="B1172" s="5"/>
      <c r="C1172" s="5"/>
      <c r="D1172" s="5"/>
      <c r="E1172" s="5"/>
      <c r="F1172" s="5"/>
      <c r="G1172" s="5"/>
      <c r="H1172" s="5"/>
      <c r="I1172" s="5"/>
      <c r="J1172" s="5"/>
      <c r="K1172" s="5"/>
      <c r="L1172" s="5"/>
      <c r="M1172" s="5"/>
      <c r="N1172" s="5"/>
      <c r="O1172" s="5"/>
      <c r="P1172" s="5"/>
      <c r="Q1172" s="5"/>
      <c r="R1172" s="5"/>
      <c r="S1172" s="5"/>
      <c r="T1172" s="5"/>
      <c r="U1172" s="5"/>
      <c r="V1172" s="5"/>
      <c r="W1172" s="5"/>
      <c r="X1172" s="5"/>
      <c r="Y1172" s="5"/>
      <c r="Z1172" s="5"/>
      <c r="AA1172" s="5"/>
      <c r="AB1172" s="6"/>
      <c r="AC1172" s="6"/>
      <c r="AD1172" s="6"/>
      <c r="AE1172" s="6"/>
      <c r="AF1172" s="6"/>
      <c r="AG1172" s="6"/>
      <c r="AH1172" s="6"/>
      <c r="AI1172" s="6"/>
      <c r="AJ1172" s="6"/>
      <c r="AK1172" s="6"/>
      <c r="AL1172" s="6"/>
      <c r="AM1172" s="6"/>
      <c r="AN1172" s="6"/>
      <c r="AO1172" s="6"/>
      <c r="AP1172" s="6"/>
      <c r="AQ1172" s="6"/>
      <c r="AR1172" s="6"/>
      <c r="AS1172" s="6"/>
      <c r="AT1172" s="6"/>
      <c r="AU1172" s="6"/>
      <c r="AV1172" s="6"/>
      <c r="AW1172" s="6"/>
      <c r="AX1172" s="6"/>
      <c r="AY1172" s="6"/>
      <c r="AZ1172" s="6"/>
      <c r="BA1172" s="6"/>
      <c r="BB1172" s="6"/>
      <c r="BC1172" s="6"/>
      <c r="BD1172" s="6"/>
      <c r="BE1172" s="6"/>
      <c r="BF1172" s="6"/>
      <c r="BG1172" s="6"/>
      <c r="BH1172" s="6"/>
      <c r="BI1172" s="6"/>
      <c r="BJ1172" s="5"/>
      <c r="BK1172" s="5"/>
      <c r="BL1172" s="5"/>
      <c r="BM1172" s="5"/>
      <c r="BN1172" s="7"/>
      <c r="BO1172" s="7"/>
      <c r="BP1172" s="7"/>
    </row>
    <row r="1173" spans="1:68" s="400" customFormat="1" ht="14.25" customHeight="1" x14ac:dyDescent="0.25">
      <c r="A1173" s="5"/>
      <c r="B1173" s="5"/>
      <c r="C1173" s="5"/>
      <c r="D1173" s="5"/>
      <c r="E1173" s="5"/>
      <c r="F1173" s="5"/>
      <c r="G1173" s="5"/>
      <c r="H1173" s="5"/>
      <c r="I1173" s="5"/>
      <c r="J1173" s="5"/>
      <c r="K1173" s="5"/>
      <c r="L1173" s="5"/>
      <c r="M1173" s="5"/>
      <c r="N1173" s="5"/>
      <c r="O1173" s="5"/>
      <c r="P1173" s="5"/>
      <c r="Q1173" s="5"/>
      <c r="R1173" s="5"/>
      <c r="S1173" s="5"/>
      <c r="T1173" s="5"/>
      <c r="U1173" s="5"/>
      <c r="V1173" s="5"/>
      <c r="W1173" s="5"/>
      <c r="X1173" s="5"/>
      <c r="Y1173" s="5"/>
      <c r="Z1173" s="5"/>
      <c r="AA1173" s="5"/>
      <c r="AB1173" s="6"/>
      <c r="AC1173" s="6"/>
      <c r="AD1173" s="6"/>
      <c r="AE1173" s="6"/>
      <c r="AF1173" s="6"/>
      <c r="AG1173" s="6"/>
      <c r="AH1173" s="6"/>
      <c r="AI1173" s="6"/>
      <c r="AJ1173" s="6"/>
      <c r="AK1173" s="6"/>
      <c r="AL1173" s="6"/>
      <c r="AM1173" s="6"/>
      <c r="AN1173" s="6"/>
      <c r="AO1173" s="6"/>
      <c r="AP1173" s="6"/>
      <c r="AQ1173" s="6"/>
      <c r="AR1173" s="6"/>
      <c r="AS1173" s="6"/>
      <c r="AT1173" s="6"/>
      <c r="AU1173" s="6"/>
      <c r="AV1173" s="6"/>
      <c r="AW1173" s="6"/>
      <c r="AX1173" s="6"/>
      <c r="AY1173" s="6"/>
      <c r="AZ1173" s="6"/>
      <c r="BA1173" s="6"/>
      <c r="BB1173" s="6"/>
      <c r="BC1173" s="6"/>
      <c r="BD1173" s="6"/>
      <c r="BE1173" s="6"/>
      <c r="BF1173" s="6"/>
      <c r="BG1173" s="6"/>
      <c r="BH1173" s="6"/>
      <c r="BI1173" s="6"/>
      <c r="BJ1173" s="5"/>
      <c r="BK1173" s="5"/>
      <c r="BL1173" s="5"/>
      <c r="BM1173" s="5"/>
      <c r="BN1173" s="7"/>
      <c r="BO1173" s="7"/>
      <c r="BP1173" s="7"/>
    </row>
    <row r="1174" spans="1:68" s="400" customFormat="1" ht="14.25" customHeight="1" x14ac:dyDescent="0.25">
      <c r="A1174" s="5"/>
      <c r="B1174" s="5"/>
      <c r="C1174" s="5"/>
      <c r="D1174" s="5"/>
      <c r="E1174" s="5"/>
      <c r="F1174" s="5"/>
      <c r="G1174" s="5"/>
      <c r="H1174" s="5"/>
      <c r="I1174" s="5"/>
      <c r="J1174" s="5"/>
      <c r="K1174" s="5"/>
      <c r="L1174" s="5"/>
      <c r="M1174" s="5"/>
      <c r="N1174" s="5"/>
      <c r="O1174" s="5"/>
      <c r="P1174" s="5"/>
      <c r="Q1174" s="5"/>
      <c r="R1174" s="5"/>
      <c r="S1174" s="5"/>
      <c r="T1174" s="5"/>
      <c r="U1174" s="5"/>
      <c r="V1174" s="5"/>
      <c r="W1174" s="5"/>
      <c r="X1174" s="5"/>
      <c r="Y1174" s="5"/>
      <c r="Z1174" s="5"/>
      <c r="AA1174" s="5"/>
      <c r="AB1174" s="6"/>
      <c r="AC1174" s="6"/>
      <c r="AD1174" s="6"/>
      <c r="AE1174" s="6"/>
      <c r="AF1174" s="6"/>
      <c r="AG1174" s="6"/>
      <c r="AH1174" s="6"/>
      <c r="AI1174" s="6"/>
      <c r="AJ1174" s="6"/>
      <c r="AK1174" s="6"/>
      <c r="AL1174" s="6"/>
      <c r="AM1174" s="6"/>
      <c r="AN1174" s="6"/>
      <c r="AO1174" s="6"/>
      <c r="AP1174" s="6"/>
      <c r="AQ1174" s="6"/>
      <c r="AR1174" s="6"/>
      <c r="AS1174" s="6"/>
      <c r="AT1174" s="6"/>
      <c r="AU1174" s="6"/>
      <c r="AV1174" s="6"/>
      <c r="AW1174" s="6"/>
      <c r="AX1174" s="6"/>
      <c r="AY1174" s="6"/>
      <c r="AZ1174" s="6"/>
      <c r="BA1174" s="6"/>
      <c r="BB1174" s="6"/>
      <c r="BC1174" s="6"/>
      <c r="BD1174" s="6"/>
      <c r="BE1174" s="6"/>
      <c r="BF1174" s="6"/>
      <c r="BG1174" s="6"/>
      <c r="BH1174" s="6"/>
      <c r="BI1174" s="6"/>
      <c r="BJ1174" s="5"/>
      <c r="BK1174" s="5"/>
      <c r="BL1174" s="5"/>
      <c r="BM1174" s="5"/>
      <c r="BN1174" s="7"/>
      <c r="BO1174" s="7"/>
      <c r="BP1174" s="7"/>
    </row>
    <row r="1175" spans="1:68" s="400" customFormat="1" ht="14.25" customHeight="1" x14ac:dyDescent="0.25">
      <c r="A1175" s="5"/>
      <c r="B1175" s="5"/>
      <c r="C1175" s="5"/>
      <c r="D1175" s="5"/>
      <c r="E1175" s="5"/>
      <c r="F1175" s="5"/>
      <c r="G1175" s="5"/>
      <c r="H1175" s="5"/>
      <c r="I1175" s="5"/>
      <c r="J1175" s="5"/>
      <c r="K1175" s="5"/>
      <c r="L1175" s="5"/>
      <c r="M1175" s="5"/>
      <c r="N1175" s="5"/>
      <c r="O1175" s="5"/>
      <c r="P1175" s="5"/>
      <c r="Q1175" s="5"/>
      <c r="R1175" s="5"/>
      <c r="S1175" s="5"/>
      <c r="T1175" s="5"/>
      <c r="U1175" s="5"/>
      <c r="V1175" s="5"/>
      <c r="W1175" s="5"/>
      <c r="X1175" s="5"/>
      <c r="Y1175" s="5"/>
      <c r="Z1175" s="5"/>
      <c r="AA1175" s="5"/>
      <c r="AB1175" s="6"/>
      <c r="AC1175" s="6"/>
      <c r="AD1175" s="6"/>
      <c r="AE1175" s="6"/>
      <c r="AF1175" s="6"/>
      <c r="AG1175" s="6"/>
      <c r="AH1175" s="6"/>
      <c r="AI1175" s="6"/>
      <c r="AJ1175" s="6"/>
      <c r="AK1175" s="6"/>
      <c r="AL1175" s="6"/>
      <c r="AM1175" s="6"/>
      <c r="AN1175" s="6"/>
      <c r="AO1175" s="6"/>
      <c r="AP1175" s="6"/>
      <c r="AQ1175" s="6"/>
      <c r="AR1175" s="6"/>
      <c r="AS1175" s="6"/>
      <c r="AT1175" s="6"/>
      <c r="AU1175" s="6"/>
      <c r="AV1175" s="6"/>
      <c r="AW1175" s="6"/>
      <c r="AX1175" s="6"/>
      <c r="AY1175" s="6"/>
      <c r="AZ1175" s="6"/>
      <c r="BA1175" s="6"/>
      <c r="BB1175" s="6"/>
      <c r="BC1175" s="6"/>
      <c r="BD1175" s="6"/>
      <c r="BE1175" s="6"/>
      <c r="BF1175" s="6"/>
      <c r="BG1175" s="6"/>
      <c r="BH1175" s="6"/>
      <c r="BI1175" s="6"/>
      <c r="BJ1175" s="6"/>
      <c r="BK1175" s="6"/>
      <c r="BL1175" s="6"/>
      <c r="BM1175" s="5"/>
      <c r="BN1175" s="7"/>
      <c r="BO1175" s="7"/>
      <c r="BP1175" s="7"/>
    </row>
    <row r="1176" spans="1:68" s="400" customFormat="1" ht="14.25" customHeight="1" x14ac:dyDescent="0.25">
      <c r="A1176" s="5"/>
      <c r="B1176" s="5"/>
      <c r="C1176" s="5"/>
      <c r="D1176" s="5"/>
      <c r="E1176" s="5"/>
      <c r="F1176" s="5"/>
      <c r="G1176" s="5"/>
      <c r="H1176" s="5"/>
      <c r="I1176" s="5"/>
      <c r="J1176" s="5"/>
      <c r="K1176" s="5"/>
      <c r="L1176" s="5"/>
      <c r="M1176" s="5"/>
      <c r="N1176" s="5"/>
      <c r="O1176" s="5"/>
      <c r="P1176" s="5"/>
      <c r="Q1176" s="5"/>
      <c r="R1176" s="5"/>
      <c r="S1176" s="5"/>
      <c r="T1176" s="5"/>
      <c r="U1176" s="5"/>
      <c r="V1176" s="5"/>
      <c r="W1176" s="5"/>
      <c r="X1176" s="5"/>
      <c r="Y1176" s="5"/>
      <c r="Z1176" s="5"/>
      <c r="AA1176" s="5"/>
      <c r="AB1176" s="6"/>
      <c r="AC1176" s="6"/>
      <c r="AD1176" s="6"/>
      <c r="AE1176" s="6"/>
      <c r="AF1176" s="6"/>
      <c r="AG1176" s="6"/>
      <c r="AH1176" s="6"/>
      <c r="AI1176" s="6"/>
      <c r="AJ1176" s="6"/>
      <c r="AK1176" s="6"/>
      <c r="AL1176" s="6"/>
      <c r="AM1176" s="6"/>
      <c r="AN1176" s="6"/>
      <c r="AO1176" s="6"/>
      <c r="AP1176" s="6"/>
      <c r="AQ1176" s="6"/>
      <c r="AR1176" s="6"/>
      <c r="AS1176" s="6"/>
      <c r="AT1176" s="6"/>
      <c r="AU1176" s="6"/>
      <c r="AV1176" s="6"/>
      <c r="AW1176" s="6"/>
      <c r="AX1176" s="6"/>
      <c r="AY1176" s="6"/>
      <c r="AZ1176" s="6"/>
      <c r="BA1176" s="6"/>
      <c r="BB1176" s="6"/>
      <c r="BC1176" s="6"/>
      <c r="BD1176" s="6"/>
      <c r="BE1176" s="6"/>
      <c r="BF1176" s="6"/>
      <c r="BG1176" s="6"/>
      <c r="BH1176" s="6"/>
      <c r="BI1176" s="6"/>
      <c r="BJ1176" s="6"/>
      <c r="BK1176" s="6"/>
      <c r="BL1176" s="6"/>
      <c r="BM1176" s="5"/>
      <c r="BN1176" s="7"/>
      <c r="BO1176" s="7"/>
      <c r="BP1176" s="7"/>
    </row>
    <row r="1177" spans="1:68" s="400" customFormat="1" ht="14.25" customHeight="1" x14ac:dyDescent="0.25">
      <c r="A1177" s="5"/>
      <c r="B1177" s="5"/>
      <c r="C1177" s="5"/>
      <c r="D1177" s="5"/>
      <c r="E1177" s="5"/>
      <c r="F1177" s="5"/>
      <c r="G1177" s="5"/>
      <c r="H1177" s="5"/>
      <c r="I1177" s="5"/>
      <c r="J1177" s="5"/>
      <c r="K1177" s="5"/>
      <c r="L1177" s="5"/>
      <c r="M1177" s="5"/>
      <c r="N1177" s="5"/>
      <c r="O1177" s="5"/>
      <c r="P1177" s="5"/>
      <c r="Q1177" s="5"/>
      <c r="R1177" s="5"/>
      <c r="S1177" s="5"/>
      <c r="T1177" s="5"/>
      <c r="U1177" s="5"/>
      <c r="V1177" s="5"/>
      <c r="W1177" s="5"/>
      <c r="X1177" s="5"/>
      <c r="Y1177" s="5"/>
      <c r="Z1177" s="5"/>
      <c r="AA1177" s="5"/>
      <c r="AB1177" s="6"/>
      <c r="AC1177" s="6"/>
      <c r="AD1177" s="6"/>
      <c r="AE1177" s="6"/>
      <c r="AF1177" s="6"/>
      <c r="AG1177" s="6"/>
      <c r="AH1177" s="6"/>
      <c r="AI1177" s="6"/>
      <c r="AJ1177" s="6"/>
      <c r="AK1177" s="6"/>
      <c r="AL1177" s="6"/>
      <c r="AM1177" s="6"/>
      <c r="AN1177" s="6"/>
      <c r="AO1177" s="6"/>
      <c r="AP1177" s="6"/>
      <c r="AQ1177" s="6"/>
      <c r="AR1177" s="6"/>
      <c r="AS1177" s="6"/>
      <c r="AT1177" s="6"/>
      <c r="AU1177" s="6"/>
      <c r="AV1177" s="6"/>
      <c r="AW1177" s="6"/>
      <c r="AX1177" s="6"/>
      <c r="AY1177" s="6"/>
      <c r="AZ1177" s="6"/>
      <c r="BA1177" s="6"/>
      <c r="BB1177" s="6"/>
      <c r="BC1177" s="6"/>
      <c r="BD1177" s="6"/>
      <c r="BE1177" s="6"/>
      <c r="BF1177" s="6"/>
      <c r="BG1177" s="6"/>
      <c r="BH1177" s="6"/>
      <c r="BI1177" s="6"/>
      <c r="BJ1177" s="6"/>
      <c r="BK1177" s="6"/>
      <c r="BL1177" s="6"/>
      <c r="BM1177" s="5"/>
      <c r="BN1177" s="7"/>
      <c r="BO1177" s="7"/>
      <c r="BP1177" s="7"/>
    </row>
    <row r="1178" spans="1:68" s="400" customFormat="1" ht="14.25" customHeight="1" x14ac:dyDescent="0.25">
      <c r="A1178" s="5"/>
      <c r="B1178" s="5"/>
      <c r="C1178" s="5"/>
      <c r="D1178" s="5"/>
      <c r="E1178" s="5"/>
      <c r="F1178" s="5"/>
      <c r="G1178" s="5"/>
      <c r="H1178" s="5"/>
      <c r="I1178" s="5"/>
      <c r="J1178" s="5"/>
      <c r="K1178" s="5"/>
      <c r="L1178" s="5"/>
      <c r="M1178" s="5"/>
      <c r="N1178" s="5"/>
      <c r="O1178" s="5"/>
      <c r="P1178" s="5"/>
      <c r="Q1178" s="5"/>
      <c r="R1178" s="5"/>
      <c r="S1178" s="5"/>
      <c r="T1178" s="5"/>
      <c r="U1178" s="5"/>
      <c r="V1178" s="5"/>
      <c r="W1178" s="5"/>
      <c r="X1178" s="5"/>
      <c r="Y1178" s="5"/>
      <c r="Z1178" s="5"/>
      <c r="AA1178" s="5"/>
      <c r="AB1178" s="6"/>
      <c r="AC1178" s="6"/>
      <c r="AD1178" s="6"/>
      <c r="AE1178" s="6"/>
      <c r="AF1178" s="6"/>
      <c r="AG1178" s="6"/>
      <c r="AH1178" s="6"/>
      <c r="AI1178" s="6"/>
      <c r="AJ1178" s="6"/>
      <c r="AK1178" s="6"/>
      <c r="AL1178" s="6"/>
      <c r="AM1178" s="6"/>
      <c r="AN1178" s="6"/>
      <c r="AO1178" s="6"/>
      <c r="AP1178" s="6"/>
      <c r="AQ1178" s="6"/>
      <c r="AR1178" s="6"/>
      <c r="AS1178" s="6"/>
      <c r="AT1178" s="6"/>
      <c r="AU1178" s="6"/>
      <c r="AV1178" s="6"/>
      <c r="AW1178" s="6"/>
      <c r="AX1178" s="6"/>
      <c r="AY1178" s="6"/>
      <c r="AZ1178" s="6"/>
      <c r="BA1178" s="6"/>
      <c r="BB1178" s="6"/>
      <c r="BC1178" s="6"/>
      <c r="BD1178" s="6"/>
      <c r="BE1178" s="6"/>
      <c r="BF1178" s="6"/>
      <c r="BG1178" s="6"/>
      <c r="BH1178" s="6"/>
      <c r="BI1178" s="6"/>
      <c r="BJ1178" s="6"/>
      <c r="BK1178" s="6"/>
      <c r="BL1178" s="6"/>
      <c r="BM1178" s="5"/>
      <c r="BN1178" s="7"/>
      <c r="BO1178" s="7"/>
      <c r="BP1178" s="7"/>
    </row>
    <row r="1179" spans="1:68" s="400" customFormat="1" ht="14.25" customHeight="1" x14ac:dyDescent="0.25">
      <c r="A1179" s="5"/>
      <c r="B1179" s="5"/>
      <c r="C1179" s="5"/>
      <c r="D1179" s="5"/>
      <c r="E1179" s="5"/>
      <c r="F1179" s="5"/>
      <c r="G1179" s="5"/>
      <c r="H1179" s="5"/>
      <c r="I1179" s="5"/>
      <c r="J1179" s="5"/>
      <c r="K1179" s="5"/>
      <c r="L1179" s="5"/>
      <c r="M1179" s="5"/>
      <c r="N1179" s="5"/>
      <c r="O1179" s="5"/>
      <c r="P1179" s="5"/>
      <c r="Q1179" s="5"/>
      <c r="R1179" s="5"/>
      <c r="S1179" s="5"/>
      <c r="T1179" s="5"/>
      <c r="U1179" s="5"/>
      <c r="V1179" s="5"/>
      <c r="W1179" s="5"/>
      <c r="X1179" s="5"/>
      <c r="Y1179" s="5"/>
      <c r="Z1179" s="5"/>
      <c r="AA1179" s="5"/>
      <c r="AB1179" s="6"/>
      <c r="AC1179" s="6"/>
      <c r="AD1179" s="6"/>
      <c r="AE1179" s="6"/>
      <c r="AF1179" s="6"/>
      <c r="AG1179" s="6"/>
      <c r="AH1179" s="6"/>
      <c r="AI1179" s="6"/>
      <c r="AJ1179" s="6"/>
      <c r="AK1179" s="6"/>
      <c r="AL1179" s="6"/>
      <c r="AM1179" s="6"/>
      <c r="AN1179" s="6"/>
      <c r="AO1179" s="6"/>
      <c r="AP1179" s="6"/>
      <c r="AQ1179" s="6"/>
      <c r="AR1179" s="6"/>
      <c r="AS1179" s="6"/>
      <c r="AT1179" s="6"/>
      <c r="AU1179" s="6"/>
      <c r="AV1179" s="6"/>
      <c r="AW1179" s="6"/>
      <c r="AX1179" s="6"/>
      <c r="AY1179" s="6"/>
      <c r="AZ1179" s="6"/>
      <c r="BA1179" s="6"/>
      <c r="BB1179" s="6"/>
      <c r="BC1179" s="6"/>
      <c r="BD1179" s="6"/>
      <c r="BE1179" s="6"/>
      <c r="BF1179" s="6"/>
      <c r="BG1179" s="6"/>
      <c r="BH1179" s="6"/>
      <c r="BI1179" s="6"/>
      <c r="BJ1179" s="6"/>
      <c r="BK1179" s="6"/>
      <c r="BL1179" s="6"/>
      <c r="BM1179" s="5"/>
      <c r="BN1179" s="7"/>
      <c r="BO1179" s="7"/>
      <c r="BP1179" s="7"/>
    </row>
    <row r="1180" spans="1:68" s="400" customFormat="1" ht="14.25" customHeight="1" x14ac:dyDescent="0.25">
      <c r="A1180" s="5"/>
      <c r="B1180" s="5"/>
      <c r="C1180" s="5"/>
      <c r="D1180" s="5"/>
      <c r="E1180" s="5"/>
      <c r="F1180" s="5"/>
      <c r="G1180" s="5"/>
      <c r="H1180" s="5"/>
      <c r="I1180" s="5"/>
      <c r="J1180" s="5"/>
      <c r="K1180" s="5"/>
      <c r="L1180" s="5"/>
      <c r="M1180" s="5"/>
      <c r="N1180" s="5"/>
      <c r="O1180" s="5"/>
      <c r="P1180" s="5"/>
      <c r="Q1180" s="5"/>
      <c r="R1180" s="5"/>
      <c r="S1180" s="5"/>
      <c r="T1180" s="5"/>
      <c r="U1180" s="5"/>
      <c r="V1180" s="5"/>
      <c r="W1180" s="5"/>
      <c r="X1180" s="5"/>
      <c r="Y1180" s="5"/>
      <c r="Z1180" s="5"/>
      <c r="AA1180" s="5"/>
      <c r="AB1180" s="6"/>
      <c r="AC1180" s="6"/>
      <c r="AD1180" s="6"/>
      <c r="AE1180" s="6"/>
      <c r="AF1180" s="6"/>
      <c r="AG1180" s="6"/>
      <c r="AH1180" s="6"/>
      <c r="AI1180" s="6"/>
      <c r="AJ1180" s="6"/>
      <c r="AK1180" s="6"/>
      <c r="AL1180" s="6"/>
      <c r="AM1180" s="6"/>
      <c r="AN1180" s="6"/>
      <c r="AO1180" s="6"/>
      <c r="AP1180" s="6"/>
      <c r="AQ1180" s="6"/>
      <c r="AR1180" s="6"/>
      <c r="AS1180" s="6"/>
      <c r="AT1180" s="6"/>
      <c r="AU1180" s="6"/>
      <c r="AV1180" s="6"/>
      <c r="AW1180" s="6"/>
      <c r="AX1180" s="6"/>
      <c r="AY1180" s="6"/>
      <c r="AZ1180" s="6"/>
      <c r="BA1180" s="6"/>
      <c r="BB1180" s="6"/>
      <c r="BC1180" s="6"/>
      <c r="BD1180" s="6"/>
      <c r="BE1180" s="6"/>
      <c r="BF1180" s="6"/>
      <c r="BG1180" s="6"/>
      <c r="BH1180" s="6"/>
      <c r="BI1180" s="6"/>
      <c r="BJ1180" s="6"/>
      <c r="BK1180" s="6"/>
      <c r="BL1180" s="6"/>
      <c r="BM1180" s="5"/>
      <c r="BN1180" s="7"/>
      <c r="BO1180" s="7"/>
      <c r="BP1180" s="7"/>
    </row>
    <row r="1181" spans="1:68" s="400" customFormat="1" ht="14.25" customHeight="1" x14ac:dyDescent="0.25">
      <c r="A1181" s="5"/>
      <c r="B1181" s="5"/>
      <c r="C1181" s="5"/>
      <c r="D1181" s="5"/>
      <c r="E1181" s="5"/>
      <c r="F1181" s="5"/>
      <c r="G1181" s="5"/>
      <c r="H1181" s="5"/>
      <c r="I1181" s="5"/>
      <c r="J1181" s="5"/>
      <c r="K1181" s="5"/>
      <c r="L1181" s="5"/>
      <c r="M1181" s="5"/>
      <c r="N1181" s="5"/>
      <c r="O1181" s="5"/>
      <c r="P1181" s="5"/>
      <c r="Q1181" s="5"/>
      <c r="R1181" s="5"/>
      <c r="S1181" s="5"/>
      <c r="T1181" s="5"/>
      <c r="U1181" s="5"/>
      <c r="V1181" s="5"/>
      <c r="W1181" s="5"/>
      <c r="X1181" s="5"/>
      <c r="Y1181" s="5"/>
      <c r="Z1181" s="5"/>
      <c r="AA1181" s="5"/>
      <c r="AB1181" s="6"/>
      <c r="AC1181" s="6"/>
      <c r="AD1181" s="6"/>
      <c r="AE1181" s="6"/>
      <c r="AF1181" s="6"/>
      <c r="AG1181" s="6"/>
      <c r="AH1181" s="6"/>
      <c r="AI1181" s="6"/>
      <c r="AJ1181" s="6"/>
      <c r="AK1181" s="6"/>
      <c r="AL1181" s="6"/>
      <c r="AM1181" s="6"/>
      <c r="AN1181" s="6"/>
      <c r="AO1181" s="6"/>
      <c r="AP1181" s="6"/>
      <c r="AQ1181" s="6"/>
      <c r="AR1181" s="6"/>
      <c r="AS1181" s="6"/>
      <c r="AT1181" s="6"/>
      <c r="AU1181" s="6"/>
      <c r="AV1181" s="6"/>
      <c r="AW1181" s="6"/>
      <c r="AX1181" s="6"/>
      <c r="AY1181" s="6"/>
      <c r="AZ1181" s="6"/>
      <c r="BA1181" s="6"/>
      <c r="BB1181" s="6"/>
      <c r="BC1181" s="6"/>
      <c r="BD1181" s="6"/>
      <c r="BE1181" s="6"/>
      <c r="BF1181" s="6"/>
      <c r="BG1181" s="6"/>
      <c r="BH1181" s="6"/>
      <c r="BI1181" s="6"/>
      <c r="BJ1181" s="6"/>
      <c r="BK1181" s="6"/>
      <c r="BL1181" s="6"/>
      <c r="BM1181" s="5"/>
      <c r="BN1181" s="7"/>
      <c r="BO1181" s="7"/>
      <c r="BP1181" s="7"/>
    </row>
    <row r="1182" spans="1:68" s="400" customFormat="1" ht="14.25" customHeight="1" x14ac:dyDescent="0.25">
      <c r="A1182" s="5"/>
      <c r="B1182" s="5"/>
      <c r="C1182" s="5"/>
      <c r="D1182" s="5"/>
      <c r="E1182" s="5"/>
      <c r="F1182" s="5"/>
      <c r="G1182" s="5"/>
      <c r="H1182" s="5"/>
      <c r="I1182" s="5"/>
      <c r="J1182" s="5"/>
      <c r="K1182" s="5"/>
      <c r="L1182" s="5"/>
      <c r="M1182" s="5"/>
      <c r="N1182" s="5"/>
      <c r="O1182" s="5"/>
      <c r="P1182" s="5"/>
      <c r="Q1182" s="5"/>
      <c r="R1182" s="5"/>
      <c r="S1182" s="5"/>
      <c r="T1182" s="5"/>
      <c r="U1182" s="5"/>
      <c r="V1182" s="5"/>
      <c r="W1182" s="5"/>
      <c r="X1182" s="5"/>
      <c r="Y1182" s="5"/>
      <c r="Z1182" s="5"/>
      <c r="AA1182" s="5"/>
      <c r="AB1182" s="6"/>
      <c r="AC1182" s="6"/>
      <c r="AD1182" s="6"/>
      <c r="AE1182" s="6"/>
      <c r="AF1182" s="6"/>
      <c r="AG1182" s="6"/>
      <c r="AH1182" s="6"/>
      <c r="AI1182" s="6"/>
      <c r="AJ1182" s="6"/>
      <c r="AK1182" s="6"/>
      <c r="AL1182" s="6"/>
      <c r="AM1182" s="6"/>
      <c r="AN1182" s="6"/>
      <c r="AO1182" s="6"/>
      <c r="AP1182" s="6"/>
      <c r="AQ1182" s="6"/>
      <c r="AR1182" s="6"/>
      <c r="AS1182" s="6"/>
      <c r="AT1182" s="6"/>
      <c r="AU1182" s="6"/>
      <c r="AV1182" s="6"/>
      <c r="AW1182" s="6"/>
      <c r="AX1182" s="6"/>
      <c r="AY1182" s="6"/>
      <c r="AZ1182" s="6"/>
      <c r="BA1182" s="6"/>
      <c r="BB1182" s="6"/>
      <c r="BC1182" s="6"/>
      <c r="BD1182" s="6"/>
      <c r="BE1182" s="6"/>
      <c r="BF1182" s="6"/>
      <c r="BG1182" s="6"/>
      <c r="BH1182" s="6"/>
      <c r="BI1182" s="6"/>
      <c r="BJ1182" s="6"/>
      <c r="BK1182" s="6"/>
      <c r="BL1182" s="6"/>
      <c r="BM1182" s="5"/>
      <c r="BN1182" s="7"/>
      <c r="BO1182" s="7"/>
      <c r="BP1182" s="7"/>
    </row>
    <row r="1183" spans="1:68" s="400" customFormat="1" ht="14.25" customHeight="1" x14ac:dyDescent="0.25">
      <c r="A1183" s="5"/>
      <c r="B1183" s="5"/>
      <c r="C1183" s="5"/>
      <c r="D1183" s="5"/>
      <c r="E1183" s="5"/>
      <c r="F1183" s="5"/>
      <c r="G1183" s="5"/>
      <c r="H1183" s="5"/>
      <c r="I1183" s="5"/>
      <c r="J1183" s="5"/>
      <c r="K1183" s="5"/>
      <c r="L1183" s="5"/>
      <c r="M1183" s="5"/>
      <c r="N1183" s="5"/>
      <c r="O1183" s="5"/>
      <c r="P1183" s="5"/>
      <c r="Q1183" s="5"/>
      <c r="R1183" s="5"/>
      <c r="S1183" s="5"/>
      <c r="T1183" s="5"/>
      <c r="U1183" s="5"/>
      <c r="V1183" s="5"/>
      <c r="W1183" s="5"/>
      <c r="X1183" s="5"/>
      <c r="Y1183" s="5"/>
      <c r="Z1183" s="5"/>
      <c r="AA1183" s="5"/>
      <c r="AB1183" s="6"/>
      <c r="AC1183" s="6"/>
      <c r="AD1183" s="6"/>
      <c r="AE1183" s="6"/>
      <c r="AF1183" s="6"/>
      <c r="AG1183" s="6"/>
      <c r="AH1183" s="6"/>
      <c r="AI1183" s="6"/>
      <c r="AJ1183" s="6"/>
      <c r="AK1183" s="6"/>
      <c r="AL1183" s="6"/>
      <c r="AM1183" s="6"/>
      <c r="AN1183" s="6"/>
      <c r="AO1183" s="6"/>
      <c r="AP1183" s="6"/>
      <c r="AQ1183" s="6"/>
      <c r="AR1183" s="6"/>
      <c r="AS1183" s="6"/>
      <c r="AT1183" s="6"/>
      <c r="AU1183" s="6"/>
      <c r="AV1183" s="6"/>
      <c r="AW1183" s="6"/>
      <c r="AX1183" s="6"/>
      <c r="AY1183" s="6"/>
      <c r="AZ1183" s="6"/>
      <c r="BA1183" s="6"/>
      <c r="BB1183" s="6"/>
      <c r="BC1183" s="6"/>
      <c r="BD1183" s="6"/>
      <c r="BE1183" s="6"/>
      <c r="BF1183" s="6"/>
      <c r="BG1183" s="6"/>
      <c r="BH1183" s="6"/>
      <c r="BI1183" s="6"/>
      <c r="BJ1183" s="6"/>
      <c r="BK1183" s="6"/>
      <c r="BL1183" s="6"/>
      <c r="BM1183" s="5"/>
      <c r="BN1183" s="7"/>
      <c r="BO1183" s="7"/>
      <c r="BP1183" s="7"/>
    </row>
    <row r="1184" spans="1:68" s="400" customFormat="1" ht="14.25" customHeight="1" x14ac:dyDescent="0.25">
      <c r="A1184" s="5"/>
      <c r="B1184" s="5"/>
      <c r="C1184" s="5"/>
      <c r="D1184" s="5"/>
      <c r="E1184" s="5"/>
      <c r="F1184" s="5"/>
      <c r="G1184" s="5"/>
      <c r="H1184" s="5"/>
      <c r="I1184" s="5"/>
      <c r="J1184" s="5"/>
      <c r="K1184" s="5"/>
      <c r="L1184" s="5"/>
      <c r="M1184" s="5"/>
      <c r="N1184" s="5"/>
      <c r="O1184" s="5"/>
      <c r="P1184" s="5"/>
      <c r="Q1184" s="5"/>
      <c r="R1184" s="5"/>
      <c r="S1184" s="5"/>
      <c r="T1184" s="5"/>
      <c r="U1184" s="5"/>
      <c r="V1184" s="5"/>
      <c r="W1184" s="5"/>
      <c r="X1184" s="5"/>
      <c r="Y1184" s="5"/>
      <c r="Z1184" s="5"/>
      <c r="AA1184" s="5"/>
      <c r="AB1184" s="6"/>
      <c r="AC1184" s="6"/>
      <c r="AD1184" s="6"/>
      <c r="AE1184" s="6"/>
      <c r="AF1184" s="6"/>
      <c r="AG1184" s="6"/>
      <c r="AH1184" s="6"/>
      <c r="AI1184" s="6"/>
      <c r="AJ1184" s="6"/>
      <c r="AK1184" s="6"/>
      <c r="AL1184" s="6"/>
      <c r="AM1184" s="6"/>
      <c r="AN1184" s="6"/>
      <c r="AO1184" s="6"/>
      <c r="AP1184" s="6"/>
      <c r="AQ1184" s="6"/>
      <c r="AR1184" s="6"/>
      <c r="AS1184" s="6"/>
      <c r="AT1184" s="6"/>
      <c r="AU1184" s="6"/>
      <c r="AV1184" s="6"/>
      <c r="AW1184" s="6"/>
      <c r="AX1184" s="6"/>
      <c r="AY1184" s="6"/>
      <c r="AZ1184" s="6"/>
      <c r="BA1184" s="6"/>
      <c r="BB1184" s="6"/>
      <c r="BC1184" s="6"/>
      <c r="BD1184" s="6"/>
      <c r="BE1184" s="6"/>
      <c r="BF1184" s="6"/>
      <c r="BG1184" s="6"/>
      <c r="BH1184" s="6"/>
      <c r="BI1184" s="6"/>
      <c r="BJ1184" s="6"/>
      <c r="BK1184" s="6"/>
      <c r="BL1184" s="6"/>
      <c r="BM1184" s="5"/>
      <c r="BN1184" s="7"/>
      <c r="BO1184" s="7"/>
      <c r="BP1184" s="7"/>
    </row>
    <row r="1185" spans="1:68" s="400" customFormat="1" ht="14.25" customHeight="1" x14ac:dyDescent="0.25">
      <c r="A1185" s="5"/>
      <c r="B1185" s="5"/>
      <c r="C1185" s="5"/>
      <c r="D1185" s="5"/>
      <c r="E1185" s="5"/>
      <c r="F1185" s="5"/>
      <c r="G1185" s="5"/>
      <c r="H1185" s="5"/>
      <c r="I1185" s="5"/>
      <c r="J1185" s="5"/>
      <c r="K1185" s="5"/>
      <c r="L1185" s="5"/>
      <c r="M1185" s="5"/>
      <c r="N1185" s="5"/>
      <c r="O1185" s="5"/>
      <c r="P1185" s="5"/>
      <c r="Q1185" s="5"/>
      <c r="R1185" s="5"/>
      <c r="S1185" s="5"/>
      <c r="T1185" s="5"/>
      <c r="U1185" s="5"/>
      <c r="V1185" s="5"/>
      <c r="W1185" s="5"/>
      <c r="X1185" s="5"/>
      <c r="Y1185" s="5"/>
      <c r="Z1185" s="5"/>
      <c r="AA1185" s="5"/>
      <c r="AB1185" s="6"/>
      <c r="AC1185" s="6"/>
      <c r="AD1185" s="6"/>
      <c r="AE1185" s="6"/>
      <c r="AF1185" s="6"/>
      <c r="AG1185" s="6"/>
      <c r="AH1185" s="6"/>
      <c r="AI1185" s="6"/>
      <c r="AJ1185" s="6"/>
      <c r="AK1185" s="6"/>
      <c r="AL1185" s="6"/>
      <c r="AM1185" s="6"/>
      <c r="AN1185" s="6"/>
      <c r="AO1185" s="6"/>
      <c r="AP1185" s="6"/>
      <c r="AQ1185" s="6"/>
      <c r="AR1185" s="6"/>
      <c r="AS1185" s="6"/>
      <c r="AT1185" s="6"/>
      <c r="AU1185" s="6"/>
      <c r="AV1185" s="6"/>
      <c r="AW1185" s="6"/>
      <c r="AX1185" s="6"/>
      <c r="AY1185" s="6"/>
      <c r="AZ1185" s="6"/>
      <c r="BA1185" s="6"/>
      <c r="BB1185" s="6"/>
      <c r="BC1185" s="6"/>
      <c r="BD1185" s="6"/>
      <c r="BE1185" s="6"/>
      <c r="BF1185" s="6"/>
      <c r="BG1185" s="6"/>
      <c r="BH1185" s="6"/>
      <c r="BI1185" s="6"/>
      <c r="BJ1185" s="6"/>
      <c r="BK1185" s="6"/>
      <c r="BL1185" s="6"/>
      <c r="BM1185" s="5"/>
      <c r="BN1185" s="7"/>
      <c r="BO1185" s="7"/>
      <c r="BP1185" s="7"/>
    </row>
    <row r="1186" spans="1:68" s="400" customFormat="1" ht="14.25" customHeight="1" x14ac:dyDescent="0.25">
      <c r="A1186" s="5"/>
      <c r="B1186" s="5"/>
      <c r="C1186" s="5"/>
      <c r="D1186" s="5"/>
      <c r="E1186" s="5"/>
      <c r="F1186" s="5"/>
      <c r="G1186" s="5"/>
      <c r="H1186" s="5"/>
      <c r="I1186" s="5"/>
      <c r="J1186" s="5"/>
      <c r="K1186" s="5"/>
      <c r="L1186" s="5"/>
      <c r="M1186" s="5"/>
      <c r="N1186" s="5"/>
      <c r="O1186" s="5"/>
      <c r="P1186" s="5"/>
      <c r="Q1186" s="5"/>
      <c r="R1186" s="5"/>
      <c r="S1186" s="5"/>
      <c r="T1186" s="5"/>
      <c r="U1186" s="5"/>
      <c r="V1186" s="5"/>
      <c r="W1186" s="5"/>
      <c r="X1186" s="5"/>
      <c r="Y1186" s="5"/>
      <c r="Z1186" s="5"/>
      <c r="AA1186" s="5"/>
      <c r="AB1186" s="6"/>
      <c r="AC1186" s="6"/>
      <c r="AD1186" s="6"/>
      <c r="AE1186" s="6"/>
      <c r="AF1186" s="6"/>
      <c r="AG1186" s="6"/>
      <c r="AH1186" s="6"/>
      <c r="AI1186" s="6"/>
      <c r="AJ1186" s="6"/>
      <c r="AK1186" s="6"/>
      <c r="AL1186" s="6"/>
      <c r="AM1186" s="6"/>
      <c r="AN1186" s="6"/>
      <c r="AO1186" s="6"/>
      <c r="AP1186" s="6"/>
      <c r="AQ1186" s="6"/>
      <c r="AR1186" s="6"/>
      <c r="AS1186" s="6"/>
      <c r="AT1186" s="6"/>
      <c r="AU1186" s="6"/>
      <c r="AV1186" s="6"/>
      <c r="AW1186" s="6"/>
      <c r="AX1186" s="6"/>
      <c r="AY1186" s="6"/>
      <c r="AZ1186" s="6"/>
      <c r="BA1186" s="6"/>
      <c r="BB1186" s="6"/>
      <c r="BC1186" s="6"/>
      <c r="BD1186" s="6"/>
      <c r="BE1186" s="6"/>
      <c r="BF1186" s="6"/>
      <c r="BG1186" s="6"/>
      <c r="BH1186" s="6"/>
      <c r="BI1186" s="6"/>
      <c r="BJ1186" s="6"/>
      <c r="BK1186" s="6"/>
      <c r="BL1186" s="6"/>
      <c r="BM1186" s="5"/>
      <c r="BN1186" s="7"/>
      <c r="BO1186" s="7"/>
      <c r="BP1186" s="7"/>
    </row>
    <row r="1187" spans="1:68" s="400" customFormat="1" ht="14.25" customHeight="1" x14ac:dyDescent="0.25">
      <c r="A1187" s="5"/>
      <c r="B1187" s="5"/>
      <c r="C1187" s="5"/>
      <c r="D1187" s="5"/>
      <c r="E1187" s="5"/>
      <c r="F1187" s="5"/>
      <c r="G1187" s="5"/>
      <c r="H1187" s="5"/>
      <c r="I1187" s="5"/>
      <c r="J1187" s="5"/>
      <c r="K1187" s="5"/>
      <c r="L1187" s="5"/>
      <c r="M1187" s="5"/>
      <c r="N1187" s="5"/>
      <c r="O1187" s="5"/>
      <c r="P1187" s="5"/>
      <c r="Q1187" s="5"/>
      <c r="R1187" s="5"/>
      <c r="S1187" s="5"/>
      <c r="T1187" s="5"/>
      <c r="U1187" s="5"/>
      <c r="V1187" s="5"/>
      <c r="W1187" s="5"/>
      <c r="X1187" s="5"/>
      <c r="Y1187" s="5"/>
      <c r="Z1187" s="5"/>
      <c r="AA1187" s="5"/>
      <c r="AB1187" s="6"/>
      <c r="AC1187" s="6"/>
      <c r="AD1187" s="6"/>
      <c r="AE1187" s="6"/>
      <c r="AF1187" s="6"/>
      <c r="AG1187" s="6"/>
      <c r="AH1187" s="6"/>
      <c r="AI1187" s="6"/>
      <c r="AJ1187" s="6"/>
      <c r="AK1187" s="6"/>
      <c r="AL1187" s="6"/>
      <c r="AM1187" s="6"/>
      <c r="AN1187" s="6"/>
      <c r="AO1187" s="6"/>
      <c r="AP1187" s="6"/>
      <c r="AQ1187" s="6"/>
      <c r="AR1187" s="6"/>
      <c r="AS1187" s="6"/>
      <c r="AT1187" s="6"/>
      <c r="AU1187" s="6"/>
      <c r="AV1187" s="6"/>
      <c r="AW1187" s="6"/>
      <c r="AX1187" s="6"/>
      <c r="AY1187" s="6"/>
      <c r="AZ1187" s="6"/>
      <c r="BA1187" s="6"/>
      <c r="BB1187" s="6"/>
      <c r="BC1187" s="6"/>
      <c r="BD1187" s="6"/>
      <c r="BE1187" s="6"/>
      <c r="BF1187" s="6"/>
      <c r="BG1187" s="6"/>
      <c r="BH1187" s="6"/>
      <c r="BI1187" s="6"/>
      <c r="BJ1187" s="6"/>
      <c r="BK1187" s="6"/>
      <c r="BL1187" s="6"/>
      <c r="BM1187" s="5"/>
      <c r="BN1187" s="7"/>
      <c r="BO1187" s="7"/>
      <c r="BP1187" s="7"/>
    </row>
    <row r="1188" spans="1:68" s="400" customFormat="1" ht="14.25" customHeight="1" x14ac:dyDescent="0.25">
      <c r="A1188" s="5"/>
      <c r="B1188" s="5"/>
      <c r="C1188" s="5"/>
      <c r="D1188" s="5"/>
      <c r="E1188" s="5"/>
      <c r="F1188" s="5"/>
      <c r="G1188" s="5"/>
      <c r="H1188" s="5"/>
      <c r="I1188" s="5"/>
      <c r="J1188" s="5"/>
      <c r="K1188" s="5"/>
      <c r="L1188" s="5"/>
      <c r="M1188" s="5"/>
      <c r="N1188" s="5"/>
      <c r="O1188" s="5"/>
      <c r="P1188" s="5"/>
      <c r="Q1188" s="5"/>
      <c r="R1188" s="5"/>
      <c r="S1188" s="5"/>
      <c r="T1188" s="5"/>
      <c r="U1188" s="5"/>
      <c r="V1188" s="5"/>
      <c r="W1188" s="5"/>
      <c r="X1188" s="5"/>
      <c r="Y1188" s="5"/>
      <c r="Z1188" s="5"/>
      <c r="AA1188" s="5"/>
      <c r="AB1188" s="6"/>
      <c r="AC1188" s="6"/>
      <c r="AD1188" s="6"/>
      <c r="AE1188" s="6"/>
      <c r="AF1188" s="6"/>
      <c r="AG1188" s="6"/>
      <c r="AH1188" s="6"/>
      <c r="AI1188" s="6"/>
      <c r="AJ1188" s="6"/>
      <c r="AK1188" s="6"/>
      <c r="AL1188" s="6"/>
      <c r="AM1188" s="6"/>
      <c r="AN1188" s="6"/>
      <c r="AO1188" s="6"/>
      <c r="AP1188" s="6"/>
      <c r="AQ1188" s="6"/>
      <c r="AR1188" s="6"/>
      <c r="AS1188" s="6"/>
      <c r="AT1188" s="6"/>
      <c r="AU1188" s="6"/>
      <c r="AV1188" s="6"/>
      <c r="AW1188" s="6"/>
      <c r="AX1188" s="6"/>
      <c r="AY1188" s="6"/>
      <c r="AZ1188" s="6"/>
      <c r="BA1188" s="6"/>
      <c r="BB1188" s="6"/>
      <c r="BC1188" s="6"/>
      <c r="BD1188" s="6"/>
      <c r="BE1188" s="6"/>
      <c r="BF1188" s="6"/>
      <c r="BG1188" s="6"/>
      <c r="BH1188" s="6"/>
      <c r="BI1188" s="6"/>
      <c r="BJ1188" s="6"/>
      <c r="BK1188" s="6"/>
      <c r="BL1188" s="6"/>
      <c r="BM1188" s="5"/>
      <c r="BN1188" s="7"/>
      <c r="BO1188" s="7"/>
      <c r="BP1188" s="7"/>
    </row>
    <row r="1189" spans="1:68" s="400" customFormat="1" ht="14.25" customHeight="1" x14ac:dyDescent="0.25">
      <c r="A1189" s="5"/>
      <c r="B1189" s="5"/>
      <c r="C1189" s="5"/>
      <c r="D1189" s="5"/>
      <c r="E1189" s="5"/>
      <c r="F1189" s="5"/>
      <c r="G1189" s="5"/>
      <c r="H1189" s="5"/>
      <c r="I1189" s="5"/>
      <c r="J1189" s="5"/>
      <c r="K1189" s="5"/>
      <c r="L1189" s="5"/>
      <c r="M1189" s="5"/>
      <c r="N1189" s="5"/>
      <c r="O1189" s="5"/>
      <c r="P1189" s="5"/>
      <c r="Q1189" s="5"/>
      <c r="R1189" s="5"/>
      <c r="S1189" s="5"/>
      <c r="T1189" s="5"/>
      <c r="U1189" s="5"/>
      <c r="V1189" s="5"/>
      <c r="W1189" s="5"/>
      <c r="X1189" s="5"/>
      <c r="Y1189" s="5"/>
      <c r="Z1189" s="5"/>
      <c r="AA1189" s="5"/>
      <c r="AB1189" s="6"/>
      <c r="AC1189" s="6"/>
      <c r="AD1189" s="6"/>
      <c r="AE1189" s="6"/>
      <c r="AF1189" s="6"/>
      <c r="AG1189" s="6"/>
      <c r="AH1189" s="6"/>
      <c r="AI1189" s="6"/>
      <c r="AJ1189" s="6"/>
      <c r="AK1189" s="6"/>
      <c r="AL1189" s="6"/>
      <c r="AM1189" s="6"/>
      <c r="AN1189" s="6"/>
      <c r="AO1189" s="6"/>
      <c r="AP1189" s="6"/>
      <c r="AQ1189" s="6"/>
      <c r="AR1189" s="6"/>
      <c r="AS1189" s="6"/>
      <c r="AT1189" s="6"/>
      <c r="AU1189" s="6"/>
      <c r="AV1189" s="6"/>
      <c r="AW1189" s="6"/>
      <c r="AX1189" s="6"/>
      <c r="AY1189" s="6"/>
      <c r="AZ1189" s="6"/>
      <c r="BA1189" s="6"/>
      <c r="BB1189" s="6"/>
      <c r="BC1189" s="6"/>
      <c r="BD1189" s="6"/>
      <c r="BE1189" s="6"/>
      <c r="BF1189" s="6"/>
      <c r="BG1189" s="6"/>
      <c r="BH1189" s="6"/>
      <c r="BI1189" s="6"/>
      <c r="BJ1189" s="6"/>
      <c r="BK1189" s="6"/>
      <c r="BL1189" s="6"/>
      <c r="BM1189" s="5"/>
      <c r="BN1189" s="7"/>
      <c r="BO1189" s="7"/>
      <c r="BP1189" s="7"/>
    </row>
    <row r="1190" spans="1:68" s="400" customFormat="1" ht="14.25" customHeight="1" x14ac:dyDescent="0.25">
      <c r="A1190" s="5"/>
      <c r="B1190" s="5"/>
      <c r="C1190" s="5"/>
      <c r="D1190" s="5"/>
      <c r="E1190" s="5"/>
      <c r="F1190" s="5"/>
      <c r="G1190" s="5"/>
      <c r="H1190" s="5"/>
      <c r="I1190" s="5"/>
      <c r="J1190" s="5"/>
      <c r="K1190" s="5"/>
      <c r="L1190" s="5"/>
      <c r="M1190" s="5"/>
      <c r="N1190" s="5"/>
      <c r="O1190" s="5"/>
      <c r="P1190" s="5"/>
      <c r="Q1190" s="5"/>
      <c r="R1190" s="5"/>
      <c r="S1190" s="5"/>
      <c r="T1190" s="5"/>
      <c r="U1190" s="5"/>
      <c r="V1190" s="5"/>
      <c r="W1190" s="5"/>
      <c r="X1190" s="5"/>
      <c r="Y1190" s="5"/>
      <c r="Z1190" s="5"/>
      <c r="AA1190" s="5"/>
      <c r="AB1190" s="6"/>
      <c r="AC1190" s="6"/>
      <c r="AD1190" s="6"/>
      <c r="AE1190" s="6"/>
      <c r="AF1190" s="6"/>
      <c r="AG1190" s="6"/>
      <c r="AH1190" s="6"/>
      <c r="AI1190" s="6"/>
      <c r="AJ1190" s="6"/>
      <c r="AK1190" s="6"/>
      <c r="AL1190" s="6"/>
      <c r="AM1190" s="6"/>
      <c r="AN1190" s="6"/>
      <c r="AO1190" s="6"/>
      <c r="AP1190" s="6"/>
      <c r="AQ1190" s="6"/>
      <c r="AR1190" s="6"/>
      <c r="AS1190" s="6"/>
      <c r="AT1190" s="6"/>
      <c r="AU1190" s="6"/>
      <c r="AV1190" s="6"/>
      <c r="AW1190" s="6"/>
      <c r="AX1190" s="6"/>
      <c r="AY1190" s="6"/>
      <c r="AZ1190" s="6"/>
      <c r="BA1190" s="6"/>
      <c r="BB1190" s="6"/>
      <c r="BC1190" s="6"/>
      <c r="BD1190" s="6"/>
      <c r="BE1190" s="6"/>
      <c r="BF1190" s="6"/>
      <c r="BG1190" s="6"/>
      <c r="BH1190" s="6"/>
      <c r="BI1190" s="6"/>
      <c r="BJ1190" s="6"/>
      <c r="BK1190" s="6"/>
      <c r="BL1190" s="6"/>
      <c r="BM1190" s="5"/>
      <c r="BN1190" s="7"/>
      <c r="BO1190" s="7"/>
      <c r="BP1190" s="7"/>
    </row>
    <row r="1191" spans="1:68" s="400" customFormat="1" ht="14.25" customHeight="1" x14ac:dyDescent="0.25">
      <c r="A1191" s="5"/>
      <c r="B1191" s="5"/>
      <c r="C1191" s="5"/>
      <c r="D1191" s="5"/>
      <c r="E1191" s="5"/>
      <c r="F1191" s="5"/>
      <c r="G1191" s="5"/>
      <c r="H1191" s="5"/>
      <c r="I1191" s="5"/>
      <c r="J1191" s="5"/>
      <c r="K1191" s="5"/>
      <c r="L1191" s="5"/>
      <c r="M1191" s="5"/>
      <c r="N1191" s="5"/>
      <c r="O1191" s="5"/>
      <c r="P1191" s="5"/>
      <c r="Q1191" s="5"/>
      <c r="R1191" s="5"/>
      <c r="S1191" s="5"/>
      <c r="T1191" s="5"/>
      <c r="U1191" s="5"/>
      <c r="V1191" s="5"/>
      <c r="W1191" s="5"/>
      <c r="X1191" s="5"/>
      <c r="Y1191" s="5"/>
      <c r="Z1191" s="5"/>
      <c r="AA1191" s="5"/>
      <c r="AB1191" s="6"/>
      <c r="AC1191" s="6"/>
      <c r="AD1191" s="6"/>
      <c r="AE1191" s="6"/>
      <c r="AF1191" s="6"/>
      <c r="AG1191" s="6"/>
      <c r="AH1191" s="6"/>
      <c r="AI1191" s="6"/>
      <c r="AJ1191" s="6"/>
      <c r="AK1191" s="6"/>
      <c r="AL1191" s="6"/>
      <c r="AM1191" s="6"/>
      <c r="AN1191" s="6"/>
      <c r="AO1191" s="6"/>
      <c r="AP1191" s="6"/>
      <c r="AQ1191" s="6"/>
      <c r="AR1191" s="6"/>
      <c r="AS1191" s="6"/>
      <c r="AT1191" s="6"/>
      <c r="AU1191" s="6"/>
      <c r="AV1191" s="6"/>
      <c r="AW1191" s="6"/>
      <c r="AX1191" s="6"/>
      <c r="AY1191" s="6"/>
      <c r="AZ1191" s="6"/>
      <c r="BA1191" s="6"/>
      <c r="BB1191" s="6"/>
      <c r="BC1191" s="6"/>
      <c r="BD1191" s="6"/>
      <c r="BE1191" s="6"/>
      <c r="BF1191" s="6"/>
      <c r="BG1191" s="6"/>
      <c r="BH1191" s="6"/>
      <c r="BI1191" s="6"/>
      <c r="BJ1191" s="6"/>
      <c r="BK1191" s="6"/>
      <c r="BL1191" s="6"/>
      <c r="BM1191" s="5"/>
      <c r="BN1191" s="7"/>
      <c r="BO1191" s="7"/>
      <c r="BP1191" s="7"/>
    </row>
    <row r="1192" spans="1:68" s="400" customFormat="1" ht="14.25" customHeight="1" x14ac:dyDescent="0.25">
      <c r="A1192" s="5"/>
      <c r="B1192" s="5"/>
      <c r="C1192" s="5"/>
      <c r="D1192" s="5"/>
      <c r="E1192" s="5"/>
      <c r="F1192" s="5"/>
      <c r="G1192" s="5"/>
      <c r="H1192" s="5"/>
      <c r="I1192" s="5"/>
      <c r="J1192" s="5"/>
      <c r="K1192" s="5"/>
      <c r="L1192" s="5"/>
      <c r="M1192" s="5"/>
      <c r="N1192" s="5"/>
      <c r="O1192" s="5"/>
      <c r="P1192" s="5"/>
      <c r="Q1192" s="5"/>
      <c r="R1192" s="5"/>
      <c r="S1192" s="5"/>
      <c r="T1192" s="5"/>
      <c r="U1192" s="5"/>
      <c r="V1192" s="5"/>
      <c r="W1192" s="5"/>
      <c r="X1192" s="5"/>
      <c r="Y1192" s="5"/>
      <c r="Z1192" s="5"/>
      <c r="AA1192" s="5"/>
      <c r="AB1192" s="6"/>
      <c r="AC1192" s="6"/>
      <c r="AD1192" s="6"/>
      <c r="AE1192" s="6"/>
      <c r="AF1192" s="6"/>
      <c r="AG1192" s="6"/>
      <c r="AH1192" s="6"/>
      <c r="AI1192" s="6"/>
      <c r="AJ1192" s="6"/>
      <c r="AK1192" s="6"/>
      <c r="AL1192" s="6"/>
      <c r="AM1192" s="6"/>
      <c r="AN1192" s="6"/>
      <c r="AO1192" s="6"/>
      <c r="AP1192" s="6"/>
      <c r="AQ1192" s="6"/>
      <c r="AR1192" s="6"/>
      <c r="AS1192" s="6"/>
      <c r="AT1192" s="6"/>
      <c r="AU1192" s="6"/>
      <c r="AV1192" s="6"/>
      <c r="AW1192" s="6"/>
      <c r="AX1192" s="6"/>
      <c r="AY1192" s="6"/>
      <c r="AZ1192" s="6"/>
      <c r="BA1192" s="6"/>
      <c r="BB1192" s="6"/>
      <c r="BC1192" s="6"/>
      <c r="BD1192" s="6"/>
      <c r="BE1192" s="6"/>
      <c r="BF1192" s="6"/>
      <c r="BG1192" s="6"/>
      <c r="BH1192" s="6"/>
      <c r="BI1192" s="6"/>
      <c r="BJ1192" s="6"/>
      <c r="BK1192" s="6"/>
      <c r="BL1192" s="6"/>
      <c r="BM1192" s="5"/>
      <c r="BN1192" s="7"/>
      <c r="BO1192" s="7"/>
      <c r="BP1192" s="7"/>
    </row>
    <row r="1193" spans="1:68" s="400" customFormat="1" ht="14.25" customHeight="1" x14ac:dyDescent="0.25">
      <c r="A1193" s="5"/>
      <c r="B1193" s="5"/>
      <c r="C1193" s="5"/>
      <c r="D1193" s="5"/>
      <c r="E1193" s="5"/>
      <c r="F1193" s="5"/>
      <c r="G1193" s="5"/>
      <c r="H1193" s="5"/>
      <c r="I1193" s="5"/>
      <c r="J1193" s="5"/>
      <c r="K1193" s="5"/>
      <c r="L1193" s="5"/>
      <c r="M1193" s="5"/>
      <c r="N1193" s="5"/>
      <c r="O1193" s="5"/>
      <c r="P1193" s="5"/>
      <c r="Q1193" s="5"/>
      <c r="R1193" s="5"/>
      <c r="S1193" s="5"/>
      <c r="T1193" s="5"/>
      <c r="U1193" s="5"/>
      <c r="V1193" s="5"/>
      <c r="W1193" s="5"/>
      <c r="X1193" s="5"/>
      <c r="Y1193" s="5"/>
      <c r="Z1193" s="5"/>
      <c r="AA1193" s="5"/>
      <c r="AB1193" s="6"/>
      <c r="AC1193" s="6"/>
      <c r="AD1193" s="6"/>
      <c r="AE1193" s="6"/>
      <c r="AF1193" s="6"/>
      <c r="AG1193" s="6"/>
      <c r="AH1193" s="6"/>
      <c r="AI1193" s="6"/>
      <c r="AJ1193" s="6"/>
      <c r="AK1193" s="6"/>
      <c r="AL1193" s="6"/>
      <c r="AM1193" s="6"/>
      <c r="AN1193" s="6"/>
      <c r="AO1193" s="6"/>
      <c r="AP1193" s="6"/>
      <c r="AQ1193" s="6"/>
      <c r="AR1193" s="6"/>
      <c r="AS1193" s="6"/>
      <c r="AT1193" s="6"/>
      <c r="AU1193" s="6"/>
      <c r="AV1193" s="6"/>
      <c r="AW1193" s="6"/>
      <c r="AX1193" s="6"/>
      <c r="AY1193" s="6"/>
      <c r="AZ1193" s="6"/>
      <c r="BA1193" s="6"/>
      <c r="BB1193" s="6"/>
      <c r="BC1193" s="6"/>
      <c r="BD1193" s="6"/>
      <c r="BE1193" s="6"/>
      <c r="BF1193" s="6"/>
      <c r="BG1193" s="6"/>
      <c r="BH1193" s="6"/>
      <c r="BI1193" s="6"/>
      <c r="BJ1193" s="6"/>
      <c r="BK1193" s="6"/>
      <c r="BL1193" s="6"/>
      <c r="BM1193" s="5"/>
      <c r="BN1193" s="7"/>
      <c r="BO1193" s="7"/>
      <c r="BP1193" s="7"/>
    </row>
    <row r="1194" spans="1:68" s="400" customFormat="1" ht="14.25" customHeight="1" x14ac:dyDescent="0.25">
      <c r="A1194" s="5"/>
      <c r="B1194" s="5"/>
      <c r="C1194" s="5"/>
      <c r="D1194" s="5"/>
      <c r="E1194" s="5"/>
      <c r="F1194" s="5"/>
      <c r="G1194" s="5"/>
      <c r="H1194" s="5"/>
      <c r="I1194" s="5"/>
      <c r="J1194" s="5"/>
      <c r="K1194" s="5"/>
      <c r="L1194" s="5"/>
      <c r="M1194" s="5"/>
      <c r="N1194" s="5"/>
      <c r="O1194" s="5"/>
      <c r="P1194" s="5"/>
      <c r="Q1194" s="5"/>
      <c r="R1194" s="5"/>
      <c r="S1194" s="5"/>
      <c r="T1194" s="5"/>
      <c r="U1194" s="5"/>
      <c r="V1194" s="5"/>
      <c r="W1194" s="5"/>
      <c r="X1194" s="5"/>
      <c r="Y1194" s="5"/>
      <c r="Z1194" s="5"/>
      <c r="AA1194" s="5"/>
      <c r="AB1194" s="6"/>
      <c r="AC1194" s="6"/>
      <c r="AD1194" s="6"/>
      <c r="AE1194" s="6"/>
      <c r="AF1194" s="6"/>
      <c r="AG1194" s="6"/>
      <c r="AH1194" s="6"/>
      <c r="AI1194" s="6"/>
      <c r="AJ1194" s="6"/>
      <c r="AK1194" s="6"/>
      <c r="AL1194" s="6"/>
      <c r="AM1194" s="6"/>
      <c r="AN1194" s="6"/>
      <c r="AO1194" s="6"/>
      <c r="AP1194" s="6"/>
      <c r="AQ1194" s="6"/>
      <c r="AR1194" s="6"/>
      <c r="AS1194" s="6"/>
      <c r="AT1194" s="6"/>
      <c r="AU1194" s="6"/>
      <c r="AV1194" s="6"/>
      <c r="AW1194" s="6"/>
      <c r="AX1194" s="6"/>
      <c r="AY1194" s="6"/>
      <c r="AZ1194" s="6"/>
      <c r="BA1194" s="6"/>
      <c r="BB1194" s="6"/>
      <c r="BC1194" s="6"/>
      <c r="BD1194" s="6"/>
      <c r="BE1194" s="6"/>
      <c r="BF1194" s="6"/>
      <c r="BG1194" s="6"/>
      <c r="BH1194" s="6"/>
      <c r="BI1194" s="6"/>
      <c r="BJ1194" s="6"/>
      <c r="BK1194" s="6"/>
      <c r="BL1194" s="6"/>
      <c r="BM1194" s="5"/>
      <c r="BN1194" s="7"/>
      <c r="BO1194" s="7"/>
      <c r="BP1194" s="7"/>
    </row>
    <row r="1195" spans="1:68" s="400" customFormat="1" ht="14.25" customHeight="1" x14ac:dyDescent="0.25">
      <c r="A1195" s="5"/>
      <c r="B1195" s="5"/>
      <c r="C1195" s="5"/>
      <c r="D1195" s="5"/>
      <c r="E1195" s="5"/>
      <c r="F1195" s="5"/>
      <c r="G1195" s="5"/>
      <c r="H1195" s="5"/>
      <c r="I1195" s="5"/>
      <c r="J1195" s="5"/>
      <c r="K1195" s="5"/>
      <c r="L1195" s="5"/>
      <c r="M1195" s="5"/>
      <c r="N1195" s="5"/>
      <c r="O1195" s="5"/>
      <c r="P1195" s="5"/>
      <c r="Q1195" s="5"/>
      <c r="R1195" s="5"/>
      <c r="S1195" s="5"/>
      <c r="T1195" s="5"/>
      <c r="U1195" s="5"/>
      <c r="V1195" s="5"/>
      <c r="W1195" s="5"/>
      <c r="X1195" s="5"/>
      <c r="Y1195" s="5"/>
      <c r="Z1195" s="5"/>
      <c r="AA1195" s="5"/>
      <c r="AB1195" s="6"/>
      <c r="AC1195" s="6"/>
      <c r="AD1195" s="6"/>
      <c r="AE1195" s="6"/>
      <c r="AF1195" s="6"/>
      <c r="AG1195" s="6"/>
      <c r="AH1195" s="6"/>
      <c r="AI1195" s="6"/>
      <c r="AJ1195" s="6"/>
      <c r="AK1195" s="6"/>
      <c r="AL1195" s="6"/>
      <c r="AM1195" s="6"/>
      <c r="AN1195" s="6"/>
      <c r="AO1195" s="6"/>
      <c r="AP1195" s="6"/>
      <c r="AQ1195" s="6"/>
      <c r="AR1195" s="6"/>
      <c r="AS1195" s="6"/>
      <c r="AT1195" s="6"/>
      <c r="AU1195" s="6"/>
      <c r="AV1195" s="6"/>
      <c r="AW1195" s="6"/>
      <c r="AX1195" s="6"/>
      <c r="AY1195" s="6"/>
      <c r="AZ1195" s="6"/>
      <c r="BA1195" s="6"/>
      <c r="BB1195" s="6"/>
      <c r="BC1195" s="6"/>
      <c r="BD1195" s="6"/>
      <c r="BE1195" s="6"/>
      <c r="BF1195" s="6"/>
      <c r="BG1195" s="6"/>
      <c r="BH1195" s="6"/>
      <c r="BI1195" s="6"/>
      <c r="BJ1195" s="6"/>
      <c r="BK1195" s="6"/>
      <c r="BL1195" s="6"/>
      <c r="BM1195" s="5"/>
      <c r="BN1195" s="7"/>
      <c r="BO1195" s="7"/>
      <c r="BP1195" s="7"/>
    </row>
    <row r="1196" spans="1:68" s="400" customFormat="1" ht="14.25" customHeight="1" x14ac:dyDescent="0.25">
      <c r="A1196" s="5"/>
      <c r="B1196" s="5"/>
      <c r="C1196" s="5"/>
      <c r="D1196" s="5"/>
      <c r="E1196" s="5"/>
      <c r="F1196" s="5"/>
      <c r="G1196" s="5"/>
      <c r="H1196" s="5"/>
      <c r="I1196" s="5"/>
      <c r="J1196" s="5"/>
      <c r="K1196" s="5"/>
      <c r="L1196" s="5"/>
      <c r="M1196" s="5"/>
      <c r="N1196" s="5"/>
      <c r="O1196" s="5"/>
      <c r="P1196" s="5"/>
      <c r="Q1196" s="5"/>
      <c r="R1196" s="5"/>
      <c r="S1196" s="5"/>
      <c r="T1196" s="5"/>
      <c r="U1196" s="5"/>
      <c r="V1196" s="5"/>
      <c r="W1196" s="5"/>
      <c r="X1196" s="5"/>
      <c r="Y1196" s="5"/>
      <c r="Z1196" s="5"/>
      <c r="AA1196" s="5"/>
      <c r="AB1196" s="6"/>
      <c r="AC1196" s="6"/>
      <c r="AD1196" s="6"/>
      <c r="AE1196" s="6"/>
      <c r="AF1196" s="6"/>
      <c r="AG1196" s="6"/>
      <c r="AH1196" s="6"/>
      <c r="AI1196" s="6"/>
      <c r="AJ1196" s="6"/>
      <c r="AK1196" s="6"/>
      <c r="AL1196" s="6"/>
      <c r="AM1196" s="6"/>
      <c r="AN1196" s="6"/>
      <c r="AO1196" s="6"/>
      <c r="AP1196" s="6"/>
      <c r="AQ1196" s="6"/>
      <c r="AR1196" s="6"/>
      <c r="AS1196" s="6"/>
      <c r="AT1196" s="6"/>
      <c r="AU1196" s="6"/>
      <c r="AV1196" s="6"/>
      <c r="AW1196" s="6"/>
      <c r="AX1196" s="6"/>
      <c r="AY1196" s="6"/>
      <c r="AZ1196" s="6"/>
      <c r="BA1196" s="6"/>
      <c r="BB1196" s="6"/>
      <c r="BC1196" s="6"/>
      <c r="BD1196" s="6"/>
      <c r="BE1196" s="6"/>
      <c r="BF1196" s="6"/>
      <c r="BG1196" s="6"/>
      <c r="BH1196" s="6"/>
      <c r="BI1196" s="6"/>
      <c r="BJ1196" s="6"/>
      <c r="BK1196" s="6"/>
      <c r="BL1196" s="6"/>
      <c r="BM1196" s="5"/>
      <c r="BN1196" s="7"/>
      <c r="BO1196" s="7"/>
      <c r="BP1196" s="7"/>
    </row>
    <row r="1197" spans="1:68" s="400" customFormat="1" ht="14.25" customHeight="1" x14ac:dyDescent="0.25">
      <c r="A1197" s="5"/>
      <c r="B1197" s="5"/>
      <c r="C1197" s="5"/>
      <c r="D1197" s="5"/>
      <c r="E1197" s="5"/>
      <c r="F1197" s="5"/>
      <c r="G1197" s="5"/>
      <c r="H1197" s="5"/>
      <c r="I1197" s="5"/>
      <c r="J1197" s="5"/>
      <c r="K1197" s="5"/>
      <c r="L1197" s="5"/>
      <c r="M1197" s="5"/>
      <c r="N1197" s="5"/>
      <c r="O1197" s="5"/>
      <c r="P1197" s="5"/>
      <c r="Q1197" s="5"/>
      <c r="R1197" s="5"/>
      <c r="S1197" s="5"/>
      <c r="T1197" s="5"/>
      <c r="U1197" s="5"/>
      <c r="V1197" s="5"/>
      <c r="W1197" s="5"/>
      <c r="X1197" s="5"/>
      <c r="Y1197" s="5"/>
      <c r="Z1197" s="5"/>
      <c r="AA1197" s="5"/>
      <c r="AB1197" s="6"/>
      <c r="AC1197" s="6"/>
      <c r="AD1197" s="6"/>
      <c r="AE1197" s="6"/>
      <c r="AF1197" s="6"/>
      <c r="AG1197" s="6"/>
      <c r="AH1197" s="6"/>
      <c r="AI1197" s="6"/>
      <c r="AJ1197" s="6"/>
      <c r="AK1197" s="6"/>
      <c r="AL1197" s="6"/>
      <c r="AM1197" s="6"/>
      <c r="AN1197" s="6"/>
      <c r="AO1197" s="6"/>
      <c r="AP1197" s="6"/>
      <c r="AQ1197" s="6"/>
      <c r="AR1197" s="6"/>
      <c r="AS1197" s="6"/>
      <c r="AT1197" s="6"/>
      <c r="AU1197" s="6"/>
      <c r="AV1197" s="6"/>
      <c r="AW1197" s="6"/>
      <c r="AX1197" s="6"/>
      <c r="AY1197" s="6"/>
      <c r="AZ1197" s="6"/>
      <c r="BA1197" s="6"/>
      <c r="BB1197" s="6"/>
      <c r="BC1197" s="6"/>
      <c r="BD1197" s="6"/>
      <c r="BE1197" s="6"/>
      <c r="BF1197" s="6"/>
      <c r="BG1197" s="6"/>
      <c r="BH1197" s="6"/>
      <c r="BI1197" s="6"/>
      <c r="BJ1197" s="6"/>
      <c r="BK1197" s="6"/>
      <c r="BL1197" s="6"/>
      <c r="BM1197" s="5"/>
      <c r="BN1197" s="7"/>
      <c r="BO1197" s="7"/>
      <c r="BP1197" s="7"/>
    </row>
    <row r="1198" spans="1:68" s="400" customFormat="1" ht="14.25" customHeight="1" x14ac:dyDescent="0.25">
      <c r="A1198" s="5"/>
      <c r="B1198" s="5"/>
      <c r="C1198" s="5"/>
      <c r="D1198" s="5"/>
      <c r="E1198" s="5"/>
      <c r="F1198" s="5"/>
      <c r="G1198" s="5"/>
      <c r="H1198" s="5"/>
      <c r="I1198" s="5"/>
      <c r="J1198" s="5"/>
      <c r="K1198" s="5"/>
      <c r="L1198" s="5"/>
      <c r="M1198" s="5"/>
      <c r="N1198" s="5"/>
      <c r="O1198" s="5"/>
      <c r="P1198" s="5"/>
      <c r="Q1198" s="5"/>
      <c r="R1198" s="5"/>
      <c r="S1198" s="5"/>
      <c r="T1198" s="5"/>
      <c r="U1198" s="5"/>
      <c r="V1198" s="5"/>
      <c r="W1198" s="5"/>
      <c r="X1198" s="5"/>
      <c r="Y1198" s="5"/>
      <c r="Z1198" s="5"/>
      <c r="AA1198" s="5"/>
      <c r="AB1198" s="6"/>
      <c r="AC1198" s="6"/>
      <c r="AD1198" s="6"/>
      <c r="AE1198" s="6"/>
      <c r="AF1198" s="6"/>
      <c r="AG1198" s="6"/>
      <c r="AH1198" s="6"/>
      <c r="AI1198" s="6"/>
      <c r="AJ1198" s="6"/>
      <c r="AK1198" s="6"/>
      <c r="AL1198" s="6"/>
      <c r="AM1198" s="6"/>
      <c r="AN1198" s="6"/>
      <c r="AO1198" s="6"/>
      <c r="AP1198" s="6"/>
      <c r="AQ1198" s="6"/>
      <c r="AR1198" s="6"/>
      <c r="AS1198" s="6"/>
      <c r="AT1198" s="6"/>
      <c r="AU1198" s="6"/>
      <c r="AV1198" s="6"/>
      <c r="AW1198" s="6"/>
      <c r="AX1198" s="6"/>
      <c r="AY1198" s="6"/>
      <c r="AZ1198" s="6"/>
      <c r="BA1198" s="6"/>
      <c r="BB1198" s="6"/>
      <c r="BC1198" s="6"/>
      <c r="BD1198" s="6"/>
      <c r="BE1198" s="6"/>
      <c r="BF1198" s="6"/>
      <c r="BG1198" s="6"/>
      <c r="BH1198" s="6"/>
      <c r="BI1198" s="6"/>
      <c r="BJ1198" s="6"/>
      <c r="BK1198" s="6"/>
      <c r="BL1198" s="6"/>
      <c r="BM1198" s="5"/>
      <c r="BN1198" s="7"/>
      <c r="BO1198" s="7"/>
      <c r="BP1198" s="7"/>
    </row>
    <row r="1199" spans="1:68" s="400" customFormat="1" ht="14.25" customHeight="1" x14ac:dyDescent="0.25">
      <c r="A1199" s="5"/>
      <c r="B1199" s="5"/>
      <c r="C1199" s="5"/>
      <c r="D1199" s="5"/>
      <c r="E1199" s="5"/>
      <c r="F1199" s="5"/>
      <c r="G1199" s="5"/>
      <c r="H1199" s="5"/>
      <c r="I1199" s="5"/>
      <c r="J1199" s="5"/>
      <c r="K1199" s="5"/>
      <c r="L1199" s="5"/>
      <c r="M1199" s="5"/>
      <c r="N1199" s="5"/>
      <c r="O1199" s="5"/>
      <c r="P1199" s="5"/>
      <c r="Q1199" s="5"/>
      <c r="R1199" s="5"/>
      <c r="S1199" s="5"/>
      <c r="T1199" s="5"/>
      <c r="U1199" s="5"/>
      <c r="V1199" s="5"/>
      <c r="W1199" s="5"/>
      <c r="X1199" s="5"/>
      <c r="Y1199" s="5"/>
      <c r="Z1199" s="5"/>
      <c r="AA1199" s="5"/>
      <c r="AB1199" s="6"/>
      <c r="AC1199" s="6"/>
      <c r="AD1199" s="6"/>
      <c r="AE1199" s="6"/>
      <c r="AF1199" s="6"/>
      <c r="AG1199" s="6"/>
      <c r="AH1199" s="6"/>
      <c r="AI1199" s="6"/>
      <c r="AJ1199" s="6"/>
      <c r="AK1199" s="6"/>
      <c r="AL1199" s="6"/>
      <c r="AM1199" s="6"/>
      <c r="AN1199" s="6"/>
      <c r="AO1199" s="6"/>
      <c r="AP1199" s="6"/>
      <c r="AQ1199" s="6"/>
      <c r="AR1199" s="6"/>
      <c r="AS1199" s="6"/>
      <c r="AT1199" s="6"/>
      <c r="AU1199" s="6"/>
      <c r="AV1199" s="6"/>
      <c r="AW1199" s="6"/>
      <c r="AX1199" s="6"/>
      <c r="AY1199" s="6"/>
      <c r="AZ1199" s="6"/>
      <c r="BA1199" s="6"/>
      <c r="BB1199" s="6"/>
      <c r="BC1199" s="6"/>
      <c r="BD1199" s="6"/>
      <c r="BE1199" s="6"/>
      <c r="BF1199" s="6"/>
      <c r="BG1199" s="6"/>
      <c r="BH1199" s="6"/>
      <c r="BI1199" s="6"/>
      <c r="BJ1199" s="6"/>
      <c r="BK1199" s="6"/>
      <c r="BL1199" s="6"/>
      <c r="BM1199" s="5"/>
      <c r="BN1199" s="7"/>
      <c r="BO1199" s="7"/>
      <c r="BP1199" s="7"/>
    </row>
    <row r="1200" spans="1:68" s="400" customFormat="1" ht="14.25" customHeight="1" x14ac:dyDescent="0.25">
      <c r="A1200" s="5"/>
      <c r="B1200" s="5"/>
      <c r="C1200" s="5"/>
      <c r="D1200" s="5"/>
      <c r="E1200" s="5"/>
      <c r="F1200" s="5"/>
      <c r="G1200" s="5"/>
      <c r="H1200" s="5"/>
      <c r="I1200" s="5"/>
      <c r="J1200" s="5"/>
      <c r="K1200" s="5"/>
      <c r="L1200" s="5"/>
      <c r="M1200" s="5"/>
      <c r="N1200" s="5"/>
      <c r="O1200" s="5"/>
      <c r="P1200" s="5"/>
      <c r="Q1200" s="5"/>
      <c r="R1200" s="5"/>
      <c r="S1200" s="5"/>
      <c r="T1200" s="5"/>
      <c r="U1200" s="5"/>
      <c r="V1200" s="5"/>
      <c r="W1200" s="5"/>
      <c r="X1200" s="5"/>
      <c r="Y1200" s="5"/>
      <c r="Z1200" s="5"/>
      <c r="AA1200" s="5"/>
      <c r="AB1200" s="6"/>
      <c r="AC1200" s="6"/>
      <c r="AD1200" s="6"/>
      <c r="AE1200" s="6"/>
      <c r="AF1200" s="6"/>
      <c r="AG1200" s="6"/>
      <c r="AH1200" s="6"/>
      <c r="AI1200" s="6"/>
      <c r="AJ1200" s="6"/>
      <c r="AK1200" s="6"/>
      <c r="AL1200" s="6"/>
      <c r="AM1200" s="6"/>
      <c r="AN1200" s="6"/>
      <c r="AO1200" s="6"/>
      <c r="AP1200" s="6"/>
      <c r="AQ1200" s="6"/>
      <c r="AR1200" s="6"/>
      <c r="AS1200" s="6"/>
      <c r="AT1200" s="6"/>
      <c r="AU1200" s="6"/>
      <c r="AV1200" s="6"/>
      <c r="AW1200" s="6"/>
      <c r="AX1200" s="6"/>
      <c r="AY1200" s="6"/>
      <c r="AZ1200" s="6"/>
      <c r="BA1200" s="6"/>
      <c r="BB1200" s="6"/>
      <c r="BC1200" s="6"/>
      <c r="BD1200" s="6"/>
      <c r="BE1200" s="6"/>
      <c r="BF1200" s="6"/>
      <c r="BG1200" s="6"/>
      <c r="BH1200" s="6"/>
      <c r="BI1200" s="6"/>
      <c r="BJ1200" s="6"/>
      <c r="BK1200" s="6"/>
      <c r="BL1200" s="6"/>
      <c r="BM1200" s="5"/>
      <c r="BN1200" s="7"/>
      <c r="BO1200" s="7"/>
      <c r="BP1200" s="7"/>
    </row>
    <row r="1201" spans="1:68" s="400" customFormat="1" ht="14.25" customHeight="1" x14ac:dyDescent="0.25">
      <c r="A1201" s="5"/>
      <c r="B1201" s="5"/>
      <c r="C1201" s="5"/>
      <c r="D1201" s="5"/>
      <c r="E1201" s="5"/>
      <c r="F1201" s="5"/>
      <c r="G1201" s="5"/>
      <c r="H1201" s="5"/>
      <c r="I1201" s="5"/>
      <c r="J1201" s="5"/>
      <c r="K1201" s="5"/>
      <c r="L1201" s="5"/>
      <c r="M1201" s="5"/>
      <c r="N1201" s="5"/>
      <c r="O1201" s="5"/>
      <c r="P1201" s="5"/>
      <c r="Q1201" s="5"/>
      <c r="R1201" s="5"/>
      <c r="S1201" s="5"/>
      <c r="T1201" s="5"/>
      <c r="U1201" s="5"/>
      <c r="V1201" s="5"/>
      <c r="W1201" s="5"/>
      <c r="X1201" s="5"/>
      <c r="Y1201" s="5"/>
      <c r="Z1201" s="5"/>
      <c r="AA1201" s="5"/>
      <c r="AB1201" s="6"/>
      <c r="AC1201" s="6"/>
      <c r="AD1201" s="6"/>
      <c r="AE1201" s="6"/>
      <c r="AF1201" s="6"/>
      <c r="AG1201" s="6"/>
      <c r="AH1201" s="6"/>
      <c r="AI1201" s="6"/>
      <c r="AJ1201" s="6"/>
      <c r="AK1201" s="6"/>
      <c r="AL1201" s="6"/>
      <c r="AM1201" s="6"/>
      <c r="AN1201" s="6"/>
      <c r="AO1201" s="6"/>
      <c r="AP1201" s="6"/>
      <c r="AQ1201" s="6"/>
      <c r="AR1201" s="6"/>
      <c r="AS1201" s="6"/>
      <c r="AT1201" s="6"/>
      <c r="AU1201" s="6"/>
      <c r="AV1201" s="6"/>
      <c r="AW1201" s="6"/>
      <c r="AX1201" s="6"/>
      <c r="AY1201" s="6"/>
      <c r="AZ1201" s="6"/>
      <c r="BA1201" s="6"/>
      <c r="BB1201" s="6"/>
      <c r="BC1201" s="6"/>
      <c r="BD1201" s="6"/>
      <c r="BE1201" s="6"/>
      <c r="BF1201" s="6"/>
      <c r="BG1201" s="6"/>
      <c r="BH1201" s="6"/>
      <c r="BI1201" s="6"/>
      <c r="BJ1201" s="6"/>
      <c r="BK1201" s="6"/>
      <c r="BL1201" s="6"/>
      <c r="BM1201" s="5"/>
      <c r="BN1201" s="7"/>
      <c r="BO1201" s="7"/>
      <c r="BP1201" s="7"/>
    </row>
    <row r="1202" spans="1:68" s="400" customFormat="1" ht="14.25" customHeight="1" x14ac:dyDescent="0.25">
      <c r="A1202" s="5"/>
      <c r="B1202" s="5"/>
      <c r="C1202" s="5"/>
      <c r="D1202" s="5"/>
      <c r="E1202" s="5"/>
      <c r="F1202" s="5"/>
      <c r="G1202" s="5"/>
      <c r="H1202" s="5"/>
      <c r="I1202" s="5"/>
      <c r="J1202" s="5"/>
      <c r="K1202" s="5"/>
      <c r="L1202" s="5"/>
      <c r="M1202" s="5"/>
      <c r="N1202" s="5"/>
      <c r="O1202" s="5"/>
      <c r="P1202" s="5"/>
      <c r="Q1202" s="5"/>
      <c r="R1202" s="5"/>
      <c r="S1202" s="5"/>
      <c r="T1202" s="5"/>
      <c r="U1202" s="5"/>
      <c r="V1202" s="5"/>
      <c r="W1202" s="5"/>
      <c r="X1202" s="5"/>
      <c r="Y1202" s="5"/>
      <c r="Z1202" s="5"/>
      <c r="AA1202" s="5"/>
      <c r="AB1202" s="6"/>
      <c r="AC1202" s="6"/>
      <c r="AD1202" s="6"/>
      <c r="AE1202" s="6"/>
      <c r="AF1202" s="6"/>
      <c r="AG1202" s="6"/>
      <c r="AH1202" s="6"/>
      <c r="AI1202" s="6"/>
      <c r="AJ1202" s="6"/>
      <c r="AK1202" s="6"/>
      <c r="AL1202" s="6"/>
      <c r="AM1202" s="6"/>
      <c r="AN1202" s="6"/>
      <c r="AO1202" s="6"/>
      <c r="AP1202" s="6"/>
      <c r="AQ1202" s="6"/>
      <c r="AR1202" s="6"/>
      <c r="AS1202" s="6"/>
      <c r="AT1202" s="6"/>
      <c r="AU1202" s="6"/>
      <c r="AV1202" s="6"/>
      <c r="AW1202" s="6"/>
      <c r="AX1202" s="6"/>
      <c r="AY1202" s="6"/>
      <c r="AZ1202" s="6"/>
      <c r="BA1202" s="6"/>
      <c r="BB1202" s="6"/>
      <c r="BC1202" s="6"/>
      <c r="BD1202" s="6"/>
      <c r="BE1202" s="6"/>
      <c r="BF1202" s="6"/>
      <c r="BG1202" s="6"/>
      <c r="BH1202" s="6"/>
      <c r="BI1202" s="6"/>
      <c r="BJ1202" s="6"/>
      <c r="BK1202" s="6"/>
      <c r="BL1202" s="6"/>
      <c r="BM1202" s="5"/>
      <c r="BN1202" s="7"/>
      <c r="BO1202" s="7"/>
      <c r="BP1202" s="7"/>
    </row>
    <row r="1203" spans="1:68" s="400" customFormat="1" ht="14.25" customHeight="1" x14ac:dyDescent="0.25">
      <c r="A1203" s="5"/>
      <c r="B1203" s="5"/>
      <c r="C1203" s="5"/>
      <c r="D1203" s="5"/>
      <c r="E1203" s="5"/>
      <c r="F1203" s="5"/>
      <c r="G1203" s="5"/>
      <c r="H1203" s="5"/>
      <c r="I1203" s="5"/>
      <c r="J1203" s="5"/>
      <c r="K1203" s="5"/>
      <c r="L1203" s="5"/>
      <c r="M1203" s="5"/>
      <c r="N1203" s="5"/>
      <c r="O1203" s="5"/>
      <c r="P1203" s="5"/>
      <c r="Q1203" s="5"/>
      <c r="R1203" s="5"/>
      <c r="S1203" s="5"/>
      <c r="T1203" s="5"/>
      <c r="U1203" s="5"/>
      <c r="V1203" s="5"/>
      <c r="W1203" s="5"/>
      <c r="X1203" s="5"/>
      <c r="Y1203" s="5"/>
      <c r="Z1203" s="5"/>
      <c r="AA1203" s="5"/>
      <c r="AB1203" s="6"/>
      <c r="AC1203" s="6"/>
      <c r="AD1203" s="6"/>
      <c r="AE1203" s="6"/>
      <c r="AF1203" s="6"/>
      <c r="AG1203" s="6"/>
      <c r="AH1203" s="6"/>
      <c r="AI1203" s="6"/>
      <c r="AJ1203" s="6"/>
      <c r="AK1203" s="6"/>
      <c r="AL1203" s="6"/>
      <c r="AM1203" s="6"/>
      <c r="AN1203" s="6"/>
      <c r="AO1203" s="6"/>
      <c r="AP1203" s="6"/>
      <c r="AQ1203" s="6"/>
      <c r="AR1203" s="6"/>
      <c r="AS1203" s="6"/>
      <c r="AT1203" s="6"/>
      <c r="AU1203" s="6"/>
      <c r="AV1203" s="6"/>
      <c r="AW1203" s="6"/>
      <c r="AX1203" s="6"/>
      <c r="AY1203" s="6"/>
      <c r="AZ1203" s="6"/>
      <c r="BA1203" s="6"/>
      <c r="BB1203" s="6"/>
      <c r="BC1203" s="6"/>
      <c r="BD1203" s="6"/>
      <c r="BE1203" s="6"/>
      <c r="BF1203" s="6"/>
      <c r="BG1203" s="6"/>
      <c r="BH1203" s="6"/>
      <c r="BI1203" s="6"/>
      <c r="BJ1203" s="6"/>
      <c r="BK1203" s="6"/>
      <c r="BL1203" s="6"/>
      <c r="BM1203" s="5"/>
      <c r="BN1203" s="7"/>
      <c r="BO1203" s="7"/>
      <c r="BP1203" s="7"/>
    </row>
    <row r="1204" spans="1:68" s="400" customFormat="1" ht="14.25" customHeight="1" x14ac:dyDescent="0.25">
      <c r="A1204" s="5"/>
      <c r="B1204" s="5"/>
      <c r="C1204" s="5"/>
      <c r="D1204" s="5"/>
      <c r="E1204" s="5"/>
      <c r="F1204" s="5"/>
      <c r="G1204" s="5"/>
      <c r="H1204" s="5"/>
      <c r="I1204" s="5"/>
      <c r="J1204" s="5"/>
      <c r="K1204" s="5"/>
      <c r="L1204" s="5"/>
      <c r="M1204" s="5"/>
      <c r="N1204" s="5"/>
      <c r="O1204" s="5"/>
      <c r="P1204" s="5"/>
      <c r="Q1204" s="5"/>
      <c r="R1204" s="5"/>
      <c r="S1204" s="5"/>
      <c r="T1204" s="5"/>
      <c r="U1204" s="5"/>
      <c r="V1204" s="5"/>
      <c r="W1204" s="5"/>
      <c r="X1204" s="5"/>
      <c r="Y1204" s="5"/>
      <c r="Z1204" s="5"/>
      <c r="AA1204" s="5"/>
      <c r="AB1204" s="6"/>
      <c r="AC1204" s="6"/>
      <c r="AD1204" s="6"/>
      <c r="AE1204" s="6"/>
      <c r="AF1204" s="6"/>
      <c r="AG1204" s="6"/>
      <c r="AH1204" s="6"/>
      <c r="AI1204" s="6"/>
      <c r="AJ1204" s="6"/>
      <c r="AK1204" s="6"/>
      <c r="AL1204" s="6"/>
      <c r="AM1204" s="6"/>
      <c r="AN1204" s="6"/>
      <c r="AO1204" s="6"/>
      <c r="AP1204" s="6"/>
      <c r="AQ1204" s="6"/>
      <c r="AR1204" s="6"/>
      <c r="AS1204" s="6"/>
      <c r="AT1204" s="6"/>
      <c r="AU1204" s="6"/>
      <c r="AV1204" s="6"/>
      <c r="AW1204" s="6"/>
      <c r="AX1204" s="6"/>
      <c r="AY1204" s="6"/>
      <c r="AZ1204" s="6"/>
      <c r="BA1204" s="6"/>
      <c r="BB1204" s="6"/>
      <c r="BC1204" s="6"/>
      <c r="BD1204" s="6"/>
      <c r="BE1204" s="6"/>
      <c r="BF1204" s="6"/>
      <c r="BG1204" s="6"/>
      <c r="BH1204" s="6"/>
      <c r="BI1204" s="6"/>
      <c r="BJ1204" s="6"/>
      <c r="BK1204" s="6"/>
      <c r="BL1204" s="6"/>
      <c r="BM1204" s="5"/>
      <c r="BN1204" s="7"/>
      <c r="BO1204" s="7"/>
      <c r="BP1204" s="7"/>
    </row>
    <row r="1205" spans="1:68" s="400" customFormat="1" ht="14.25" customHeight="1" x14ac:dyDescent="0.25">
      <c r="A1205" s="5"/>
      <c r="B1205" s="5"/>
      <c r="C1205" s="5"/>
      <c r="D1205" s="5"/>
      <c r="E1205" s="5"/>
      <c r="F1205" s="5"/>
      <c r="G1205" s="5"/>
      <c r="H1205" s="5"/>
      <c r="I1205" s="5"/>
      <c r="J1205" s="5"/>
      <c r="K1205" s="5"/>
      <c r="L1205" s="5"/>
      <c r="M1205" s="5"/>
      <c r="N1205" s="5"/>
      <c r="O1205" s="5"/>
      <c r="P1205" s="5"/>
      <c r="Q1205" s="5"/>
      <c r="R1205" s="5"/>
      <c r="S1205" s="5"/>
      <c r="T1205" s="5"/>
      <c r="U1205" s="5"/>
      <c r="V1205" s="5"/>
      <c r="W1205" s="5"/>
      <c r="X1205" s="5"/>
      <c r="Y1205" s="5"/>
      <c r="Z1205" s="5"/>
      <c r="AA1205" s="5"/>
      <c r="AB1205" s="6"/>
      <c r="AC1205" s="6"/>
      <c r="AD1205" s="6"/>
      <c r="AE1205" s="6"/>
      <c r="AF1205" s="6"/>
      <c r="AG1205" s="6"/>
      <c r="AH1205" s="6"/>
      <c r="AI1205" s="6"/>
      <c r="AJ1205" s="6"/>
      <c r="AK1205" s="6"/>
      <c r="AL1205" s="6"/>
      <c r="AM1205" s="6"/>
      <c r="AN1205" s="6"/>
      <c r="AO1205" s="6"/>
      <c r="AP1205" s="6"/>
      <c r="AQ1205" s="6"/>
      <c r="AR1205" s="6"/>
      <c r="AS1205" s="6"/>
      <c r="AT1205" s="6"/>
      <c r="AU1205" s="6"/>
      <c r="AV1205" s="6"/>
      <c r="AW1205" s="6"/>
      <c r="AX1205" s="6"/>
      <c r="AY1205" s="6"/>
      <c r="AZ1205" s="6"/>
      <c r="BA1205" s="6"/>
      <c r="BB1205" s="6"/>
      <c r="BC1205" s="6"/>
      <c r="BD1205" s="6"/>
      <c r="BE1205" s="6"/>
      <c r="BF1205" s="6"/>
      <c r="BG1205" s="6"/>
      <c r="BH1205" s="6"/>
      <c r="BI1205" s="6"/>
      <c r="BJ1205" s="6"/>
      <c r="BK1205" s="6"/>
      <c r="BL1205" s="6"/>
      <c r="BM1205" s="5"/>
      <c r="BN1205" s="7"/>
      <c r="BO1205" s="7"/>
      <c r="BP1205" s="7"/>
    </row>
    <row r="1206" spans="1:68" s="400" customFormat="1" ht="14.25" customHeight="1" x14ac:dyDescent="0.25">
      <c r="A1206" s="5"/>
      <c r="B1206" s="5"/>
      <c r="C1206" s="5"/>
      <c r="D1206" s="5"/>
      <c r="E1206" s="5"/>
      <c r="F1206" s="5"/>
      <c r="G1206" s="5"/>
      <c r="H1206" s="5"/>
      <c r="I1206" s="5"/>
      <c r="J1206" s="5"/>
      <c r="K1206" s="5"/>
      <c r="L1206" s="5"/>
      <c r="M1206" s="5"/>
      <c r="N1206" s="5"/>
      <c r="O1206" s="5"/>
      <c r="P1206" s="5"/>
      <c r="Q1206" s="5"/>
      <c r="R1206" s="5"/>
      <c r="S1206" s="5"/>
      <c r="T1206" s="5"/>
      <c r="U1206" s="5"/>
      <c r="V1206" s="5"/>
      <c r="W1206" s="5"/>
      <c r="X1206" s="5"/>
      <c r="Y1206" s="5"/>
      <c r="Z1206" s="5"/>
      <c r="AA1206" s="5"/>
      <c r="AB1206" s="6"/>
      <c r="AC1206" s="6"/>
      <c r="AD1206" s="6"/>
      <c r="AE1206" s="6"/>
      <c r="AF1206" s="6"/>
      <c r="AG1206" s="6"/>
      <c r="AH1206" s="6"/>
      <c r="AI1206" s="6"/>
      <c r="AJ1206" s="6"/>
      <c r="AK1206" s="6"/>
      <c r="AL1206" s="6"/>
      <c r="AM1206" s="6"/>
      <c r="AN1206" s="6"/>
      <c r="AO1206" s="6"/>
      <c r="AP1206" s="6"/>
      <c r="AQ1206" s="6"/>
      <c r="AR1206" s="6"/>
      <c r="AS1206" s="6"/>
      <c r="AT1206" s="6"/>
      <c r="AU1206" s="6"/>
      <c r="AV1206" s="6"/>
      <c r="AW1206" s="6"/>
      <c r="AX1206" s="6"/>
      <c r="AY1206" s="6"/>
      <c r="AZ1206" s="6"/>
      <c r="BA1206" s="6"/>
      <c r="BB1206" s="6"/>
      <c r="BC1206" s="6"/>
      <c r="BD1206" s="6"/>
      <c r="BE1206" s="6"/>
      <c r="BF1206" s="6"/>
      <c r="BG1206" s="6"/>
      <c r="BH1206" s="6"/>
      <c r="BI1206" s="6"/>
      <c r="BJ1206" s="6"/>
      <c r="BK1206" s="6"/>
      <c r="BL1206" s="6"/>
      <c r="BM1206" s="5"/>
      <c r="BN1206" s="7"/>
      <c r="BO1206" s="7"/>
      <c r="BP1206" s="7"/>
    </row>
    <row r="1207" spans="1:68" s="400" customFormat="1" ht="14.25" customHeight="1" x14ac:dyDescent="0.25">
      <c r="A1207" s="5"/>
      <c r="B1207" s="5"/>
      <c r="C1207" s="5"/>
      <c r="D1207" s="5"/>
      <c r="E1207" s="5"/>
      <c r="F1207" s="5"/>
      <c r="G1207" s="5"/>
      <c r="H1207" s="5"/>
      <c r="I1207" s="5"/>
      <c r="J1207" s="5"/>
      <c r="K1207" s="5"/>
      <c r="L1207" s="5"/>
      <c r="M1207" s="5"/>
      <c r="N1207" s="5"/>
      <c r="O1207" s="5"/>
      <c r="P1207" s="5"/>
      <c r="Q1207" s="5"/>
      <c r="R1207" s="5"/>
      <c r="S1207" s="5"/>
      <c r="T1207" s="5"/>
      <c r="U1207" s="5"/>
      <c r="V1207" s="5"/>
      <c r="W1207" s="5"/>
      <c r="X1207" s="5"/>
      <c r="Y1207" s="5"/>
      <c r="Z1207" s="5"/>
      <c r="AA1207" s="5"/>
      <c r="AB1207" s="6"/>
      <c r="AC1207" s="6"/>
      <c r="AD1207" s="6"/>
      <c r="AE1207" s="6"/>
      <c r="AF1207" s="6"/>
      <c r="AG1207" s="6"/>
      <c r="AH1207" s="6"/>
      <c r="AI1207" s="6"/>
      <c r="AJ1207" s="6"/>
      <c r="AK1207" s="6"/>
      <c r="AL1207" s="6"/>
      <c r="AM1207" s="6"/>
      <c r="AN1207" s="6"/>
      <c r="AO1207" s="6"/>
      <c r="AP1207" s="6"/>
      <c r="AQ1207" s="6"/>
      <c r="AR1207" s="6"/>
      <c r="AS1207" s="6"/>
      <c r="AT1207" s="6"/>
      <c r="AU1207" s="6"/>
      <c r="AV1207" s="6"/>
      <c r="AW1207" s="6"/>
      <c r="AX1207" s="6"/>
      <c r="AY1207" s="6"/>
      <c r="AZ1207" s="6"/>
      <c r="BA1207" s="6"/>
      <c r="BB1207" s="6"/>
      <c r="BC1207" s="6"/>
      <c r="BD1207" s="6"/>
      <c r="BE1207" s="6"/>
      <c r="BF1207" s="6"/>
      <c r="BG1207" s="6"/>
      <c r="BH1207" s="6"/>
      <c r="BI1207" s="6"/>
      <c r="BJ1207" s="6"/>
      <c r="BK1207" s="6"/>
      <c r="BL1207" s="6"/>
      <c r="BM1207" s="5"/>
      <c r="BN1207" s="7"/>
      <c r="BO1207" s="7"/>
      <c r="BP1207" s="7"/>
    </row>
    <row r="1208" spans="1:68" s="400" customFormat="1" ht="14.25" customHeight="1" x14ac:dyDescent="0.25">
      <c r="A1208" s="5"/>
      <c r="B1208" s="5"/>
      <c r="C1208" s="5"/>
      <c r="D1208" s="5"/>
      <c r="E1208" s="5"/>
      <c r="F1208" s="5"/>
      <c r="G1208" s="5"/>
      <c r="H1208" s="5"/>
      <c r="I1208" s="5"/>
      <c r="J1208" s="5"/>
      <c r="K1208" s="5"/>
      <c r="L1208" s="5"/>
      <c r="M1208" s="5"/>
      <c r="N1208" s="5"/>
      <c r="O1208" s="5"/>
      <c r="P1208" s="5"/>
      <c r="Q1208" s="5"/>
      <c r="R1208" s="5"/>
      <c r="S1208" s="5"/>
      <c r="T1208" s="5"/>
      <c r="U1208" s="5"/>
      <c r="V1208" s="5"/>
      <c r="W1208" s="5"/>
      <c r="X1208" s="5"/>
      <c r="Y1208" s="5"/>
      <c r="Z1208" s="5"/>
      <c r="AA1208" s="5"/>
      <c r="AB1208" s="6"/>
      <c r="AC1208" s="6"/>
      <c r="AD1208" s="6"/>
      <c r="AE1208" s="6"/>
      <c r="AF1208" s="6"/>
      <c r="AG1208" s="6"/>
      <c r="AH1208" s="6"/>
      <c r="AI1208" s="6"/>
      <c r="AJ1208" s="6"/>
      <c r="AK1208" s="6"/>
      <c r="AL1208" s="6"/>
      <c r="AM1208" s="6"/>
      <c r="AN1208" s="6"/>
      <c r="AO1208" s="6"/>
      <c r="AP1208" s="6"/>
      <c r="AQ1208" s="6"/>
      <c r="AR1208" s="6"/>
      <c r="AS1208" s="6"/>
      <c r="AT1208" s="6"/>
      <c r="AU1208" s="6"/>
      <c r="AV1208" s="6"/>
      <c r="AW1208" s="6"/>
      <c r="AX1208" s="6"/>
      <c r="AY1208" s="6"/>
      <c r="AZ1208" s="6"/>
      <c r="BA1208" s="6"/>
      <c r="BB1208" s="6"/>
      <c r="BC1208" s="6"/>
      <c r="BD1208" s="6"/>
      <c r="BE1208" s="6"/>
      <c r="BF1208" s="6"/>
      <c r="BG1208" s="6"/>
      <c r="BH1208" s="6"/>
      <c r="BI1208" s="6"/>
      <c r="BJ1208" s="6"/>
      <c r="BK1208" s="6"/>
      <c r="BL1208" s="6"/>
      <c r="BM1208" s="5"/>
      <c r="BN1208" s="7"/>
      <c r="BO1208" s="7"/>
      <c r="BP1208" s="7"/>
    </row>
    <row r="1209" spans="1:68" s="400" customFormat="1" ht="14.25" customHeight="1" x14ac:dyDescent="0.25">
      <c r="A1209" s="5"/>
      <c r="B1209" s="5"/>
      <c r="C1209" s="5"/>
      <c r="D1209" s="5"/>
      <c r="E1209" s="5"/>
      <c r="F1209" s="5"/>
      <c r="G1209" s="5"/>
      <c r="H1209" s="5"/>
      <c r="I1209" s="5"/>
      <c r="J1209" s="5"/>
      <c r="K1209" s="5"/>
      <c r="L1209" s="5"/>
      <c r="M1209" s="5"/>
      <c r="N1209" s="5"/>
      <c r="O1209" s="5"/>
      <c r="P1209" s="5"/>
      <c r="Q1209" s="5"/>
      <c r="R1209" s="5"/>
      <c r="S1209" s="5"/>
      <c r="T1209" s="5"/>
      <c r="U1209" s="5"/>
      <c r="V1209" s="5"/>
      <c r="W1209" s="5"/>
      <c r="X1209" s="5"/>
      <c r="Y1209" s="5"/>
      <c r="Z1209" s="5"/>
      <c r="AA1209" s="5"/>
      <c r="AB1209" s="6"/>
      <c r="AC1209" s="6"/>
      <c r="AD1209" s="6"/>
      <c r="AE1209" s="6"/>
      <c r="AF1209" s="6"/>
      <c r="AG1209" s="6"/>
      <c r="AH1209" s="6"/>
      <c r="AI1209" s="6"/>
      <c r="AJ1209" s="6"/>
      <c r="AK1209" s="6"/>
      <c r="AL1209" s="6"/>
      <c r="AM1209" s="6"/>
      <c r="AN1209" s="6"/>
      <c r="AO1209" s="6"/>
      <c r="AP1209" s="6"/>
      <c r="AQ1209" s="6"/>
      <c r="AR1209" s="6"/>
      <c r="AS1209" s="6"/>
      <c r="AT1209" s="6"/>
      <c r="AU1209" s="6"/>
      <c r="AV1209" s="6"/>
      <c r="AW1209" s="6"/>
      <c r="AX1209" s="6"/>
      <c r="AY1209" s="6"/>
      <c r="AZ1209" s="6"/>
      <c r="BA1209" s="6"/>
      <c r="BB1209" s="6"/>
      <c r="BC1209" s="6"/>
      <c r="BD1209" s="6"/>
      <c r="BE1209" s="6"/>
      <c r="BF1209" s="6"/>
      <c r="BG1209" s="6"/>
      <c r="BH1209" s="6"/>
      <c r="BI1209" s="6"/>
      <c r="BJ1209" s="6"/>
      <c r="BK1209" s="6"/>
      <c r="BL1209" s="6"/>
      <c r="BM1209" s="5"/>
      <c r="BN1209" s="7"/>
      <c r="BO1209" s="7"/>
      <c r="BP1209" s="7"/>
    </row>
    <row r="1210" spans="1:68" s="400" customFormat="1" ht="14.25" customHeight="1" x14ac:dyDescent="0.25">
      <c r="A1210" s="5"/>
      <c r="B1210" s="5"/>
      <c r="C1210" s="5"/>
      <c r="D1210" s="5"/>
      <c r="E1210" s="5"/>
      <c r="F1210" s="5"/>
      <c r="G1210" s="5"/>
      <c r="H1210" s="5"/>
      <c r="I1210" s="5"/>
      <c r="J1210" s="5"/>
      <c r="K1210" s="5"/>
      <c r="L1210" s="5"/>
      <c r="M1210" s="5"/>
      <c r="N1210" s="5"/>
      <c r="O1210" s="5"/>
      <c r="P1210" s="5"/>
      <c r="Q1210" s="5"/>
      <c r="R1210" s="5"/>
      <c r="S1210" s="5"/>
      <c r="T1210" s="5"/>
      <c r="U1210" s="5"/>
      <c r="V1210" s="5"/>
      <c r="W1210" s="5"/>
      <c r="X1210" s="5"/>
      <c r="Y1210" s="5"/>
      <c r="Z1210" s="5"/>
      <c r="AA1210" s="5"/>
      <c r="AB1210" s="6"/>
      <c r="AC1210" s="6"/>
      <c r="AD1210" s="6"/>
      <c r="AE1210" s="6"/>
      <c r="AF1210" s="6"/>
      <c r="AG1210" s="6"/>
      <c r="AH1210" s="6"/>
      <c r="AI1210" s="6"/>
      <c r="AJ1210" s="6"/>
      <c r="AK1210" s="6"/>
      <c r="AL1210" s="6"/>
      <c r="AM1210" s="6"/>
      <c r="AN1210" s="6"/>
      <c r="AO1210" s="6"/>
      <c r="AP1210" s="6"/>
      <c r="AQ1210" s="6"/>
      <c r="AR1210" s="6"/>
      <c r="AS1210" s="6"/>
      <c r="AT1210" s="6"/>
      <c r="AU1210" s="6"/>
      <c r="AV1210" s="6"/>
      <c r="AW1210" s="6"/>
      <c r="AX1210" s="6"/>
      <c r="AY1210" s="6"/>
      <c r="AZ1210" s="6"/>
      <c r="BA1210" s="6"/>
      <c r="BB1210" s="6"/>
      <c r="BC1210" s="6"/>
      <c r="BD1210" s="6"/>
      <c r="BE1210" s="6"/>
      <c r="BF1210" s="6"/>
      <c r="BG1210" s="6"/>
      <c r="BH1210" s="6"/>
      <c r="BI1210" s="6"/>
      <c r="BJ1210" s="6"/>
      <c r="BK1210" s="6"/>
      <c r="BL1210" s="6"/>
      <c r="BM1210" s="5"/>
      <c r="BN1210" s="7"/>
      <c r="BO1210" s="7"/>
      <c r="BP1210" s="7"/>
    </row>
    <row r="1211" spans="1:68" s="400" customFormat="1" ht="14.25" customHeight="1" x14ac:dyDescent="0.25">
      <c r="A1211" s="5"/>
      <c r="B1211" s="5"/>
      <c r="C1211" s="5"/>
      <c r="D1211" s="5"/>
      <c r="E1211" s="5"/>
      <c r="F1211" s="5"/>
      <c r="G1211" s="5"/>
      <c r="H1211" s="5"/>
      <c r="I1211" s="5"/>
      <c r="J1211" s="5"/>
      <c r="K1211" s="5"/>
      <c r="L1211" s="5"/>
      <c r="M1211" s="5"/>
      <c r="N1211" s="5"/>
      <c r="O1211" s="5"/>
      <c r="P1211" s="5"/>
      <c r="Q1211" s="5"/>
      <c r="R1211" s="5"/>
      <c r="S1211" s="5"/>
      <c r="T1211" s="5"/>
      <c r="U1211" s="5"/>
      <c r="V1211" s="5"/>
      <c r="W1211" s="5"/>
      <c r="X1211" s="5"/>
      <c r="Y1211" s="5"/>
      <c r="Z1211" s="5"/>
      <c r="AA1211" s="5"/>
      <c r="AB1211" s="6"/>
      <c r="AC1211" s="6"/>
      <c r="AD1211" s="6"/>
      <c r="AE1211" s="6"/>
      <c r="AF1211" s="6"/>
      <c r="AG1211" s="6"/>
      <c r="AH1211" s="6"/>
      <c r="AI1211" s="6"/>
      <c r="AJ1211" s="6"/>
      <c r="AK1211" s="6"/>
      <c r="AL1211" s="6"/>
      <c r="AM1211" s="6"/>
      <c r="AN1211" s="6"/>
      <c r="AO1211" s="6"/>
      <c r="AP1211" s="6"/>
      <c r="AQ1211" s="6"/>
      <c r="AR1211" s="6"/>
      <c r="AS1211" s="6"/>
      <c r="AT1211" s="6"/>
      <c r="AU1211" s="6"/>
      <c r="AV1211" s="6"/>
      <c r="AW1211" s="6"/>
      <c r="AX1211" s="6"/>
      <c r="AY1211" s="6"/>
      <c r="AZ1211" s="6"/>
      <c r="BA1211" s="6"/>
      <c r="BB1211" s="6"/>
      <c r="BC1211" s="6"/>
      <c r="BD1211" s="6"/>
      <c r="BE1211" s="6"/>
      <c r="BF1211" s="6"/>
      <c r="BG1211" s="6"/>
      <c r="BH1211" s="6"/>
      <c r="BI1211" s="6"/>
      <c r="BJ1211" s="6"/>
      <c r="BK1211" s="6"/>
      <c r="BL1211" s="6"/>
      <c r="BM1211" s="5"/>
      <c r="BN1211" s="7"/>
      <c r="BO1211" s="7"/>
      <c r="BP1211" s="7"/>
    </row>
    <row r="1212" spans="1:68" s="400" customFormat="1" ht="14.25" customHeight="1" x14ac:dyDescent="0.25">
      <c r="A1212" s="5"/>
      <c r="B1212" s="5"/>
      <c r="C1212" s="5"/>
      <c r="D1212" s="5"/>
      <c r="E1212" s="5"/>
      <c r="F1212" s="5"/>
      <c r="G1212" s="5"/>
      <c r="H1212" s="5"/>
      <c r="I1212" s="5"/>
      <c r="J1212" s="5"/>
      <c r="K1212" s="5"/>
      <c r="L1212" s="5"/>
      <c r="M1212" s="5"/>
      <c r="N1212" s="5"/>
      <c r="O1212" s="5"/>
      <c r="P1212" s="5"/>
      <c r="Q1212" s="5"/>
      <c r="R1212" s="5"/>
      <c r="S1212" s="5"/>
      <c r="T1212" s="5"/>
      <c r="U1212" s="5"/>
      <c r="V1212" s="5"/>
      <c r="W1212" s="5"/>
      <c r="X1212" s="5"/>
      <c r="Y1212" s="5"/>
      <c r="Z1212" s="5"/>
      <c r="AA1212" s="5"/>
      <c r="AB1212" s="6"/>
      <c r="AC1212" s="6"/>
      <c r="AD1212" s="6"/>
      <c r="AE1212" s="6"/>
      <c r="AF1212" s="6"/>
      <c r="AG1212" s="6"/>
      <c r="AH1212" s="6"/>
      <c r="AI1212" s="6"/>
      <c r="AJ1212" s="6"/>
      <c r="AK1212" s="6"/>
      <c r="AL1212" s="6"/>
      <c r="AM1212" s="6"/>
      <c r="AN1212" s="6"/>
      <c r="AO1212" s="6"/>
      <c r="AP1212" s="6"/>
      <c r="AQ1212" s="6"/>
      <c r="AR1212" s="6"/>
      <c r="AS1212" s="6"/>
      <c r="AT1212" s="6"/>
      <c r="AU1212" s="6"/>
      <c r="AV1212" s="6"/>
      <c r="AW1212" s="6"/>
      <c r="AX1212" s="6"/>
      <c r="AY1212" s="6"/>
      <c r="AZ1212" s="6"/>
      <c r="BA1212" s="6"/>
      <c r="BB1212" s="6"/>
      <c r="BC1212" s="6"/>
      <c r="BD1212" s="6"/>
      <c r="BE1212" s="6"/>
      <c r="BF1212" s="6"/>
      <c r="BG1212" s="6"/>
      <c r="BH1212" s="6"/>
      <c r="BI1212" s="6"/>
      <c r="BJ1212" s="6"/>
      <c r="BK1212" s="6"/>
      <c r="BL1212" s="6"/>
      <c r="BM1212" s="5"/>
      <c r="BN1212" s="7"/>
      <c r="BO1212" s="7"/>
      <c r="BP1212" s="7"/>
    </row>
    <row r="1213" spans="1:68" s="400" customFormat="1" ht="14.25" customHeight="1" x14ac:dyDescent="0.25">
      <c r="A1213" s="5"/>
      <c r="B1213" s="5"/>
      <c r="C1213" s="5"/>
      <c r="D1213" s="5"/>
      <c r="E1213" s="5"/>
      <c r="F1213" s="5"/>
      <c r="G1213" s="5"/>
      <c r="H1213" s="5"/>
      <c r="I1213" s="5"/>
      <c r="J1213" s="5"/>
      <c r="K1213" s="5"/>
      <c r="L1213" s="5"/>
      <c r="M1213" s="5"/>
      <c r="N1213" s="5"/>
      <c r="O1213" s="5"/>
      <c r="P1213" s="5"/>
      <c r="Q1213" s="5"/>
      <c r="R1213" s="5"/>
      <c r="S1213" s="5"/>
      <c r="T1213" s="5"/>
      <c r="U1213" s="5"/>
      <c r="V1213" s="5"/>
      <c r="W1213" s="5"/>
      <c r="X1213" s="5"/>
      <c r="Y1213" s="5"/>
      <c r="Z1213" s="5"/>
      <c r="AA1213" s="5"/>
      <c r="AB1213" s="6"/>
      <c r="AC1213" s="6"/>
      <c r="AD1213" s="6"/>
      <c r="AE1213" s="6"/>
      <c r="AF1213" s="6"/>
      <c r="AG1213" s="6"/>
      <c r="AH1213" s="6"/>
      <c r="AI1213" s="6"/>
      <c r="AJ1213" s="6"/>
      <c r="AK1213" s="6"/>
      <c r="AL1213" s="6"/>
      <c r="AM1213" s="6"/>
      <c r="AN1213" s="6"/>
      <c r="AO1213" s="6"/>
      <c r="AP1213" s="6"/>
      <c r="AQ1213" s="6"/>
      <c r="AR1213" s="6"/>
      <c r="AS1213" s="6"/>
      <c r="AT1213" s="6"/>
      <c r="AU1213" s="6"/>
      <c r="AV1213" s="6"/>
      <c r="AW1213" s="6"/>
      <c r="AX1213" s="6"/>
      <c r="AY1213" s="6"/>
      <c r="AZ1213" s="6"/>
      <c r="BA1213" s="6"/>
      <c r="BB1213" s="6"/>
      <c r="BC1213" s="6"/>
      <c r="BD1213" s="6"/>
      <c r="BE1213" s="6"/>
      <c r="BF1213" s="6"/>
      <c r="BG1213" s="6"/>
      <c r="BH1213" s="6"/>
      <c r="BI1213" s="6"/>
      <c r="BJ1213" s="6"/>
      <c r="BK1213" s="6"/>
      <c r="BL1213" s="6"/>
      <c r="BM1213" s="5"/>
      <c r="BN1213" s="7"/>
      <c r="BO1213" s="7"/>
      <c r="BP1213" s="7"/>
    </row>
    <row r="1214" spans="1:68" s="400" customFormat="1" ht="14.25" customHeight="1" x14ac:dyDescent="0.25">
      <c r="A1214" s="5"/>
      <c r="B1214" s="5"/>
      <c r="C1214" s="5"/>
      <c r="D1214" s="5"/>
      <c r="E1214" s="5"/>
      <c r="F1214" s="5"/>
      <c r="G1214" s="5"/>
      <c r="H1214" s="5"/>
      <c r="I1214" s="5"/>
      <c r="J1214" s="5"/>
      <c r="K1214" s="5"/>
      <c r="L1214" s="5"/>
      <c r="M1214" s="5"/>
      <c r="N1214" s="5"/>
      <c r="O1214" s="5"/>
      <c r="P1214" s="5"/>
      <c r="Q1214" s="5"/>
      <c r="R1214" s="5"/>
      <c r="S1214" s="5"/>
      <c r="T1214" s="5"/>
      <c r="U1214" s="5"/>
      <c r="V1214" s="5"/>
      <c r="W1214" s="5"/>
      <c r="X1214" s="5"/>
      <c r="Y1214" s="5"/>
      <c r="Z1214" s="5"/>
      <c r="AA1214" s="5"/>
      <c r="AB1214" s="6"/>
      <c r="AC1214" s="6"/>
      <c r="AD1214" s="6"/>
      <c r="AE1214" s="6"/>
      <c r="AF1214" s="6"/>
      <c r="AG1214" s="6"/>
      <c r="AH1214" s="6"/>
      <c r="AI1214" s="6"/>
      <c r="AJ1214" s="6"/>
      <c r="AK1214" s="6"/>
      <c r="AL1214" s="6"/>
      <c r="AM1214" s="6"/>
      <c r="AN1214" s="6"/>
      <c r="AO1214" s="6"/>
      <c r="AP1214" s="6"/>
      <c r="AQ1214" s="6"/>
      <c r="AR1214" s="6"/>
      <c r="AS1214" s="6"/>
      <c r="AT1214" s="6"/>
      <c r="AU1214" s="6"/>
      <c r="AV1214" s="6"/>
      <c r="AW1214" s="6"/>
      <c r="AX1214" s="6"/>
      <c r="AY1214" s="6"/>
      <c r="AZ1214" s="6"/>
      <c r="BA1214" s="6"/>
      <c r="BB1214" s="6"/>
      <c r="BC1214" s="6"/>
      <c r="BD1214" s="6"/>
      <c r="BE1214" s="6"/>
      <c r="BF1214" s="6"/>
      <c r="BG1214" s="6"/>
      <c r="BH1214" s="6"/>
      <c r="BI1214" s="6"/>
      <c r="BJ1214" s="6"/>
      <c r="BK1214" s="6"/>
      <c r="BL1214" s="6"/>
      <c r="BM1214" s="5"/>
      <c r="BN1214" s="7"/>
      <c r="BO1214" s="7"/>
      <c r="BP1214" s="7"/>
    </row>
    <row r="1215" spans="1:68" s="400" customFormat="1" ht="14.25" customHeight="1" x14ac:dyDescent="0.25">
      <c r="A1215" s="5"/>
      <c r="B1215" s="5"/>
      <c r="C1215" s="5"/>
      <c r="D1215" s="5"/>
      <c r="E1215" s="5"/>
      <c r="F1215" s="5"/>
      <c r="G1215" s="5"/>
      <c r="H1215" s="5"/>
      <c r="I1215" s="5"/>
      <c r="J1215" s="5"/>
      <c r="K1215" s="5"/>
      <c r="L1215" s="5"/>
      <c r="M1215" s="5"/>
      <c r="N1215" s="5"/>
      <c r="O1215" s="5"/>
      <c r="P1215" s="5"/>
      <c r="Q1215" s="5"/>
      <c r="R1215" s="5"/>
      <c r="S1215" s="5"/>
      <c r="T1215" s="5"/>
      <c r="U1215" s="5"/>
      <c r="V1215" s="5"/>
      <c r="W1215" s="5"/>
      <c r="X1215" s="5"/>
      <c r="Y1215" s="5"/>
      <c r="Z1215" s="5"/>
      <c r="AA1215" s="5"/>
      <c r="AB1215" s="6"/>
      <c r="AC1215" s="6"/>
      <c r="AD1215" s="6"/>
      <c r="AE1215" s="6"/>
      <c r="AF1215" s="6"/>
      <c r="AG1215" s="6"/>
      <c r="AH1215" s="6"/>
      <c r="AI1215" s="6"/>
      <c r="AJ1215" s="6"/>
      <c r="AK1215" s="6"/>
      <c r="AL1215" s="6"/>
      <c r="AM1215" s="6"/>
      <c r="AN1215" s="6"/>
      <c r="AO1215" s="6"/>
      <c r="AP1215" s="6"/>
      <c r="AQ1215" s="6"/>
      <c r="AR1215" s="6"/>
      <c r="AS1215" s="6"/>
      <c r="AT1215" s="6"/>
      <c r="AU1215" s="6"/>
      <c r="AV1215" s="6"/>
      <c r="AW1215" s="6"/>
      <c r="AX1215" s="6"/>
      <c r="AY1215" s="6"/>
      <c r="AZ1215" s="6"/>
      <c r="BA1215" s="6"/>
      <c r="BB1215" s="6"/>
      <c r="BC1215" s="6"/>
      <c r="BD1215" s="6"/>
      <c r="BE1215" s="6"/>
      <c r="BF1215" s="6"/>
      <c r="BG1215" s="6"/>
      <c r="BH1215" s="6"/>
      <c r="BI1215" s="6"/>
      <c r="BJ1215" s="6"/>
      <c r="BK1215" s="6"/>
      <c r="BL1215" s="6"/>
      <c r="BM1215" s="5"/>
      <c r="BN1215" s="7"/>
      <c r="BO1215" s="7"/>
      <c r="BP1215" s="7"/>
    </row>
    <row r="1216" spans="1:68" s="400" customFormat="1" ht="14.25" customHeight="1" x14ac:dyDescent="0.25">
      <c r="A1216" s="5"/>
      <c r="B1216" s="5"/>
      <c r="C1216" s="5"/>
      <c r="D1216" s="5"/>
      <c r="E1216" s="5"/>
      <c r="F1216" s="5"/>
      <c r="G1216" s="5"/>
      <c r="H1216" s="5"/>
      <c r="I1216" s="5"/>
      <c r="J1216" s="5"/>
      <c r="K1216" s="5"/>
      <c r="L1216" s="5"/>
      <c r="M1216" s="5"/>
      <c r="N1216" s="5"/>
      <c r="O1216" s="5"/>
      <c r="P1216" s="5"/>
      <c r="Q1216" s="5"/>
      <c r="R1216" s="5"/>
      <c r="S1216" s="5"/>
      <c r="T1216" s="5"/>
      <c r="U1216" s="5"/>
      <c r="V1216" s="5"/>
      <c r="W1216" s="5"/>
      <c r="X1216" s="5"/>
      <c r="Y1216" s="5"/>
      <c r="Z1216" s="5"/>
      <c r="AA1216" s="5"/>
      <c r="AB1216" s="6"/>
      <c r="AC1216" s="6"/>
      <c r="AD1216" s="6"/>
      <c r="AE1216" s="6"/>
      <c r="AF1216" s="6"/>
      <c r="AG1216" s="6"/>
      <c r="AH1216" s="6"/>
      <c r="AI1216" s="6"/>
      <c r="AJ1216" s="6"/>
      <c r="AK1216" s="6"/>
      <c r="AL1216" s="6"/>
      <c r="AM1216" s="6"/>
      <c r="AN1216" s="6"/>
      <c r="AO1216" s="6"/>
      <c r="AP1216" s="6"/>
      <c r="AQ1216" s="6"/>
      <c r="AR1216" s="6"/>
      <c r="AS1216" s="6"/>
      <c r="AT1216" s="6"/>
      <c r="AU1216" s="6"/>
      <c r="AV1216" s="6"/>
      <c r="AW1216" s="6"/>
      <c r="AX1216" s="6"/>
      <c r="AY1216" s="6"/>
      <c r="AZ1216" s="6"/>
      <c r="BA1216" s="6"/>
      <c r="BB1216" s="6"/>
      <c r="BC1216" s="6"/>
      <c r="BD1216" s="6"/>
      <c r="BE1216" s="6"/>
      <c r="BF1216" s="6"/>
      <c r="BG1216" s="6"/>
      <c r="BH1216" s="6"/>
      <c r="BI1216" s="6"/>
      <c r="BJ1216" s="6"/>
      <c r="BK1216" s="6"/>
      <c r="BL1216" s="6"/>
      <c r="BM1216" s="5"/>
      <c r="BN1216" s="7"/>
      <c r="BO1216" s="7"/>
      <c r="BP1216" s="7"/>
    </row>
    <row r="1217" spans="1:68" s="400" customFormat="1" ht="14.25" customHeight="1" x14ac:dyDescent="0.25">
      <c r="A1217" s="5"/>
      <c r="B1217" s="5"/>
      <c r="C1217" s="5"/>
      <c r="D1217" s="5"/>
      <c r="E1217" s="5"/>
      <c r="F1217" s="5"/>
      <c r="G1217" s="5"/>
      <c r="H1217" s="5"/>
      <c r="I1217" s="5"/>
      <c r="J1217" s="5"/>
      <c r="K1217" s="5"/>
      <c r="L1217" s="5"/>
      <c r="M1217" s="5"/>
      <c r="N1217" s="5"/>
      <c r="O1217" s="5"/>
      <c r="P1217" s="5"/>
      <c r="Q1217" s="5"/>
      <c r="R1217" s="5"/>
      <c r="S1217" s="5"/>
      <c r="T1217" s="5"/>
      <c r="U1217" s="5"/>
      <c r="V1217" s="5"/>
      <c r="W1217" s="5"/>
      <c r="X1217" s="5"/>
      <c r="Y1217" s="5"/>
      <c r="Z1217" s="5"/>
      <c r="AA1217" s="5"/>
      <c r="AB1217" s="6"/>
      <c r="AC1217" s="6"/>
      <c r="AD1217" s="6"/>
      <c r="AE1217" s="6"/>
      <c r="AF1217" s="6"/>
      <c r="AG1217" s="6"/>
      <c r="AH1217" s="6"/>
      <c r="AI1217" s="6"/>
      <c r="AJ1217" s="6"/>
      <c r="AK1217" s="6"/>
      <c r="AL1217" s="6"/>
      <c r="AM1217" s="6"/>
      <c r="AN1217" s="6"/>
      <c r="AO1217" s="6"/>
      <c r="AP1217" s="6"/>
      <c r="AQ1217" s="6"/>
      <c r="AR1217" s="6"/>
      <c r="AS1217" s="6"/>
      <c r="AT1217" s="6"/>
      <c r="AU1217" s="6"/>
      <c r="AV1217" s="6"/>
      <c r="AW1217" s="6"/>
      <c r="AX1217" s="6"/>
      <c r="AY1217" s="6"/>
      <c r="AZ1217" s="6"/>
      <c r="BA1217" s="6"/>
      <c r="BB1217" s="6"/>
      <c r="BC1217" s="6"/>
      <c r="BD1217" s="6"/>
      <c r="BE1217" s="6"/>
      <c r="BF1217" s="6"/>
      <c r="BG1217" s="6"/>
      <c r="BH1217" s="6"/>
      <c r="BI1217" s="6"/>
      <c r="BJ1217" s="6"/>
      <c r="BK1217" s="6"/>
      <c r="BL1217" s="6"/>
      <c r="BM1217" s="5"/>
      <c r="BN1217" s="7"/>
      <c r="BO1217" s="7"/>
      <c r="BP1217" s="7"/>
    </row>
    <row r="1218" spans="1:68" s="400" customFormat="1" ht="14.25" customHeight="1" x14ac:dyDescent="0.25">
      <c r="A1218" s="5"/>
      <c r="B1218" s="5"/>
      <c r="C1218" s="5"/>
      <c r="D1218" s="5"/>
      <c r="E1218" s="5"/>
      <c r="F1218" s="5"/>
      <c r="G1218" s="5"/>
      <c r="H1218" s="5"/>
      <c r="I1218" s="5"/>
      <c r="J1218" s="5"/>
      <c r="K1218" s="5"/>
      <c r="L1218" s="5"/>
      <c r="M1218" s="5"/>
      <c r="N1218" s="5"/>
      <c r="O1218" s="5"/>
      <c r="P1218" s="5"/>
      <c r="Q1218" s="5"/>
      <c r="R1218" s="5"/>
      <c r="S1218" s="5"/>
      <c r="T1218" s="5"/>
      <c r="U1218" s="5"/>
      <c r="V1218" s="5"/>
      <c r="W1218" s="5"/>
      <c r="X1218" s="5"/>
      <c r="Y1218" s="5"/>
      <c r="Z1218" s="5"/>
      <c r="AA1218" s="5"/>
      <c r="AB1218" s="6"/>
      <c r="AC1218" s="6"/>
      <c r="AD1218" s="6"/>
      <c r="AE1218" s="6"/>
      <c r="AF1218" s="6"/>
      <c r="AG1218" s="6"/>
      <c r="AH1218" s="6"/>
      <c r="AI1218" s="6"/>
      <c r="AJ1218" s="6"/>
      <c r="AK1218" s="6"/>
      <c r="AL1218" s="6"/>
      <c r="AM1218" s="6"/>
      <c r="AN1218" s="6"/>
      <c r="AO1218" s="6"/>
      <c r="AP1218" s="6"/>
      <c r="AQ1218" s="6"/>
      <c r="AR1218" s="6"/>
      <c r="AS1218" s="6"/>
      <c r="AT1218" s="6"/>
      <c r="AU1218" s="6"/>
      <c r="AV1218" s="6"/>
      <c r="AW1218" s="6"/>
      <c r="AX1218" s="6"/>
      <c r="AY1218" s="6"/>
      <c r="AZ1218" s="6"/>
      <c r="BA1218" s="6"/>
      <c r="BB1218" s="6"/>
      <c r="BC1218" s="6"/>
      <c r="BD1218" s="6"/>
      <c r="BE1218" s="6"/>
      <c r="BF1218" s="6"/>
      <c r="BG1218" s="6"/>
      <c r="BH1218" s="6"/>
      <c r="BI1218" s="6"/>
      <c r="BJ1218" s="6"/>
      <c r="BK1218" s="6"/>
      <c r="BL1218" s="6"/>
      <c r="BM1218" s="5"/>
      <c r="BN1218" s="7"/>
      <c r="BO1218" s="7"/>
      <c r="BP1218" s="7"/>
    </row>
    <row r="1219" spans="1:68" s="400" customFormat="1" ht="14.25" customHeight="1" x14ac:dyDescent="0.25">
      <c r="A1219" s="5"/>
      <c r="B1219" s="5"/>
      <c r="C1219" s="5"/>
      <c r="D1219" s="5"/>
      <c r="E1219" s="5"/>
      <c r="F1219" s="5"/>
      <c r="G1219" s="5"/>
      <c r="H1219" s="5"/>
      <c r="I1219" s="5"/>
      <c r="J1219" s="5"/>
      <c r="K1219" s="5"/>
      <c r="L1219" s="5"/>
      <c r="M1219" s="5"/>
      <c r="N1219" s="5"/>
      <c r="O1219" s="5"/>
      <c r="P1219" s="5"/>
      <c r="Q1219" s="5"/>
      <c r="R1219" s="5"/>
      <c r="S1219" s="5"/>
      <c r="T1219" s="5"/>
      <c r="U1219" s="5"/>
      <c r="V1219" s="5"/>
      <c r="W1219" s="5"/>
      <c r="X1219" s="5"/>
      <c r="Y1219" s="5"/>
      <c r="Z1219" s="5"/>
      <c r="AA1219" s="5"/>
      <c r="AB1219" s="6"/>
      <c r="AC1219" s="6"/>
      <c r="AD1219" s="6"/>
      <c r="AE1219" s="6"/>
      <c r="AF1219" s="6"/>
      <c r="AG1219" s="6"/>
      <c r="AH1219" s="6"/>
      <c r="AI1219" s="6"/>
      <c r="AJ1219" s="6"/>
      <c r="AK1219" s="6"/>
      <c r="AL1219" s="6"/>
      <c r="AM1219" s="6"/>
      <c r="AN1219" s="6"/>
      <c r="AO1219" s="6"/>
      <c r="AP1219" s="6"/>
      <c r="AQ1219" s="6"/>
      <c r="AR1219" s="6"/>
      <c r="AS1219" s="6"/>
      <c r="AT1219" s="6"/>
      <c r="AU1219" s="6"/>
      <c r="AV1219" s="6"/>
      <c r="AW1219" s="6"/>
      <c r="AX1219" s="6"/>
      <c r="AY1219" s="6"/>
      <c r="AZ1219" s="6"/>
      <c r="BA1219" s="6"/>
      <c r="BB1219" s="6"/>
      <c r="BC1219" s="6"/>
      <c r="BD1219" s="6"/>
      <c r="BE1219" s="6"/>
      <c r="BF1219" s="6"/>
      <c r="BG1219" s="6"/>
      <c r="BH1219" s="6"/>
      <c r="BI1219" s="6"/>
      <c r="BJ1219" s="6"/>
      <c r="BK1219" s="6"/>
      <c r="BL1219" s="6"/>
      <c r="BM1219" s="5"/>
      <c r="BN1219" s="7"/>
      <c r="BO1219" s="7"/>
      <c r="BP1219" s="7"/>
    </row>
    <row r="1220" spans="1:68" s="400" customFormat="1" ht="14.25" customHeight="1" x14ac:dyDescent="0.25">
      <c r="A1220" s="5"/>
      <c r="B1220" s="5"/>
      <c r="C1220" s="5"/>
      <c r="D1220" s="5"/>
      <c r="E1220" s="5"/>
      <c r="F1220" s="5"/>
      <c r="G1220" s="5"/>
      <c r="H1220" s="5"/>
      <c r="I1220" s="5"/>
      <c r="J1220" s="5"/>
      <c r="K1220" s="5"/>
      <c r="L1220" s="5"/>
      <c r="M1220" s="5"/>
      <c r="N1220" s="5"/>
      <c r="O1220" s="5"/>
      <c r="P1220" s="5"/>
      <c r="Q1220" s="5"/>
      <c r="R1220" s="5"/>
      <c r="S1220" s="5"/>
      <c r="T1220" s="5"/>
      <c r="U1220" s="5"/>
      <c r="V1220" s="5"/>
      <c r="W1220" s="5"/>
      <c r="X1220" s="5"/>
      <c r="Y1220" s="5"/>
      <c r="Z1220" s="5"/>
      <c r="AA1220" s="5"/>
      <c r="AB1220" s="6"/>
      <c r="AC1220" s="6"/>
      <c r="AD1220" s="6"/>
      <c r="AE1220" s="6"/>
      <c r="AF1220" s="6"/>
      <c r="AG1220" s="6"/>
      <c r="AH1220" s="6"/>
      <c r="AI1220" s="6"/>
      <c r="AJ1220" s="6"/>
      <c r="AK1220" s="6"/>
      <c r="AL1220" s="6"/>
      <c r="AM1220" s="6"/>
      <c r="AN1220" s="6"/>
      <c r="AO1220" s="6"/>
      <c r="AP1220" s="6"/>
      <c r="AQ1220" s="6"/>
      <c r="AR1220" s="6"/>
      <c r="AS1220" s="6"/>
      <c r="AT1220" s="6"/>
      <c r="AU1220" s="6"/>
      <c r="AV1220" s="6"/>
      <c r="AW1220" s="6"/>
      <c r="AX1220" s="6"/>
      <c r="AY1220" s="6"/>
      <c r="AZ1220" s="6"/>
      <c r="BA1220" s="6"/>
      <c r="BB1220" s="6"/>
      <c r="BC1220" s="6"/>
      <c r="BD1220" s="6"/>
      <c r="BE1220" s="6"/>
      <c r="BF1220" s="6"/>
      <c r="BG1220" s="6"/>
      <c r="BH1220" s="6"/>
      <c r="BI1220" s="6"/>
      <c r="BJ1220" s="6"/>
      <c r="BK1220" s="6"/>
      <c r="BL1220" s="6"/>
      <c r="BM1220" s="5"/>
      <c r="BN1220" s="7"/>
      <c r="BO1220" s="7"/>
      <c r="BP1220" s="7"/>
    </row>
    <row r="1221" spans="1:68" s="400" customFormat="1" ht="14.25" customHeight="1" x14ac:dyDescent="0.25">
      <c r="A1221" s="5"/>
      <c r="B1221" s="5"/>
      <c r="C1221" s="5"/>
      <c r="D1221" s="5"/>
      <c r="E1221" s="5"/>
      <c r="F1221" s="5"/>
      <c r="G1221" s="5"/>
      <c r="H1221" s="5"/>
      <c r="I1221" s="5"/>
      <c r="J1221" s="5"/>
      <c r="K1221" s="5"/>
      <c r="L1221" s="5"/>
      <c r="M1221" s="5"/>
      <c r="N1221" s="5"/>
      <c r="O1221" s="5"/>
      <c r="P1221" s="5"/>
      <c r="Q1221" s="5"/>
      <c r="R1221" s="5"/>
      <c r="S1221" s="5"/>
      <c r="T1221" s="5"/>
      <c r="U1221" s="5"/>
      <c r="V1221" s="5"/>
      <c r="W1221" s="5"/>
      <c r="X1221" s="5"/>
      <c r="Y1221" s="5"/>
      <c r="Z1221" s="5"/>
      <c r="AA1221" s="5"/>
      <c r="AB1221" s="6"/>
      <c r="AC1221" s="6"/>
      <c r="AD1221" s="6"/>
      <c r="AE1221" s="6"/>
      <c r="AF1221" s="6"/>
      <c r="AG1221" s="6"/>
      <c r="AH1221" s="6"/>
      <c r="AI1221" s="6"/>
      <c r="AJ1221" s="6"/>
      <c r="AK1221" s="6"/>
      <c r="AL1221" s="6"/>
      <c r="AM1221" s="6"/>
      <c r="AN1221" s="6"/>
      <c r="AO1221" s="6"/>
      <c r="AP1221" s="6"/>
      <c r="AQ1221" s="6"/>
      <c r="AR1221" s="6"/>
      <c r="AS1221" s="6"/>
      <c r="AT1221" s="6"/>
      <c r="AU1221" s="6"/>
      <c r="AV1221" s="6"/>
      <c r="AW1221" s="6"/>
      <c r="AX1221" s="6"/>
      <c r="AY1221" s="6"/>
      <c r="AZ1221" s="6"/>
      <c r="BA1221" s="6"/>
      <c r="BB1221" s="6"/>
      <c r="BC1221" s="6"/>
      <c r="BD1221" s="6"/>
      <c r="BE1221" s="6"/>
      <c r="BF1221" s="6"/>
      <c r="BG1221" s="6"/>
      <c r="BH1221" s="6"/>
      <c r="BI1221" s="6"/>
      <c r="BJ1221" s="6"/>
      <c r="BK1221" s="6"/>
      <c r="BL1221" s="6"/>
      <c r="BM1221" s="5"/>
      <c r="BN1221" s="7"/>
      <c r="BO1221" s="7"/>
      <c r="BP1221" s="7"/>
    </row>
    <row r="1222" spans="1:68" s="400" customFormat="1" ht="14.25" customHeight="1" x14ac:dyDescent="0.25">
      <c r="A1222" s="5"/>
      <c r="B1222" s="5"/>
      <c r="C1222" s="5"/>
      <c r="D1222" s="5"/>
      <c r="E1222" s="5"/>
      <c r="F1222" s="5"/>
      <c r="G1222" s="5"/>
      <c r="H1222" s="5"/>
      <c r="I1222" s="5"/>
      <c r="J1222" s="5"/>
      <c r="K1222" s="5"/>
      <c r="L1222" s="5"/>
      <c r="M1222" s="5"/>
      <c r="N1222" s="5"/>
      <c r="O1222" s="5"/>
      <c r="P1222" s="5"/>
      <c r="Q1222" s="5"/>
      <c r="R1222" s="5"/>
      <c r="S1222" s="5"/>
      <c r="T1222" s="5"/>
      <c r="U1222" s="5"/>
      <c r="V1222" s="5"/>
      <c r="W1222" s="5"/>
      <c r="X1222" s="5"/>
      <c r="Y1222" s="5"/>
      <c r="Z1222" s="5"/>
      <c r="AA1222" s="5"/>
      <c r="AB1222" s="6"/>
      <c r="AC1222" s="6"/>
      <c r="AD1222" s="6"/>
      <c r="AE1222" s="6"/>
      <c r="AF1222" s="6"/>
      <c r="AG1222" s="6"/>
      <c r="AH1222" s="6"/>
      <c r="AI1222" s="6"/>
      <c r="AJ1222" s="6"/>
      <c r="AK1222" s="6"/>
      <c r="AL1222" s="6"/>
      <c r="AM1222" s="6"/>
      <c r="AN1222" s="6"/>
      <c r="AO1222" s="6"/>
      <c r="AP1222" s="6"/>
      <c r="AQ1222" s="6"/>
      <c r="AR1222" s="6"/>
      <c r="AS1222" s="6"/>
      <c r="AT1222" s="6"/>
      <c r="AU1222" s="6"/>
      <c r="AV1222" s="6"/>
      <c r="AW1222" s="6"/>
      <c r="AX1222" s="6"/>
      <c r="AY1222" s="6"/>
      <c r="AZ1222" s="6"/>
      <c r="BA1222" s="6"/>
      <c r="BB1222" s="6"/>
      <c r="BC1222" s="6"/>
      <c r="BD1222" s="6"/>
      <c r="BE1222" s="6"/>
      <c r="BF1222" s="6"/>
      <c r="BG1222" s="6"/>
      <c r="BH1222" s="6"/>
      <c r="BI1222" s="6"/>
      <c r="BJ1222" s="6"/>
      <c r="BK1222" s="6"/>
      <c r="BL1222" s="6"/>
      <c r="BM1222" s="5"/>
      <c r="BN1222" s="7"/>
      <c r="BO1222" s="7"/>
      <c r="BP1222" s="7"/>
    </row>
    <row r="1223" spans="1:68" s="400" customFormat="1" ht="14.25" customHeight="1" x14ac:dyDescent="0.25">
      <c r="A1223" s="5"/>
      <c r="B1223" s="5"/>
      <c r="C1223" s="5"/>
      <c r="D1223" s="5"/>
      <c r="E1223" s="5"/>
      <c r="F1223" s="5"/>
      <c r="G1223" s="5"/>
      <c r="H1223" s="5"/>
      <c r="I1223" s="5"/>
      <c r="J1223" s="5"/>
      <c r="K1223" s="5"/>
      <c r="L1223" s="5"/>
      <c r="M1223" s="5"/>
      <c r="N1223" s="5"/>
      <c r="O1223" s="5"/>
      <c r="P1223" s="5"/>
      <c r="Q1223" s="5"/>
      <c r="R1223" s="5"/>
      <c r="S1223" s="5"/>
      <c r="T1223" s="5"/>
      <c r="U1223" s="5"/>
      <c r="V1223" s="5"/>
      <c r="W1223" s="5"/>
      <c r="X1223" s="5"/>
      <c r="Y1223" s="5"/>
      <c r="Z1223" s="5"/>
      <c r="AA1223" s="5"/>
      <c r="AB1223" s="6"/>
      <c r="AC1223" s="6"/>
      <c r="AD1223" s="6"/>
      <c r="AE1223" s="6"/>
      <c r="AF1223" s="6"/>
      <c r="AG1223" s="6"/>
      <c r="AH1223" s="6"/>
      <c r="AI1223" s="6"/>
      <c r="AJ1223" s="6"/>
      <c r="AK1223" s="6"/>
      <c r="AL1223" s="6"/>
      <c r="AM1223" s="6"/>
      <c r="AN1223" s="6"/>
      <c r="AO1223" s="6"/>
      <c r="AP1223" s="6"/>
      <c r="AQ1223" s="6"/>
      <c r="AR1223" s="6"/>
      <c r="AS1223" s="6"/>
      <c r="AT1223" s="6"/>
      <c r="AU1223" s="6"/>
      <c r="AV1223" s="6"/>
      <c r="AW1223" s="6"/>
      <c r="AX1223" s="6"/>
      <c r="AY1223" s="6"/>
      <c r="AZ1223" s="6"/>
      <c r="BA1223" s="6"/>
      <c r="BB1223" s="6"/>
      <c r="BC1223" s="6"/>
      <c r="BD1223" s="6"/>
      <c r="BE1223" s="6"/>
      <c r="BF1223" s="6"/>
      <c r="BG1223" s="6"/>
      <c r="BH1223" s="6"/>
      <c r="BI1223" s="6"/>
      <c r="BJ1223" s="6"/>
      <c r="BK1223" s="6"/>
      <c r="BL1223" s="6"/>
      <c r="BM1223" s="5"/>
      <c r="BN1223" s="7"/>
      <c r="BO1223" s="7"/>
      <c r="BP1223" s="7"/>
    </row>
    <row r="1224" spans="1:68" s="400" customFormat="1" ht="14.25" customHeight="1" x14ac:dyDescent="0.25">
      <c r="A1224" s="5"/>
      <c r="B1224" s="5"/>
      <c r="C1224" s="5"/>
      <c r="D1224" s="5"/>
      <c r="E1224" s="5"/>
      <c r="F1224" s="5"/>
      <c r="G1224" s="5"/>
      <c r="H1224" s="5"/>
      <c r="I1224" s="5"/>
      <c r="J1224" s="5"/>
      <c r="K1224" s="5"/>
      <c r="L1224" s="5"/>
      <c r="M1224" s="5"/>
      <c r="N1224" s="5"/>
      <c r="O1224" s="5"/>
      <c r="P1224" s="5"/>
      <c r="Q1224" s="5"/>
      <c r="R1224" s="5"/>
      <c r="S1224" s="5"/>
      <c r="T1224" s="5"/>
      <c r="U1224" s="5"/>
      <c r="V1224" s="5"/>
      <c r="W1224" s="5"/>
      <c r="X1224" s="5"/>
      <c r="Y1224" s="5"/>
      <c r="Z1224" s="5"/>
      <c r="AA1224" s="5"/>
      <c r="AB1224" s="6"/>
      <c r="AC1224" s="6"/>
      <c r="AD1224" s="6"/>
      <c r="AE1224" s="6"/>
      <c r="AF1224" s="6"/>
      <c r="AG1224" s="6"/>
      <c r="AH1224" s="6"/>
      <c r="AI1224" s="6"/>
      <c r="AJ1224" s="6"/>
      <c r="AK1224" s="6"/>
      <c r="AL1224" s="6"/>
      <c r="AM1224" s="6"/>
      <c r="AN1224" s="6"/>
      <c r="AO1224" s="6"/>
      <c r="AP1224" s="6"/>
      <c r="AQ1224" s="6"/>
      <c r="AR1224" s="6"/>
      <c r="AS1224" s="6"/>
      <c r="AT1224" s="6"/>
      <c r="AU1224" s="6"/>
      <c r="AV1224" s="6"/>
      <c r="AW1224" s="6"/>
      <c r="AX1224" s="6"/>
      <c r="AY1224" s="6"/>
      <c r="AZ1224" s="6"/>
      <c r="BA1224" s="6"/>
      <c r="BB1224" s="6"/>
      <c r="BC1224" s="6"/>
      <c r="BD1224" s="6"/>
      <c r="BE1224" s="6"/>
      <c r="BF1224" s="6"/>
      <c r="BG1224" s="6"/>
      <c r="BH1224" s="6"/>
      <c r="BI1224" s="6"/>
      <c r="BJ1224" s="6"/>
      <c r="BK1224" s="6"/>
      <c r="BL1224" s="6"/>
      <c r="BM1224" s="5"/>
      <c r="BN1224" s="7"/>
      <c r="BO1224" s="7"/>
      <c r="BP1224" s="7"/>
    </row>
    <row r="1225" spans="1:68" s="400" customFormat="1" ht="14.25" customHeight="1" x14ac:dyDescent="0.25">
      <c r="A1225" s="5"/>
      <c r="B1225" s="5"/>
      <c r="C1225" s="5"/>
      <c r="D1225" s="5"/>
      <c r="E1225" s="5"/>
      <c r="F1225" s="5"/>
      <c r="G1225" s="5"/>
      <c r="H1225" s="5"/>
      <c r="I1225" s="5"/>
      <c r="J1225" s="5"/>
      <c r="K1225" s="5"/>
      <c r="L1225" s="5"/>
      <c r="M1225" s="5"/>
      <c r="N1225" s="5"/>
      <c r="O1225" s="5"/>
      <c r="P1225" s="5"/>
      <c r="Q1225" s="5"/>
      <c r="R1225" s="5"/>
      <c r="S1225" s="5"/>
      <c r="T1225" s="5"/>
      <c r="U1225" s="5"/>
      <c r="V1225" s="5"/>
      <c r="W1225" s="5"/>
      <c r="X1225" s="5"/>
      <c r="Y1225" s="5"/>
      <c r="Z1225" s="5"/>
      <c r="AA1225" s="5"/>
      <c r="AB1225" s="6"/>
      <c r="AC1225" s="6"/>
      <c r="AD1225" s="6"/>
      <c r="AE1225" s="6"/>
      <c r="AF1225" s="6"/>
      <c r="AG1225" s="6"/>
      <c r="AH1225" s="6"/>
      <c r="AI1225" s="6"/>
      <c r="AJ1225" s="6"/>
      <c r="AK1225" s="6"/>
      <c r="AL1225" s="6"/>
      <c r="AM1225" s="6"/>
      <c r="AN1225" s="6"/>
      <c r="AO1225" s="6"/>
      <c r="AP1225" s="6"/>
      <c r="AQ1225" s="6"/>
      <c r="AR1225" s="6"/>
      <c r="AS1225" s="6"/>
      <c r="AT1225" s="6"/>
      <c r="AU1225" s="6"/>
      <c r="AV1225" s="6"/>
      <c r="AW1225" s="6"/>
      <c r="AX1225" s="6"/>
      <c r="AY1225" s="6"/>
      <c r="AZ1225" s="6"/>
      <c r="BA1225" s="6"/>
      <c r="BB1225" s="6"/>
      <c r="BC1225" s="6"/>
      <c r="BD1225" s="6"/>
      <c r="BE1225" s="6"/>
      <c r="BF1225" s="6"/>
      <c r="BG1225" s="6"/>
      <c r="BH1225" s="6"/>
      <c r="BI1225" s="6"/>
      <c r="BJ1225" s="6"/>
      <c r="BK1225" s="6"/>
      <c r="BL1225" s="6"/>
      <c r="BM1225" s="5"/>
      <c r="BN1225" s="7"/>
      <c r="BO1225" s="7"/>
      <c r="BP1225" s="7"/>
    </row>
    <row r="1226" spans="1:68" s="400" customFormat="1" ht="14.25" customHeight="1" x14ac:dyDescent="0.25">
      <c r="A1226" s="5"/>
      <c r="B1226" s="5"/>
      <c r="C1226" s="5"/>
      <c r="D1226" s="5"/>
      <c r="E1226" s="5"/>
      <c r="F1226" s="5"/>
      <c r="G1226" s="5"/>
      <c r="H1226" s="5"/>
      <c r="I1226" s="5"/>
      <c r="J1226" s="5"/>
      <c r="K1226" s="5"/>
      <c r="L1226" s="5"/>
      <c r="M1226" s="5"/>
      <c r="N1226" s="5"/>
      <c r="O1226" s="5"/>
      <c r="P1226" s="5"/>
      <c r="Q1226" s="5"/>
      <c r="R1226" s="5"/>
      <c r="S1226" s="5"/>
      <c r="T1226" s="5"/>
      <c r="U1226" s="5"/>
      <c r="V1226" s="5"/>
      <c r="W1226" s="5"/>
      <c r="X1226" s="5"/>
      <c r="Y1226" s="5"/>
      <c r="Z1226" s="5"/>
      <c r="AA1226" s="5"/>
      <c r="AB1226" s="6"/>
      <c r="AC1226" s="6"/>
      <c r="AD1226" s="6"/>
      <c r="AE1226" s="6"/>
      <c r="AF1226" s="6"/>
      <c r="AG1226" s="6"/>
      <c r="AH1226" s="6"/>
      <c r="AI1226" s="6"/>
      <c r="AJ1226" s="6"/>
      <c r="AK1226" s="6"/>
      <c r="AL1226" s="6"/>
      <c r="AM1226" s="6"/>
      <c r="AN1226" s="6"/>
      <c r="AO1226" s="6"/>
      <c r="AP1226" s="6"/>
      <c r="AQ1226" s="6"/>
      <c r="AR1226" s="6"/>
      <c r="AS1226" s="6"/>
      <c r="AT1226" s="6"/>
      <c r="AU1226" s="6"/>
      <c r="AV1226" s="6"/>
      <c r="AW1226" s="6"/>
      <c r="AX1226" s="6"/>
      <c r="AY1226" s="6"/>
      <c r="AZ1226" s="6"/>
      <c r="BA1226" s="6"/>
      <c r="BB1226" s="6"/>
      <c r="BC1226" s="6"/>
      <c r="BD1226" s="6"/>
      <c r="BE1226" s="6"/>
      <c r="BF1226" s="6"/>
      <c r="BG1226" s="6"/>
      <c r="BH1226" s="6"/>
      <c r="BI1226" s="6"/>
      <c r="BJ1226" s="6"/>
      <c r="BK1226" s="6"/>
      <c r="BL1226" s="6"/>
      <c r="BM1226" s="5"/>
      <c r="BN1226" s="7"/>
      <c r="BO1226" s="7"/>
      <c r="BP1226" s="7"/>
    </row>
    <row r="1227" spans="1:68" s="400" customFormat="1" ht="14.25" customHeight="1" x14ac:dyDescent="0.25">
      <c r="A1227" s="5"/>
      <c r="B1227" s="5"/>
      <c r="C1227" s="5"/>
      <c r="D1227" s="5"/>
      <c r="E1227" s="5"/>
      <c r="F1227" s="5"/>
      <c r="G1227" s="5"/>
      <c r="H1227" s="5"/>
      <c r="I1227" s="5"/>
      <c r="J1227" s="5"/>
      <c r="K1227" s="5"/>
      <c r="L1227" s="5"/>
      <c r="M1227" s="5"/>
      <c r="N1227" s="5"/>
      <c r="O1227" s="5"/>
      <c r="P1227" s="5"/>
      <c r="Q1227" s="5"/>
      <c r="R1227" s="5"/>
      <c r="S1227" s="5"/>
      <c r="T1227" s="5"/>
      <c r="U1227" s="5"/>
      <c r="V1227" s="5"/>
      <c r="W1227" s="5"/>
      <c r="X1227" s="5"/>
      <c r="Y1227" s="5"/>
      <c r="Z1227" s="5"/>
      <c r="AA1227" s="5"/>
      <c r="AB1227" s="6"/>
      <c r="AC1227" s="6"/>
      <c r="AD1227" s="6"/>
      <c r="AE1227" s="6"/>
      <c r="AF1227" s="6"/>
      <c r="AG1227" s="6"/>
      <c r="AH1227" s="6"/>
      <c r="AI1227" s="6"/>
      <c r="AJ1227" s="6"/>
      <c r="AK1227" s="6"/>
      <c r="AL1227" s="6"/>
      <c r="AM1227" s="6"/>
      <c r="AN1227" s="6"/>
      <c r="AO1227" s="6"/>
      <c r="AP1227" s="6"/>
      <c r="AQ1227" s="6"/>
      <c r="AR1227" s="6"/>
      <c r="AS1227" s="6"/>
      <c r="AT1227" s="6"/>
      <c r="AU1227" s="6"/>
      <c r="AV1227" s="6"/>
      <c r="AW1227" s="6"/>
      <c r="AX1227" s="6"/>
      <c r="AY1227" s="6"/>
      <c r="AZ1227" s="6"/>
      <c r="BA1227" s="6"/>
      <c r="BB1227" s="6"/>
      <c r="BC1227" s="6"/>
      <c r="BD1227" s="6"/>
      <c r="BE1227" s="6"/>
      <c r="BF1227" s="6"/>
      <c r="BG1227" s="6"/>
      <c r="BH1227" s="6"/>
      <c r="BI1227" s="6"/>
      <c r="BJ1227" s="6"/>
      <c r="BK1227" s="6"/>
      <c r="BL1227" s="6"/>
      <c r="BM1227" s="5"/>
      <c r="BN1227" s="7"/>
      <c r="BO1227" s="7"/>
      <c r="BP1227" s="7"/>
    </row>
    <row r="1228" spans="1:68" s="400" customFormat="1" ht="14.25" customHeight="1" x14ac:dyDescent="0.25">
      <c r="A1228" s="5"/>
      <c r="B1228" s="5"/>
      <c r="C1228" s="5"/>
      <c r="D1228" s="5"/>
      <c r="E1228" s="5"/>
      <c r="F1228" s="5"/>
      <c r="G1228" s="5"/>
      <c r="H1228" s="5"/>
      <c r="I1228" s="5"/>
      <c r="J1228" s="5"/>
      <c r="K1228" s="5"/>
      <c r="L1228" s="5"/>
      <c r="M1228" s="5"/>
      <c r="N1228" s="5"/>
      <c r="O1228" s="5"/>
      <c r="P1228" s="5"/>
      <c r="Q1228" s="5"/>
      <c r="R1228" s="5"/>
      <c r="S1228" s="5"/>
      <c r="T1228" s="5"/>
      <c r="U1228" s="5"/>
      <c r="V1228" s="5"/>
      <c r="W1228" s="5"/>
      <c r="X1228" s="5"/>
      <c r="Y1228" s="5"/>
      <c r="Z1228" s="5"/>
      <c r="AA1228" s="5"/>
      <c r="AB1228" s="6"/>
      <c r="AC1228" s="6"/>
      <c r="AD1228" s="6"/>
      <c r="AE1228" s="6"/>
      <c r="AF1228" s="6"/>
      <c r="AG1228" s="6"/>
      <c r="AH1228" s="6"/>
      <c r="AI1228" s="6"/>
      <c r="AJ1228" s="6"/>
      <c r="AK1228" s="6"/>
      <c r="AL1228" s="6"/>
      <c r="AM1228" s="6"/>
      <c r="AN1228" s="6"/>
      <c r="AO1228" s="6"/>
      <c r="AP1228" s="6"/>
      <c r="AQ1228" s="6"/>
      <c r="AR1228" s="6"/>
      <c r="AS1228" s="6"/>
      <c r="AT1228" s="6"/>
      <c r="AU1228" s="6"/>
      <c r="AV1228" s="6"/>
      <c r="AW1228" s="6"/>
      <c r="AX1228" s="6"/>
      <c r="AY1228" s="6"/>
      <c r="AZ1228" s="6"/>
      <c r="BA1228" s="6"/>
      <c r="BB1228" s="6"/>
      <c r="BC1228" s="6"/>
      <c r="BD1228" s="6"/>
      <c r="BE1228" s="6"/>
      <c r="BF1228" s="6"/>
      <c r="BG1228" s="6"/>
      <c r="BH1228" s="6"/>
      <c r="BI1228" s="6"/>
      <c r="BJ1228" s="6"/>
      <c r="BK1228" s="6"/>
      <c r="BL1228" s="6"/>
      <c r="BM1228" s="5"/>
      <c r="BN1228" s="7"/>
      <c r="BO1228" s="7"/>
      <c r="BP1228" s="7"/>
    </row>
    <row r="1229" spans="1:68" s="400" customFormat="1" ht="14.25" customHeight="1" x14ac:dyDescent="0.25">
      <c r="A1229" s="5"/>
      <c r="B1229" s="5"/>
      <c r="C1229" s="5"/>
      <c r="D1229" s="5"/>
      <c r="E1229" s="5"/>
      <c r="F1229" s="5"/>
      <c r="G1229" s="5"/>
      <c r="H1229" s="5"/>
      <c r="I1229" s="5"/>
      <c r="J1229" s="5"/>
      <c r="K1229" s="5"/>
      <c r="L1229" s="5"/>
      <c r="M1229" s="5"/>
      <c r="N1229" s="5"/>
      <c r="O1229" s="5"/>
      <c r="P1229" s="5"/>
      <c r="Q1229" s="5"/>
      <c r="R1229" s="5"/>
      <c r="S1229" s="5"/>
      <c r="T1229" s="5"/>
      <c r="U1229" s="5"/>
      <c r="V1229" s="5"/>
      <c r="W1229" s="5"/>
      <c r="X1229" s="5"/>
      <c r="Y1229" s="5"/>
      <c r="Z1229" s="5"/>
      <c r="AA1229" s="5"/>
      <c r="AB1229" s="6"/>
      <c r="AC1229" s="6"/>
      <c r="AD1229" s="6"/>
      <c r="AE1229" s="6"/>
      <c r="AF1229" s="6"/>
      <c r="AG1229" s="6"/>
      <c r="AH1229" s="6"/>
      <c r="AI1229" s="6"/>
      <c r="AJ1229" s="6"/>
      <c r="AK1229" s="6"/>
      <c r="AL1229" s="6"/>
      <c r="AM1229" s="6"/>
      <c r="AN1229" s="6"/>
      <c r="AO1229" s="6"/>
      <c r="AP1229" s="6"/>
      <c r="AQ1229" s="6"/>
      <c r="AR1229" s="6"/>
      <c r="AS1229" s="6"/>
      <c r="AT1229" s="6"/>
      <c r="AU1229" s="6"/>
      <c r="AV1229" s="6"/>
      <c r="AW1229" s="6"/>
      <c r="AX1229" s="6"/>
      <c r="AY1229" s="6"/>
      <c r="AZ1229" s="6"/>
      <c r="BA1229" s="6"/>
      <c r="BB1229" s="6"/>
      <c r="BC1229" s="6"/>
      <c r="BD1229" s="6"/>
      <c r="BE1229" s="6"/>
      <c r="BF1229" s="6"/>
      <c r="BG1229" s="6"/>
      <c r="BH1229" s="6"/>
      <c r="BI1229" s="6"/>
      <c r="BJ1229" s="6"/>
      <c r="BK1229" s="6"/>
      <c r="BL1229" s="6"/>
      <c r="BM1229" s="5"/>
      <c r="BN1229" s="7"/>
      <c r="BO1229" s="7"/>
      <c r="BP1229" s="7"/>
    </row>
    <row r="1230" spans="1:68" s="400" customFormat="1" ht="14.25" customHeight="1" x14ac:dyDescent="0.25">
      <c r="A1230" s="5"/>
      <c r="B1230" s="5"/>
      <c r="C1230" s="5"/>
      <c r="D1230" s="5"/>
      <c r="E1230" s="5"/>
      <c r="F1230" s="5"/>
      <c r="G1230" s="5"/>
      <c r="H1230" s="5"/>
      <c r="I1230" s="5"/>
      <c r="J1230" s="5"/>
      <c r="K1230" s="5"/>
      <c r="L1230" s="5"/>
      <c r="M1230" s="5"/>
      <c r="N1230" s="5"/>
      <c r="O1230" s="5"/>
      <c r="P1230" s="5"/>
      <c r="Q1230" s="5"/>
      <c r="R1230" s="5"/>
      <c r="S1230" s="5"/>
      <c r="T1230" s="5"/>
      <c r="U1230" s="5"/>
      <c r="V1230" s="5"/>
      <c r="W1230" s="5"/>
      <c r="X1230" s="5"/>
      <c r="Y1230" s="5"/>
      <c r="Z1230" s="5"/>
      <c r="AA1230" s="5"/>
      <c r="AB1230" s="6"/>
      <c r="AC1230" s="6"/>
      <c r="AD1230" s="6"/>
      <c r="AE1230" s="6"/>
      <c r="AF1230" s="6"/>
      <c r="AG1230" s="6"/>
      <c r="AH1230" s="6"/>
      <c r="AI1230" s="6"/>
      <c r="AJ1230" s="6"/>
      <c r="AK1230" s="6"/>
      <c r="AL1230" s="6"/>
      <c r="AM1230" s="6"/>
      <c r="AN1230" s="6"/>
      <c r="AO1230" s="6"/>
      <c r="AP1230" s="6"/>
      <c r="AQ1230" s="6"/>
      <c r="AR1230" s="6"/>
      <c r="AS1230" s="6"/>
      <c r="AT1230" s="6"/>
      <c r="AU1230" s="6"/>
      <c r="AV1230" s="6"/>
      <c r="AW1230" s="6"/>
      <c r="AX1230" s="6"/>
      <c r="AY1230" s="6"/>
      <c r="AZ1230" s="6"/>
      <c r="BA1230" s="6"/>
      <c r="BB1230" s="6"/>
      <c r="BC1230" s="6"/>
      <c r="BD1230" s="6"/>
      <c r="BE1230" s="6"/>
      <c r="BF1230" s="6"/>
      <c r="BG1230" s="6"/>
      <c r="BH1230" s="6"/>
      <c r="BI1230" s="6"/>
      <c r="BJ1230" s="6"/>
      <c r="BK1230" s="6"/>
      <c r="BL1230" s="6"/>
      <c r="BM1230" s="5"/>
      <c r="BN1230" s="7"/>
      <c r="BO1230" s="7"/>
      <c r="BP1230" s="7"/>
    </row>
    <row r="1231" spans="1:68" s="400" customFormat="1" ht="14.25" customHeight="1" x14ac:dyDescent="0.25">
      <c r="A1231" s="5"/>
      <c r="B1231" s="5"/>
      <c r="C1231" s="5"/>
      <c r="D1231" s="5"/>
      <c r="E1231" s="5"/>
      <c r="F1231" s="5"/>
      <c r="G1231" s="5"/>
      <c r="H1231" s="5"/>
      <c r="I1231" s="5"/>
      <c r="J1231" s="5"/>
      <c r="K1231" s="5"/>
      <c r="L1231" s="5"/>
      <c r="M1231" s="5"/>
      <c r="N1231" s="5"/>
      <c r="O1231" s="5"/>
      <c r="P1231" s="5"/>
      <c r="Q1231" s="5"/>
      <c r="R1231" s="5"/>
      <c r="S1231" s="5"/>
      <c r="T1231" s="5"/>
      <c r="U1231" s="5"/>
      <c r="V1231" s="5"/>
      <c r="W1231" s="5"/>
      <c r="X1231" s="5"/>
      <c r="Y1231" s="5"/>
      <c r="Z1231" s="5"/>
      <c r="AA1231" s="5"/>
      <c r="AB1231" s="6"/>
      <c r="AC1231" s="6"/>
      <c r="AD1231" s="6"/>
      <c r="AE1231" s="6"/>
      <c r="AF1231" s="6"/>
      <c r="AG1231" s="6"/>
      <c r="AH1231" s="6"/>
      <c r="AI1231" s="6"/>
      <c r="AJ1231" s="6"/>
      <c r="AK1231" s="6"/>
      <c r="AL1231" s="6"/>
      <c r="AM1231" s="6"/>
      <c r="AN1231" s="6"/>
      <c r="AO1231" s="6"/>
      <c r="AP1231" s="6"/>
      <c r="AQ1231" s="6"/>
      <c r="AR1231" s="6"/>
      <c r="AS1231" s="6"/>
      <c r="AT1231" s="6"/>
      <c r="AU1231" s="6"/>
      <c r="AV1231" s="6"/>
      <c r="AW1231" s="6"/>
      <c r="AX1231" s="6"/>
      <c r="AY1231" s="6"/>
      <c r="AZ1231" s="6"/>
      <c r="BA1231" s="6"/>
      <c r="BB1231" s="6"/>
      <c r="BC1231" s="6"/>
      <c r="BD1231" s="6"/>
      <c r="BE1231" s="6"/>
      <c r="BF1231" s="6"/>
      <c r="BG1231" s="6"/>
      <c r="BH1231" s="6"/>
      <c r="BI1231" s="6"/>
      <c r="BJ1231" s="6"/>
      <c r="BK1231" s="6"/>
      <c r="BL1231" s="6"/>
      <c r="BM1231" s="5"/>
      <c r="BN1231" s="7"/>
      <c r="BO1231" s="7"/>
      <c r="BP1231" s="7"/>
    </row>
    <row r="1232" spans="1:68" s="400" customFormat="1" ht="14.25" customHeight="1" x14ac:dyDescent="0.25">
      <c r="A1232" s="5"/>
      <c r="B1232" s="5"/>
      <c r="C1232" s="5"/>
      <c r="D1232" s="5"/>
      <c r="E1232" s="5"/>
      <c r="F1232" s="5"/>
      <c r="G1232" s="5"/>
      <c r="H1232" s="5"/>
      <c r="I1232" s="5"/>
      <c r="J1232" s="5"/>
      <c r="K1232" s="5"/>
      <c r="L1232" s="5"/>
      <c r="M1232" s="5"/>
      <c r="N1232" s="5"/>
      <c r="O1232" s="5"/>
      <c r="P1232" s="5"/>
      <c r="Q1232" s="5"/>
      <c r="R1232" s="5"/>
      <c r="S1232" s="5"/>
      <c r="T1232" s="5"/>
      <c r="U1232" s="5"/>
      <c r="V1232" s="5"/>
      <c r="W1232" s="5"/>
      <c r="X1232" s="5"/>
      <c r="Y1232" s="5"/>
      <c r="Z1232" s="5"/>
      <c r="AA1232" s="5"/>
      <c r="AB1232" s="6"/>
      <c r="AC1232" s="6"/>
      <c r="AD1232" s="6"/>
      <c r="AE1232" s="6"/>
      <c r="AF1232" s="6"/>
      <c r="AG1232" s="6"/>
      <c r="AH1232" s="6"/>
      <c r="AI1232" s="6"/>
      <c r="AJ1232" s="6"/>
      <c r="AK1232" s="6"/>
      <c r="AL1232" s="6"/>
      <c r="AM1232" s="6"/>
      <c r="AN1232" s="6"/>
      <c r="AO1232" s="6"/>
      <c r="AP1232" s="6"/>
      <c r="AQ1232" s="6"/>
      <c r="AR1232" s="6"/>
      <c r="AS1232" s="6"/>
      <c r="AT1232" s="6"/>
      <c r="AU1232" s="6"/>
      <c r="AV1232" s="6"/>
      <c r="AW1232" s="6"/>
      <c r="AX1232" s="6"/>
      <c r="AY1232" s="6"/>
      <c r="AZ1232" s="6"/>
      <c r="BA1232" s="6"/>
      <c r="BB1232" s="6"/>
      <c r="BC1232" s="6"/>
      <c r="BD1232" s="6"/>
      <c r="BE1232" s="6"/>
      <c r="BF1232" s="6"/>
      <c r="BG1232" s="6"/>
      <c r="BH1232" s="6"/>
      <c r="BI1232" s="6"/>
      <c r="BJ1232" s="6"/>
      <c r="BK1232" s="6"/>
      <c r="BL1232" s="6"/>
      <c r="BM1232" s="5"/>
      <c r="BN1232" s="7"/>
      <c r="BO1232" s="7"/>
      <c r="BP1232" s="7"/>
    </row>
    <row r="1233" spans="1:68" s="400" customFormat="1" ht="14.25" customHeight="1" x14ac:dyDescent="0.25">
      <c r="A1233" s="5"/>
      <c r="B1233" s="5"/>
      <c r="C1233" s="5"/>
      <c r="D1233" s="5"/>
      <c r="E1233" s="5"/>
      <c r="F1233" s="5"/>
      <c r="G1233" s="5"/>
      <c r="H1233" s="5"/>
      <c r="I1233" s="5"/>
      <c r="J1233" s="5"/>
      <c r="K1233" s="5"/>
      <c r="L1233" s="5"/>
      <c r="M1233" s="5"/>
      <c r="N1233" s="5"/>
      <c r="O1233" s="5"/>
      <c r="P1233" s="5"/>
      <c r="Q1233" s="5"/>
      <c r="R1233" s="5"/>
      <c r="S1233" s="5"/>
      <c r="T1233" s="5"/>
      <c r="U1233" s="5"/>
      <c r="V1233" s="5"/>
      <c r="W1233" s="5"/>
      <c r="X1233" s="5"/>
      <c r="Y1233" s="5"/>
      <c r="Z1233" s="5"/>
      <c r="AA1233" s="5"/>
      <c r="AB1233" s="6"/>
      <c r="AC1233" s="6"/>
      <c r="AD1233" s="6"/>
      <c r="AE1233" s="6"/>
      <c r="AF1233" s="6"/>
      <c r="AG1233" s="6"/>
      <c r="AH1233" s="6"/>
      <c r="AI1233" s="6"/>
      <c r="AJ1233" s="6"/>
      <c r="AK1233" s="6"/>
      <c r="AL1233" s="6"/>
      <c r="AM1233" s="6"/>
      <c r="AN1233" s="6"/>
      <c r="AO1233" s="6"/>
      <c r="AP1233" s="6"/>
      <c r="AQ1233" s="6"/>
      <c r="AR1233" s="6"/>
      <c r="AS1233" s="6"/>
      <c r="AT1233" s="6"/>
      <c r="AU1233" s="6"/>
      <c r="AV1233" s="6"/>
      <c r="AW1233" s="6"/>
      <c r="AX1233" s="6"/>
      <c r="AY1233" s="6"/>
      <c r="AZ1233" s="6"/>
      <c r="BA1233" s="6"/>
      <c r="BB1233" s="6"/>
      <c r="BC1233" s="6"/>
      <c r="BD1233" s="6"/>
      <c r="BE1233" s="6"/>
      <c r="BF1233" s="6"/>
      <c r="BG1233" s="6"/>
      <c r="BH1233" s="6"/>
      <c r="BI1233" s="6"/>
      <c r="BJ1233" s="6"/>
      <c r="BK1233" s="6"/>
      <c r="BL1233" s="6"/>
      <c r="BM1233" s="5"/>
      <c r="BN1233" s="7"/>
      <c r="BO1233" s="7"/>
      <c r="BP1233" s="7"/>
    </row>
    <row r="1234" spans="1:68" s="400" customFormat="1" ht="14.25" customHeight="1" x14ac:dyDescent="0.25">
      <c r="A1234" s="5"/>
      <c r="B1234" s="5"/>
      <c r="C1234" s="5"/>
      <c r="D1234" s="5"/>
      <c r="E1234" s="5"/>
      <c r="F1234" s="5"/>
      <c r="G1234" s="5"/>
      <c r="H1234" s="5"/>
      <c r="I1234" s="5"/>
      <c r="J1234" s="5"/>
      <c r="K1234" s="5"/>
      <c r="L1234" s="5"/>
      <c r="M1234" s="5"/>
      <c r="N1234" s="5"/>
      <c r="O1234" s="5"/>
      <c r="P1234" s="5"/>
      <c r="Q1234" s="5"/>
      <c r="R1234" s="5"/>
      <c r="S1234" s="5"/>
      <c r="T1234" s="5"/>
      <c r="U1234" s="5"/>
      <c r="V1234" s="5"/>
      <c r="W1234" s="5"/>
      <c r="X1234" s="5"/>
      <c r="Y1234" s="5"/>
      <c r="Z1234" s="5"/>
      <c r="AA1234" s="5"/>
      <c r="AB1234" s="6"/>
      <c r="AC1234" s="6"/>
      <c r="AD1234" s="6"/>
      <c r="AE1234" s="6"/>
      <c r="AF1234" s="6"/>
      <c r="AG1234" s="6"/>
      <c r="AH1234" s="6"/>
      <c r="AI1234" s="6"/>
      <c r="AJ1234" s="6"/>
      <c r="AK1234" s="6"/>
      <c r="AL1234" s="6"/>
      <c r="AM1234" s="6"/>
      <c r="AN1234" s="6"/>
      <c r="AO1234" s="6"/>
      <c r="AP1234" s="6"/>
      <c r="AQ1234" s="6"/>
      <c r="AR1234" s="6"/>
      <c r="AS1234" s="6"/>
      <c r="AT1234" s="6"/>
      <c r="AU1234" s="6"/>
      <c r="AV1234" s="6"/>
      <c r="AW1234" s="6"/>
      <c r="AX1234" s="6"/>
      <c r="AY1234" s="6"/>
      <c r="AZ1234" s="6"/>
      <c r="BA1234" s="6"/>
      <c r="BB1234" s="6"/>
      <c r="BC1234" s="6"/>
      <c r="BD1234" s="6"/>
      <c r="BE1234" s="6"/>
      <c r="BF1234" s="6"/>
      <c r="BG1234" s="6"/>
      <c r="BH1234" s="6"/>
      <c r="BI1234" s="6"/>
      <c r="BJ1234" s="6"/>
      <c r="BK1234" s="6"/>
      <c r="BL1234" s="6"/>
      <c r="BM1234" s="5"/>
      <c r="BN1234" s="7"/>
      <c r="BO1234" s="7"/>
      <c r="BP1234" s="7"/>
    </row>
    <row r="1235" spans="1:68" s="400" customFormat="1" ht="14.25" customHeight="1" x14ac:dyDescent="0.25">
      <c r="A1235" s="5"/>
      <c r="B1235" s="5"/>
      <c r="C1235" s="5"/>
      <c r="D1235" s="5"/>
      <c r="E1235" s="5"/>
      <c r="F1235" s="5"/>
      <c r="G1235" s="5"/>
      <c r="H1235" s="5"/>
      <c r="I1235" s="5"/>
      <c r="J1235" s="5"/>
      <c r="K1235" s="5"/>
      <c r="L1235" s="5"/>
      <c r="M1235" s="5"/>
      <c r="N1235" s="5"/>
      <c r="O1235" s="5"/>
      <c r="P1235" s="5"/>
      <c r="Q1235" s="5"/>
      <c r="R1235" s="5"/>
      <c r="S1235" s="5"/>
      <c r="T1235" s="5"/>
      <c r="U1235" s="5"/>
      <c r="V1235" s="5"/>
      <c r="W1235" s="5"/>
      <c r="X1235" s="5"/>
      <c r="Y1235" s="5"/>
      <c r="Z1235" s="5"/>
      <c r="AA1235" s="5"/>
      <c r="AB1235" s="6"/>
      <c r="AC1235" s="6"/>
      <c r="AD1235" s="6"/>
      <c r="AE1235" s="6"/>
      <c r="AF1235" s="6"/>
      <c r="AG1235" s="6"/>
      <c r="AH1235" s="6"/>
      <c r="AI1235" s="6"/>
      <c r="AJ1235" s="6"/>
      <c r="AK1235" s="6"/>
      <c r="AL1235" s="6"/>
      <c r="AM1235" s="6"/>
      <c r="AN1235" s="6"/>
      <c r="AO1235" s="6"/>
      <c r="AP1235" s="6"/>
      <c r="AQ1235" s="6"/>
      <c r="AR1235" s="6"/>
      <c r="AS1235" s="6"/>
      <c r="AT1235" s="6"/>
      <c r="AU1235" s="6"/>
      <c r="AV1235" s="6"/>
      <c r="AW1235" s="6"/>
      <c r="AX1235" s="6"/>
      <c r="AY1235" s="6"/>
      <c r="AZ1235" s="6"/>
      <c r="BA1235" s="6"/>
      <c r="BB1235" s="6"/>
      <c r="BC1235" s="6"/>
      <c r="BD1235" s="6"/>
      <c r="BE1235" s="6"/>
      <c r="BF1235" s="6"/>
      <c r="BG1235" s="6"/>
      <c r="BH1235" s="6"/>
      <c r="BI1235" s="6"/>
      <c r="BJ1235" s="6"/>
      <c r="BK1235" s="6"/>
      <c r="BL1235" s="6"/>
      <c r="BM1235" s="5"/>
      <c r="BN1235" s="7"/>
      <c r="BO1235" s="7"/>
      <c r="BP1235" s="7"/>
    </row>
    <row r="1236" spans="1:68" s="400" customFormat="1" ht="14.25" customHeight="1" x14ac:dyDescent="0.25">
      <c r="A1236" s="5"/>
      <c r="B1236" s="5"/>
      <c r="C1236" s="5"/>
      <c r="D1236" s="5"/>
      <c r="E1236" s="5"/>
      <c r="F1236" s="5"/>
      <c r="G1236" s="5"/>
      <c r="H1236" s="5"/>
      <c r="I1236" s="5"/>
      <c r="J1236" s="5"/>
      <c r="K1236" s="5"/>
      <c r="L1236" s="5"/>
      <c r="M1236" s="5"/>
      <c r="N1236" s="5"/>
      <c r="O1236" s="5"/>
      <c r="P1236" s="5"/>
      <c r="Q1236" s="5"/>
      <c r="R1236" s="5"/>
      <c r="S1236" s="5"/>
      <c r="T1236" s="5"/>
      <c r="U1236" s="5"/>
      <c r="V1236" s="5"/>
      <c r="W1236" s="5"/>
      <c r="X1236" s="5"/>
      <c r="Y1236" s="5"/>
      <c r="Z1236" s="5"/>
      <c r="AA1236" s="5"/>
      <c r="AB1236" s="6"/>
      <c r="AC1236" s="6"/>
      <c r="AD1236" s="6"/>
      <c r="AE1236" s="6"/>
      <c r="AF1236" s="6"/>
      <c r="AG1236" s="6"/>
      <c r="AH1236" s="6"/>
      <c r="AI1236" s="6"/>
      <c r="AJ1236" s="6"/>
      <c r="AK1236" s="6"/>
      <c r="AL1236" s="6"/>
      <c r="AM1236" s="6"/>
      <c r="AN1236" s="6"/>
      <c r="AO1236" s="6"/>
      <c r="AP1236" s="6"/>
      <c r="AQ1236" s="6"/>
      <c r="AR1236" s="6"/>
      <c r="AS1236" s="6"/>
      <c r="AT1236" s="6"/>
      <c r="AU1236" s="6"/>
      <c r="AV1236" s="6"/>
      <c r="AW1236" s="6"/>
      <c r="AX1236" s="6"/>
      <c r="AY1236" s="6"/>
      <c r="AZ1236" s="6"/>
      <c r="BA1236" s="6"/>
      <c r="BB1236" s="6"/>
      <c r="BC1236" s="6"/>
      <c r="BD1236" s="6"/>
      <c r="BE1236" s="6"/>
      <c r="BF1236" s="6"/>
      <c r="BG1236" s="6"/>
      <c r="BH1236" s="6"/>
      <c r="BI1236" s="6"/>
      <c r="BJ1236" s="6"/>
      <c r="BK1236" s="6"/>
      <c r="BL1236" s="6"/>
      <c r="BM1236" s="5"/>
      <c r="BN1236" s="7"/>
      <c r="BO1236" s="7"/>
      <c r="BP1236" s="7"/>
    </row>
    <row r="1237" spans="1:68" s="400" customFormat="1" ht="14.25" customHeight="1" x14ac:dyDescent="0.25">
      <c r="A1237" s="5"/>
      <c r="B1237" s="5"/>
      <c r="C1237" s="5"/>
      <c r="D1237" s="5"/>
      <c r="E1237" s="5"/>
      <c r="F1237" s="5"/>
      <c r="G1237" s="5"/>
      <c r="H1237" s="5"/>
      <c r="I1237" s="5"/>
      <c r="J1237" s="5"/>
      <c r="K1237" s="5"/>
      <c r="L1237" s="5"/>
      <c r="M1237" s="5"/>
      <c r="N1237" s="5"/>
      <c r="O1237" s="5"/>
      <c r="P1237" s="5"/>
      <c r="Q1237" s="5"/>
      <c r="R1237" s="5"/>
      <c r="S1237" s="5"/>
      <c r="T1237" s="5"/>
      <c r="U1237" s="5"/>
      <c r="V1237" s="5"/>
      <c r="W1237" s="5"/>
      <c r="X1237" s="5"/>
      <c r="Y1237" s="5"/>
      <c r="Z1237" s="5"/>
      <c r="AA1237" s="5"/>
      <c r="AB1237" s="6"/>
      <c r="AC1237" s="6"/>
      <c r="AD1237" s="6"/>
      <c r="AE1237" s="6"/>
      <c r="AF1237" s="6"/>
      <c r="AG1237" s="6"/>
      <c r="AH1237" s="6"/>
      <c r="AI1237" s="6"/>
      <c r="AJ1237" s="6"/>
      <c r="AK1237" s="6"/>
      <c r="AL1237" s="6"/>
      <c r="AM1237" s="6"/>
      <c r="AN1237" s="6"/>
      <c r="AO1237" s="6"/>
      <c r="AP1237" s="6"/>
      <c r="AQ1237" s="6"/>
      <c r="AR1237" s="6"/>
      <c r="AS1237" s="6"/>
      <c r="AT1237" s="6"/>
      <c r="AU1237" s="6"/>
      <c r="AV1237" s="6"/>
      <c r="AW1237" s="6"/>
      <c r="AX1237" s="6"/>
      <c r="AY1237" s="6"/>
      <c r="AZ1237" s="6"/>
      <c r="BA1237" s="6"/>
      <c r="BB1237" s="6"/>
      <c r="BC1237" s="6"/>
      <c r="BD1237" s="6"/>
      <c r="BE1237" s="6"/>
      <c r="BF1237" s="6"/>
      <c r="BG1237" s="6"/>
      <c r="BH1237" s="6"/>
      <c r="BI1237" s="6"/>
      <c r="BJ1237" s="6"/>
      <c r="BK1237" s="6"/>
      <c r="BL1237" s="6"/>
      <c r="BM1237" s="5"/>
      <c r="BN1237" s="7"/>
      <c r="BO1237" s="7"/>
      <c r="BP1237" s="7"/>
    </row>
    <row r="1238" spans="1:68" s="400" customFormat="1" ht="14.25" customHeight="1" x14ac:dyDescent="0.25">
      <c r="A1238" s="5"/>
      <c r="B1238" s="5"/>
      <c r="C1238" s="5"/>
      <c r="D1238" s="5"/>
      <c r="E1238" s="5"/>
      <c r="F1238" s="5"/>
      <c r="G1238" s="5"/>
      <c r="H1238" s="5"/>
      <c r="I1238" s="5"/>
      <c r="J1238" s="5"/>
      <c r="K1238" s="5"/>
      <c r="L1238" s="5"/>
      <c r="M1238" s="5"/>
      <c r="N1238" s="5"/>
      <c r="O1238" s="5"/>
      <c r="P1238" s="5"/>
      <c r="Q1238" s="5"/>
      <c r="R1238" s="5"/>
      <c r="S1238" s="5"/>
      <c r="T1238" s="5"/>
      <c r="U1238" s="5"/>
      <c r="V1238" s="5"/>
      <c r="W1238" s="5"/>
      <c r="X1238" s="5"/>
      <c r="Y1238" s="5"/>
      <c r="Z1238" s="5"/>
      <c r="AA1238" s="5"/>
      <c r="AB1238" s="6"/>
      <c r="AC1238" s="6"/>
      <c r="AD1238" s="6"/>
      <c r="AE1238" s="6"/>
      <c r="AF1238" s="6"/>
      <c r="AG1238" s="6"/>
      <c r="AH1238" s="6"/>
      <c r="AI1238" s="6"/>
      <c r="AJ1238" s="6"/>
      <c r="AK1238" s="6"/>
      <c r="AL1238" s="6"/>
      <c r="AM1238" s="6"/>
      <c r="AN1238" s="6"/>
      <c r="AO1238" s="6"/>
      <c r="AP1238" s="6"/>
      <c r="AQ1238" s="6"/>
      <c r="AR1238" s="6"/>
      <c r="AS1238" s="6"/>
      <c r="AT1238" s="6"/>
      <c r="AU1238" s="6"/>
      <c r="AV1238" s="6"/>
      <c r="AW1238" s="6"/>
      <c r="AX1238" s="6"/>
      <c r="AY1238" s="6"/>
      <c r="AZ1238" s="6"/>
      <c r="BA1238" s="6"/>
      <c r="BB1238" s="6"/>
      <c r="BC1238" s="6"/>
      <c r="BD1238" s="6"/>
      <c r="BE1238" s="6"/>
      <c r="BF1238" s="6"/>
      <c r="BG1238" s="6"/>
      <c r="BH1238" s="6"/>
      <c r="BI1238" s="6"/>
      <c r="BJ1238" s="6"/>
      <c r="BK1238" s="6"/>
      <c r="BL1238" s="6"/>
      <c r="BM1238" s="5"/>
      <c r="BN1238" s="7"/>
      <c r="BO1238" s="7"/>
      <c r="BP1238" s="7"/>
    </row>
    <row r="1239" spans="1:68" s="400" customFormat="1" ht="14.25" customHeight="1" x14ac:dyDescent="0.25">
      <c r="A1239" s="5"/>
      <c r="B1239" s="5"/>
      <c r="C1239" s="5"/>
      <c r="D1239" s="5"/>
      <c r="E1239" s="5"/>
      <c r="F1239" s="5"/>
      <c r="G1239" s="5"/>
      <c r="H1239" s="5"/>
      <c r="I1239" s="5"/>
      <c r="J1239" s="5"/>
      <c r="K1239" s="5"/>
      <c r="L1239" s="5"/>
      <c r="M1239" s="5"/>
      <c r="N1239" s="5"/>
      <c r="O1239" s="5"/>
      <c r="P1239" s="5"/>
      <c r="Q1239" s="5"/>
      <c r="R1239" s="5"/>
      <c r="S1239" s="5"/>
      <c r="T1239" s="5"/>
      <c r="U1239" s="5"/>
      <c r="V1239" s="5"/>
      <c r="W1239" s="5"/>
      <c r="X1239" s="5"/>
      <c r="Y1239" s="5"/>
      <c r="Z1239" s="5"/>
      <c r="AA1239" s="5"/>
      <c r="AB1239" s="6"/>
      <c r="AC1239" s="6"/>
      <c r="AD1239" s="6"/>
      <c r="AE1239" s="6"/>
      <c r="AF1239" s="6"/>
      <c r="AG1239" s="6"/>
      <c r="AH1239" s="6"/>
      <c r="AI1239" s="6"/>
      <c r="AJ1239" s="6"/>
      <c r="AK1239" s="6"/>
      <c r="AL1239" s="6"/>
      <c r="AM1239" s="6"/>
      <c r="AN1239" s="6"/>
      <c r="AO1239" s="6"/>
      <c r="AP1239" s="6"/>
      <c r="AQ1239" s="6"/>
      <c r="AR1239" s="6"/>
      <c r="AS1239" s="6"/>
      <c r="AT1239" s="6"/>
      <c r="AU1239" s="6"/>
      <c r="AV1239" s="6"/>
      <c r="AW1239" s="6"/>
      <c r="AX1239" s="6"/>
      <c r="AY1239" s="6"/>
      <c r="AZ1239" s="6"/>
      <c r="BA1239" s="6"/>
      <c r="BB1239" s="6"/>
      <c r="BC1239" s="6"/>
      <c r="BD1239" s="6"/>
      <c r="BE1239" s="6"/>
      <c r="BF1239" s="6"/>
      <c r="BG1239" s="6"/>
      <c r="BH1239" s="6"/>
      <c r="BI1239" s="6"/>
      <c r="BJ1239" s="6"/>
      <c r="BK1239" s="6"/>
      <c r="BL1239" s="6"/>
      <c r="BM1239" s="5"/>
      <c r="BN1239" s="7"/>
      <c r="BO1239" s="7"/>
      <c r="BP1239" s="7"/>
    </row>
    <row r="1240" spans="1:68" s="400" customFormat="1" ht="14.25" customHeight="1" x14ac:dyDescent="0.25">
      <c r="A1240" s="5"/>
      <c r="B1240" s="5"/>
      <c r="C1240" s="5"/>
      <c r="D1240" s="5"/>
      <c r="E1240" s="5"/>
      <c r="F1240" s="5"/>
      <c r="G1240" s="5"/>
      <c r="H1240" s="5"/>
      <c r="I1240" s="5"/>
      <c r="J1240" s="5"/>
      <c r="K1240" s="5"/>
      <c r="L1240" s="5"/>
      <c r="M1240" s="5"/>
      <c r="N1240" s="5"/>
      <c r="O1240" s="5"/>
      <c r="P1240" s="5"/>
      <c r="Q1240" s="5"/>
      <c r="R1240" s="5"/>
      <c r="S1240" s="5"/>
      <c r="T1240" s="5"/>
      <c r="U1240" s="5"/>
      <c r="V1240" s="5"/>
      <c r="W1240" s="5"/>
      <c r="X1240" s="5"/>
      <c r="Y1240" s="5"/>
      <c r="Z1240" s="5"/>
      <c r="AA1240" s="5"/>
      <c r="AB1240" s="6"/>
      <c r="AC1240" s="6"/>
      <c r="AD1240" s="6"/>
      <c r="AE1240" s="6"/>
      <c r="AF1240" s="6"/>
      <c r="AG1240" s="6"/>
      <c r="AH1240" s="6"/>
      <c r="AI1240" s="6"/>
      <c r="AJ1240" s="6"/>
      <c r="AK1240" s="6"/>
      <c r="AL1240" s="6"/>
      <c r="AM1240" s="6"/>
      <c r="AN1240" s="6"/>
      <c r="AO1240" s="6"/>
      <c r="AP1240" s="6"/>
      <c r="AQ1240" s="6"/>
      <c r="AR1240" s="6"/>
      <c r="AS1240" s="6"/>
      <c r="AT1240" s="6"/>
      <c r="AU1240" s="6"/>
      <c r="AV1240" s="6"/>
      <c r="AW1240" s="6"/>
      <c r="AX1240" s="6"/>
      <c r="AY1240" s="6"/>
      <c r="AZ1240" s="6"/>
      <c r="BA1240" s="6"/>
      <c r="BB1240" s="6"/>
      <c r="BC1240" s="6"/>
      <c r="BD1240" s="6"/>
      <c r="BE1240" s="6"/>
      <c r="BF1240" s="6"/>
      <c r="BG1240" s="6"/>
      <c r="BH1240" s="6"/>
      <c r="BI1240" s="6"/>
      <c r="BJ1240" s="6"/>
      <c r="BK1240" s="6"/>
      <c r="BL1240" s="6"/>
      <c r="BM1240" s="5"/>
      <c r="BN1240" s="7"/>
      <c r="BO1240" s="7"/>
      <c r="BP1240" s="7"/>
    </row>
    <row r="1241" spans="1:68" s="400" customFormat="1" ht="14.25" customHeight="1" x14ac:dyDescent="0.25">
      <c r="A1241" s="5"/>
      <c r="B1241" s="5"/>
      <c r="C1241" s="5"/>
      <c r="D1241" s="5"/>
      <c r="E1241" s="5"/>
      <c r="F1241" s="5"/>
      <c r="G1241" s="5"/>
      <c r="H1241" s="5"/>
      <c r="I1241" s="5"/>
      <c r="J1241" s="5"/>
      <c r="K1241" s="5"/>
      <c r="L1241" s="5"/>
      <c r="M1241" s="5"/>
      <c r="N1241" s="5"/>
      <c r="O1241" s="5"/>
      <c r="P1241" s="5"/>
      <c r="Q1241" s="5"/>
      <c r="R1241" s="5"/>
      <c r="S1241" s="5"/>
      <c r="T1241" s="5"/>
      <c r="U1241" s="5"/>
      <c r="V1241" s="5"/>
      <c r="W1241" s="5"/>
      <c r="X1241" s="5"/>
      <c r="Y1241" s="5"/>
      <c r="Z1241" s="5"/>
      <c r="AA1241" s="5"/>
      <c r="AB1241" s="6"/>
      <c r="AC1241" s="6"/>
      <c r="AD1241" s="6"/>
      <c r="AE1241" s="6"/>
      <c r="AF1241" s="6"/>
      <c r="AG1241" s="6"/>
      <c r="AH1241" s="6"/>
      <c r="AI1241" s="6"/>
      <c r="AJ1241" s="6"/>
      <c r="AK1241" s="6"/>
      <c r="AL1241" s="6"/>
      <c r="AM1241" s="6"/>
      <c r="AN1241" s="6"/>
      <c r="AO1241" s="6"/>
      <c r="AP1241" s="6"/>
      <c r="AQ1241" s="6"/>
      <c r="AR1241" s="6"/>
      <c r="AS1241" s="6"/>
      <c r="AT1241" s="6"/>
      <c r="AU1241" s="6"/>
      <c r="AV1241" s="6"/>
      <c r="AW1241" s="6"/>
      <c r="AX1241" s="6"/>
      <c r="AY1241" s="6"/>
      <c r="AZ1241" s="6"/>
      <c r="BA1241" s="6"/>
      <c r="BB1241" s="6"/>
      <c r="BC1241" s="6"/>
      <c r="BD1241" s="6"/>
      <c r="BE1241" s="6"/>
      <c r="BF1241" s="6"/>
      <c r="BG1241" s="6"/>
      <c r="BH1241" s="6"/>
      <c r="BI1241" s="6"/>
      <c r="BJ1241" s="6"/>
      <c r="BK1241" s="6"/>
      <c r="BL1241" s="6"/>
      <c r="BM1241" s="5"/>
      <c r="BN1241" s="7"/>
      <c r="BO1241" s="7"/>
      <c r="BP1241" s="7"/>
    </row>
    <row r="1242" spans="1:68" s="400" customFormat="1" ht="14.25" customHeight="1" x14ac:dyDescent="0.25">
      <c r="A1242" s="5"/>
      <c r="B1242" s="5"/>
      <c r="C1242" s="5"/>
      <c r="D1242" s="5"/>
      <c r="E1242" s="5"/>
      <c r="F1242" s="5"/>
      <c r="G1242" s="5"/>
      <c r="H1242" s="5"/>
      <c r="I1242" s="5"/>
      <c r="J1242" s="5"/>
      <c r="K1242" s="5"/>
      <c r="L1242" s="5"/>
      <c r="M1242" s="5"/>
      <c r="N1242" s="5"/>
      <c r="O1242" s="5"/>
      <c r="P1242" s="5"/>
      <c r="Q1242" s="5"/>
      <c r="R1242" s="5"/>
      <c r="S1242" s="5"/>
      <c r="T1242" s="5"/>
      <c r="U1242" s="5"/>
      <c r="V1242" s="5"/>
      <c r="W1242" s="5"/>
      <c r="X1242" s="5"/>
      <c r="Y1242" s="5"/>
      <c r="Z1242" s="5"/>
      <c r="AA1242" s="5"/>
      <c r="AB1242" s="6"/>
      <c r="AC1242" s="6"/>
      <c r="AD1242" s="6"/>
      <c r="AE1242" s="6"/>
      <c r="AF1242" s="6"/>
      <c r="AG1242" s="6"/>
      <c r="AH1242" s="6"/>
      <c r="AI1242" s="6"/>
      <c r="AJ1242" s="6"/>
      <c r="AK1242" s="6"/>
      <c r="AL1242" s="6"/>
      <c r="AM1242" s="6"/>
      <c r="AN1242" s="6"/>
      <c r="AO1242" s="6"/>
      <c r="AP1242" s="6"/>
      <c r="AQ1242" s="6"/>
      <c r="AR1242" s="6"/>
      <c r="AS1242" s="6"/>
      <c r="AT1242" s="6"/>
      <c r="AU1242" s="6"/>
      <c r="AV1242" s="6"/>
      <c r="AW1242" s="6"/>
      <c r="AX1242" s="6"/>
      <c r="AY1242" s="6"/>
      <c r="AZ1242" s="6"/>
      <c r="BA1242" s="6"/>
      <c r="BB1242" s="6"/>
      <c r="BC1242" s="6"/>
      <c r="BD1242" s="6"/>
      <c r="BE1242" s="6"/>
      <c r="BF1242" s="6"/>
      <c r="BG1242" s="6"/>
      <c r="BH1242" s="6"/>
      <c r="BI1242" s="6"/>
      <c r="BJ1242" s="6"/>
      <c r="BK1242" s="6"/>
      <c r="BL1242" s="6"/>
      <c r="BM1242" s="5"/>
      <c r="BN1242" s="7"/>
      <c r="BO1242" s="7"/>
      <c r="BP1242" s="7"/>
    </row>
    <row r="1243" spans="1:68" s="400" customFormat="1" ht="14.25" customHeight="1" x14ac:dyDescent="0.25">
      <c r="A1243" s="5"/>
      <c r="B1243" s="5"/>
      <c r="C1243" s="5"/>
      <c r="D1243" s="5"/>
      <c r="E1243" s="5"/>
      <c r="F1243" s="5"/>
      <c r="G1243" s="5"/>
      <c r="H1243" s="5"/>
      <c r="I1243" s="5"/>
      <c r="J1243" s="5"/>
      <c r="K1243" s="5"/>
      <c r="L1243" s="5"/>
      <c r="M1243" s="5"/>
      <c r="N1243" s="5"/>
      <c r="O1243" s="5"/>
      <c r="P1243" s="5"/>
      <c r="Q1243" s="5"/>
      <c r="R1243" s="5"/>
      <c r="S1243" s="5"/>
      <c r="T1243" s="5"/>
      <c r="U1243" s="5"/>
      <c r="V1243" s="5"/>
      <c r="W1243" s="5"/>
      <c r="X1243" s="5"/>
      <c r="Y1243" s="5"/>
      <c r="Z1243" s="5"/>
      <c r="AA1243" s="5"/>
      <c r="AB1243" s="6"/>
      <c r="AC1243" s="6"/>
      <c r="AD1243" s="6"/>
      <c r="AE1243" s="6"/>
      <c r="AF1243" s="6"/>
      <c r="AG1243" s="6"/>
      <c r="AH1243" s="6"/>
      <c r="AI1243" s="6"/>
      <c r="AJ1243" s="6"/>
      <c r="AK1243" s="6"/>
      <c r="AL1243" s="6"/>
      <c r="AM1243" s="6"/>
      <c r="AN1243" s="6"/>
      <c r="AO1243" s="6"/>
      <c r="AP1243" s="6"/>
      <c r="AQ1243" s="6"/>
      <c r="AR1243" s="6"/>
      <c r="AS1243" s="6"/>
      <c r="AT1243" s="6"/>
      <c r="AU1243" s="6"/>
      <c r="AV1243" s="6"/>
      <c r="AW1243" s="6"/>
      <c r="AX1243" s="6"/>
      <c r="AY1243" s="6"/>
      <c r="AZ1243" s="6"/>
      <c r="BA1243" s="6"/>
      <c r="BB1243" s="6"/>
      <c r="BC1243" s="6"/>
      <c r="BD1243" s="6"/>
      <c r="BE1243" s="6"/>
      <c r="BF1243" s="6"/>
      <c r="BG1243" s="6"/>
      <c r="BH1243" s="6"/>
      <c r="BI1243" s="6"/>
      <c r="BJ1243" s="6"/>
      <c r="BK1243" s="6"/>
      <c r="BL1243" s="6"/>
      <c r="BM1243" s="5"/>
      <c r="BN1243" s="7"/>
      <c r="BO1243" s="7"/>
      <c r="BP1243" s="7"/>
    </row>
    <row r="1244" spans="1:68" s="400" customFormat="1" ht="14.25" customHeight="1" x14ac:dyDescent="0.25">
      <c r="A1244" s="5"/>
      <c r="B1244" s="5"/>
      <c r="C1244" s="5"/>
      <c r="D1244" s="5"/>
      <c r="E1244" s="5"/>
      <c r="F1244" s="5"/>
      <c r="G1244" s="5"/>
      <c r="H1244" s="5"/>
      <c r="I1244" s="5"/>
      <c r="J1244" s="5"/>
      <c r="K1244" s="5"/>
      <c r="L1244" s="5"/>
      <c r="M1244" s="5"/>
      <c r="N1244" s="5"/>
      <c r="O1244" s="5"/>
      <c r="P1244" s="5"/>
      <c r="Q1244" s="5"/>
      <c r="R1244" s="5"/>
      <c r="S1244" s="5"/>
      <c r="T1244" s="5"/>
      <c r="U1244" s="5"/>
      <c r="V1244" s="5"/>
      <c r="W1244" s="5"/>
      <c r="X1244" s="5"/>
      <c r="Y1244" s="5"/>
      <c r="Z1244" s="5"/>
      <c r="AA1244" s="5"/>
      <c r="AB1244" s="6"/>
      <c r="AC1244" s="6"/>
      <c r="AD1244" s="6"/>
      <c r="AE1244" s="6"/>
      <c r="AF1244" s="6"/>
      <c r="AG1244" s="6"/>
      <c r="AH1244" s="6"/>
      <c r="AI1244" s="6"/>
      <c r="AJ1244" s="6"/>
      <c r="AK1244" s="6"/>
      <c r="AL1244" s="6"/>
      <c r="AM1244" s="6"/>
      <c r="AN1244" s="6"/>
      <c r="AO1244" s="6"/>
      <c r="AP1244" s="6"/>
      <c r="AQ1244" s="6"/>
      <c r="AR1244" s="6"/>
      <c r="AS1244" s="6"/>
      <c r="AT1244" s="6"/>
      <c r="AU1244" s="6"/>
      <c r="AV1244" s="6"/>
      <c r="AW1244" s="6"/>
      <c r="AX1244" s="6"/>
      <c r="AY1244" s="6"/>
      <c r="AZ1244" s="6"/>
      <c r="BA1244" s="6"/>
      <c r="BB1244" s="6"/>
      <c r="BC1244" s="6"/>
      <c r="BD1244" s="6"/>
      <c r="BE1244" s="6"/>
      <c r="BF1244" s="6"/>
      <c r="BG1244" s="6"/>
      <c r="BH1244" s="6"/>
      <c r="BI1244" s="6"/>
      <c r="BJ1244" s="6"/>
      <c r="BK1244" s="6"/>
      <c r="BL1244" s="6"/>
      <c r="BM1244" s="5"/>
      <c r="BN1244" s="7"/>
      <c r="BO1244" s="7"/>
      <c r="BP1244" s="7"/>
    </row>
    <row r="1245" spans="1:68" s="400" customFormat="1" ht="14.25" customHeight="1" x14ac:dyDescent="0.25">
      <c r="A1245" s="5"/>
      <c r="B1245" s="5"/>
      <c r="C1245" s="5"/>
      <c r="D1245" s="5"/>
      <c r="E1245" s="5"/>
      <c r="F1245" s="5"/>
      <c r="G1245" s="5"/>
      <c r="H1245" s="5"/>
      <c r="I1245" s="5"/>
      <c r="J1245" s="5"/>
      <c r="K1245" s="5"/>
      <c r="L1245" s="5"/>
      <c r="M1245" s="5"/>
      <c r="N1245" s="5"/>
      <c r="O1245" s="5"/>
      <c r="P1245" s="5"/>
      <c r="Q1245" s="5"/>
      <c r="R1245" s="5"/>
      <c r="S1245" s="5"/>
      <c r="T1245" s="5"/>
      <c r="U1245" s="5"/>
      <c r="V1245" s="5"/>
      <c r="W1245" s="5"/>
      <c r="X1245" s="5"/>
      <c r="Y1245" s="5"/>
      <c r="Z1245" s="5"/>
      <c r="AA1245" s="5"/>
      <c r="AB1245" s="6"/>
      <c r="AC1245" s="6"/>
      <c r="AD1245" s="6"/>
      <c r="AE1245" s="6"/>
      <c r="AF1245" s="6"/>
      <c r="AG1245" s="6"/>
      <c r="AH1245" s="6"/>
      <c r="AI1245" s="6"/>
      <c r="AJ1245" s="6"/>
      <c r="AK1245" s="6"/>
      <c r="AL1245" s="6"/>
      <c r="AM1245" s="6"/>
      <c r="AN1245" s="6"/>
      <c r="AO1245" s="6"/>
      <c r="AP1245" s="6"/>
      <c r="AQ1245" s="6"/>
      <c r="AR1245" s="6"/>
      <c r="AS1245" s="6"/>
      <c r="AT1245" s="6"/>
      <c r="AU1245" s="6"/>
      <c r="AV1245" s="6"/>
      <c r="AW1245" s="6"/>
      <c r="AX1245" s="6"/>
      <c r="AY1245" s="6"/>
      <c r="AZ1245" s="6"/>
      <c r="BA1245" s="6"/>
      <c r="BB1245" s="6"/>
      <c r="BC1245" s="6"/>
      <c r="BD1245" s="6"/>
      <c r="BE1245" s="6"/>
      <c r="BF1245" s="6"/>
      <c r="BG1245" s="6"/>
      <c r="BH1245" s="6"/>
      <c r="BI1245" s="6"/>
      <c r="BJ1245" s="6"/>
      <c r="BK1245" s="6"/>
      <c r="BL1245" s="6"/>
      <c r="BM1245" s="5"/>
      <c r="BN1245" s="7"/>
      <c r="BO1245" s="7"/>
      <c r="BP1245" s="7"/>
    </row>
    <row r="1246" spans="1:68" s="400" customFormat="1" ht="14.25" customHeight="1" x14ac:dyDescent="0.25">
      <c r="A1246" s="5"/>
      <c r="B1246" s="5"/>
      <c r="C1246" s="5"/>
      <c r="D1246" s="5"/>
      <c r="E1246" s="5"/>
      <c r="F1246" s="5"/>
      <c r="G1246" s="5"/>
      <c r="H1246" s="5"/>
      <c r="I1246" s="5"/>
      <c r="J1246" s="5"/>
      <c r="K1246" s="5"/>
      <c r="L1246" s="5"/>
      <c r="M1246" s="5"/>
      <c r="N1246" s="5"/>
      <c r="O1246" s="5"/>
      <c r="P1246" s="5"/>
      <c r="Q1246" s="5"/>
      <c r="R1246" s="5"/>
      <c r="S1246" s="5"/>
      <c r="T1246" s="5"/>
      <c r="U1246" s="5"/>
      <c r="V1246" s="5"/>
      <c r="W1246" s="5"/>
      <c r="X1246" s="5"/>
      <c r="Y1246" s="5"/>
      <c r="Z1246" s="5"/>
      <c r="AA1246" s="5"/>
      <c r="AB1246" s="6"/>
      <c r="AC1246" s="6"/>
      <c r="AD1246" s="6"/>
      <c r="AE1246" s="6"/>
      <c r="AF1246" s="6"/>
      <c r="AG1246" s="6"/>
      <c r="AH1246" s="6"/>
      <c r="AI1246" s="6"/>
      <c r="AJ1246" s="6"/>
      <c r="AK1246" s="6"/>
      <c r="AL1246" s="6"/>
      <c r="AM1246" s="6"/>
      <c r="AN1246" s="6"/>
      <c r="AO1246" s="6"/>
      <c r="AP1246" s="6"/>
      <c r="AQ1246" s="6"/>
      <c r="AR1246" s="6"/>
      <c r="AS1246" s="6"/>
      <c r="AT1246" s="6"/>
      <c r="AU1246" s="6"/>
      <c r="AV1246" s="6"/>
      <c r="AW1246" s="6"/>
      <c r="AX1246" s="6"/>
      <c r="AY1246" s="6"/>
      <c r="AZ1246" s="6"/>
      <c r="BA1246" s="6"/>
      <c r="BB1246" s="6"/>
      <c r="BC1246" s="6"/>
      <c r="BD1246" s="6"/>
      <c r="BE1246" s="6"/>
      <c r="BF1246" s="6"/>
      <c r="BG1246" s="6"/>
      <c r="BH1246" s="6"/>
      <c r="BI1246" s="6"/>
      <c r="BJ1246" s="6"/>
      <c r="BK1246" s="6"/>
      <c r="BL1246" s="6"/>
      <c r="BM1246" s="5"/>
      <c r="BN1246" s="7"/>
      <c r="BO1246" s="7"/>
      <c r="BP1246" s="7"/>
    </row>
    <row r="1247" spans="1:68" s="400" customFormat="1" ht="14.25" customHeight="1" x14ac:dyDescent="0.25">
      <c r="A1247" s="5"/>
      <c r="B1247" s="5"/>
      <c r="C1247" s="5"/>
      <c r="D1247" s="5"/>
      <c r="E1247" s="5"/>
      <c r="F1247" s="5"/>
      <c r="G1247" s="5"/>
      <c r="H1247" s="5"/>
      <c r="I1247" s="5"/>
      <c r="J1247" s="5"/>
      <c r="K1247" s="5"/>
      <c r="L1247" s="5"/>
      <c r="M1247" s="5"/>
      <c r="N1247" s="5"/>
      <c r="O1247" s="5"/>
      <c r="P1247" s="5"/>
      <c r="Q1247" s="5"/>
      <c r="R1247" s="5"/>
      <c r="S1247" s="5"/>
      <c r="T1247" s="5"/>
      <c r="U1247" s="5"/>
      <c r="V1247" s="5"/>
      <c r="W1247" s="5"/>
      <c r="X1247" s="5"/>
      <c r="Y1247" s="5"/>
      <c r="Z1247" s="5"/>
      <c r="AA1247" s="5"/>
      <c r="AB1247" s="6"/>
      <c r="AC1247" s="6"/>
      <c r="AD1247" s="6"/>
      <c r="AE1247" s="6"/>
      <c r="AF1247" s="6"/>
      <c r="AG1247" s="6"/>
      <c r="AH1247" s="6"/>
      <c r="AI1247" s="6"/>
      <c r="AJ1247" s="6"/>
      <c r="AK1247" s="6"/>
      <c r="AL1247" s="6"/>
      <c r="AM1247" s="6"/>
      <c r="AN1247" s="6"/>
      <c r="AO1247" s="6"/>
      <c r="AP1247" s="6"/>
      <c r="AQ1247" s="6"/>
      <c r="AR1247" s="6"/>
      <c r="AS1247" s="6"/>
      <c r="AT1247" s="6"/>
      <c r="AU1247" s="6"/>
      <c r="AV1247" s="6"/>
      <c r="AW1247" s="6"/>
      <c r="AX1247" s="6"/>
      <c r="AY1247" s="6"/>
      <c r="AZ1247" s="6"/>
      <c r="BA1247" s="6"/>
      <c r="BB1247" s="6"/>
      <c r="BC1247" s="6"/>
      <c r="BD1247" s="6"/>
      <c r="BE1247" s="6"/>
      <c r="BF1247" s="6"/>
      <c r="BG1247" s="6"/>
      <c r="BH1247" s="6"/>
      <c r="BI1247" s="6"/>
      <c r="BJ1247" s="6"/>
      <c r="BK1247" s="6"/>
      <c r="BL1247" s="6"/>
      <c r="BM1247" s="5"/>
      <c r="BN1247" s="7"/>
      <c r="BO1247" s="7"/>
      <c r="BP1247" s="7"/>
    </row>
    <row r="1248" spans="1:68" s="400" customFormat="1" ht="14.25" customHeight="1" x14ac:dyDescent="0.25">
      <c r="A1248" s="5"/>
      <c r="B1248" s="5"/>
      <c r="C1248" s="5"/>
      <c r="D1248" s="5"/>
      <c r="E1248" s="5"/>
      <c r="F1248" s="5"/>
      <c r="G1248" s="5"/>
      <c r="H1248" s="5"/>
      <c r="I1248" s="5"/>
      <c r="J1248" s="5"/>
      <c r="K1248" s="5"/>
      <c r="L1248" s="5"/>
      <c r="M1248" s="5"/>
      <c r="N1248" s="5"/>
      <c r="O1248" s="5"/>
      <c r="P1248" s="5"/>
      <c r="Q1248" s="5"/>
      <c r="R1248" s="5"/>
      <c r="S1248" s="5"/>
      <c r="T1248" s="5"/>
      <c r="U1248" s="5"/>
      <c r="V1248" s="5"/>
      <c r="W1248" s="5"/>
      <c r="X1248" s="5"/>
      <c r="Y1248" s="5"/>
      <c r="Z1248" s="5"/>
      <c r="AA1248" s="5"/>
      <c r="AB1248" s="6"/>
      <c r="AC1248" s="6"/>
      <c r="AD1248" s="6"/>
      <c r="AE1248" s="6"/>
      <c r="AF1248" s="6"/>
      <c r="AG1248" s="6"/>
      <c r="AH1248" s="6"/>
      <c r="AI1248" s="6"/>
      <c r="AJ1248" s="6"/>
      <c r="AK1248" s="6"/>
      <c r="AL1248" s="6"/>
      <c r="AM1248" s="6"/>
      <c r="AN1248" s="6"/>
      <c r="AO1248" s="6"/>
      <c r="AP1248" s="6"/>
      <c r="AQ1248" s="6"/>
      <c r="AR1248" s="6"/>
      <c r="AS1248" s="6"/>
      <c r="AT1248" s="6"/>
      <c r="AU1248" s="6"/>
      <c r="AV1248" s="6"/>
      <c r="AW1248" s="6"/>
      <c r="AX1248" s="6"/>
      <c r="AY1248" s="6"/>
      <c r="AZ1248" s="6"/>
      <c r="BA1248" s="6"/>
      <c r="BB1248" s="6"/>
      <c r="BC1248" s="6"/>
      <c r="BD1248" s="6"/>
      <c r="BE1248" s="6"/>
      <c r="BF1248" s="6"/>
      <c r="BG1248" s="6"/>
      <c r="BH1248" s="6"/>
      <c r="BI1248" s="6"/>
      <c r="BJ1248" s="6"/>
      <c r="BK1248" s="6"/>
      <c r="BL1248" s="6"/>
      <c r="BM1248" s="5"/>
      <c r="BN1248" s="7"/>
      <c r="BO1248" s="7"/>
      <c r="BP1248" s="7"/>
    </row>
    <row r="1249" spans="1:68" s="400" customFormat="1" ht="14.25" customHeight="1" x14ac:dyDescent="0.25">
      <c r="A1249" s="5"/>
      <c r="B1249" s="5"/>
      <c r="C1249" s="5"/>
      <c r="D1249" s="5"/>
      <c r="E1249" s="5"/>
      <c r="F1249" s="5"/>
      <c r="G1249" s="5"/>
      <c r="H1249" s="5"/>
      <c r="I1249" s="5"/>
      <c r="J1249" s="5"/>
      <c r="K1249" s="5"/>
      <c r="L1249" s="5"/>
      <c r="M1249" s="5"/>
      <c r="N1249" s="5"/>
      <c r="O1249" s="5"/>
      <c r="P1249" s="5"/>
      <c r="Q1249" s="5"/>
      <c r="R1249" s="5"/>
      <c r="S1249" s="5"/>
      <c r="T1249" s="5"/>
      <c r="U1249" s="5"/>
      <c r="V1249" s="5"/>
      <c r="W1249" s="5"/>
      <c r="X1249" s="5"/>
      <c r="Y1249" s="5"/>
      <c r="Z1249" s="5"/>
      <c r="AA1249" s="5"/>
      <c r="AB1249" s="6"/>
      <c r="AC1249" s="6"/>
      <c r="AD1249" s="6"/>
      <c r="AE1249" s="6"/>
      <c r="AF1249" s="6"/>
      <c r="AG1249" s="6"/>
      <c r="AH1249" s="6"/>
      <c r="AI1249" s="6"/>
      <c r="AJ1249" s="6"/>
      <c r="AK1249" s="6"/>
      <c r="AL1249" s="6"/>
      <c r="AM1249" s="6"/>
      <c r="AN1249" s="6"/>
      <c r="AO1249" s="6"/>
      <c r="AP1249" s="6"/>
      <c r="AQ1249" s="6"/>
      <c r="AR1249" s="6"/>
      <c r="AS1249" s="6"/>
      <c r="AT1249" s="6"/>
      <c r="AU1249" s="6"/>
      <c r="AV1249" s="6"/>
      <c r="AW1249" s="6"/>
      <c r="AX1249" s="6"/>
      <c r="AY1249" s="6"/>
      <c r="AZ1249" s="6"/>
      <c r="BA1249" s="6"/>
      <c r="BB1249" s="6"/>
      <c r="BC1249" s="6"/>
      <c r="BD1249" s="6"/>
      <c r="BE1249" s="6"/>
      <c r="BF1249" s="6"/>
      <c r="BG1249" s="6"/>
      <c r="BH1249" s="6"/>
      <c r="BI1249" s="6"/>
      <c r="BJ1249" s="6"/>
      <c r="BK1249" s="6"/>
      <c r="BL1249" s="6"/>
      <c r="BM1249" s="5"/>
      <c r="BN1249" s="7"/>
      <c r="BO1249" s="7"/>
      <c r="BP1249" s="7"/>
    </row>
    <row r="1250" spans="1:68" s="400" customFormat="1" ht="14.25" customHeight="1" x14ac:dyDescent="0.25">
      <c r="A1250" s="5"/>
      <c r="B1250" s="5"/>
      <c r="C1250" s="5"/>
      <c r="D1250" s="5"/>
      <c r="E1250" s="5"/>
      <c r="F1250" s="5"/>
      <c r="G1250" s="5"/>
      <c r="H1250" s="5"/>
      <c r="I1250" s="5"/>
      <c r="J1250" s="5"/>
      <c r="K1250" s="5"/>
      <c r="L1250" s="5"/>
      <c r="M1250" s="5"/>
      <c r="N1250" s="5"/>
      <c r="O1250" s="5"/>
      <c r="P1250" s="5"/>
      <c r="Q1250" s="5"/>
      <c r="R1250" s="5"/>
      <c r="S1250" s="5"/>
      <c r="T1250" s="5"/>
      <c r="U1250" s="5"/>
      <c r="V1250" s="5"/>
      <c r="W1250" s="5"/>
      <c r="X1250" s="5"/>
      <c r="Y1250" s="5"/>
      <c r="Z1250" s="5"/>
      <c r="AA1250" s="5"/>
      <c r="AB1250" s="6"/>
      <c r="AC1250" s="6"/>
      <c r="AD1250" s="6"/>
      <c r="AE1250" s="6"/>
      <c r="AF1250" s="6"/>
      <c r="AG1250" s="6"/>
      <c r="AH1250" s="6"/>
      <c r="AI1250" s="6"/>
      <c r="AJ1250" s="6"/>
      <c r="AK1250" s="6"/>
      <c r="AL1250" s="6"/>
      <c r="AM1250" s="6"/>
      <c r="AN1250" s="6"/>
      <c r="AO1250" s="6"/>
      <c r="AP1250" s="6"/>
      <c r="AQ1250" s="6"/>
      <c r="AR1250" s="6"/>
      <c r="AS1250" s="6"/>
      <c r="AT1250" s="6"/>
      <c r="AU1250" s="6"/>
      <c r="AV1250" s="6"/>
      <c r="AW1250" s="6"/>
      <c r="AX1250" s="6"/>
      <c r="AY1250" s="6"/>
      <c r="AZ1250" s="6"/>
      <c r="BA1250" s="6"/>
      <c r="BB1250" s="6"/>
      <c r="BC1250" s="6"/>
      <c r="BD1250" s="6"/>
      <c r="BE1250" s="6"/>
      <c r="BF1250" s="6"/>
      <c r="BG1250" s="6"/>
      <c r="BH1250" s="6"/>
      <c r="BI1250" s="6"/>
      <c r="BJ1250" s="6"/>
      <c r="BK1250" s="6"/>
      <c r="BL1250" s="6"/>
      <c r="BM1250" s="5"/>
      <c r="BN1250" s="7"/>
      <c r="BO1250" s="7"/>
      <c r="BP1250" s="7"/>
    </row>
    <row r="1251" spans="1:68" s="400" customFormat="1" ht="14.25" customHeight="1" x14ac:dyDescent="0.25">
      <c r="A1251" s="5"/>
      <c r="B1251" s="5"/>
      <c r="C1251" s="5"/>
      <c r="D1251" s="5"/>
      <c r="E1251" s="5"/>
      <c r="F1251" s="5"/>
      <c r="G1251" s="5"/>
      <c r="H1251" s="5"/>
      <c r="I1251" s="5"/>
      <c r="J1251" s="5"/>
      <c r="K1251" s="5"/>
      <c r="L1251" s="5"/>
      <c r="M1251" s="5"/>
      <c r="N1251" s="5"/>
      <c r="O1251" s="5"/>
      <c r="P1251" s="5"/>
      <c r="Q1251" s="5"/>
      <c r="R1251" s="5"/>
      <c r="S1251" s="5"/>
      <c r="T1251" s="5"/>
      <c r="U1251" s="5"/>
      <c r="V1251" s="5"/>
      <c r="W1251" s="5"/>
      <c r="X1251" s="5"/>
      <c r="Y1251" s="5"/>
      <c r="Z1251" s="5"/>
      <c r="AA1251" s="5"/>
      <c r="AB1251" s="6"/>
      <c r="AC1251" s="6"/>
      <c r="AD1251" s="6"/>
      <c r="AE1251" s="6"/>
      <c r="AF1251" s="6"/>
      <c r="AG1251" s="6"/>
      <c r="AH1251" s="6"/>
      <c r="AI1251" s="6"/>
      <c r="AJ1251" s="6"/>
      <c r="AK1251" s="6"/>
      <c r="AL1251" s="6"/>
      <c r="AM1251" s="6"/>
      <c r="AN1251" s="6"/>
      <c r="AO1251" s="6"/>
      <c r="AP1251" s="6"/>
      <c r="AQ1251" s="6"/>
      <c r="AR1251" s="6"/>
      <c r="AS1251" s="6"/>
      <c r="AT1251" s="6"/>
      <c r="AU1251" s="6"/>
      <c r="AV1251" s="6"/>
      <c r="AW1251" s="6"/>
      <c r="AX1251" s="6"/>
      <c r="AY1251" s="6"/>
      <c r="AZ1251" s="6"/>
      <c r="BA1251" s="6"/>
      <c r="BB1251" s="6"/>
      <c r="BC1251" s="6"/>
      <c r="BD1251" s="6"/>
      <c r="BE1251" s="6"/>
      <c r="BF1251" s="6"/>
      <c r="BG1251" s="6"/>
      <c r="BH1251" s="6"/>
      <c r="BI1251" s="6"/>
      <c r="BJ1251" s="6"/>
      <c r="BK1251" s="6"/>
      <c r="BL1251" s="6"/>
      <c r="BM1251" s="5"/>
      <c r="BN1251" s="7"/>
      <c r="BO1251" s="7"/>
      <c r="BP1251" s="7"/>
    </row>
    <row r="1252" spans="1:68" s="400" customFormat="1" ht="14.25" customHeight="1" x14ac:dyDescent="0.25">
      <c r="A1252" s="5"/>
      <c r="B1252" s="5"/>
      <c r="C1252" s="5"/>
      <c r="D1252" s="5"/>
      <c r="E1252" s="5"/>
      <c r="F1252" s="5"/>
      <c r="G1252" s="5"/>
      <c r="H1252" s="5"/>
      <c r="I1252" s="5"/>
      <c r="J1252" s="5"/>
      <c r="K1252" s="5"/>
      <c r="L1252" s="5"/>
      <c r="M1252" s="5"/>
      <c r="N1252" s="5"/>
      <c r="O1252" s="5"/>
      <c r="P1252" s="5"/>
      <c r="Q1252" s="5"/>
      <c r="R1252" s="5"/>
      <c r="S1252" s="5"/>
      <c r="T1252" s="5"/>
      <c r="U1252" s="5"/>
      <c r="V1252" s="5"/>
      <c r="W1252" s="5"/>
      <c r="X1252" s="5"/>
      <c r="Y1252" s="5"/>
      <c r="Z1252" s="5"/>
      <c r="AA1252" s="5"/>
      <c r="AB1252" s="6"/>
      <c r="AC1252" s="6"/>
      <c r="AD1252" s="6"/>
      <c r="AE1252" s="6"/>
      <c r="AF1252" s="6"/>
      <c r="AG1252" s="6"/>
      <c r="AH1252" s="6"/>
      <c r="AI1252" s="6"/>
      <c r="AJ1252" s="6"/>
      <c r="AK1252" s="6"/>
      <c r="AL1252" s="6"/>
      <c r="AM1252" s="6"/>
      <c r="AN1252" s="6"/>
      <c r="AO1252" s="6"/>
      <c r="AP1252" s="6"/>
      <c r="AQ1252" s="6"/>
      <c r="AR1252" s="6"/>
      <c r="AS1252" s="6"/>
      <c r="AT1252" s="6"/>
      <c r="AU1252" s="6"/>
      <c r="AV1252" s="6"/>
      <c r="AW1252" s="6"/>
      <c r="AX1252" s="6"/>
      <c r="AY1252" s="6"/>
      <c r="AZ1252" s="6"/>
      <c r="BA1252" s="6"/>
      <c r="BB1252" s="6"/>
      <c r="BC1252" s="6"/>
      <c r="BD1252" s="6"/>
      <c r="BE1252" s="6"/>
      <c r="BF1252" s="6"/>
      <c r="BG1252" s="6"/>
      <c r="BH1252" s="6"/>
      <c r="BI1252" s="6"/>
      <c r="BJ1252" s="6"/>
      <c r="BK1252" s="6"/>
      <c r="BL1252" s="6"/>
      <c r="BM1252" s="5"/>
      <c r="BN1252" s="7"/>
      <c r="BO1252" s="7"/>
      <c r="BP1252" s="7"/>
    </row>
    <row r="1253" spans="1:68" s="400" customFormat="1" ht="14.25" customHeight="1" x14ac:dyDescent="0.25">
      <c r="A1253" s="5"/>
      <c r="B1253" s="5"/>
      <c r="C1253" s="5"/>
      <c r="D1253" s="5"/>
      <c r="E1253" s="5"/>
      <c r="F1253" s="5"/>
      <c r="G1253" s="5"/>
      <c r="H1253" s="5"/>
      <c r="I1253" s="5"/>
      <c r="J1253" s="5"/>
      <c r="K1253" s="5"/>
      <c r="L1253" s="5"/>
      <c r="M1253" s="5"/>
      <c r="N1253" s="5"/>
      <c r="O1253" s="5"/>
      <c r="P1253" s="5"/>
      <c r="Q1253" s="5"/>
      <c r="R1253" s="5"/>
      <c r="S1253" s="5"/>
      <c r="T1253" s="5"/>
      <c r="U1253" s="5"/>
      <c r="V1253" s="5"/>
      <c r="W1253" s="5"/>
      <c r="X1253" s="5"/>
      <c r="Y1253" s="5"/>
      <c r="Z1253" s="5"/>
      <c r="AA1253" s="5"/>
      <c r="AB1253" s="6"/>
      <c r="AC1253" s="6"/>
      <c r="AD1253" s="6"/>
      <c r="AE1253" s="6"/>
      <c r="AF1253" s="6"/>
      <c r="AG1253" s="6"/>
      <c r="AH1253" s="6"/>
      <c r="AI1253" s="6"/>
      <c r="AJ1253" s="6"/>
      <c r="AK1253" s="6"/>
      <c r="AL1253" s="6"/>
      <c r="AM1253" s="6"/>
      <c r="AN1253" s="6"/>
      <c r="AO1253" s="6"/>
      <c r="AP1253" s="6"/>
      <c r="AQ1253" s="6"/>
      <c r="AR1253" s="6"/>
      <c r="AS1253" s="6"/>
      <c r="AT1253" s="6"/>
      <c r="AU1253" s="6"/>
      <c r="AV1253" s="6"/>
      <c r="AW1253" s="6"/>
      <c r="AX1253" s="6"/>
      <c r="AY1253" s="6"/>
      <c r="AZ1253" s="6"/>
      <c r="BA1253" s="6"/>
      <c r="BB1253" s="6"/>
      <c r="BC1253" s="6"/>
      <c r="BD1253" s="6"/>
      <c r="BE1253" s="6"/>
      <c r="BF1253" s="6"/>
      <c r="BG1253" s="6"/>
      <c r="BH1253" s="6"/>
      <c r="BI1253" s="6"/>
      <c r="BJ1253" s="6"/>
      <c r="BK1253" s="6"/>
      <c r="BL1253" s="6"/>
      <c r="BM1253" s="5"/>
      <c r="BN1253" s="7"/>
      <c r="BO1253" s="7"/>
      <c r="BP1253" s="7"/>
    </row>
    <row r="1254" spans="1:68" s="400" customFormat="1" ht="14.25" customHeight="1" x14ac:dyDescent="0.25">
      <c r="A1254" s="5"/>
      <c r="B1254" s="5"/>
      <c r="C1254" s="5"/>
      <c r="D1254" s="5"/>
      <c r="E1254" s="5"/>
      <c r="F1254" s="5"/>
      <c r="G1254" s="5"/>
      <c r="H1254" s="5"/>
      <c r="I1254" s="5"/>
      <c r="J1254" s="5"/>
      <c r="K1254" s="5"/>
      <c r="L1254" s="5"/>
      <c r="M1254" s="5"/>
      <c r="N1254" s="5"/>
      <c r="O1254" s="5"/>
      <c r="P1254" s="5"/>
      <c r="Q1254" s="5"/>
      <c r="R1254" s="5"/>
      <c r="S1254" s="5"/>
      <c r="T1254" s="5"/>
      <c r="U1254" s="5"/>
      <c r="V1254" s="5"/>
      <c r="W1254" s="5"/>
      <c r="X1254" s="5"/>
      <c r="Y1254" s="5"/>
      <c r="Z1254" s="5"/>
      <c r="AA1254" s="5"/>
      <c r="AB1254" s="6"/>
      <c r="AC1254" s="6"/>
      <c r="AD1254" s="6"/>
      <c r="AE1254" s="6"/>
      <c r="AF1254" s="6"/>
      <c r="AG1254" s="6"/>
      <c r="AH1254" s="6"/>
      <c r="AI1254" s="6"/>
      <c r="AJ1254" s="6"/>
      <c r="AK1254" s="6"/>
      <c r="AL1254" s="6"/>
      <c r="AM1254" s="6"/>
      <c r="AN1254" s="6"/>
      <c r="AO1254" s="6"/>
      <c r="AP1254" s="6"/>
      <c r="AQ1254" s="6"/>
      <c r="AR1254" s="6"/>
      <c r="AS1254" s="6"/>
      <c r="AT1254" s="6"/>
      <c r="AU1254" s="6"/>
      <c r="AV1254" s="6"/>
      <c r="AW1254" s="6"/>
      <c r="AX1254" s="6"/>
      <c r="AY1254" s="6"/>
      <c r="AZ1254" s="6"/>
      <c r="BA1254" s="6"/>
      <c r="BB1254" s="6"/>
      <c r="BC1254" s="6"/>
      <c r="BD1254" s="6"/>
      <c r="BE1254" s="6"/>
      <c r="BF1254" s="6"/>
      <c r="BG1254" s="6"/>
      <c r="BH1254" s="6"/>
      <c r="BI1254" s="6"/>
      <c r="BJ1254" s="6"/>
      <c r="BK1254" s="6"/>
      <c r="BL1254" s="6"/>
      <c r="BM1254" s="5"/>
      <c r="BN1254" s="7"/>
      <c r="BO1254" s="7"/>
      <c r="BP1254" s="7"/>
    </row>
    <row r="1255" spans="1:68" s="400" customFormat="1" ht="14.25" customHeight="1" x14ac:dyDescent="0.25">
      <c r="A1255" s="5"/>
      <c r="B1255" s="5"/>
      <c r="C1255" s="5"/>
      <c r="D1255" s="5"/>
      <c r="E1255" s="5"/>
      <c r="F1255" s="5"/>
      <c r="G1255" s="5"/>
      <c r="H1255" s="5"/>
      <c r="I1255" s="5"/>
      <c r="J1255" s="5"/>
      <c r="K1255" s="5"/>
      <c r="L1255" s="5"/>
      <c r="M1255" s="5"/>
      <c r="N1255" s="5"/>
      <c r="O1255" s="5"/>
      <c r="P1255" s="5"/>
      <c r="Q1255" s="5"/>
      <c r="R1255" s="5"/>
      <c r="S1255" s="5"/>
      <c r="T1255" s="5"/>
      <c r="U1255" s="5"/>
      <c r="V1255" s="5"/>
      <c r="W1255" s="5"/>
      <c r="X1255" s="5"/>
      <c r="Y1255" s="5"/>
      <c r="Z1255" s="5"/>
      <c r="AA1255" s="5"/>
      <c r="AB1255" s="6"/>
      <c r="AC1255" s="6"/>
      <c r="AD1255" s="6"/>
      <c r="AE1255" s="6"/>
      <c r="AF1255" s="6"/>
      <c r="AG1255" s="6"/>
      <c r="AH1255" s="6"/>
      <c r="AI1255" s="6"/>
      <c r="AJ1255" s="6"/>
      <c r="AK1255" s="6"/>
      <c r="AL1255" s="6"/>
      <c r="AM1255" s="6"/>
      <c r="AN1255" s="6"/>
      <c r="AO1255" s="6"/>
      <c r="AP1255" s="6"/>
      <c r="AQ1255" s="6"/>
      <c r="AR1255" s="6"/>
      <c r="AS1255" s="6"/>
      <c r="AT1255" s="6"/>
      <c r="AU1255" s="6"/>
      <c r="AV1255" s="6"/>
      <c r="AW1255" s="6"/>
      <c r="AX1255" s="6"/>
      <c r="AY1255" s="6"/>
      <c r="AZ1255" s="6"/>
      <c r="BA1255" s="6"/>
      <c r="BB1255" s="6"/>
      <c r="BC1255" s="6"/>
      <c r="BD1255" s="6"/>
      <c r="BE1255" s="6"/>
      <c r="BF1255" s="6"/>
      <c r="BG1255" s="6"/>
      <c r="BH1255" s="6"/>
      <c r="BI1255" s="6"/>
      <c r="BJ1255" s="6"/>
      <c r="BK1255" s="6"/>
      <c r="BL1255" s="6"/>
      <c r="BM1255" s="5"/>
      <c r="BN1255" s="7"/>
      <c r="BO1255" s="7"/>
      <c r="BP1255" s="7"/>
    </row>
    <row r="1256" spans="1:68" s="400" customFormat="1" ht="14.25" customHeight="1" x14ac:dyDescent="0.25">
      <c r="A1256" s="5"/>
      <c r="B1256" s="5"/>
      <c r="C1256" s="5"/>
      <c r="D1256" s="5"/>
      <c r="E1256" s="5"/>
      <c r="F1256" s="5"/>
      <c r="G1256" s="5"/>
      <c r="H1256" s="5"/>
      <c r="I1256" s="5"/>
      <c r="J1256" s="5"/>
      <c r="K1256" s="5"/>
      <c r="L1256" s="5"/>
      <c r="M1256" s="5"/>
      <c r="N1256" s="5"/>
      <c r="O1256" s="5"/>
      <c r="P1256" s="5"/>
      <c r="Q1256" s="5"/>
      <c r="R1256" s="5"/>
      <c r="S1256" s="5"/>
      <c r="T1256" s="5"/>
      <c r="U1256" s="5"/>
      <c r="V1256" s="5"/>
      <c r="W1256" s="5"/>
      <c r="X1256" s="5"/>
      <c r="Y1256" s="5"/>
      <c r="Z1256" s="5"/>
      <c r="AA1256" s="5"/>
      <c r="AB1256" s="6"/>
      <c r="AC1256" s="6"/>
      <c r="AD1256" s="6"/>
      <c r="AE1256" s="6"/>
      <c r="AF1256" s="6"/>
      <c r="AG1256" s="6"/>
      <c r="AH1256" s="6"/>
      <c r="AI1256" s="6"/>
      <c r="AJ1256" s="6"/>
      <c r="AK1256" s="6"/>
      <c r="AL1256" s="6"/>
      <c r="AM1256" s="6"/>
      <c r="AN1256" s="6"/>
      <c r="AO1256" s="6"/>
      <c r="AP1256" s="6"/>
      <c r="AQ1256" s="6"/>
      <c r="AR1256" s="6"/>
      <c r="AS1256" s="6"/>
      <c r="AT1256" s="6"/>
      <c r="AU1256" s="6"/>
      <c r="AV1256" s="6"/>
      <c r="AW1256" s="6"/>
      <c r="AX1256" s="6"/>
      <c r="AY1256" s="6"/>
      <c r="AZ1256" s="6"/>
      <c r="BA1256" s="6"/>
      <c r="BB1256" s="6"/>
      <c r="BC1256" s="6"/>
      <c r="BD1256" s="6"/>
      <c r="BE1256" s="6"/>
      <c r="BF1256" s="6"/>
      <c r="BG1256" s="6"/>
      <c r="BH1256" s="6"/>
      <c r="BI1256" s="6"/>
      <c r="BJ1256" s="6"/>
      <c r="BK1256" s="6"/>
      <c r="BL1256" s="6"/>
      <c r="BM1256" s="5"/>
      <c r="BN1256" s="7"/>
      <c r="BO1256" s="7"/>
      <c r="BP1256" s="7"/>
    </row>
    <row r="1257" spans="1:68" s="400" customFormat="1" ht="14.25" customHeight="1" x14ac:dyDescent="0.25">
      <c r="A1257" s="5"/>
      <c r="B1257" s="5"/>
      <c r="C1257" s="5"/>
      <c r="D1257" s="5"/>
      <c r="E1257" s="5"/>
      <c r="F1257" s="5"/>
      <c r="G1257" s="5"/>
      <c r="H1257" s="5"/>
      <c r="I1257" s="5"/>
      <c r="J1257" s="5"/>
      <c r="K1257" s="5"/>
      <c r="L1257" s="5"/>
      <c r="M1257" s="5"/>
      <c r="N1257" s="5"/>
      <c r="O1257" s="5"/>
      <c r="P1257" s="5"/>
      <c r="Q1257" s="5"/>
      <c r="R1257" s="5"/>
      <c r="S1257" s="5"/>
      <c r="T1257" s="5"/>
      <c r="U1257" s="5"/>
      <c r="V1257" s="5"/>
      <c r="W1257" s="5"/>
      <c r="X1257" s="5"/>
      <c r="Y1257" s="5"/>
      <c r="Z1257" s="5"/>
      <c r="AA1257" s="5"/>
      <c r="AB1257" s="6"/>
      <c r="AC1257" s="6"/>
      <c r="AD1257" s="6"/>
      <c r="AE1257" s="6"/>
      <c r="AF1257" s="6"/>
      <c r="AG1257" s="6"/>
      <c r="AH1257" s="6"/>
      <c r="AI1257" s="6"/>
      <c r="AJ1257" s="6"/>
      <c r="AK1257" s="6"/>
      <c r="AL1257" s="6"/>
      <c r="AM1257" s="6"/>
      <c r="AN1257" s="6"/>
      <c r="AO1257" s="6"/>
      <c r="AP1257" s="6"/>
      <c r="AQ1257" s="6"/>
      <c r="AR1257" s="6"/>
      <c r="AS1257" s="6"/>
      <c r="AT1257" s="6"/>
      <c r="AU1257" s="6"/>
      <c r="AV1257" s="6"/>
      <c r="AW1257" s="6"/>
      <c r="AX1257" s="6"/>
      <c r="AY1257" s="6"/>
      <c r="AZ1257" s="6"/>
      <c r="BA1257" s="6"/>
      <c r="BB1257" s="6"/>
      <c r="BC1257" s="6"/>
      <c r="BD1257" s="6"/>
      <c r="BE1257" s="6"/>
      <c r="BF1257" s="6"/>
      <c r="BG1257" s="6"/>
      <c r="BH1257" s="6"/>
      <c r="BI1257" s="6"/>
      <c r="BJ1257" s="6"/>
      <c r="BK1257" s="6"/>
      <c r="BL1257" s="6"/>
      <c r="BM1257" s="5"/>
      <c r="BN1257" s="7"/>
      <c r="BO1257" s="7"/>
      <c r="BP1257" s="7"/>
    </row>
    <row r="1258" spans="1:68" s="400" customFormat="1" ht="14.25" customHeight="1" x14ac:dyDescent="0.25">
      <c r="A1258" s="5"/>
      <c r="B1258" s="5"/>
      <c r="C1258" s="5"/>
      <c r="D1258" s="5"/>
      <c r="E1258" s="5"/>
      <c r="F1258" s="5"/>
      <c r="G1258" s="5"/>
      <c r="H1258" s="5"/>
      <c r="I1258" s="5"/>
      <c r="J1258" s="5"/>
      <c r="K1258" s="5"/>
      <c r="L1258" s="5"/>
      <c r="M1258" s="5"/>
      <c r="N1258" s="5"/>
      <c r="O1258" s="5"/>
      <c r="P1258" s="5"/>
      <c r="Q1258" s="5"/>
      <c r="R1258" s="5"/>
      <c r="S1258" s="5"/>
      <c r="T1258" s="5"/>
      <c r="U1258" s="5"/>
      <c r="V1258" s="5"/>
      <c r="W1258" s="5"/>
      <c r="X1258" s="5"/>
      <c r="Y1258" s="5"/>
      <c r="Z1258" s="5"/>
      <c r="AA1258" s="5"/>
      <c r="AB1258" s="6"/>
      <c r="AC1258" s="6"/>
      <c r="AD1258" s="6"/>
      <c r="AE1258" s="6"/>
      <c r="AF1258" s="6"/>
      <c r="AG1258" s="6"/>
      <c r="AH1258" s="6"/>
      <c r="AI1258" s="6"/>
      <c r="AJ1258" s="6"/>
      <c r="AK1258" s="6"/>
      <c r="AL1258" s="6"/>
      <c r="AM1258" s="6"/>
      <c r="AN1258" s="6"/>
      <c r="AO1258" s="6"/>
      <c r="AP1258" s="6"/>
      <c r="AQ1258" s="6"/>
      <c r="AR1258" s="6"/>
      <c r="AS1258" s="6"/>
      <c r="AT1258" s="6"/>
      <c r="AU1258" s="6"/>
      <c r="AV1258" s="6"/>
      <c r="AW1258" s="6"/>
      <c r="AX1258" s="6"/>
      <c r="AY1258" s="6"/>
      <c r="AZ1258" s="6"/>
      <c r="BA1258" s="6"/>
      <c r="BB1258" s="6"/>
      <c r="BC1258" s="6"/>
      <c r="BD1258" s="6"/>
      <c r="BE1258" s="6"/>
      <c r="BF1258" s="6"/>
      <c r="BG1258" s="6"/>
      <c r="BH1258" s="6"/>
      <c r="BI1258" s="6"/>
      <c r="BJ1258" s="6"/>
      <c r="BK1258" s="6"/>
      <c r="BL1258" s="6"/>
      <c r="BM1258" s="5"/>
      <c r="BN1258" s="7"/>
      <c r="BO1258" s="7"/>
      <c r="BP1258" s="7"/>
    </row>
    <row r="1259" spans="1:68" s="400" customFormat="1" ht="14.25" customHeight="1" x14ac:dyDescent="0.25">
      <c r="A1259" s="5"/>
      <c r="B1259" s="5"/>
      <c r="C1259" s="5"/>
      <c r="D1259" s="5"/>
      <c r="E1259" s="5"/>
      <c r="F1259" s="5"/>
      <c r="G1259" s="5"/>
      <c r="H1259" s="5"/>
      <c r="I1259" s="5"/>
      <c r="J1259" s="5"/>
      <c r="K1259" s="5"/>
      <c r="L1259" s="5"/>
      <c r="M1259" s="5"/>
      <c r="N1259" s="5"/>
      <c r="O1259" s="5"/>
      <c r="P1259" s="5"/>
      <c r="Q1259" s="5"/>
      <c r="R1259" s="5"/>
      <c r="S1259" s="5"/>
      <c r="T1259" s="5"/>
      <c r="U1259" s="5"/>
      <c r="V1259" s="5"/>
      <c r="W1259" s="5"/>
      <c r="X1259" s="5"/>
      <c r="Y1259" s="5"/>
      <c r="Z1259" s="5"/>
      <c r="AA1259" s="5"/>
      <c r="AB1259" s="6"/>
      <c r="AC1259" s="6"/>
      <c r="AD1259" s="6"/>
      <c r="AE1259" s="6"/>
      <c r="AF1259" s="6"/>
      <c r="AG1259" s="6"/>
      <c r="AH1259" s="6"/>
      <c r="AI1259" s="6"/>
      <c r="AJ1259" s="6"/>
      <c r="AK1259" s="6"/>
      <c r="AL1259" s="6"/>
      <c r="AM1259" s="6"/>
      <c r="AN1259" s="6"/>
      <c r="AO1259" s="6"/>
      <c r="AP1259" s="6"/>
      <c r="AQ1259" s="6"/>
      <c r="AR1259" s="6"/>
      <c r="AS1259" s="6"/>
      <c r="AT1259" s="6"/>
      <c r="AU1259" s="6"/>
      <c r="AV1259" s="6"/>
      <c r="AW1259" s="6"/>
      <c r="AX1259" s="6"/>
      <c r="AY1259" s="6"/>
      <c r="AZ1259" s="6"/>
      <c r="BA1259" s="6"/>
      <c r="BB1259" s="6"/>
      <c r="BC1259" s="6"/>
      <c r="BD1259" s="6"/>
      <c r="BE1259" s="6"/>
      <c r="BF1259" s="6"/>
      <c r="BG1259" s="6"/>
      <c r="BH1259" s="6"/>
      <c r="BI1259" s="6"/>
      <c r="BJ1259" s="6"/>
      <c r="BK1259" s="6"/>
      <c r="BL1259" s="6"/>
      <c r="BM1259" s="5"/>
      <c r="BN1259" s="7"/>
      <c r="BO1259" s="7"/>
      <c r="BP1259" s="7"/>
    </row>
    <row r="1260" spans="1:68" s="400" customFormat="1" ht="14.25" customHeight="1" x14ac:dyDescent="0.25">
      <c r="A1260" s="5"/>
      <c r="B1260" s="5"/>
      <c r="C1260" s="5"/>
      <c r="D1260" s="5"/>
      <c r="E1260" s="5"/>
      <c r="F1260" s="5"/>
      <c r="G1260" s="5"/>
      <c r="H1260" s="5"/>
      <c r="I1260" s="5"/>
      <c r="J1260" s="5"/>
      <c r="K1260" s="5"/>
      <c r="L1260" s="5"/>
      <c r="M1260" s="5"/>
      <c r="N1260" s="5"/>
      <c r="O1260" s="5"/>
      <c r="P1260" s="5"/>
      <c r="Q1260" s="5"/>
      <c r="R1260" s="5"/>
      <c r="S1260" s="5"/>
      <c r="T1260" s="5"/>
      <c r="U1260" s="5"/>
      <c r="V1260" s="5"/>
      <c r="W1260" s="5"/>
      <c r="X1260" s="5"/>
      <c r="Y1260" s="5"/>
      <c r="Z1260" s="5"/>
      <c r="AA1260" s="5"/>
      <c r="AB1260" s="6"/>
      <c r="AC1260" s="6"/>
      <c r="AD1260" s="6"/>
      <c r="AE1260" s="6"/>
      <c r="AF1260" s="6"/>
      <c r="AG1260" s="6"/>
      <c r="AH1260" s="6"/>
      <c r="AI1260" s="6"/>
      <c r="AJ1260" s="6"/>
      <c r="AK1260" s="6"/>
      <c r="AL1260" s="6"/>
      <c r="AM1260" s="6"/>
      <c r="AN1260" s="6"/>
      <c r="AO1260" s="6"/>
      <c r="AP1260" s="6"/>
      <c r="AQ1260" s="6"/>
      <c r="AR1260" s="6"/>
      <c r="AS1260" s="6"/>
      <c r="AT1260" s="6"/>
      <c r="AU1260" s="6"/>
      <c r="AV1260" s="6"/>
      <c r="AW1260" s="6"/>
      <c r="AX1260" s="6"/>
      <c r="AY1260" s="6"/>
      <c r="AZ1260" s="6"/>
      <c r="BA1260" s="6"/>
      <c r="BB1260" s="6"/>
      <c r="BC1260" s="6"/>
      <c r="BD1260" s="6"/>
      <c r="BE1260" s="6"/>
      <c r="BF1260" s="6"/>
      <c r="BG1260" s="6"/>
      <c r="BH1260" s="6"/>
      <c r="BI1260" s="6"/>
      <c r="BJ1260" s="6"/>
      <c r="BK1260" s="6"/>
      <c r="BL1260" s="6"/>
      <c r="BM1260" s="5"/>
      <c r="BN1260" s="7"/>
      <c r="BO1260" s="7"/>
      <c r="BP1260" s="7"/>
    </row>
    <row r="1261" spans="1:68" s="400" customFormat="1" ht="14.25" customHeight="1" x14ac:dyDescent="0.25">
      <c r="A1261" s="5"/>
      <c r="B1261" s="5"/>
      <c r="C1261" s="5"/>
      <c r="D1261" s="5"/>
      <c r="E1261" s="5"/>
      <c r="F1261" s="5"/>
      <c r="G1261" s="5"/>
      <c r="H1261" s="5"/>
      <c r="I1261" s="5"/>
      <c r="J1261" s="5"/>
      <c r="K1261" s="5"/>
      <c r="L1261" s="5"/>
      <c r="M1261" s="5"/>
      <c r="N1261" s="5"/>
      <c r="O1261" s="5"/>
      <c r="P1261" s="5"/>
      <c r="Q1261" s="5"/>
      <c r="R1261" s="5"/>
      <c r="S1261" s="5"/>
      <c r="T1261" s="5"/>
      <c r="U1261" s="5"/>
      <c r="V1261" s="5"/>
      <c r="W1261" s="5"/>
      <c r="X1261" s="5"/>
      <c r="Y1261" s="5"/>
      <c r="Z1261" s="5"/>
      <c r="AA1261" s="5"/>
      <c r="AB1261" s="6"/>
      <c r="AC1261" s="6"/>
      <c r="AD1261" s="6"/>
      <c r="AE1261" s="6"/>
      <c r="AF1261" s="6"/>
      <c r="AG1261" s="6"/>
      <c r="AH1261" s="6"/>
      <c r="AI1261" s="6"/>
      <c r="AJ1261" s="6"/>
      <c r="AK1261" s="6"/>
      <c r="AL1261" s="6"/>
      <c r="AM1261" s="6"/>
      <c r="AN1261" s="6"/>
      <c r="AO1261" s="6"/>
      <c r="AP1261" s="6"/>
      <c r="AQ1261" s="6"/>
      <c r="AR1261" s="6"/>
      <c r="AS1261" s="6"/>
      <c r="AT1261" s="6"/>
      <c r="AU1261" s="6"/>
      <c r="AV1261" s="6"/>
      <c r="AW1261" s="6"/>
      <c r="AX1261" s="6"/>
      <c r="AY1261" s="6"/>
      <c r="AZ1261" s="6"/>
      <c r="BA1261" s="6"/>
      <c r="BB1261" s="6"/>
      <c r="BC1261" s="6"/>
      <c r="BD1261" s="6"/>
      <c r="BE1261" s="6"/>
      <c r="BF1261" s="6"/>
      <c r="BG1261" s="6"/>
      <c r="BH1261" s="6"/>
      <c r="BI1261" s="6"/>
      <c r="BJ1261" s="6"/>
      <c r="BK1261" s="6"/>
      <c r="BL1261" s="6"/>
      <c r="BM1261" s="5"/>
      <c r="BN1261" s="7"/>
      <c r="BO1261" s="7"/>
      <c r="BP1261" s="7"/>
    </row>
    <row r="1262" spans="1:68" s="400" customFormat="1" ht="14.25" customHeight="1" x14ac:dyDescent="0.25">
      <c r="A1262" s="5"/>
      <c r="B1262" s="5"/>
      <c r="C1262" s="5"/>
      <c r="D1262" s="5"/>
      <c r="E1262" s="5"/>
      <c r="F1262" s="5"/>
      <c r="G1262" s="5"/>
      <c r="H1262" s="5"/>
      <c r="I1262" s="5"/>
      <c r="J1262" s="5"/>
      <c r="K1262" s="5"/>
      <c r="L1262" s="5"/>
      <c r="M1262" s="5"/>
      <c r="N1262" s="5"/>
      <c r="O1262" s="5"/>
      <c r="P1262" s="5"/>
      <c r="Q1262" s="5"/>
      <c r="R1262" s="5"/>
      <c r="S1262" s="5"/>
      <c r="T1262" s="5"/>
      <c r="U1262" s="5"/>
      <c r="V1262" s="5"/>
      <c r="W1262" s="5"/>
      <c r="X1262" s="5"/>
      <c r="Y1262" s="5"/>
      <c r="Z1262" s="5"/>
      <c r="AA1262" s="5"/>
      <c r="AB1262" s="6"/>
      <c r="AC1262" s="6"/>
      <c r="AD1262" s="6"/>
      <c r="AE1262" s="6"/>
      <c r="AF1262" s="6"/>
      <c r="AG1262" s="6"/>
      <c r="AH1262" s="6"/>
      <c r="AI1262" s="6"/>
      <c r="AJ1262" s="6"/>
      <c r="AK1262" s="6"/>
      <c r="AL1262" s="6"/>
      <c r="AM1262" s="6"/>
      <c r="AN1262" s="6"/>
      <c r="AO1262" s="6"/>
      <c r="AP1262" s="6"/>
      <c r="AQ1262" s="6"/>
      <c r="AR1262" s="6"/>
      <c r="AS1262" s="6"/>
      <c r="AT1262" s="6"/>
      <c r="AU1262" s="6"/>
      <c r="AV1262" s="6"/>
      <c r="AW1262" s="6"/>
      <c r="AX1262" s="6"/>
      <c r="AY1262" s="6"/>
      <c r="AZ1262" s="6"/>
      <c r="BA1262" s="6"/>
      <c r="BB1262" s="6"/>
      <c r="BC1262" s="6"/>
      <c r="BD1262" s="6"/>
      <c r="BE1262" s="6"/>
      <c r="BF1262" s="6"/>
      <c r="BG1262" s="6"/>
      <c r="BH1262" s="6"/>
      <c r="BI1262" s="6"/>
      <c r="BJ1262" s="6"/>
      <c r="BK1262" s="6"/>
      <c r="BL1262" s="6"/>
      <c r="BM1262" s="5"/>
      <c r="BN1262" s="7"/>
      <c r="BO1262" s="7"/>
      <c r="BP1262" s="7"/>
    </row>
    <row r="1263" spans="1:68" s="400" customFormat="1" ht="14.25" customHeight="1" x14ac:dyDescent="0.25">
      <c r="A1263" s="5"/>
      <c r="B1263" s="5"/>
      <c r="C1263" s="5"/>
      <c r="D1263" s="5"/>
      <c r="E1263" s="5"/>
      <c r="F1263" s="5"/>
      <c r="G1263" s="5"/>
      <c r="H1263" s="5"/>
      <c r="I1263" s="5"/>
      <c r="J1263" s="5"/>
      <c r="K1263" s="5"/>
      <c r="L1263" s="5"/>
      <c r="M1263" s="5"/>
      <c r="N1263" s="5"/>
      <c r="O1263" s="5"/>
      <c r="P1263" s="5"/>
      <c r="Q1263" s="5"/>
      <c r="R1263" s="5"/>
      <c r="S1263" s="5"/>
      <c r="T1263" s="5"/>
      <c r="U1263" s="5"/>
      <c r="V1263" s="5"/>
      <c r="W1263" s="5"/>
      <c r="X1263" s="5"/>
      <c r="Y1263" s="5"/>
      <c r="Z1263" s="5"/>
      <c r="AA1263" s="5"/>
      <c r="AB1263" s="6"/>
      <c r="AC1263" s="6"/>
      <c r="AD1263" s="6"/>
      <c r="AE1263" s="6"/>
      <c r="AF1263" s="6"/>
      <c r="AG1263" s="6"/>
      <c r="AH1263" s="6"/>
      <c r="AI1263" s="6"/>
      <c r="AJ1263" s="6"/>
      <c r="AK1263" s="6"/>
      <c r="AL1263" s="6"/>
      <c r="AM1263" s="6"/>
      <c r="AN1263" s="6"/>
      <c r="AO1263" s="6"/>
      <c r="AP1263" s="6"/>
      <c r="AQ1263" s="6"/>
      <c r="AR1263" s="6"/>
      <c r="AS1263" s="6"/>
      <c r="AT1263" s="6"/>
      <c r="AU1263" s="6"/>
      <c r="AV1263" s="6"/>
      <c r="AW1263" s="6"/>
      <c r="AX1263" s="6"/>
      <c r="AY1263" s="6"/>
      <c r="AZ1263" s="6"/>
      <c r="BA1263" s="6"/>
      <c r="BB1263" s="6"/>
      <c r="BC1263" s="6"/>
      <c r="BD1263" s="6"/>
      <c r="BE1263" s="6"/>
      <c r="BF1263" s="6"/>
      <c r="BG1263" s="6"/>
      <c r="BH1263" s="6"/>
      <c r="BI1263" s="6"/>
      <c r="BJ1263" s="6"/>
      <c r="BK1263" s="6"/>
      <c r="BL1263" s="6"/>
      <c r="BM1263" s="5"/>
      <c r="BN1263" s="7"/>
      <c r="BO1263" s="7"/>
      <c r="BP1263" s="7"/>
    </row>
    <row r="1264" spans="1:68" s="400" customFormat="1" ht="14.25" customHeight="1" x14ac:dyDescent="0.25">
      <c r="A1264" s="5"/>
      <c r="B1264" s="5"/>
      <c r="C1264" s="5"/>
      <c r="D1264" s="5"/>
      <c r="E1264" s="5"/>
      <c r="F1264" s="5"/>
      <c r="G1264" s="5"/>
      <c r="H1264" s="5"/>
      <c r="I1264" s="5"/>
      <c r="J1264" s="5"/>
      <c r="K1264" s="5"/>
      <c r="L1264" s="5"/>
      <c r="M1264" s="5"/>
      <c r="N1264" s="5"/>
      <c r="O1264" s="5"/>
      <c r="P1264" s="5"/>
      <c r="Q1264" s="5"/>
      <c r="R1264" s="5"/>
      <c r="S1264" s="5"/>
      <c r="T1264" s="5"/>
      <c r="U1264" s="5"/>
      <c r="V1264" s="5"/>
      <c r="W1264" s="5"/>
      <c r="X1264" s="5"/>
      <c r="Y1264" s="5"/>
      <c r="Z1264" s="5"/>
      <c r="AA1264" s="5"/>
      <c r="AB1264" s="6"/>
      <c r="AC1264" s="6"/>
      <c r="AD1264" s="6"/>
      <c r="AE1264" s="6"/>
      <c r="AF1264" s="6"/>
      <c r="AG1264" s="6"/>
      <c r="AH1264" s="6"/>
      <c r="AI1264" s="6"/>
      <c r="AJ1264" s="6"/>
      <c r="AK1264" s="6"/>
      <c r="AL1264" s="6"/>
      <c r="AM1264" s="6"/>
      <c r="AN1264" s="6"/>
      <c r="AO1264" s="6"/>
      <c r="AP1264" s="6"/>
      <c r="AQ1264" s="6"/>
      <c r="AR1264" s="6"/>
      <c r="AS1264" s="6"/>
      <c r="AT1264" s="6"/>
      <c r="AU1264" s="6"/>
      <c r="AV1264" s="6"/>
      <c r="AW1264" s="6"/>
      <c r="AX1264" s="6"/>
      <c r="AY1264" s="6"/>
      <c r="AZ1264" s="6"/>
      <c r="BA1264" s="6"/>
      <c r="BB1264" s="6"/>
      <c r="BC1264" s="6"/>
      <c r="BD1264" s="6"/>
      <c r="BE1264" s="6"/>
      <c r="BF1264" s="6"/>
      <c r="BG1264" s="6"/>
      <c r="BH1264" s="6"/>
      <c r="BI1264" s="6"/>
      <c r="BJ1264" s="6"/>
      <c r="BK1264" s="6"/>
      <c r="BL1264" s="6"/>
      <c r="BM1264" s="5"/>
      <c r="BN1264" s="7"/>
      <c r="BO1264" s="7"/>
      <c r="BP1264" s="7"/>
    </row>
    <row r="1265" spans="1:68" s="400" customFormat="1" ht="14.25" customHeight="1" x14ac:dyDescent="0.25">
      <c r="A1265" s="5"/>
      <c r="B1265" s="5"/>
      <c r="C1265" s="5"/>
      <c r="D1265" s="5"/>
      <c r="E1265" s="5"/>
      <c r="F1265" s="5"/>
      <c r="G1265" s="5"/>
      <c r="H1265" s="5"/>
      <c r="I1265" s="5"/>
      <c r="J1265" s="5"/>
      <c r="K1265" s="5"/>
      <c r="L1265" s="5"/>
      <c r="M1265" s="5"/>
      <c r="N1265" s="5"/>
      <c r="O1265" s="5"/>
      <c r="P1265" s="5"/>
      <c r="Q1265" s="5"/>
      <c r="R1265" s="5"/>
      <c r="S1265" s="5"/>
      <c r="T1265" s="5"/>
      <c r="U1265" s="5"/>
      <c r="V1265" s="5"/>
      <c r="W1265" s="5"/>
      <c r="X1265" s="5"/>
      <c r="Y1265" s="5"/>
      <c r="Z1265" s="5"/>
      <c r="AA1265" s="5"/>
      <c r="AB1265" s="6"/>
      <c r="AC1265" s="6"/>
      <c r="AD1265" s="6"/>
      <c r="AE1265" s="6"/>
      <c r="AF1265" s="6"/>
      <c r="AG1265" s="6"/>
      <c r="AH1265" s="6"/>
      <c r="AI1265" s="6"/>
      <c r="AJ1265" s="6"/>
      <c r="AK1265" s="6"/>
      <c r="AL1265" s="6"/>
      <c r="AM1265" s="6"/>
      <c r="AN1265" s="6"/>
      <c r="AO1265" s="6"/>
      <c r="AP1265" s="6"/>
      <c r="AQ1265" s="6"/>
      <c r="AR1265" s="6"/>
      <c r="AS1265" s="6"/>
      <c r="AT1265" s="6"/>
      <c r="AU1265" s="6"/>
      <c r="AV1265" s="6"/>
      <c r="AW1265" s="6"/>
      <c r="AX1265" s="6"/>
      <c r="AY1265" s="6"/>
      <c r="AZ1265" s="6"/>
      <c r="BA1265" s="6"/>
      <c r="BB1265" s="6"/>
      <c r="BC1265" s="6"/>
      <c r="BD1265" s="6"/>
      <c r="BE1265" s="6"/>
      <c r="BF1265" s="6"/>
      <c r="BG1265" s="6"/>
      <c r="BH1265" s="6"/>
      <c r="BI1265" s="6"/>
      <c r="BJ1265" s="6"/>
      <c r="BK1265" s="6"/>
      <c r="BL1265" s="6"/>
      <c r="BM1265" s="5"/>
      <c r="BN1265" s="7"/>
      <c r="BO1265" s="7"/>
      <c r="BP1265" s="7"/>
    </row>
    <row r="1266" spans="1:68" s="400" customFormat="1" ht="14.25" customHeight="1" x14ac:dyDescent="0.25">
      <c r="A1266" s="5"/>
      <c r="B1266" s="5"/>
      <c r="C1266" s="5"/>
      <c r="D1266" s="5"/>
      <c r="E1266" s="5"/>
      <c r="F1266" s="5"/>
      <c r="G1266" s="5"/>
      <c r="H1266" s="5"/>
      <c r="I1266" s="5"/>
      <c r="J1266" s="5"/>
      <c r="K1266" s="5"/>
      <c r="L1266" s="5"/>
      <c r="M1266" s="5"/>
      <c r="N1266" s="5"/>
      <c r="O1266" s="5"/>
      <c r="P1266" s="5"/>
      <c r="Q1266" s="5"/>
      <c r="R1266" s="5"/>
      <c r="S1266" s="5"/>
      <c r="T1266" s="5"/>
      <c r="U1266" s="5"/>
      <c r="V1266" s="5"/>
      <c r="W1266" s="5"/>
      <c r="X1266" s="5"/>
      <c r="Y1266" s="5"/>
      <c r="Z1266" s="5"/>
      <c r="AA1266" s="5"/>
      <c r="AB1266" s="6"/>
      <c r="AC1266" s="6"/>
      <c r="AD1266" s="6"/>
      <c r="AE1266" s="6"/>
      <c r="AF1266" s="6"/>
      <c r="AG1266" s="6"/>
      <c r="AH1266" s="6"/>
      <c r="AI1266" s="6"/>
      <c r="AJ1266" s="6"/>
      <c r="AK1266" s="6"/>
      <c r="AL1266" s="6"/>
      <c r="AM1266" s="6"/>
      <c r="AN1266" s="6"/>
      <c r="AO1266" s="6"/>
      <c r="AP1266" s="6"/>
      <c r="AQ1266" s="6"/>
      <c r="AR1266" s="6"/>
      <c r="AS1266" s="6"/>
      <c r="AT1266" s="6"/>
      <c r="AU1266" s="6"/>
      <c r="AV1266" s="6"/>
      <c r="AW1266" s="6"/>
      <c r="AX1266" s="6"/>
      <c r="AY1266" s="6"/>
      <c r="AZ1266" s="6"/>
      <c r="BA1266" s="6"/>
      <c r="BB1266" s="6"/>
      <c r="BC1266" s="6"/>
      <c r="BD1266" s="6"/>
      <c r="BE1266" s="6"/>
      <c r="BF1266" s="6"/>
      <c r="BG1266" s="6"/>
      <c r="BH1266" s="6"/>
      <c r="BI1266" s="6"/>
      <c r="BJ1266" s="6"/>
      <c r="BK1266" s="6"/>
      <c r="BL1266" s="6"/>
      <c r="BM1266" s="5"/>
      <c r="BN1266" s="7"/>
      <c r="BO1266" s="7"/>
      <c r="BP1266" s="7"/>
    </row>
    <row r="1267" spans="1:68" s="400" customFormat="1" ht="14.25" customHeight="1" x14ac:dyDescent="0.25">
      <c r="A1267" s="5"/>
      <c r="B1267" s="5"/>
      <c r="C1267" s="5"/>
      <c r="D1267" s="5"/>
      <c r="E1267" s="5"/>
      <c r="F1267" s="5"/>
      <c r="G1267" s="5"/>
      <c r="H1267" s="5"/>
      <c r="I1267" s="5"/>
      <c r="J1267" s="5"/>
      <c r="K1267" s="5"/>
      <c r="L1267" s="5"/>
      <c r="M1267" s="5"/>
      <c r="N1267" s="5"/>
      <c r="O1267" s="5"/>
      <c r="P1267" s="5"/>
      <c r="Q1267" s="5"/>
      <c r="R1267" s="5"/>
      <c r="S1267" s="5"/>
      <c r="T1267" s="5"/>
      <c r="U1267" s="5"/>
      <c r="V1267" s="5"/>
      <c r="W1267" s="5"/>
      <c r="X1267" s="5"/>
      <c r="Y1267" s="5"/>
      <c r="Z1267" s="5"/>
      <c r="AA1267" s="5"/>
      <c r="AB1267" s="6"/>
      <c r="AC1267" s="6"/>
      <c r="AD1267" s="6"/>
      <c r="AE1267" s="6"/>
      <c r="AF1267" s="6"/>
      <c r="AG1267" s="6"/>
      <c r="AH1267" s="6"/>
      <c r="AI1267" s="6"/>
      <c r="AJ1267" s="6"/>
      <c r="AK1267" s="6"/>
      <c r="AL1267" s="6"/>
      <c r="AM1267" s="6"/>
      <c r="AN1267" s="6"/>
      <c r="AO1267" s="6"/>
      <c r="AP1267" s="6"/>
      <c r="AQ1267" s="6"/>
      <c r="AR1267" s="6"/>
      <c r="AS1267" s="6"/>
      <c r="AT1267" s="6"/>
      <c r="AU1267" s="6"/>
      <c r="AV1267" s="6"/>
      <c r="AW1267" s="6"/>
      <c r="AX1267" s="6"/>
      <c r="AY1267" s="6"/>
      <c r="AZ1267" s="6"/>
      <c r="BA1267" s="6"/>
      <c r="BB1267" s="6"/>
      <c r="BC1267" s="6"/>
      <c r="BD1267" s="6"/>
      <c r="BE1267" s="6"/>
      <c r="BF1267" s="6"/>
      <c r="BG1267" s="6"/>
      <c r="BH1267" s="6"/>
      <c r="BI1267" s="6"/>
      <c r="BJ1267" s="6"/>
      <c r="BK1267" s="6"/>
      <c r="BL1267" s="6"/>
      <c r="BM1267" s="5"/>
      <c r="BN1267" s="7"/>
      <c r="BO1267" s="7"/>
      <c r="BP1267" s="7"/>
    </row>
    <row r="1268" spans="1:68" s="400" customFormat="1" ht="14.25" customHeight="1" x14ac:dyDescent="0.25">
      <c r="A1268" s="5"/>
      <c r="B1268" s="5"/>
      <c r="C1268" s="5"/>
      <c r="D1268" s="5"/>
      <c r="E1268" s="5"/>
      <c r="F1268" s="5"/>
      <c r="G1268" s="5"/>
      <c r="H1268" s="5"/>
      <c r="I1268" s="5"/>
      <c r="J1268" s="5"/>
      <c r="K1268" s="5"/>
      <c r="L1268" s="5"/>
      <c r="M1268" s="5"/>
      <c r="N1268" s="5"/>
      <c r="O1268" s="5"/>
      <c r="P1268" s="5"/>
      <c r="Q1268" s="5"/>
      <c r="R1268" s="5"/>
      <c r="S1268" s="5"/>
      <c r="T1268" s="5"/>
      <c r="U1268" s="5"/>
      <c r="V1268" s="5"/>
      <c r="W1268" s="5"/>
      <c r="X1268" s="5"/>
      <c r="Y1268" s="5"/>
      <c r="Z1268" s="5"/>
      <c r="AA1268" s="5"/>
      <c r="AB1268" s="6"/>
      <c r="AC1268" s="6"/>
      <c r="AD1268" s="6"/>
      <c r="AE1268" s="6"/>
      <c r="AF1268" s="6"/>
      <c r="AG1268" s="6"/>
      <c r="AH1268" s="6"/>
      <c r="AI1268" s="6"/>
      <c r="AJ1268" s="6"/>
      <c r="AK1268" s="6"/>
      <c r="AL1268" s="6"/>
      <c r="AM1268" s="6"/>
      <c r="AN1268" s="6"/>
      <c r="AO1268" s="6"/>
      <c r="AP1268" s="6"/>
      <c r="AQ1268" s="6"/>
      <c r="AR1268" s="6"/>
      <c r="AS1268" s="6"/>
      <c r="AT1268" s="6"/>
      <c r="AU1268" s="6"/>
      <c r="AV1268" s="6"/>
      <c r="AW1268" s="6"/>
      <c r="AX1268" s="6"/>
      <c r="AY1268" s="6"/>
      <c r="AZ1268" s="6"/>
      <c r="BA1268" s="6"/>
      <c r="BB1268" s="6"/>
      <c r="BC1268" s="6"/>
      <c r="BD1268" s="6"/>
      <c r="BE1268" s="6"/>
      <c r="BF1268" s="6"/>
      <c r="BG1268" s="6"/>
      <c r="BH1268" s="6"/>
      <c r="BI1268" s="6"/>
      <c r="BJ1268" s="6"/>
      <c r="BK1268" s="6"/>
      <c r="BL1268" s="6"/>
      <c r="BM1268" s="5"/>
      <c r="BN1268" s="7"/>
      <c r="BO1268" s="7"/>
      <c r="BP1268" s="7"/>
    </row>
    <row r="1269" spans="1:68" s="400" customFormat="1" ht="14.25" customHeight="1" x14ac:dyDescent="0.25">
      <c r="A1269" s="5"/>
      <c r="B1269" s="5"/>
      <c r="C1269" s="5"/>
      <c r="D1269" s="5"/>
      <c r="E1269" s="5"/>
      <c r="F1269" s="5"/>
      <c r="G1269" s="5"/>
      <c r="H1269" s="5"/>
      <c r="I1269" s="5"/>
      <c r="J1269" s="5"/>
      <c r="K1269" s="5"/>
      <c r="L1269" s="5"/>
      <c r="M1269" s="5"/>
      <c r="N1269" s="5"/>
      <c r="O1269" s="5"/>
      <c r="P1269" s="5"/>
      <c r="Q1269" s="5"/>
      <c r="R1269" s="5"/>
      <c r="S1269" s="5"/>
      <c r="T1269" s="5"/>
      <c r="U1269" s="5"/>
      <c r="V1269" s="5"/>
      <c r="W1269" s="5"/>
      <c r="X1269" s="5"/>
      <c r="Y1269" s="5"/>
      <c r="Z1269" s="5"/>
      <c r="AA1269" s="5"/>
      <c r="AB1269" s="6"/>
      <c r="AC1269" s="6"/>
      <c r="AD1269" s="6"/>
      <c r="AE1269" s="6"/>
      <c r="AF1269" s="6"/>
      <c r="AG1269" s="6"/>
      <c r="AH1269" s="6"/>
      <c r="AI1269" s="6"/>
      <c r="AJ1269" s="6"/>
      <c r="AK1269" s="6"/>
      <c r="AL1269" s="6"/>
      <c r="AM1269" s="6"/>
      <c r="AN1269" s="6"/>
      <c r="AO1269" s="6"/>
      <c r="AP1269" s="6"/>
      <c r="AQ1269" s="6"/>
      <c r="AR1269" s="6"/>
      <c r="AS1269" s="6"/>
      <c r="AT1269" s="6"/>
      <c r="AU1269" s="6"/>
      <c r="AV1269" s="6"/>
      <c r="AW1269" s="6"/>
      <c r="AX1269" s="6"/>
      <c r="AY1269" s="6"/>
      <c r="AZ1269" s="6"/>
      <c r="BA1269" s="6"/>
      <c r="BB1269" s="6"/>
      <c r="BC1269" s="6"/>
      <c r="BD1269" s="6"/>
      <c r="BE1269" s="6"/>
      <c r="BF1269" s="6"/>
      <c r="BG1269" s="6"/>
      <c r="BH1269" s="6"/>
      <c r="BI1269" s="6"/>
      <c r="BJ1269" s="6"/>
      <c r="BK1269" s="6"/>
      <c r="BL1269" s="6"/>
      <c r="BM1269" s="5"/>
      <c r="BN1269" s="7"/>
      <c r="BO1269" s="7"/>
      <c r="BP1269" s="7"/>
    </row>
    <row r="1270" spans="1:68" s="400" customFormat="1" ht="14.25" customHeight="1" x14ac:dyDescent="0.25">
      <c r="A1270" s="5"/>
      <c r="B1270" s="5"/>
      <c r="C1270" s="5"/>
      <c r="D1270" s="5"/>
      <c r="E1270" s="5"/>
      <c r="F1270" s="5"/>
      <c r="G1270" s="5"/>
      <c r="H1270" s="5"/>
      <c r="I1270" s="5"/>
      <c r="J1270" s="5"/>
      <c r="K1270" s="5"/>
      <c r="L1270" s="5"/>
      <c r="M1270" s="5"/>
      <c r="N1270" s="5"/>
      <c r="O1270" s="5"/>
      <c r="P1270" s="5"/>
      <c r="Q1270" s="5"/>
      <c r="R1270" s="5"/>
      <c r="S1270" s="5"/>
      <c r="T1270" s="5"/>
      <c r="U1270" s="5"/>
      <c r="V1270" s="5"/>
      <c r="W1270" s="5"/>
      <c r="X1270" s="5"/>
      <c r="Y1270" s="5"/>
      <c r="Z1270" s="5"/>
      <c r="AA1270" s="5"/>
      <c r="AB1270" s="6"/>
      <c r="AC1270" s="6"/>
      <c r="AD1270" s="6"/>
      <c r="AE1270" s="6"/>
      <c r="AF1270" s="6"/>
      <c r="AG1270" s="6"/>
      <c r="AH1270" s="6"/>
      <c r="AI1270" s="6"/>
      <c r="AJ1270" s="6"/>
      <c r="AK1270" s="6"/>
      <c r="AL1270" s="6"/>
      <c r="AM1270" s="6"/>
      <c r="AN1270" s="6"/>
      <c r="AO1270" s="6"/>
      <c r="AP1270" s="6"/>
      <c r="AQ1270" s="6"/>
      <c r="AR1270" s="6"/>
      <c r="AS1270" s="6"/>
      <c r="AT1270" s="6"/>
      <c r="AU1270" s="6"/>
      <c r="AV1270" s="6"/>
      <c r="AW1270" s="6"/>
      <c r="AX1270" s="6"/>
      <c r="AY1270" s="6"/>
      <c r="AZ1270" s="6"/>
      <c r="BA1270" s="6"/>
      <c r="BB1270" s="6"/>
      <c r="BC1270" s="6"/>
      <c r="BD1270" s="6"/>
      <c r="BE1270" s="6"/>
      <c r="BF1270" s="6"/>
      <c r="BG1270" s="6"/>
      <c r="BH1270" s="6"/>
      <c r="BI1270" s="6"/>
      <c r="BJ1270" s="6"/>
      <c r="BK1270" s="6"/>
      <c r="BL1270" s="6"/>
      <c r="BM1270" s="5"/>
      <c r="BN1270" s="7"/>
      <c r="BO1270" s="7"/>
      <c r="BP1270" s="7"/>
    </row>
    <row r="1271" spans="1:68" s="400" customFormat="1" ht="14.25" customHeight="1" x14ac:dyDescent="0.25">
      <c r="A1271" s="5"/>
      <c r="B1271" s="5"/>
      <c r="C1271" s="5"/>
      <c r="D1271" s="5"/>
      <c r="E1271" s="5"/>
      <c r="F1271" s="5"/>
      <c r="G1271" s="5"/>
      <c r="H1271" s="5"/>
      <c r="I1271" s="5"/>
      <c r="J1271" s="5"/>
      <c r="K1271" s="5"/>
      <c r="L1271" s="5"/>
      <c r="M1271" s="5"/>
      <c r="N1271" s="5"/>
      <c r="O1271" s="5"/>
      <c r="P1271" s="5"/>
      <c r="Q1271" s="5"/>
      <c r="R1271" s="5"/>
      <c r="S1271" s="5"/>
      <c r="T1271" s="5"/>
      <c r="U1271" s="5"/>
      <c r="V1271" s="5"/>
      <c r="W1271" s="5"/>
      <c r="X1271" s="5"/>
      <c r="Y1271" s="5"/>
      <c r="Z1271" s="5"/>
      <c r="AA1271" s="5"/>
      <c r="AB1271" s="6"/>
      <c r="AC1271" s="6"/>
      <c r="AD1271" s="6"/>
      <c r="AE1271" s="6"/>
      <c r="AF1271" s="6"/>
      <c r="AG1271" s="6"/>
      <c r="AH1271" s="6"/>
      <c r="AI1271" s="6"/>
      <c r="AJ1271" s="6"/>
      <c r="AK1271" s="6"/>
      <c r="AL1271" s="6"/>
      <c r="AM1271" s="6"/>
      <c r="AN1271" s="6"/>
      <c r="AO1271" s="6"/>
      <c r="AP1271" s="6"/>
      <c r="AQ1271" s="6"/>
      <c r="AR1271" s="6"/>
      <c r="AS1271" s="6"/>
      <c r="AT1271" s="6"/>
      <c r="AU1271" s="6"/>
      <c r="AV1271" s="6"/>
      <c r="AW1271" s="6"/>
      <c r="AX1271" s="6"/>
      <c r="AY1271" s="6"/>
      <c r="AZ1271" s="6"/>
      <c r="BA1271" s="6"/>
      <c r="BB1271" s="6"/>
      <c r="BC1271" s="6"/>
      <c r="BD1271" s="6"/>
      <c r="BE1271" s="6"/>
      <c r="BF1271" s="6"/>
      <c r="BG1271" s="6"/>
      <c r="BH1271" s="6"/>
      <c r="BI1271" s="6"/>
      <c r="BJ1271" s="6"/>
      <c r="BK1271" s="6"/>
      <c r="BL1271" s="6"/>
      <c r="BM1271" s="5"/>
      <c r="BN1271" s="7"/>
      <c r="BO1271" s="7"/>
      <c r="BP1271" s="7"/>
    </row>
    <row r="1272" spans="1:68" s="400" customFormat="1" ht="14.25" customHeight="1" x14ac:dyDescent="0.25">
      <c r="A1272" s="5"/>
      <c r="B1272" s="5"/>
      <c r="C1272" s="5"/>
      <c r="D1272" s="5"/>
      <c r="E1272" s="5"/>
      <c r="F1272" s="5"/>
      <c r="G1272" s="5"/>
      <c r="H1272" s="5"/>
      <c r="I1272" s="5"/>
      <c r="J1272" s="5"/>
      <c r="K1272" s="5"/>
      <c r="L1272" s="5"/>
      <c r="M1272" s="5"/>
      <c r="N1272" s="5"/>
      <c r="O1272" s="5"/>
      <c r="P1272" s="5"/>
      <c r="Q1272" s="5"/>
      <c r="R1272" s="5"/>
      <c r="S1272" s="5"/>
      <c r="T1272" s="5"/>
      <c r="U1272" s="5"/>
      <c r="V1272" s="5"/>
      <c r="W1272" s="5"/>
      <c r="X1272" s="5"/>
      <c r="Y1272" s="5"/>
      <c r="Z1272" s="5"/>
      <c r="AA1272" s="5"/>
      <c r="AB1272" s="6"/>
      <c r="AC1272" s="6"/>
      <c r="AD1272" s="6"/>
      <c r="AE1272" s="6"/>
      <c r="AF1272" s="6"/>
      <c r="AG1272" s="6"/>
      <c r="AH1272" s="6"/>
      <c r="AI1272" s="6"/>
      <c r="AJ1272" s="6"/>
      <c r="AK1272" s="6"/>
      <c r="AL1272" s="6"/>
      <c r="AM1272" s="6"/>
      <c r="AN1272" s="6"/>
      <c r="AO1272" s="6"/>
      <c r="AP1272" s="6"/>
      <c r="AQ1272" s="6"/>
      <c r="AR1272" s="6"/>
      <c r="AS1272" s="6"/>
      <c r="AT1272" s="6"/>
      <c r="AU1272" s="6"/>
      <c r="AV1272" s="6"/>
      <c r="AW1272" s="6"/>
      <c r="AX1272" s="6"/>
      <c r="AY1272" s="6"/>
      <c r="AZ1272" s="6"/>
      <c r="BA1272" s="6"/>
      <c r="BB1272" s="6"/>
      <c r="BC1272" s="6"/>
      <c r="BD1272" s="6"/>
      <c r="BE1272" s="6"/>
      <c r="BF1272" s="6"/>
      <c r="BG1272" s="6"/>
      <c r="BH1272" s="6"/>
      <c r="BI1272" s="6"/>
      <c r="BJ1272" s="6"/>
      <c r="BK1272" s="6"/>
      <c r="BL1272" s="6"/>
      <c r="BM1272" s="5"/>
      <c r="BN1272" s="7"/>
      <c r="BO1272" s="7"/>
      <c r="BP1272" s="7"/>
    </row>
    <row r="1273" spans="1:68" s="400" customFormat="1" ht="14.25" customHeight="1" x14ac:dyDescent="0.25">
      <c r="A1273" s="5"/>
      <c r="B1273" s="5"/>
      <c r="C1273" s="5"/>
      <c r="D1273" s="5"/>
      <c r="E1273" s="5"/>
      <c r="F1273" s="5"/>
      <c r="G1273" s="5"/>
      <c r="H1273" s="5"/>
      <c r="I1273" s="5"/>
      <c r="J1273" s="5"/>
      <c r="K1273" s="5"/>
      <c r="L1273" s="5"/>
      <c r="M1273" s="5"/>
      <c r="N1273" s="5"/>
      <c r="O1273" s="5"/>
      <c r="P1273" s="5"/>
      <c r="Q1273" s="5"/>
      <c r="R1273" s="5"/>
      <c r="S1273" s="5"/>
      <c r="T1273" s="5"/>
      <c r="U1273" s="5"/>
      <c r="V1273" s="5"/>
      <c r="W1273" s="5"/>
      <c r="X1273" s="5"/>
      <c r="Y1273" s="5"/>
      <c r="Z1273" s="5"/>
      <c r="AA1273" s="5"/>
      <c r="AB1273" s="6"/>
      <c r="AC1273" s="6"/>
      <c r="AD1273" s="6"/>
      <c r="AE1273" s="6"/>
      <c r="AF1273" s="6"/>
      <c r="AG1273" s="6"/>
      <c r="AH1273" s="6"/>
      <c r="AI1273" s="6"/>
      <c r="AJ1273" s="6"/>
      <c r="AK1273" s="6"/>
      <c r="AL1273" s="6"/>
      <c r="AM1273" s="6"/>
      <c r="AN1273" s="6"/>
      <c r="AO1273" s="6"/>
      <c r="AP1273" s="6"/>
      <c r="AQ1273" s="6"/>
      <c r="AR1273" s="6"/>
      <c r="AS1273" s="6"/>
      <c r="AT1273" s="6"/>
      <c r="AU1273" s="6"/>
      <c r="AV1273" s="6"/>
      <c r="AW1273" s="6"/>
      <c r="AX1273" s="6"/>
      <c r="AY1273" s="6"/>
      <c r="AZ1273" s="6"/>
      <c r="BA1273" s="6"/>
      <c r="BB1273" s="6"/>
      <c r="BC1273" s="6"/>
      <c r="BD1273" s="6"/>
      <c r="BE1273" s="6"/>
      <c r="BF1273" s="6"/>
      <c r="BG1273" s="6"/>
      <c r="BH1273" s="6"/>
      <c r="BI1273" s="6"/>
      <c r="BJ1273" s="6"/>
      <c r="BK1273" s="6"/>
      <c r="BL1273" s="6"/>
      <c r="BM1273" s="5"/>
      <c r="BN1273" s="7"/>
      <c r="BO1273" s="7"/>
      <c r="BP1273" s="7"/>
    </row>
    <row r="1274" spans="1:68" s="400" customFormat="1" ht="14.25" customHeight="1" x14ac:dyDescent="0.25">
      <c r="A1274" s="5"/>
      <c r="B1274" s="5"/>
      <c r="C1274" s="5"/>
      <c r="D1274" s="5"/>
      <c r="E1274" s="5"/>
      <c r="F1274" s="5"/>
      <c r="G1274" s="5"/>
      <c r="H1274" s="5"/>
      <c r="I1274" s="5"/>
      <c r="J1274" s="5"/>
      <c r="K1274" s="5"/>
      <c r="L1274" s="5"/>
      <c r="M1274" s="5"/>
      <c r="N1274" s="5"/>
      <c r="O1274" s="5"/>
      <c r="P1274" s="5"/>
      <c r="Q1274" s="5"/>
      <c r="R1274" s="5"/>
      <c r="S1274" s="5"/>
      <c r="T1274" s="5"/>
      <c r="U1274" s="5"/>
      <c r="V1274" s="5"/>
      <c r="W1274" s="5"/>
      <c r="X1274" s="5"/>
      <c r="Y1274" s="5"/>
      <c r="Z1274" s="5"/>
      <c r="AA1274" s="5"/>
      <c r="AB1274" s="6"/>
      <c r="AC1274" s="6"/>
      <c r="AD1274" s="6"/>
      <c r="AE1274" s="6"/>
      <c r="AF1274" s="6"/>
      <c r="AG1274" s="6"/>
      <c r="AH1274" s="6"/>
      <c r="AI1274" s="6"/>
      <c r="AJ1274" s="6"/>
      <c r="AK1274" s="6"/>
      <c r="AL1274" s="6"/>
      <c r="AM1274" s="6"/>
      <c r="AN1274" s="6"/>
      <c r="AO1274" s="6"/>
      <c r="AP1274" s="6"/>
      <c r="AQ1274" s="6"/>
      <c r="AR1274" s="6"/>
      <c r="AS1274" s="6"/>
      <c r="AT1274" s="6"/>
      <c r="AU1274" s="6"/>
      <c r="AV1274" s="6"/>
      <c r="AW1274" s="6"/>
      <c r="AX1274" s="6"/>
      <c r="AY1274" s="6"/>
      <c r="AZ1274" s="6"/>
      <c r="BA1274" s="6"/>
      <c r="BB1274" s="6"/>
      <c r="BC1274" s="6"/>
      <c r="BD1274" s="6"/>
      <c r="BE1274" s="6"/>
      <c r="BF1274" s="6"/>
      <c r="BG1274" s="6"/>
      <c r="BH1274" s="6"/>
      <c r="BI1274" s="6"/>
      <c r="BJ1274" s="6"/>
      <c r="BK1274" s="6"/>
      <c r="BL1274" s="6"/>
      <c r="BM1274" s="5"/>
      <c r="BN1274" s="7"/>
      <c r="BO1274" s="7"/>
      <c r="BP1274" s="7"/>
    </row>
    <row r="1275" spans="1:68" s="400" customFormat="1" ht="14.25" customHeight="1" x14ac:dyDescent="0.25">
      <c r="A1275" s="5"/>
      <c r="B1275" s="5"/>
      <c r="C1275" s="5"/>
      <c r="D1275" s="5"/>
      <c r="E1275" s="5"/>
      <c r="F1275" s="5"/>
      <c r="G1275" s="5"/>
      <c r="H1275" s="5"/>
      <c r="I1275" s="5"/>
      <c r="J1275" s="5"/>
      <c r="K1275" s="5"/>
      <c r="L1275" s="5"/>
      <c r="M1275" s="5"/>
      <c r="N1275" s="5"/>
      <c r="O1275" s="5"/>
      <c r="P1275" s="5"/>
      <c r="Q1275" s="5"/>
      <c r="R1275" s="5"/>
      <c r="S1275" s="5"/>
      <c r="T1275" s="5"/>
      <c r="U1275" s="5"/>
      <c r="V1275" s="5"/>
      <c r="W1275" s="5"/>
      <c r="X1275" s="5"/>
      <c r="Y1275" s="5"/>
      <c r="Z1275" s="5"/>
      <c r="AA1275" s="5"/>
      <c r="AB1275" s="6"/>
      <c r="AC1275" s="6"/>
      <c r="AD1275" s="6"/>
      <c r="AE1275" s="6"/>
      <c r="AF1275" s="6"/>
      <c r="AG1275" s="6"/>
      <c r="AH1275" s="6"/>
      <c r="AI1275" s="6"/>
      <c r="AJ1275" s="6"/>
      <c r="AK1275" s="6"/>
      <c r="AL1275" s="6"/>
      <c r="AM1275" s="6"/>
      <c r="AN1275" s="6"/>
      <c r="AO1275" s="6"/>
      <c r="AP1275" s="6"/>
      <c r="AQ1275" s="6"/>
      <c r="AR1275" s="6"/>
      <c r="AS1275" s="6"/>
      <c r="AT1275" s="6"/>
      <c r="AU1275" s="6"/>
      <c r="AV1275" s="6"/>
      <c r="AW1275" s="6"/>
      <c r="AX1275" s="6"/>
      <c r="AY1275" s="6"/>
      <c r="AZ1275" s="6"/>
      <c r="BA1275" s="6"/>
      <c r="BB1275" s="6"/>
      <c r="BC1275" s="6"/>
      <c r="BD1275" s="6"/>
      <c r="BE1275" s="6"/>
      <c r="BF1275" s="6"/>
      <c r="BG1275" s="6"/>
      <c r="BH1275" s="6"/>
      <c r="BI1275" s="6"/>
      <c r="BJ1275" s="6"/>
      <c r="BK1275" s="6"/>
      <c r="BL1275" s="6"/>
      <c r="BM1275" s="5"/>
      <c r="BN1275" s="7"/>
      <c r="BO1275" s="7"/>
      <c r="BP1275" s="7"/>
    </row>
    <row r="1276" spans="1:68" s="400" customFormat="1" ht="14.25" customHeight="1" x14ac:dyDescent="0.25">
      <c r="A1276" s="5"/>
      <c r="B1276" s="5"/>
      <c r="C1276" s="5"/>
      <c r="D1276" s="5"/>
      <c r="E1276" s="5"/>
      <c r="F1276" s="5"/>
      <c r="G1276" s="5"/>
      <c r="H1276" s="5"/>
      <c r="I1276" s="5"/>
      <c r="J1276" s="5"/>
      <c r="K1276" s="5"/>
      <c r="L1276" s="5"/>
      <c r="M1276" s="5"/>
      <c r="N1276" s="5"/>
      <c r="O1276" s="5"/>
      <c r="P1276" s="5"/>
      <c r="Q1276" s="5"/>
      <c r="R1276" s="5"/>
      <c r="S1276" s="5"/>
      <c r="T1276" s="5"/>
      <c r="U1276" s="5"/>
      <c r="V1276" s="5"/>
      <c r="W1276" s="5"/>
      <c r="X1276" s="5"/>
      <c r="Y1276" s="5"/>
      <c r="Z1276" s="5"/>
      <c r="AA1276" s="5"/>
      <c r="AB1276" s="6"/>
      <c r="AC1276" s="6"/>
      <c r="AD1276" s="6"/>
      <c r="AE1276" s="6"/>
      <c r="AF1276" s="6"/>
      <c r="AG1276" s="6"/>
      <c r="AH1276" s="6"/>
      <c r="AI1276" s="6"/>
      <c r="AJ1276" s="6"/>
      <c r="AK1276" s="6"/>
      <c r="AL1276" s="6"/>
      <c r="AM1276" s="6"/>
      <c r="AN1276" s="6"/>
      <c r="AO1276" s="6"/>
      <c r="AP1276" s="6"/>
      <c r="AQ1276" s="6"/>
      <c r="AR1276" s="6"/>
      <c r="AS1276" s="6"/>
      <c r="AT1276" s="6"/>
      <c r="AU1276" s="6"/>
      <c r="AV1276" s="6"/>
      <c r="AW1276" s="6"/>
      <c r="AX1276" s="6"/>
      <c r="AY1276" s="6"/>
      <c r="AZ1276" s="6"/>
      <c r="BA1276" s="6"/>
      <c r="BB1276" s="6"/>
      <c r="BC1276" s="6"/>
      <c r="BD1276" s="6"/>
      <c r="BE1276" s="6"/>
      <c r="BF1276" s="6"/>
      <c r="BG1276" s="6"/>
      <c r="BH1276" s="6"/>
      <c r="BI1276" s="6"/>
      <c r="BJ1276" s="6"/>
      <c r="BK1276" s="6"/>
      <c r="BL1276" s="6"/>
      <c r="BM1276" s="5"/>
      <c r="BN1276" s="7"/>
      <c r="BO1276" s="7"/>
      <c r="BP1276" s="7"/>
    </row>
    <row r="1277" spans="1:68" s="400" customFormat="1" ht="14.25" customHeight="1" x14ac:dyDescent="0.25">
      <c r="A1277" s="5"/>
      <c r="B1277" s="5"/>
      <c r="C1277" s="5"/>
      <c r="D1277" s="5"/>
      <c r="E1277" s="5"/>
      <c r="F1277" s="5"/>
      <c r="G1277" s="5"/>
      <c r="H1277" s="5"/>
      <c r="I1277" s="5"/>
      <c r="J1277" s="5"/>
      <c r="K1277" s="5"/>
      <c r="L1277" s="5"/>
      <c r="M1277" s="5"/>
      <c r="N1277" s="5"/>
      <c r="O1277" s="5"/>
      <c r="P1277" s="5"/>
      <c r="Q1277" s="5"/>
      <c r="R1277" s="5"/>
      <c r="S1277" s="5"/>
      <c r="T1277" s="5"/>
      <c r="U1277" s="5"/>
      <c r="V1277" s="5"/>
      <c r="W1277" s="5"/>
      <c r="X1277" s="5"/>
      <c r="Y1277" s="5"/>
      <c r="Z1277" s="5"/>
      <c r="AA1277" s="5"/>
      <c r="AB1277" s="6"/>
      <c r="AC1277" s="6"/>
      <c r="AD1277" s="6"/>
      <c r="AE1277" s="6"/>
      <c r="AF1277" s="6"/>
      <c r="AG1277" s="6"/>
      <c r="AH1277" s="6"/>
      <c r="AI1277" s="6"/>
      <c r="AJ1277" s="6"/>
      <c r="AK1277" s="6"/>
      <c r="AL1277" s="6"/>
      <c r="AM1277" s="6"/>
      <c r="AN1277" s="6"/>
      <c r="AO1277" s="6"/>
      <c r="AP1277" s="6"/>
      <c r="AQ1277" s="6"/>
      <c r="AR1277" s="6"/>
      <c r="AS1277" s="6"/>
      <c r="AT1277" s="6"/>
      <c r="AU1277" s="6"/>
      <c r="AV1277" s="6"/>
      <c r="AW1277" s="6"/>
      <c r="AX1277" s="6"/>
      <c r="AY1277" s="6"/>
      <c r="AZ1277" s="6"/>
      <c r="BA1277" s="6"/>
      <c r="BB1277" s="6"/>
      <c r="BC1277" s="6"/>
      <c r="BD1277" s="6"/>
      <c r="BE1277" s="6"/>
      <c r="BF1277" s="6"/>
      <c r="BG1277" s="6"/>
      <c r="BH1277" s="6"/>
      <c r="BI1277" s="6"/>
      <c r="BJ1277" s="6"/>
      <c r="BK1277" s="6"/>
      <c r="BL1277" s="6"/>
      <c r="BM1277" s="5"/>
      <c r="BN1277" s="7"/>
      <c r="BO1277" s="7"/>
      <c r="BP1277" s="7"/>
    </row>
    <row r="1278" spans="1:68" s="400" customFormat="1" ht="14.25" customHeight="1" x14ac:dyDescent="0.25">
      <c r="A1278" s="5"/>
      <c r="B1278" s="5"/>
      <c r="C1278" s="5"/>
      <c r="D1278" s="5"/>
      <c r="E1278" s="5"/>
      <c r="F1278" s="5"/>
      <c r="G1278" s="5"/>
      <c r="H1278" s="5"/>
      <c r="I1278" s="5"/>
      <c r="J1278" s="5"/>
      <c r="K1278" s="5"/>
      <c r="L1278" s="5"/>
      <c r="M1278" s="5"/>
      <c r="N1278" s="5"/>
      <c r="O1278" s="5"/>
      <c r="P1278" s="5"/>
      <c r="Q1278" s="5"/>
      <c r="R1278" s="5"/>
      <c r="S1278" s="5"/>
      <c r="T1278" s="5"/>
      <c r="U1278" s="5"/>
      <c r="V1278" s="5"/>
      <c r="W1278" s="5"/>
      <c r="X1278" s="5"/>
      <c r="Y1278" s="5"/>
      <c r="Z1278" s="5"/>
      <c r="AA1278" s="5"/>
      <c r="AB1278" s="6"/>
      <c r="AC1278" s="6"/>
      <c r="AD1278" s="6"/>
      <c r="AE1278" s="6"/>
      <c r="AF1278" s="6"/>
      <c r="AG1278" s="6"/>
      <c r="AH1278" s="6"/>
      <c r="AI1278" s="6"/>
      <c r="AJ1278" s="6"/>
      <c r="AK1278" s="6"/>
      <c r="AL1278" s="6"/>
      <c r="AM1278" s="6"/>
      <c r="AN1278" s="6"/>
      <c r="AO1278" s="6"/>
      <c r="AP1278" s="6"/>
      <c r="AQ1278" s="6"/>
      <c r="AR1278" s="6"/>
      <c r="AS1278" s="6"/>
      <c r="AT1278" s="6"/>
      <c r="AU1278" s="6"/>
      <c r="AV1278" s="6"/>
      <c r="AW1278" s="6"/>
      <c r="AX1278" s="6"/>
      <c r="AY1278" s="6"/>
      <c r="AZ1278" s="6"/>
      <c r="BA1278" s="6"/>
      <c r="BB1278" s="6"/>
      <c r="BC1278" s="6"/>
      <c r="BD1278" s="6"/>
      <c r="BE1278" s="6"/>
      <c r="BF1278" s="6"/>
      <c r="BG1278" s="6"/>
      <c r="BH1278" s="6"/>
      <c r="BI1278" s="6"/>
      <c r="BJ1278" s="6"/>
      <c r="BK1278" s="6"/>
      <c r="BL1278" s="6"/>
      <c r="BM1278" s="5"/>
      <c r="BN1278" s="7"/>
      <c r="BO1278" s="7"/>
      <c r="BP1278" s="7"/>
    </row>
    <row r="1279" spans="1:68" s="400" customFormat="1" ht="14.25" customHeight="1" x14ac:dyDescent="0.25">
      <c r="A1279" s="5"/>
      <c r="B1279" s="5"/>
      <c r="C1279" s="5"/>
      <c r="D1279" s="5"/>
      <c r="E1279" s="5"/>
      <c r="F1279" s="5"/>
      <c r="G1279" s="5"/>
      <c r="H1279" s="5"/>
      <c r="I1279" s="5"/>
      <c r="J1279" s="5"/>
      <c r="K1279" s="5"/>
      <c r="L1279" s="5"/>
      <c r="M1279" s="5"/>
      <c r="N1279" s="5"/>
      <c r="O1279" s="5"/>
      <c r="P1279" s="5"/>
      <c r="Q1279" s="5"/>
      <c r="R1279" s="5"/>
      <c r="S1279" s="5"/>
      <c r="T1279" s="5"/>
      <c r="U1279" s="5"/>
      <c r="V1279" s="5"/>
      <c r="W1279" s="5"/>
      <c r="X1279" s="5"/>
      <c r="Y1279" s="5"/>
      <c r="Z1279" s="5"/>
      <c r="AA1279" s="5"/>
      <c r="AB1279" s="6"/>
      <c r="AC1279" s="6"/>
      <c r="AD1279" s="6"/>
      <c r="AE1279" s="6"/>
      <c r="AF1279" s="6"/>
      <c r="AG1279" s="6"/>
      <c r="AH1279" s="6"/>
      <c r="AI1279" s="6"/>
      <c r="AJ1279" s="6"/>
      <c r="AK1279" s="6"/>
      <c r="AL1279" s="6"/>
      <c r="AM1279" s="6"/>
      <c r="AN1279" s="6"/>
      <c r="AO1279" s="6"/>
      <c r="AP1279" s="6"/>
      <c r="AQ1279" s="6"/>
      <c r="AR1279" s="6"/>
      <c r="AS1279" s="6"/>
      <c r="AT1279" s="6"/>
      <c r="AU1279" s="6"/>
      <c r="AV1279" s="6"/>
      <c r="AW1279" s="6"/>
      <c r="AX1279" s="6"/>
      <c r="AY1279" s="6"/>
      <c r="AZ1279" s="6"/>
      <c r="BA1279" s="6"/>
      <c r="BB1279" s="6"/>
      <c r="BC1279" s="6"/>
      <c r="BD1279" s="6"/>
      <c r="BE1279" s="6"/>
      <c r="BF1279" s="6"/>
      <c r="BG1279" s="6"/>
      <c r="BH1279" s="6"/>
      <c r="BI1279" s="6"/>
      <c r="BJ1279" s="6"/>
      <c r="BK1279" s="6"/>
      <c r="BL1279" s="6"/>
      <c r="BM1279" s="5"/>
      <c r="BN1279" s="7"/>
      <c r="BO1279" s="7"/>
      <c r="BP1279" s="7"/>
    </row>
    <row r="1280" spans="1:68" s="400" customFormat="1" ht="14.25" customHeight="1" x14ac:dyDescent="0.25">
      <c r="A1280" s="5"/>
      <c r="B1280" s="5"/>
      <c r="C1280" s="5"/>
      <c r="D1280" s="5"/>
      <c r="E1280" s="5"/>
      <c r="F1280" s="5"/>
      <c r="G1280" s="5"/>
      <c r="H1280" s="5"/>
      <c r="I1280" s="5"/>
      <c r="J1280" s="5"/>
      <c r="K1280" s="5"/>
      <c r="L1280" s="5"/>
      <c r="M1280" s="5"/>
      <c r="N1280" s="5"/>
      <c r="O1280" s="5"/>
      <c r="P1280" s="5"/>
      <c r="Q1280" s="5"/>
      <c r="R1280" s="5"/>
      <c r="S1280" s="5"/>
      <c r="T1280" s="5"/>
      <c r="U1280" s="5"/>
      <c r="V1280" s="5"/>
      <c r="W1280" s="5"/>
      <c r="X1280" s="5"/>
      <c r="Y1280" s="5"/>
      <c r="Z1280" s="5"/>
      <c r="AA1280" s="5"/>
      <c r="AB1280" s="6"/>
      <c r="AC1280" s="6"/>
      <c r="AD1280" s="6"/>
      <c r="AE1280" s="6"/>
      <c r="AF1280" s="6"/>
      <c r="AG1280" s="6"/>
      <c r="AH1280" s="6"/>
      <c r="AI1280" s="6"/>
      <c r="AJ1280" s="6"/>
      <c r="AK1280" s="6"/>
      <c r="AL1280" s="6"/>
      <c r="AM1280" s="6"/>
      <c r="AN1280" s="6"/>
      <c r="AO1280" s="6"/>
      <c r="AP1280" s="6"/>
      <c r="AQ1280" s="6"/>
      <c r="AR1280" s="6"/>
      <c r="AS1280" s="6"/>
      <c r="AT1280" s="6"/>
      <c r="AU1280" s="6"/>
      <c r="AV1280" s="6"/>
      <c r="AW1280" s="6"/>
      <c r="AX1280" s="6"/>
      <c r="AY1280" s="6"/>
      <c r="AZ1280" s="6"/>
      <c r="BA1280" s="6"/>
      <c r="BB1280" s="6"/>
      <c r="BC1280" s="6"/>
      <c r="BD1280" s="6"/>
      <c r="BE1280" s="6"/>
      <c r="BF1280" s="6"/>
      <c r="BG1280" s="6"/>
      <c r="BH1280" s="6"/>
      <c r="BI1280" s="6"/>
      <c r="BJ1280" s="6"/>
      <c r="BK1280" s="6"/>
      <c r="BL1280" s="6"/>
      <c r="BM1280" s="5"/>
      <c r="BN1280" s="7"/>
      <c r="BO1280" s="7"/>
      <c r="BP1280" s="7"/>
    </row>
    <row r="1281" spans="1:68" s="400" customFormat="1" ht="14.25" customHeight="1" x14ac:dyDescent="0.25">
      <c r="A1281" s="5"/>
      <c r="B1281" s="5"/>
      <c r="C1281" s="5"/>
      <c r="D1281" s="5"/>
      <c r="E1281" s="5"/>
      <c r="F1281" s="5"/>
      <c r="G1281" s="5"/>
      <c r="H1281" s="5"/>
      <c r="I1281" s="5"/>
      <c r="J1281" s="5"/>
      <c r="K1281" s="5"/>
      <c r="L1281" s="5"/>
      <c r="M1281" s="5"/>
      <c r="N1281" s="5"/>
      <c r="O1281" s="5"/>
      <c r="P1281" s="5"/>
      <c r="Q1281" s="5"/>
      <c r="R1281" s="5"/>
      <c r="S1281" s="5"/>
      <c r="T1281" s="5"/>
      <c r="U1281" s="5"/>
      <c r="V1281" s="5"/>
      <c r="W1281" s="5"/>
      <c r="X1281" s="5"/>
      <c r="Y1281" s="5"/>
      <c r="Z1281" s="5"/>
      <c r="AA1281" s="5"/>
      <c r="AB1281" s="6"/>
      <c r="AC1281" s="6"/>
      <c r="AD1281" s="6"/>
      <c r="AE1281" s="6"/>
      <c r="AF1281" s="6"/>
      <c r="AG1281" s="6"/>
      <c r="AH1281" s="6"/>
      <c r="AI1281" s="6"/>
      <c r="AJ1281" s="6"/>
      <c r="AK1281" s="6"/>
      <c r="AL1281" s="6"/>
      <c r="AM1281" s="6"/>
      <c r="AN1281" s="6"/>
      <c r="AO1281" s="6"/>
      <c r="AP1281" s="6"/>
      <c r="AQ1281" s="6"/>
      <c r="AR1281" s="6"/>
      <c r="AS1281" s="6"/>
      <c r="AT1281" s="6"/>
      <c r="AU1281" s="6"/>
      <c r="AV1281" s="6"/>
      <c r="AW1281" s="6"/>
      <c r="AX1281" s="6"/>
      <c r="AY1281" s="6"/>
      <c r="AZ1281" s="6"/>
      <c r="BA1281" s="6"/>
      <c r="BB1281" s="6"/>
      <c r="BC1281" s="6"/>
      <c r="BD1281" s="6"/>
      <c r="BE1281" s="6"/>
      <c r="BF1281" s="6"/>
      <c r="BG1281" s="6"/>
      <c r="BH1281" s="6"/>
      <c r="BI1281" s="6"/>
      <c r="BJ1281" s="6"/>
      <c r="BK1281" s="6"/>
      <c r="BL1281" s="6"/>
      <c r="BM1281" s="5"/>
      <c r="BN1281" s="7"/>
      <c r="BO1281" s="7"/>
      <c r="BP1281" s="7"/>
    </row>
    <row r="1282" spans="1:68" s="400" customFormat="1" ht="14.25" customHeight="1" x14ac:dyDescent="0.25">
      <c r="A1282" s="5"/>
      <c r="B1282" s="5"/>
      <c r="C1282" s="5"/>
      <c r="D1282" s="5"/>
      <c r="E1282" s="5"/>
      <c r="F1282" s="5"/>
      <c r="G1282" s="5"/>
      <c r="H1282" s="5"/>
      <c r="I1282" s="5"/>
      <c r="J1282" s="5"/>
      <c r="K1282" s="5"/>
      <c r="L1282" s="5"/>
      <c r="M1282" s="5"/>
      <c r="N1282" s="5"/>
      <c r="O1282" s="5"/>
      <c r="P1282" s="5"/>
      <c r="Q1282" s="5"/>
      <c r="R1282" s="5"/>
      <c r="S1282" s="5"/>
      <c r="T1282" s="5"/>
      <c r="U1282" s="5"/>
      <c r="V1282" s="5"/>
      <c r="W1282" s="5"/>
      <c r="X1282" s="5"/>
      <c r="Y1282" s="5"/>
      <c r="Z1282" s="5"/>
      <c r="AA1282" s="5"/>
      <c r="AB1282" s="6"/>
      <c r="AC1282" s="6"/>
      <c r="AD1282" s="6"/>
      <c r="AE1282" s="6"/>
      <c r="AF1282" s="6"/>
      <c r="AG1282" s="6"/>
      <c r="AH1282" s="6"/>
      <c r="AI1282" s="6"/>
      <c r="AJ1282" s="6"/>
      <c r="AK1282" s="6"/>
      <c r="AL1282" s="6"/>
      <c r="AM1282" s="6"/>
      <c r="AN1282" s="6"/>
      <c r="AO1282" s="6"/>
      <c r="AP1282" s="6"/>
      <c r="AQ1282" s="6"/>
      <c r="AR1282" s="6"/>
      <c r="AS1282" s="6"/>
      <c r="AT1282" s="6"/>
      <c r="AU1282" s="6"/>
      <c r="AV1282" s="6"/>
      <c r="AW1282" s="6"/>
      <c r="AX1282" s="6"/>
      <c r="AY1282" s="6"/>
      <c r="AZ1282" s="6"/>
      <c r="BA1282" s="6"/>
      <c r="BB1282" s="6"/>
      <c r="BC1282" s="6"/>
      <c r="BD1282" s="6"/>
      <c r="BE1282" s="6"/>
      <c r="BF1282" s="6"/>
      <c r="BG1282" s="6"/>
      <c r="BH1282" s="6"/>
      <c r="BI1282" s="6"/>
      <c r="BJ1282" s="6"/>
      <c r="BK1282" s="6"/>
      <c r="BL1282" s="6"/>
      <c r="BM1282" s="5"/>
      <c r="BN1282" s="7"/>
      <c r="BO1282" s="7"/>
      <c r="BP1282" s="7"/>
    </row>
    <row r="1283" spans="1:68" s="400" customFormat="1" ht="14.25" customHeight="1" x14ac:dyDescent="0.25">
      <c r="A1283" s="5"/>
      <c r="B1283" s="5"/>
      <c r="C1283" s="5"/>
      <c r="D1283" s="5"/>
      <c r="E1283" s="5"/>
      <c r="F1283" s="5"/>
      <c r="G1283" s="5"/>
      <c r="H1283" s="5"/>
      <c r="I1283" s="5"/>
      <c r="J1283" s="5"/>
      <c r="K1283" s="5"/>
      <c r="L1283" s="5"/>
      <c r="M1283" s="5"/>
      <c r="N1283" s="5"/>
      <c r="O1283" s="5"/>
      <c r="P1283" s="5"/>
      <c r="Q1283" s="5"/>
      <c r="R1283" s="5"/>
      <c r="S1283" s="5"/>
      <c r="T1283" s="5"/>
      <c r="U1283" s="5"/>
      <c r="V1283" s="5"/>
      <c r="W1283" s="5"/>
      <c r="X1283" s="5"/>
      <c r="Y1283" s="5"/>
      <c r="Z1283" s="5"/>
      <c r="AA1283" s="5"/>
      <c r="AB1283" s="6"/>
      <c r="AC1283" s="6"/>
      <c r="AD1283" s="6"/>
      <c r="AE1283" s="6"/>
      <c r="AF1283" s="6"/>
      <c r="AG1283" s="6"/>
      <c r="AH1283" s="6"/>
      <c r="AI1283" s="6"/>
      <c r="AJ1283" s="6"/>
      <c r="AK1283" s="6"/>
      <c r="AL1283" s="6"/>
      <c r="AM1283" s="6"/>
      <c r="AN1283" s="6"/>
      <c r="AO1283" s="6"/>
      <c r="AP1283" s="6"/>
      <c r="AQ1283" s="6"/>
      <c r="AR1283" s="6"/>
      <c r="AS1283" s="6"/>
      <c r="AT1283" s="6"/>
      <c r="AU1283" s="6"/>
      <c r="AV1283" s="6"/>
      <c r="AW1283" s="6"/>
      <c r="AX1283" s="6"/>
      <c r="AY1283" s="6"/>
      <c r="AZ1283" s="6"/>
      <c r="BA1283" s="6"/>
      <c r="BB1283" s="6"/>
      <c r="BC1283" s="6"/>
      <c r="BD1283" s="6"/>
      <c r="BE1283" s="6"/>
      <c r="BF1283" s="6"/>
      <c r="BG1283" s="6"/>
      <c r="BH1283" s="6"/>
      <c r="BI1283" s="6"/>
      <c r="BJ1283" s="6"/>
      <c r="BK1283" s="6"/>
      <c r="BL1283" s="6"/>
      <c r="BM1283" s="5"/>
      <c r="BN1283" s="7"/>
      <c r="BO1283" s="7"/>
      <c r="BP1283" s="7"/>
    </row>
    <row r="1284" spans="1:68" s="400" customFormat="1" ht="14.25" customHeight="1" x14ac:dyDescent="0.25">
      <c r="A1284" s="5"/>
      <c r="B1284" s="5"/>
      <c r="C1284" s="5"/>
      <c r="D1284" s="5"/>
      <c r="E1284" s="5"/>
      <c r="F1284" s="5"/>
      <c r="G1284" s="5"/>
      <c r="H1284" s="5"/>
      <c r="I1284" s="5"/>
      <c r="J1284" s="5"/>
      <c r="K1284" s="5"/>
      <c r="L1284" s="5"/>
      <c r="M1284" s="5"/>
      <c r="N1284" s="5"/>
      <c r="O1284" s="5"/>
      <c r="P1284" s="5"/>
      <c r="Q1284" s="5"/>
      <c r="R1284" s="5"/>
      <c r="S1284" s="5"/>
      <c r="T1284" s="5"/>
      <c r="U1284" s="5"/>
      <c r="V1284" s="5"/>
      <c r="W1284" s="5"/>
      <c r="X1284" s="5"/>
      <c r="Y1284" s="5"/>
      <c r="Z1284" s="5"/>
      <c r="AA1284" s="5"/>
      <c r="AB1284" s="6"/>
      <c r="AC1284" s="6"/>
      <c r="AD1284" s="6"/>
      <c r="AE1284" s="6"/>
      <c r="AF1284" s="6"/>
      <c r="AG1284" s="6"/>
      <c r="AH1284" s="6"/>
      <c r="AI1284" s="6"/>
      <c r="AJ1284" s="6"/>
      <c r="AK1284" s="6"/>
      <c r="AL1284" s="6"/>
      <c r="AM1284" s="6"/>
      <c r="AN1284" s="6"/>
      <c r="AO1284" s="6"/>
      <c r="AP1284" s="6"/>
      <c r="AQ1284" s="6"/>
      <c r="AR1284" s="6"/>
      <c r="AS1284" s="6"/>
      <c r="AT1284" s="6"/>
      <c r="AU1284" s="6"/>
      <c r="AV1284" s="6"/>
      <c r="AW1284" s="6"/>
      <c r="AX1284" s="6"/>
      <c r="AY1284" s="6"/>
      <c r="AZ1284" s="6"/>
      <c r="BA1284" s="6"/>
      <c r="BB1284" s="6"/>
      <c r="BC1284" s="6"/>
      <c r="BD1284" s="6"/>
      <c r="BE1284" s="6"/>
      <c r="BF1284" s="6"/>
      <c r="BG1284" s="6"/>
      <c r="BH1284" s="6"/>
      <c r="BI1284" s="6"/>
      <c r="BJ1284" s="6"/>
      <c r="BK1284" s="6"/>
      <c r="BL1284" s="6"/>
      <c r="BM1284" s="5"/>
      <c r="BN1284" s="7"/>
      <c r="BO1284" s="7"/>
      <c r="BP1284" s="7"/>
    </row>
    <row r="1285" spans="1:68" s="400" customFormat="1" ht="14.25" customHeight="1" x14ac:dyDescent="0.25">
      <c r="A1285" s="5"/>
      <c r="B1285" s="5"/>
      <c r="C1285" s="5"/>
      <c r="D1285" s="5"/>
      <c r="E1285" s="5"/>
      <c r="F1285" s="5"/>
      <c r="G1285" s="5"/>
      <c r="H1285" s="5"/>
      <c r="I1285" s="5"/>
      <c r="J1285" s="5"/>
      <c r="K1285" s="5"/>
      <c r="L1285" s="5"/>
      <c r="M1285" s="5"/>
      <c r="N1285" s="5"/>
      <c r="O1285" s="5"/>
      <c r="P1285" s="5"/>
      <c r="Q1285" s="5"/>
      <c r="R1285" s="5"/>
      <c r="S1285" s="5"/>
      <c r="T1285" s="5"/>
      <c r="U1285" s="5"/>
      <c r="V1285" s="5"/>
      <c r="W1285" s="5"/>
      <c r="X1285" s="5"/>
      <c r="Y1285" s="5"/>
      <c r="Z1285" s="5"/>
      <c r="AA1285" s="5"/>
      <c r="AB1285" s="6"/>
      <c r="AC1285" s="6"/>
      <c r="AD1285" s="6"/>
      <c r="AE1285" s="6"/>
      <c r="AF1285" s="6"/>
      <c r="AG1285" s="6"/>
      <c r="AH1285" s="6"/>
      <c r="AI1285" s="6"/>
      <c r="AJ1285" s="6"/>
      <c r="AK1285" s="6"/>
      <c r="AL1285" s="6"/>
      <c r="AM1285" s="6"/>
      <c r="AN1285" s="6"/>
      <c r="AO1285" s="6"/>
      <c r="AP1285" s="6"/>
      <c r="AQ1285" s="6"/>
      <c r="AR1285" s="6"/>
      <c r="AS1285" s="6"/>
      <c r="AT1285" s="6"/>
      <c r="AU1285" s="6"/>
      <c r="AV1285" s="6"/>
      <c r="AW1285" s="6"/>
      <c r="AX1285" s="6"/>
      <c r="AY1285" s="6"/>
      <c r="AZ1285" s="6"/>
      <c r="BA1285" s="6"/>
      <c r="BB1285" s="6"/>
      <c r="BC1285" s="6"/>
      <c r="BD1285" s="6"/>
      <c r="BE1285" s="6"/>
      <c r="BF1285" s="6"/>
      <c r="BG1285" s="6"/>
      <c r="BH1285" s="6"/>
      <c r="BI1285" s="6"/>
      <c r="BJ1285" s="6"/>
      <c r="BK1285" s="6"/>
      <c r="BL1285" s="6"/>
      <c r="BM1285" s="5"/>
      <c r="BN1285" s="7"/>
      <c r="BO1285" s="7"/>
      <c r="BP1285" s="7"/>
    </row>
    <row r="1286" spans="1:68" s="400" customFormat="1" ht="14.25" customHeight="1" x14ac:dyDescent="0.25">
      <c r="A1286" s="5"/>
      <c r="B1286" s="5"/>
      <c r="C1286" s="5"/>
      <c r="D1286" s="5"/>
      <c r="E1286" s="5"/>
      <c r="F1286" s="5"/>
      <c r="G1286" s="5"/>
      <c r="H1286" s="5"/>
      <c r="I1286" s="5"/>
      <c r="J1286" s="5"/>
      <c r="K1286" s="5"/>
      <c r="L1286" s="5"/>
      <c r="M1286" s="5"/>
      <c r="N1286" s="5"/>
      <c r="O1286" s="5"/>
      <c r="P1286" s="5"/>
      <c r="Q1286" s="5"/>
      <c r="R1286" s="5"/>
      <c r="S1286" s="5"/>
      <c r="T1286" s="5"/>
      <c r="U1286" s="5"/>
      <c r="V1286" s="5"/>
      <c r="W1286" s="5"/>
      <c r="X1286" s="5"/>
      <c r="Y1286" s="5"/>
      <c r="Z1286" s="5"/>
      <c r="AA1286" s="5"/>
      <c r="AB1286" s="6"/>
      <c r="AC1286" s="6"/>
      <c r="AD1286" s="6"/>
      <c r="AE1286" s="6"/>
      <c r="AF1286" s="6"/>
      <c r="AG1286" s="6"/>
      <c r="AH1286" s="6"/>
      <c r="AI1286" s="6"/>
      <c r="AJ1286" s="6"/>
      <c r="AK1286" s="6"/>
      <c r="AL1286" s="6"/>
      <c r="AM1286" s="6"/>
      <c r="AN1286" s="6"/>
      <c r="AO1286" s="6"/>
      <c r="AP1286" s="6"/>
      <c r="AQ1286" s="6"/>
      <c r="AR1286" s="6"/>
      <c r="AS1286" s="6"/>
      <c r="AT1286" s="6"/>
      <c r="AU1286" s="6"/>
      <c r="AV1286" s="6"/>
      <c r="AW1286" s="6"/>
      <c r="AX1286" s="6"/>
      <c r="AY1286" s="6"/>
      <c r="AZ1286" s="6"/>
      <c r="BA1286" s="6"/>
      <c r="BB1286" s="6"/>
      <c r="BC1286" s="6"/>
      <c r="BD1286" s="6"/>
      <c r="BE1286" s="6"/>
      <c r="BF1286" s="6"/>
      <c r="BG1286" s="6"/>
      <c r="BH1286" s="6"/>
      <c r="BI1286" s="6"/>
      <c r="BJ1286" s="6"/>
      <c r="BK1286" s="6"/>
      <c r="BL1286" s="6"/>
      <c r="BM1286" s="5"/>
      <c r="BN1286" s="7"/>
      <c r="BO1286" s="7"/>
      <c r="BP1286" s="7"/>
    </row>
    <row r="1287" spans="1:68" s="400" customFormat="1" ht="14.25" customHeight="1" x14ac:dyDescent="0.25">
      <c r="A1287" s="5"/>
      <c r="B1287" s="5"/>
      <c r="C1287" s="5"/>
      <c r="D1287" s="5"/>
      <c r="E1287" s="5"/>
      <c r="F1287" s="5"/>
      <c r="G1287" s="5"/>
      <c r="H1287" s="5"/>
      <c r="I1287" s="5"/>
      <c r="J1287" s="5"/>
      <c r="K1287" s="5"/>
      <c r="L1287" s="5"/>
      <c r="M1287" s="5"/>
      <c r="N1287" s="5"/>
      <c r="O1287" s="5"/>
      <c r="P1287" s="5"/>
      <c r="Q1287" s="5"/>
      <c r="R1287" s="5"/>
      <c r="S1287" s="5"/>
      <c r="T1287" s="5"/>
      <c r="U1287" s="5"/>
      <c r="V1287" s="5"/>
      <c r="W1287" s="5"/>
      <c r="X1287" s="5"/>
      <c r="Y1287" s="5"/>
      <c r="Z1287" s="5"/>
      <c r="AA1287" s="5"/>
      <c r="AB1287" s="6"/>
      <c r="AC1287" s="6"/>
      <c r="AD1287" s="6"/>
      <c r="AE1287" s="6"/>
      <c r="AF1287" s="6"/>
      <c r="AG1287" s="6"/>
      <c r="AH1287" s="6"/>
      <c r="AI1287" s="6"/>
      <c r="AJ1287" s="6"/>
      <c r="AK1287" s="6"/>
      <c r="AL1287" s="6"/>
      <c r="AM1287" s="6"/>
      <c r="AN1287" s="6"/>
      <c r="AO1287" s="6"/>
      <c r="AP1287" s="6"/>
      <c r="AQ1287" s="6"/>
      <c r="AR1287" s="6"/>
      <c r="AS1287" s="6"/>
      <c r="AT1287" s="6"/>
      <c r="AU1287" s="6"/>
      <c r="AV1287" s="6"/>
      <c r="AW1287" s="6"/>
      <c r="AX1287" s="6"/>
      <c r="AY1287" s="6"/>
      <c r="AZ1287" s="6"/>
      <c r="BA1287" s="6"/>
      <c r="BB1287" s="6"/>
      <c r="BC1287" s="6"/>
      <c r="BD1287" s="6"/>
      <c r="BE1287" s="6"/>
      <c r="BF1287" s="6"/>
      <c r="BG1287" s="6"/>
      <c r="BH1287" s="6"/>
      <c r="BI1287" s="6"/>
      <c r="BJ1287" s="6"/>
      <c r="BK1287" s="6"/>
      <c r="BL1287" s="6"/>
      <c r="BM1287" s="5"/>
      <c r="BN1287" s="7"/>
      <c r="BO1287" s="7"/>
      <c r="BP1287" s="7"/>
    </row>
    <row r="1288" spans="1:68" s="400" customFormat="1" ht="14.25" customHeight="1" x14ac:dyDescent="0.25">
      <c r="A1288" s="5"/>
      <c r="B1288" s="5"/>
      <c r="C1288" s="5"/>
      <c r="D1288" s="5"/>
      <c r="E1288" s="5"/>
      <c r="F1288" s="5"/>
      <c r="G1288" s="5"/>
      <c r="H1288" s="5"/>
      <c r="I1288" s="5"/>
      <c r="J1288" s="5"/>
      <c r="K1288" s="5"/>
      <c r="L1288" s="5"/>
      <c r="M1288" s="5"/>
      <c r="N1288" s="5"/>
      <c r="O1288" s="5"/>
      <c r="P1288" s="5"/>
      <c r="Q1288" s="5"/>
      <c r="R1288" s="5"/>
      <c r="S1288" s="5"/>
      <c r="T1288" s="5"/>
      <c r="U1288" s="5"/>
      <c r="V1288" s="5"/>
      <c r="W1288" s="5"/>
      <c r="X1288" s="5"/>
      <c r="Y1288" s="5"/>
      <c r="Z1288" s="5"/>
      <c r="AA1288" s="5"/>
      <c r="AB1288" s="6"/>
      <c r="AC1288" s="6"/>
      <c r="AD1288" s="6"/>
      <c r="AE1288" s="6"/>
      <c r="AF1288" s="6"/>
      <c r="AG1288" s="6"/>
      <c r="AH1288" s="6"/>
      <c r="AI1288" s="6"/>
      <c r="AJ1288" s="6"/>
      <c r="AK1288" s="6"/>
      <c r="AL1288" s="6"/>
      <c r="AM1288" s="6"/>
      <c r="AN1288" s="6"/>
      <c r="AO1288" s="6"/>
      <c r="AP1288" s="6"/>
      <c r="AQ1288" s="6"/>
      <c r="AR1288" s="6"/>
      <c r="AS1288" s="6"/>
      <c r="AT1288" s="6"/>
      <c r="AU1288" s="6"/>
      <c r="AV1288" s="6"/>
      <c r="AW1288" s="6"/>
      <c r="AX1288" s="6"/>
      <c r="AY1288" s="6"/>
      <c r="AZ1288" s="6"/>
      <c r="BA1288" s="6"/>
      <c r="BB1288" s="6"/>
      <c r="BC1288" s="6"/>
      <c r="BD1288" s="6"/>
      <c r="BE1288" s="6"/>
      <c r="BF1288" s="6"/>
      <c r="BG1288" s="6"/>
      <c r="BH1288" s="6"/>
      <c r="BI1288" s="6"/>
      <c r="BJ1288" s="6"/>
      <c r="BK1288" s="6"/>
      <c r="BL1288" s="6"/>
      <c r="BM1288" s="5"/>
      <c r="BN1288" s="7"/>
      <c r="BO1288" s="7"/>
      <c r="BP1288" s="7"/>
    </row>
    <row r="1289" spans="1:68" s="400" customFormat="1" ht="14.25" customHeight="1" x14ac:dyDescent="0.25">
      <c r="A1289" s="5"/>
      <c r="B1289" s="5"/>
      <c r="C1289" s="5"/>
      <c r="D1289" s="5"/>
      <c r="E1289" s="5"/>
      <c r="F1289" s="5"/>
      <c r="G1289" s="5"/>
      <c r="H1289" s="5"/>
      <c r="I1289" s="5"/>
      <c r="J1289" s="5"/>
      <c r="K1289" s="5"/>
      <c r="L1289" s="5"/>
      <c r="M1289" s="5"/>
      <c r="N1289" s="5"/>
      <c r="O1289" s="5"/>
      <c r="P1289" s="5"/>
      <c r="Q1289" s="5"/>
      <c r="R1289" s="5"/>
      <c r="S1289" s="5"/>
      <c r="T1289" s="5"/>
      <c r="U1289" s="5"/>
      <c r="V1289" s="5"/>
      <c r="W1289" s="5"/>
      <c r="X1289" s="5"/>
      <c r="Y1289" s="5"/>
      <c r="Z1289" s="5"/>
      <c r="AA1289" s="5"/>
      <c r="AB1289" s="6"/>
      <c r="AC1289" s="6"/>
      <c r="AD1289" s="6"/>
      <c r="AE1289" s="6"/>
      <c r="AF1289" s="6"/>
      <c r="AG1289" s="6"/>
      <c r="AH1289" s="6"/>
      <c r="AI1289" s="6"/>
      <c r="AJ1289" s="6"/>
      <c r="AK1289" s="6"/>
      <c r="AL1289" s="6"/>
      <c r="AM1289" s="6"/>
      <c r="AN1289" s="6"/>
      <c r="AO1289" s="6"/>
      <c r="AP1289" s="6"/>
      <c r="AQ1289" s="6"/>
      <c r="AR1289" s="6"/>
      <c r="AS1289" s="6"/>
      <c r="AT1289" s="6"/>
      <c r="AU1289" s="6"/>
      <c r="AV1289" s="6"/>
      <c r="AW1289" s="6"/>
      <c r="AX1289" s="6"/>
      <c r="AY1289" s="6"/>
      <c r="AZ1289" s="6"/>
      <c r="BA1289" s="6"/>
      <c r="BB1289" s="6"/>
      <c r="BC1289" s="6"/>
      <c r="BD1289" s="6"/>
      <c r="BE1289" s="6"/>
      <c r="BF1289" s="6"/>
      <c r="BG1289" s="6"/>
      <c r="BH1289" s="6"/>
      <c r="BI1289" s="6"/>
      <c r="BJ1289" s="6"/>
      <c r="BK1289" s="6"/>
      <c r="BL1289" s="6"/>
      <c r="BM1289" s="5"/>
      <c r="BN1289" s="7"/>
      <c r="BO1289" s="7"/>
      <c r="BP1289" s="7"/>
    </row>
    <row r="1290" spans="1:68" s="400" customFormat="1" ht="14.25" customHeight="1" x14ac:dyDescent="0.25">
      <c r="A1290" s="5"/>
      <c r="B1290" s="5"/>
      <c r="C1290" s="5"/>
      <c r="D1290" s="5"/>
      <c r="E1290" s="5"/>
      <c r="F1290" s="5"/>
      <c r="G1290" s="5"/>
      <c r="H1290" s="5"/>
      <c r="I1290" s="5"/>
      <c r="J1290" s="5"/>
      <c r="K1290" s="5"/>
      <c r="L1290" s="5"/>
      <c r="M1290" s="5"/>
      <c r="N1290" s="5"/>
      <c r="O1290" s="5"/>
      <c r="P1290" s="5"/>
      <c r="Q1290" s="5"/>
      <c r="R1290" s="5"/>
      <c r="S1290" s="5"/>
      <c r="T1290" s="5"/>
      <c r="U1290" s="5"/>
      <c r="V1290" s="5"/>
      <c r="W1290" s="5"/>
      <c r="X1290" s="5"/>
      <c r="Y1290" s="5"/>
      <c r="Z1290" s="5"/>
      <c r="AA1290" s="5"/>
      <c r="AB1290" s="6"/>
      <c r="AC1290" s="6"/>
      <c r="AD1290" s="6"/>
      <c r="AE1290" s="6"/>
      <c r="AF1290" s="6"/>
      <c r="AG1290" s="6"/>
      <c r="AH1290" s="6"/>
      <c r="AI1290" s="6"/>
      <c r="AJ1290" s="6"/>
      <c r="AK1290" s="6"/>
      <c r="AL1290" s="6"/>
      <c r="AM1290" s="6"/>
      <c r="AN1290" s="6"/>
      <c r="AO1290" s="6"/>
      <c r="AP1290" s="6"/>
      <c r="AQ1290" s="6"/>
      <c r="AR1290" s="6"/>
      <c r="AS1290" s="6"/>
      <c r="AT1290" s="6"/>
      <c r="AU1290" s="6"/>
      <c r="AV1290" s="6"/>
      <c r="AW1290" s="6"/>
      <c r="AX1290" s="6"/>
      <c r="AY1290" s="6"/>
      <c r="AZ1290" s="6"/>
      <c r="BA1290" s="6"/>
      <c r="BB1290" s="6"/>
      <c r="BC1290" s="6"/>
      <c r="BD1290" s="6"/>
      <c r="BE1290" s="6"/>
      <c r="BF1290" s="6"/>
      <c r="BG1290" s="6"/>
      <c r="BH1290" s="6"/>
      <c r="BI1290" s="6"/>
      <c r="BJ1290" s="6"/>
      <c r="BK1290" s="6"/>
      <c r="BL1290" s="6"/>
      <c r="BM1290" s="5"/>
      <c r="BN1290" s="7"/>
      <c r="BO1290" s="7"/>
      <c r="BP1290" s="7"/>
    </row>
    <row r="1291" spans="1:68" s="400" customFormat="1" ht="14.25" customHeight="1" x14ac:dyDescent="0.25">
      <c r="A1291" s="5"/>
      <c r="B1291" s="5"/>
      <c r="C1291" s="5"/>
      <c r="D1291" s="5"/>
      <c r="E1291" s="5"/>
      <c r="F1291" s="5"/>
      <c r="G1291" s="5"/>
      <c r="H1291" s="5"/>
      <c r="I1291" s="5"/>
      <c r="J1291" s="5"/>
      <c r="K1291" s="5"/>
      <c r="L1291" s="5"/>
      <c r="M1291" s="5"/>
      <c r="N1291" s="5"/>
      <c r="O1291" s="5"/>
      <c r="P1291" s="5"/>
      <c r="Q1291" s="5"/>
      <c r="R1291" s="5"/>
      <c r="S1291" s="5"/>
      <c r="T1291" s="5"/>
      <c r="U1291" s="5"/>
      <c r="V1291" s="5"/>
      <c r="W1291" s="5"/>
      <c r="X1291" s="5"/>
      <c r="Y1291" s="5"/>
      <c r="Z1291" s="5"/>
      <c r="AA1291" s="5"/>
      <c r="AB1291" s="6"/>
      <c r="AC1291" s="6"/>
      <c r="AD1291" s="6"/>
      <c r="AE1291" s="6"/>
      <c r="AF1291" s="6"/>
      <c r="AG1291" s="6"/>
      <c r="AH1291" s="6"/>
      <c r="AI1291" s="6"/>
      <c r="AJ1291" s="6"/>
      <c r="AK1291" s="6"/>
      <c r="AL1291" s="6"/>
      <c r="AM1291" s="6"/>
      <c r="AN1291" s="6"/>
      <c r="AO1291" s="6"/>
      <c r="AP1291" s="6"/>
      <c r="AQ1291" s="6"/>
      <c r="AR1291" s="6"/>
      <c r="AS1291" s="6"/>
      <c r="AT1291" s="6"/>
      <c r="AU1291" s="6"/>
      <c r="AV1291" s="6"/>
      <c r="AW1291" s="6"/>
      <c r="AX1291" s="6"/>
      <c r="AY1291" s="6"/>
      <c r="AZ1291" s="6"/>
      <c r="BA1291" s="6"/>
      <c r="BB1291" s="6"/>
      <c r="BC1291" s="6"/>
      <c r="BD1291" s="6"/>
      <c r="BE1291" s="6"/>
      <c r="BF1291" s="6"/>
      <c r="BG1291" s="6"/>
      <c r="BH1291" s="6"/>
      <c r="BI1291" s="6"/>
      <c r="BJ1291" s="6"/>
      <c r="BK1291" s="6"/>
      <c r="BL1291" s="6"/>
      <c r="BM1291" s="5"/>
      <c r="BN1291" s="7"/>
      <c r="BO1291" s="7"/>
      <c r="BP1291" s="7"/>
    </row>
    <row r="1292" spans="1:68" s="400" customFormat="1" ht="14.25" customHeight="1" x14ac:dyDescent="0.25">
      <c r="A1292" s="5"/>
      <c r="B1292" s="5"/>
      <c r="C1292" s="5"/>
      <c r="D1292" s="5"/>
      <c r="E1292" s="5"/>
      <c r="F1292" s="5"/>
      <c r="G1292" s="5"/>
      <c r="H1292" s="5"/>
      <c r="I1292" s="5"/>
      <c r="J1292" s="5"/>
      <c r="K1292" s="5"/>
      <c r="L1292" s="5"/>
      <c r="M1292" s="5"/>
      <c r="N1292" s="5"/>
      <c r="O1292" s="5"/>
      <c r="P1292" s="5"/>
      <c r="Q1292" s="5"/>
      <c r="R1292" s="5"/>
      <c r="S1292" s="5"/>
      <c r="T1292" s="5"/>
      <c r="U1292" s="5"/>
      <c r="V1292" s="5"/>
      <c r="W1292" s="5"/>
      <c r="X1292" s="5"/>
      <c r="Y1292" s="5"/>
      <c r="Z1292" s="5"/>
      <c r="AA1292" s="5"/>
      <c r="AB1292" s="6"/>
      <c r="AC1292" s="6"/>
      <c r="AD1292" s="6"/>
      <c r="AE1292" s="6"/>
      <c r="AF1292" s="6"/>
      <c r="AG1292" s="6"/>
      <c r="AH1292" s="6"/>
      <c r="AI1292" s="6"/>
      <c r="AJ1292" s="6"/>
      <c r="AK1292" s="6"/>
      <c r="AL1292" s="6"/>
      <c r="AM1292" s="6"/>
      <c r="AN1292" s="6"/>
      <c r="AO1292" s="6"/>
      <c r="AP1292" s="6"/>
      <c r="AQ1292" s="6"/>
      <c r="AR1292" s="6"/>
      <c r="AS1292" s="6"/>
      <c r="AT1292" s="6"/>
      <c r="AU1292" s="6"/>
      <c r="AV1292" s="6"/>
      <c r="AW1292" s="6"/>
      <c r="AX1292" s="6"/>
      <c r="AY1292" s="6"/>
      <c r="AZ1292" s="6"/>
      <c r="BA1292" s="6"/>
      <c r="BB1292" s="6"/>
      <c r="BC1292" s="6"/>
      <c r="BD1292" s="6"/>
      <c r="BE1292" s="6"/>
      <c r="BF1292" s="6"/>
      <c r="BG1292" s="6"/>
      <c r="BH1292" s="6"/>
      <c r="BI1292" s="6"/>
      <c r="BJ1292" s="6"/>
      <c r="BK1292" s="6"/>
      <c r="BL1292" s="6"/>
      <c r="BM1292" s="5"/>
      <c r="BN1292" s="7"/>
      <c r="BO1292" s="7"/>
      <c r="BP1292" s="7"/>
    </row>
    <row r="1293" spans="1:68" s="400" customFormat="1" ht="14.25" customHeight="1" x14ac:dyDescent="0.25">
      <c r="A1293" s="5"/>
      <c r="B1293" s="5"/>
      <c r="C1293" s="5"/>
      <c r="D1293" s="5"/>
      <c r="E1293" s="5"/>
      <c r="F1293" s="5"/>
      <c r="G1293" s="5"/>
      <c r="H1293" s="5"/>
      <c r="I1293" s="5"/>
      <c r="J1293" s="5"/>
      <c r="K1293" s="5"/>
      <c r="L1293" s="5"/>
      <c r="M1293" s="5"/>
      <c r="N1293" s="5"/>
      <c r="O1293" s="5"/>
      <c r="P1293" s="5"/>
      <c r="Q1293" s="5"/>
      <c r="R1293" s="5"/>
      <c r="S1293" s="5"/>
      <c r="T1293" s="5"/>
      <c r="U1293" s="5"/>
      <c r="V1293" s="5"/>
      <c r="W1293" s="5"/>
      <c r="X1293" s="5"/>
      <c r="Y1293" s="5"/>
      <c r="Z1293" s="5"/>
      <c r="AA1293" s="5"/>
      <c r="AB1293" s="6"/>
      <c r="AC1293" s="6"/>
      <c r="AD1293" s="6"/>
      <c r="AE1293" s="6"/>
      <c r="AF1293" s="6"/>
      <c r="AG1293" s="6"/>
      <c r="AH1293" s="6"/>
      <c r="AI1293" s="6"/>
      <c r="AJ1293" s="6"/>
      <c r="AK1293" s="6"/>
      <c r="AL1293" s="6"/>
      <c r="AM1293" s="6"/>
      <c r="AN1293" s="6"/>
      <c r="AO1293" s="6"/>
      <c r="AP1293" s="6"/>
      <c r="AQ1293" s="6"/>
      <c r="AR1293" s="6"/>
      <c r="AS1293" s="6"/>
      <c r="AT1293" s="6"/>
      <c r="AU1293" s="6"/>
      <c r="AV1293" s="6"/>
      <c r="AW1293" s="6"/>
      <c r="AX1293" s="6"/>
      <c r="AY1293" s="6"/>
      <c r="AZ1293" s="6"/>
      <c r="BA1293" s="6"/>
      <c r="BB1293" s="6"/>
      <c r="BC1293" s="6"/>
      <c r="BD1293" s="6"/>
      <c r="BE1293" s="6"/>
      <c r="BF1293" s="6"/>
      <c r="BG1293" s="6"/>
      <c r="BH1293" s="6"/>
      <c r="BI1293" s="6"/>
      <c r="BJ1293" s="6"/>
      <c r="BK1293" s="6"/>
      <c r="BL1293" s="6"/>
      <c r="BM1293" s="5"/>
      <c r="BN1293" s="7"/>
      <c r="BO1293" s="7"/>
      <c r="BP1293" s="7"/>
    </row>
    <row r="1294" spans="1:68" s="400" customFormat="1" ht="14.25" customHeight="1" x14ac:dyDescent="0.25">
      <c r="A1294" s="5"/>
      <c r="B1294" s="5"/>
      <c r="C1294" s="5"/>
      <c r="D1294" s="5"/>
      <c r="E1294" s="5"/>
      <c r="F1294" s="5"/>
      <c r="G1294" s="5"/>
      <c r="H1294" s="5"/>
      <c r="I1294" s="5"/>
      <c r="J1294" s="5"/>
      <c r="K1294" s="5"/>
      <c r="L1294" s="5"/>
      <c r="M1294" s="5"/>
      <c r="N1294" s="5"/>
      <c r="O1294" s="5"/>
      <c r="P1294" s="5"/>
      <c r="Q1294" s="5"/>
      <c r="R1294" s="5"/>
      <c r="S1294" s="5"/>
      <c r="T1294" s="5"/>
      <c r="U1294" s="5"/>
      <c r="V1294" s="5"/>
      <c r="W1294" s="5"/>
      <c r="X1294" s="5"/>
      <c r="Y1294" s="5"/>
      <c r="Z1294" s="5"/>
      <c r="AA1294" s="5"/>
      <c r="AB1294" s="6"/>
      <c r="AC1294" s="6"/>
      <c r="AD1294" s="6"/>
      <c r="AE1294" s="6"/>
      <c r="AF1294" s="6"/>
      <c r="AG1294" s="6"/>
      <c r="AH1294" s="6"/>
      <c r="AI1294" s="6"/>
      <c r="AJ1294" s="6"/>
      <c r="AK1294" s="6"/>
      <c r="AL1294" s="6"/>
      <c r="AM1294" s="6"/>
      <c r="AN1294" s="6"/>
      <c r="AO1294" s="6"/>
      <c r="AP1294" s="6"/>
      <c r="AQ1294" s="6"/>
      <c r="AR1294" s="6"/>
      <c r="AS1294" s="6"/>
      <c r="AT1294" s="6"/>
      <c r="AU1294" s="6"/>
      <c r="AV1294" s="6"/>
      <c r="AW1294" s="6"/>
      <c r="AX1294" s="6"/>
      <c r="AY1294" s="6"/>
      <c r="AZ1294" s="6"/>
      <c r="BA1294" s="6"/>
      <c r="BB1294" s="6"/>
      <c r="BC1294" s="6"/>
      <c r="BD1294" s="6"/>
      <c r="BE1294" s="6"/>
      <c r="BF1294" s="6"/>
      <c r="BG1294" s="6"/>
      <c r="BH1294" s="6"/>
      <c r="BI1294" s="6"/>
      <c r="BJ1294" s="6"/>
      <c r="BK1294" s="6"/>
      <c r="BL1294" s="6"/>
      <c r="BM1294" s="5"/>
      <c r="BN1294" s="7"/>
      <c r="BO1294" s="7"/>
      <c r="BP1294" s="7"/>
    </row>
    <row r="1295" spans="1:68" s="400" customFormat="1" ht="14.25" customHeight="1" x14ac:dyDescent="0.25">
      <c r="A1295" s="5"/>
      <c r="B1295" s="5"/>
      <c r="C1295" s="5"/>
      <c r="D1295" s="5"/>
      <c r="E1295" s="5"/>
      <c r="F1295" s="5"/>
      <c r="G1295" s="5"/>
      <c r="H1295" s="5"/>
      <c r="I1295" s="5"/>
      <c r="J1295" s="5"/>
      <c r="K1295" s="5"/>
      <c r="L1295" s="5"/>
      <c r="M1295" s="5"/>
      <c r="N1295" s="5"/>
      <c r="O1295" s="5"/>
      <c r="P1295" s="5"/>
      <c r="Q1295" s="5"/>
      <c r="R1295" s="5"/>
      <c r="S1295" s="5"/>
      <c r="T1295" s="5"/>
      <c r="U1295" s="5"/>
      <c r="V1295" s="5"/>
      <c r="W1295" s="5"/>
      <c r="X1295" s="5"/>
      <c r="Y1295" s="5"/>
      <c r="Z1295" s="5"/>
      <c r="AA1295" s="5"/>
      <c r="AB1295" s="6"/>
      <c r="AC1295" s="6"/>
      <c r="AD1295" s="6"/>
      <c r="AE1295" s="6"/>
      <c r="AF1295" s="6"/>
      <c r="AG1295" s="6"/>
      <c r="AH1295" s="6"/>
      <c r="AI1295" s="6"/>
      <c r="AJ1295" s="6"/>
      <c r="AK1295" s="6"/>
      <c r="AL1295" s="6"/>
      <c r="AM1295" s="6"/>
      <c r="AN1295" s="6"/>
      <c r="AO1295" s="6"/>
      <c r="AP1295" s="6"/>
      <c r="AQ1295" s="6"/>
      <c r="AR1295" s="6"/>
      <c r="AS1295" s="6"/>
      <c r="AT1295" s="6"/>
      <c r="AU1295" s="6"/>
      <c r="AV1295" s="6"/>
      <c r="AW1295" s="6"/>
      <c r="AX1295" s="6"/>
      <c r="AY1295" s="6"/>
      <c r="AZ1295" s="6"/>
      <c r="BA1295" s="6"/>
      <c r="BB1295" s="6"/>
      <c r="BC1295" s="6"/>
      <c r="BD1295" s="6"/>
      <c r="BE1295" s="6"/>
      <c r="BF1295" s="6"/>
      <c r="BG1295" s="6"/>
      <c r="BH1295" s="6"/>
      <c r="BI1295" s="6"/>
      <c r="BJ1295" s="6"/>
      <c r="BK1295" s="6"/>
      <c r="BL1295" s="6"/>
      <c r="BM1295" s="5"/>
      <c r="BN1295" s="7"/>
      <c r="BO1295" s="7"/>
      <c r="BP1295" s="7"/>
    </row>
    <row r="1296" spans="1:68" s="400" customFormat="1" ht="14.25" customHeight="1" x14ac:dyDescent="0.25">
      <c r="A1296" s="5"/>
      <c r="B1296" s="5"/>
      <c r="C1296" s="5"/>
      <c r="D1296" s="5"/>
      <c r="E1296" s="5"/>
      <c r="F1296" s="5"/>
      <c r="G1296" s="5"/>
      <c r="H1296" s="5"/>
      <c r="I1296" s="5"/>
      <c r="J1296" s="5"/>
      <c r="K1296" s="5"/>
      <c r="L1296" s="5"/>
      <c r="M1296" s="5"/>
      <c r="N1296" s="5"/>
      <c r="O1296" s="5"/>
      <c r="P1296" s="5"/>
      <c r="Q1296" s="5"/>
      <c r="R1296" s="5"/>
      <c r="S1296" s="5"/>
      <c r="T1296" s="5"/>
      <c r="U1296" s="5"/>
      <c r="V1296" s="5"/>
      <c r="W1296" s="5"/>
      <c r="X1296" s="5"/>
      <c r="Y1296" s="5"/>
      <c r="Z1296" s="5"/>
      <c r="AA1296" s="5"/>
      <c r="AB1296" s="6"/>
      <c r="AC1296" s="6"/>
      <c r="AD1296" s="6"/>
      <c r="AE1296" s="6"/>
      <c r="AF1296" s="6"/>
      <c r="AG1296" s="6"/>
      <c r="AH1296" s="6"/>
      <c r="AI1296" s="6"/>
      <c r="AJ1296" s="6"/>
      <c r="AK1296" s="6"/>
      <c r="AL1296" s="6"/>
      <c r="AM1296" s="6"/>
      <c r="AN1296" s="6"/>
      <c r="AO1296" s="6"/>
      <c r="AP1296" s="6"/>
      <c r="AQ1296" s="6"/>
      <c r="AR1296" s="6"/>
      <c r="AS1296" s="6"/>
      <c r="AT1296" s="6"/>
      <c r="AU1296" s="6"/>
      <c r="AV1296" s="6"/>
      <c r="AW1296" s="6"/>
      <c r="AX1296" s="6"/>
      <c r="AY1296" s="6"/>
      <c r="AZ1296" s="6"/>
      <c r="BA1296" s="6"/>
      <c r="BB1296" s="6"/>
      <c r="BC1296" s="6"/>
      <c r="BD1296" s="6"/>
      <c r="BE1296" s="6"/>
      <c r="BF1296" s="6"/>
      <c r="BG1296" s="6"/>
      <c r="BH1296" s="6"/>
      <c r="BI1296" s="6"/>
      <c r="BJ1296" s="6"/>
      <c r="BK1296" s="6"/>
      <c r="BL1296" s="6"/>
      <c r="BM1296" s="5"/>
      <c r="BN1296" s="7"/>
      <c r="BO1296" s="7"/>
      <c r="BP1296" s="7"/>
    </row>
    <row r="1297" spans="1:68" s="400" customFormat="1" ht="14.25" customHeight="1" x14ac:dyDescent="0.25">
      <c r="A1297" s="5"/>
      <c r="B1297" s="5"/>
      <c r="C1297" s="5"/>
      <c r="D1297" s="5"/>
      <c r="E1297" s="5"/>
      <c r="F1297" s="5"/>
      <c r="G1297" s="5"/>
      <c r="H1297" s="5"/>
      <c r="I1297" s="5"/>
      <c r="J1297" s="5"/>
      <c r="K1297" s="5"/>
      <c r="L1297" s="5"/>
      <c r="M1297" s="5"/>
      <c r="N1297" s="5"/>
      <c r="O1297" s="5"/>
      <c r="P1297" s="5"/>
      <c r="Q1297" s="5"/>
      <c r="R1297" s="5"/>
      <c r="S1297" s="5"/>
      <c r="T1297" s="5"/>
      <c r="U1297" s="5"/>
      <c r="V1297" s="5"/>
      <c r="W1297" s="5"/>
      <c r="X1297" s="5"/>
      <c r="Y1297" s="5"/>
      <c r="Z1297" s="5"/>
      <c r="AA1297" s="5"/>
      <c r="AB1297" s="6"/>
      <c r="AC1297" s="6"/>
      <c r="AD1297" s="6"/>
      <c r="AE1297" s="6"/>
      <c r="AF1297" s="6"/>
      <c r="AG1297" s="6"/>
      <c r="AH1297" s="6"/>
      <c r="AI1297" s="6"/>
      <c r="AJ1297" s="6"/>
      <c r="AK1297" s="6"/>
      <c r="AL1297" s="6"/>
      <c r="AM1297" s="6"/>
      <c r="AN1297" s="6"/>
      <c r="AO1297" s="6"/>
      <c r="AP1297" s="6"/>
      <c r="AQ1297" s="6"/>
      <c r="AR1297" s="6"/>
      <c r="AS1297" s="6"/>
      <c r="AT1297" s="6"/>
      <c r="AU1297" s="6"/>
      <c r="AV1297" s="6"/>
      <c r="AW1297" s="6"/>
      <c r="AX1297" s="6"/>
      <c r="AY1297" s="6"/>
      <c r="AZ1297" s="6"/>
      <c r="BA1297" s="6"/>
      <c r="BB1297" s="6"/>
      <c r="BC1297" s="6"/>
      <c r="BD1297" s="6"/>
      <c r="BE1297" s="6"/>
      <c r="BF1297" s="6"/>
      <c r="BG1297" s="6"/>
      <c r="BH1297" s="6"/>
      <c r="BI1297" s="6"/>
      <c r="BJ1297" s="6"/>
      <c r="BK1297" s="6"/>
      <c r="BL1297" s="6"/>
      <c r="BM1297" s="5"/>
      <c r="BN1297" s="7"/>
      <c r="BO1297" s="7"/>
      <c r="BP1297" s="7"/>
    </row>
    <row r="1298" spans="1:68" s="400" customFormat="1" ht="14.25" customHeight="1" x14ac:dyDescent="0.25">
      <c r="A1298" s="5"/>
      <c r="B1298" s="5"/>
      <c r="C1298" s="5"/>
      <c r="D1298" s="5"/>
      <c r="E1298" s="5"/>
      <c r="F1298" s="5"/>
      <c r="G1298" s="5"/>
      <c r="H1298" s="5"/>
      <c r="I1298" s="5"/>
      <c r="J1298" s="5"/>
      <c r="K1298" s="5"/>
      <c r="L1298" s="5"/>
      <c r="M1298" s="5"/>
      <c r="N1298" s="5"/>
      <c r="O1298" s="5"/>
      <c r="P1298" s="5"/>
      <c r="Q1298" s="5"/>
      <c r="R1298" s="5"/>
      <c r="S1298" s="5"/>
      <c r="T1298" s="5"/>
      <c r="U1298" s="5"/>
      <c r="V1298" s="5"/>
      <c r="W1298" s="5"/>
      <c r="X1298" s="5"/>
      <c r="Y1298" s="5"/>
      <c r="Z1298" s="5"/>
      <c r="AA1298" s="5"/>
      <c r="AB1298" s="6"/>
      <c r="AC1298" s="6"/>
      <c r="AD1298" s="6"/>
      <c r="AE1298" s="6"/>
      <c r="AF1298" s="6"/>
      <c r="AG1298" s="6"/>
      <c r="AH1298" s="6"/>
      <c r="AI1298" s="6"/>
      <c r="AJ1298" s="6"/>
      <c r="AK1298" s="6"/>
      <c r="AL1298" s="6"/>
      <c r="AM1298" s="6"/>
      <c r="AN1298" s="6"/>
      <c r="AO1298" s="6"/>
      <c r="AP1298" s="6"/>
      <c r="AQ1298" s="6"/>
      <c r="AR1298" s="6"/>
      <c r="AS1298" s="6"/>
      <c r="AT1298" s="6"/>
      <c r="AU1298" s="6"/>
      <c r="AV1298" s="6"/>
      <c r="AW1298" s="6"/>
      <c r="AX1298" s="6"/>
      <c r="AY1298" s="6"/>
      <c r="AZ1298" s="6"/>
      <c r="BA1298" s="6"/>
      <c r="BB1298" s="6"/>
      <c r="BC1298" s="6"/>
      <c r="BD1298" s="6"/>
      <c r="BE1298" s="6"/>
      <c r="BF1298" s="6"/>
      <c r="BG1298" s="6"/>
      <c r="BH1298" s="6"/>
      <c r="BI1298" s="6"/>
      <c r="BJ1298" s="6"/>
      <c r="BK1298" s="6"/>
      <c r="BL1298" s="6"/>
      <c r="BM1298" s="5"/>
      <c r="BN1298" s="7"/>
      <c r="BO1298" s="7"/>
      <c r="BP1298" s="7"/>
    </row>
    <row r="1299" spans="1:68" s="400" customFormat="1" ht="14.25" customHeight="1" x14ac:dyDescent="0.25">
      <c r="A1299" s="5"/>
      <c r="B1299" s="5"/>
      <c r="C1299" s="5"/>
      <c r="D1299" s="5"/>
      <c r="E1299" s="5"/>
      <c r="F1299" s="5"/>
      <c r="G1299" s="5"/>
      <c r="H1299" s="5"/>
      <c r="I1299" s="5"/>
      <c r="J1299" s="5"/>
      <c r="K1299" s="5"/>
      <c r="L1299" s="5"/>
      <c r="M1299" s="5"/>
      <c r="N1299" s="5"/>
      <c r="O1299" s="5"/>
      <c r="P1299" s="5"/>
      <c r="Q1299" s="5"/>
      <c r="R1299" s="5"/>
      <c r="S1299" s="5"/>
      <c r="T1299" s="5"/>
      <c r="U1299" s="5"/>
      <c r="V1299" s="5"/>
      <c r="W1299" s="5"/>
      <c r="X1299" s="5"/>
      <c r="Y1299" s="5"/>
      <c r="Z1299" s="5"/>
      <c r="AA1299" s="5"/>
      <c r="AB1299" s="6"/>
      <c r="AC1299" s="6"/>
      <c r="AD1299" s="6"/>
      <c r="AE1299" s="6"/>
      <c r="AF1299" s="6"/>
      <c r="AG1299" s="6"/>
      <c r="AH1299" s="6"/>
      <c r="AI1299" s="6"/>
      <c r="AJ1299" s="6"/>
      <c r="AK1299" s="6"/>
      <c r="AL1299" s="6"/>
      <c r="AM1299" s="6"/>
      <c r="AN1299" s="6"/>
      <c r="AO1299" s="6"/>
      <c r="AP1299" s="6"/>
      <c r="AQ1299" s="6"/>
      <c r="AR1299" s="6"/>
      <c r="AS1299" s="6"/>
      <c r="AT1299" s="6"/>
      <c r="AU1299" s="6"/>
      <c r="AV1299" s="6"/>
      <c r="AW1299" s="6"/>
      <c r="AX1299" s="6"/>
      <c r="AY1299" s="6"/>
      <c r="AZ1299" s="6"/>
      <c r="BA1299" s="6"/>
      <c r="BB1299" s="6"/>
      <c r="BC1299" s="6"/>
      <c r="BD1299" s="6"/>
      <c r="BE1299" s="6"/>
      <c r="BF1299" s="6"/>
      <c r="BG1299" s="6"/>
      <c r="BH1299" s="6"/>
      <c r="BI1299" s="6"/>
      <c r="BJ1299" s="6"/>
      <c r="BK1299" s="6"/>
      <c r="BL1299" s="6"/>
      <c r="BM1299" s="5"/>
      <c r="BN1299" s="7"/>
      <c r="BO1299" s="7"/>
      <c r="BP1299" s="7"/>
    </row>
    <row r="1300" spans="1:68" s="400" customFormat="1" ht="14.25" customHeight="1" x14ac:dyDescent="0.25">
      <c r="A1300" s="5"/>
      <c r="B1300" s="5"/>
      <c r="C1300" s="5"/>
      <c r="D1300" s="5"/>
      <c r="E1300" s="5"/>
      <c r="F1300" s="5"/>
      <c r="G1300" s="5"/>
      <c r="H1300" s="5"/>
      <c r="I1300" s="5"/>
      <c r="J1300" s="5"/>
      <c r="K1300" s="5"/>
      <c r="L1300" s="5"/>
      <c r="M1300" s="5"/>
      <c r="N1300" s="5"/>
      <c r="O1300" s="5"/>
      <c r="P1300" s="5"/>
      <c r="Q1300" s="5"/>
      <c r="R1300" s="5"/>
      <c r="S1300" s="5"/>
      <c r="T1300" s="5"/>
      <c r="U1300" s="5"/>
      <c r="V1300" s="5"/>
      <c r="W1300" s="5"/>
      <c r="X1300" s="5"/>
      <c r="Y1300" s="5"/>
      <c r="Z1300" s="5"/>
      <c r="AA1300" s="5"/>
      <c r="AB1300" s="6"/>
      <c r="AC1300" s="6"/>
      <c r="AD1300" s="6"/>
      <c r="AE1300" s="6"/>
      <c r="AF1300" s="6"/>
      <c r="AG1300" s="6"/>
      <c r="AH1300" s="6"/>
      <c r="AI1300" s="6"/>
      <c r="AJ1300" s="6"/>
      <c r="AK1300" s="6"/>
      <c r="AL1300" s="6"/>
      <c r="AM1300" s="6"/>
      <c r="AN1300" s="6"/>
      <c r="AO1300" s="6"/>
      <c r="AP1300" s="6"/>
      <c r="AQ1300" s="6"/>
      <c r="AR1300" s="6"/>
      <c r="AS1300" s="6"/>
      <c r="AT1300" s="6"/>
      <c r="AU1300" s="6"/>
      <c r="AV1300" s="6"/>
      <c r="AW1300" s="6"/>
      <c r="AX1300" s="6"/>
      <c r="AY1300" s="6"/>
      <c r="AZ1300" s="6"/>
      <c r="BA1300" s="6"/>
      <c r="BB1300" s="6"/>
      <c r="BC1300" s="6"/>
      <c r="BD1300" s="6"/>
      <c r="BE1300" s="6"/>
      <c r="BF1300" s="6"/>
      <c r="BG1300" s="6"/>
      <c r="BH1300" s="6"/>
      <c r="BI1300" s="6"/>
      <c r="BJ1300" s="6"/>
      <c r="BK1300" s="6"/>
      <c r="BL1300" s="6"/>
      <c r="BM1300" s="5"/>
      <c r="BN1300" s="7"/>
      <c r="BO1300" s="7"/>
      <c r="BP1300" s="7"/>
    </row>
    <row r="1301" spans="1:68" s="400" customFormat="1" ht="14.25" customHeight="1" x14ac:dyDescent="0.25">
      <c r="A1301" s="5"/>
      <c r="B1301" s="5"/>
      <c r="C1301" s="5"/>
      <c r="D1301" s="5"/>
      <c r="E1301" s="5"/>
      <c r="F1301" s="5"/>
      <c r="G1301" s="5"/>
      <c r="H1301" s="5"/>
      <c r="I1301" s="5"/>
      <c r="J1301" s="5"/>
      <c r="K1301" s="5"/>
      <c r="L1301" s="5"/>
      <c r="M1301" s="5"/>
      <c r="N1301" s="5"/>
      <c r="O1301" s="5"/>
      <c r="P1301" s="5"/>
      <c r="Q1301" s="5"/>
      <c r="R1301" s="5"/>
      <c r="S1301" s="5"/>
      <c r="T1301" s="5"/>
      <c r="U1301" s="5"/>
      <c r="V1301" s="5"/>
      <c r="W1301" s="5"/>
      <c r="X1301" s="5"/>
      <c r="Y1301" s="5"/>
      <c r="Z1301" s="5"/>
      <c r="AA1301" s="5"/>
      <c r="AB1301" s="6"/>
      <c r="AC1301" s="6"/>
      <c r="AD1301" s="6"/>
      <c r="AE1301" s="6"/>
      <c r="AF1301" s="6"/>
      <c r="AG1301" s="6"/>
      <c r="AH1301" s="6"/>
      <c r="AI1301" s="6"/>
      <c r="AJ1301" s="6"/>
      <c r="AK1301" s="6"/>
      <c r="AL1301" s="6"/>
      <c r="AM1301" s="6"/>
      <c r="AN1301" s="6"/>
      <c r="AO1301" s="6"/>
      <c r="AP1301" s="6"/>
      <c r="AQ1301" s="6"/>
      <c r="AR1301" s="6"/>
      <c r="AS1301" s="6"/>
      <c r="AT1301" s="6"/>
      <c r="AU1301" s="6"/>
      <c r="AV1301" s="6"/>
      <c r="AW1301" s="6"/>
      <c r="AX1301" s="6"/>
      <c r="AY1301" s="6"/>
      <c r="AZ1301" s="6"/>
      <c r="BA1301" s="6"/>
      <c r="BB1301" s="6"/>
      <c r="BC1301" s="6"/>
      <c r="BD1301" s="6"/>
      <c r="BE1301" s="6"/>
      <c r="BF1301" s="6"/>
      <c r="BG1301" s="6"/>
      <c r="BH1301" s="6"/>
      <c r="BI1301" s="6"/>
      <c r="BJ1301" s="6"/>
      <c r="BK1301" s="6"/>
      <c r="BL1301" s="6"/>
      <c r="BM1301" s="5"/>
      <c r="BN1301" s="7"/>
      <c r="BO1301" s="7"/>
      <c r="BP1301" s="7"/>
    </row>
    <row r="1302" spans="1:68" s="400" customFormat="1" ht="14.25" customHeight="1" x14ac:dyDescent="0.25">
      <c r="A1302" s="5"/>
      <c r="B1302" s="5"/>
      <c r="C1302" s="5"/>
      <c r="D1302" s="5"/>
      <c r="E1302" s="5"/>
      <c r="F1302" s="5"/>
      <c r="G1302" s="5"/>
      <c r="H1302" s="5"/>
      <c r="I1302" s="5"/>
      <c r="J1302" s="5"/>
      <c r="K1302" s="5"/>
      <c r="L1302" s="5"/>
      <c r="M1302" s="5"/>
      <c r="N1302" s="5"/>
      <c r="O1302" s="5"/>
      <c r="P1302" s="5"/>
      <c r="Q1302" s="5"/>
      <c r="R1302" s="5"/>
      <c r="S1302" s="5"/>
      <c r="T1302" s="5"/>
      <c r="U1302" s="5"/>
      <c r="V1302" s="5"/>
      <c r="W1302" s="5"/>
      <c r="X1302" s="5"/>
      <c r="Y1302" s="5"/>
      <c r="Z1302" s="5"/>
      <c r="AA1302" s="5"/>
      <c r="AB1302" s="6"/>
      <c r="AC1302" s="6"/>
      <c r="AD1302" s="6"/>
      <c r="AE1302" s="6"/>
      <c r="AF1302" s="6"/>
      <c r="AG1302" s="6"/>
      <c r="AH1302" s="6"/>
      <c r="AI1302" s="6"/>
      <c r="AJ1302" s="6"/>
      <c r="AK1302" s="6"/>
      <c r="AL1302" s="6"/>
      <c r="AM1302" s="6"/>
      <c r="AN1302" s="6"/>
      <c r="AO1302" s="6"/>
      <c r="AP1302" s="6"/>
      <c r="AQ1302" s="6"/>
      <c r="AR1302" s="6"/>
      <c r="AS1302" s="6"/>
      <c r="AT1302" s="6"/>
      <c r="AU1302" s="6"/>
      <c r="AV1302" s="6"/>
      <c r="AW1302" s="6"/>
      <c r="AX1302" s="6"/>
      <c r="AY1302" s="6"/>
      <c r="AZ1302" s="6"/>
      <c r="BA1302" s="6"/>
      <c r="BB1302" s="6"/>
      <c r="BC1302" s="6"/>
      <c r="BD1302" s="6"/>
      <c r="BE1302" s="6"/>
      <c r="BF1302" s="6"/>
      <c r="BG1302" s="6"/>
      <c r="BH1302" s="6"/>
      <c r="BI1302" s="6"/>
      <c r="BJ1302" s="6"/>
      <c r="BK1302" s="6"/>
      <c r="BL1302" s="6"/>
      <c r="BM1302" s="5"/>
      <c r="BN1302" s="7"/>
      <c r="BO1302" s="7"/>
      <c r="BP1302" s="7"/>
    </row>
    <row r="1303" spans="1:68" s="400" customFormat="1" ht="14.25" customHeight="1" x14ac:dyDescent="0.25">
      <c r="A1303" s="5"/>
      <c r="B1303" s="5"/>
      <c r="C1303" s="5"/>
      <c r="D1303" s="5"/>
      <c r="E1303" s="5"/>
      <c r="F1303" s="5"/>
      <c r="G1303" s="5"/>
      <c r="H1303" s="5"/>
      <c r="I1303" s="5"/>
      <c r="J1303" s="5"/>
      <c r="K1303" s="5"/>
      <c r="L1303" s="5"/>
      <c r="M1303" s="5"/>
      <c r="N1303" s="5"/>
      <c r="O1303" s="5"/>
      <c r="P1303" s="5"/>
      <c r="Q1303" s="5"/>
      <c r="R1303" s="5"/>
      <c r="S1303" s="5"/>
      <c r="T1303" s="5"/>
      <c r="U1303" s="5"/>
      <c r="V1303" s="5"/>
      <c r="W1303" s="5"/>
      <c r="X1303" s="5"/>
      <c r="Y1303" s="5"/>
      <c r="Z1303" s="5"/>
      <c r="AA1303" s="5"/>
      <c r="AB1303" s="6"/>
      <c r="AC1303" s="6"/>
      <c r="AD1303" s="6"/>
      <c r="AE1303" s="6"/>
      <c r="AF1303" s="6"/>
      <c r="AG1303" s="6"/>
      <c r="AH1303" s="6"/>
      <c r="AI1303" s="6"/>
      <c r="AJ1303" s="6"/>
      <c r="AK1303" s="6"/>
      <c r="AL1303" s="6"/>
      <c r="AM1303" s="6"/>
      <c r="AN1303" s="6"/>
      <c r="AO1303" s="6"/>
      <c r="AP1303" s="6"/>
      <c r="AQ1303" s="6"/>
      <c r="AR1303" s="6"/>
      <c r="AS1303" s="6"/>
      <c r="AT1303" s="6"/>
      <c r="AU1303" s="6"/>
      <c r="AV1303" s="6"/>
      <c r="AW1303" s="6"/>
      <c r="AX1303" s="6"/>
      <c r="AY1303" s="6"/>
      <c r="AZ1303" s="6"/>
      <c r="BA1303" s="6"/>
      <c r="BB1303" s="6"/>
      <c r="BC1303" s="6"/>
      <c r="BD1303" s="6"/>
      <c r="BE1303" s="6"/>
      <c r="BF1303" s="6"/>
      <c r="BG1303" s="6"/>
      <c r="BH1303" s="6"/>
      <c r="BI1303" s="6"/>
      <c r="BJ1303" s="6"/>
      <c r="BK1303" s="6"/>
      <c r="BL1303" s="6"/>
      <c r="BM1303" s="5"/>
      <c r="BN1303" s="7"/>
      <c r="BO1303" s="7"/>
      <c r="BP1303" s="7"/>
    </row>
    <row r="1304" spans="1:68" s="400" customFormat="1" ht="14.25" customHeight="1" x14ac:dyDescent="0.25">
      <c r="A1304" s="5"/>
      <c r="B1304" s="5"/>
      <c r="C1304" s="5"/>
      <c r="D1304" s="5"/>
      <c r="E1304" s="5"/>
      <c r="F1304" s="5"/>
      <c r="G1304" s="5"/>
      <c r="H1304" s="5"/>
      <c r="I1304" s="5"/>
      <c r="J1304" s="5"/>
      <c r="K1304" s="5"/>
      <c r="L1304" s="5"/>
      <c r="M1304" s="5"/>
      <c r="N1304" s="5"/>
      <c r="O1304" s="5"/>
      <c r="P1304" s="5"/>
      <c r="Q1304" s="5"/>
      <c r="R1304" s="5"/>
      <c r="S1304" s="5"/>
      <c r="T1304" s="5"/>
      <c r="U1304" s="5"/>
      <c r="V1304" s="5"/>
      <c r="W1304" s="5"/>
      <c r="X1304" s="5"/>
      <c r="Y1304" s="5"/>
      <c r="Z1304" s="5"/>
      <c r="AA1304" s="5"/>
      <c r="AB1304" s="6"/>
      <c r="AC1304" s="6"/>
      <c r="AD1304" s="6"/>
      <c r="AE1304" s="6"/>
      <c r="AF1304" s="6"/>
      <c r="AG1304" s="6"/>
      <c r="AH1304" s="6"/>
      <c r="AI1304" s="6"/>
      <c r="AJ1304" s="6"/>
      <c r="AK1304" s="6"/>
      <c r="AL1304" s="6"/>
      <c r="AM1304" s="6"/>
      <c r="AN1304" s="6"/>
      <c r="AO1304" s="6"/>
      <c r="AP1304" s="6"/>
      <c r="AQ1304" s="6"/>
      <c r="AR1304" s="6"/>
      <c r="AS1304" s="6"/>
      <c r="AT1304" s="6"/>
      <c r="AU1304" s="6"/>
      <c r="AV1304" s="6"/>
      <c r="AW1304" s="6"/>
      <c r="AX1304" s="6"/>
      <c r="AY1304" s="6"/>
      <c r="AZ1304" s="6"/>
      <c r="BA1304" s="6"/>
      <c r="BB1304" s="6"/>
      <c r="BC1304" s="6"/>
      <c r="BD1304" s="6"/>
      <c r="BE1304" s="6"/>
      <c r="BF1304" s="6"/>
      <c r="BG1304" s="6"/>
      <c r="BH1304" s="6"/>
      <c r="BI1304" s="6"/>
      <c r="BJ1304" s="6"/>
      <c r="BK1304" s="6"/>
      <c r="BL1304" s="6"/>
      <c r="BM1304" s="5"/>
      <c r="BN1304" s="7"/>
      <c r="BO1304" s="7"/>
      <c r="BP1304" s="7"/>
    </row>
    <row r="1305" spans="1:68" s="400" customFormat="1" ht="14.25" customHeight="1" x14ac:dyDescent="0.25">
      <c r="A1305" s="5"/>
      <c r="B1305" s="5"/>
      <c r="C1305" s="5"/>
      <c r="D1305" s="5"/>
      <c r="E1305" s="5"/>
      <c r="F1305" s="5"/>
      <c r="G1305" s="5"/>
      <c r="H1305" s="5"/>
      <c r="I1305" s="5"/>
      <c r="J1305" s="5"/>
      <c r="K1305" s="5"/>
      <c r="L1305" s="5"/>
      <c r="M1305" s="5"/>
      <c r="N1305" s="5"/>
      <c r="O1305" s="5"/>
      <c r="P1305" s="5"/>
      <c r="Q1305" s="5"/>
      <c r="R1305" s="5"/>
      <c r="S1305" s="5"/>
      <c r="T1305" s="5"/>
      <c r="U1305" s="5"/>
      <c r="V1305" s="5"/>
      <c r="W1305" s="5"/>
      <c r="X1305" s="5"/>
      <c r="Y1305" s="5"/>
      <c r="Z1305" s="5"/>
      <c r="AA1305" s="5"/>
      <c r="AB1305" s="6"/>
      <c r="AC1305" s="6"/>
      <c r="AD1305" s="6"/>
      <c r="AE1305" s="6"/>
      <c r="AF1305" s="6"/>
      <c r="AG1305" s="6"/>
      <c r="AH1305" s="6"/>
      <c r="AI1305" s="6"/>
      <c r="AJ1305" s="6"/>
      <c r="AK1305" s="6"/>
      <c r="AL1305" s="6"/>
      <c r="AM1305" s="6"/>
      <c r="AN1305" s="6"/>
      <c r="AO1305" s="6"/>
      <c r="AP1305" s="6"/>
      <c r="AQ1305" s="6"/>
      <c r="AR1305" s="6"/>
      <c r="AS1305" s="6"/>
      <c r="AT1305" s="6"/>
      <c r="AU1305" s="6"/>
      <c r="AV1305" s="6"/>
      <c r="AW1305" s="6"/>
      <c r="AX1305" s="6"/>
      <c r="AY1305" s="6"/>
      <c r="AZ1305" s="6"/>
      <c r="BA1305" s="6"/>
      <c r="BB1305" s="6"/>
      <c r="BC1305" s="6"/>
      <c r="BD1305" s="6"/>
      <c r="BE1305" s="6"/>
      <c r="BF1305" s="6"/>
      <c r="BG1305" s="6"/>
      <c r="BH1305" s="6"/>
      <c r="BI1305" s="6"/>
      <c r="BJ1305" s="6"/>
      <c r="BK1305" s="6"/>
      <c r="BL1305" s="6"/>
      <c r="BM1305" s="5"/>
      <c r="BN1305" s="7"/>
      <c r="BO1305" s="7"/>
      <c r="BP1305" s="7"/>
    </row>
    <row r="1306" spans="1:68" s="400" customFormat="1" ht="14.25" customHeight="1" x14ac:dyDescent="0.25">
      <c r="A1306" s="5"/>
      <c r="B1306" s="5"/>
      <c r="C1306" s="5"/>
      <c r="D1306" s="5"/>
      <c r="E1306" s="5"/>
      <c r="F1306" s="5"/>
      <c r="G1306" s="5"/>
      <c r="H1306" s="5"/>
      <c r="I1306" s="5"/>
      <c r="J1306" s="5"/>
      <c r="K1306" s="5"/>
      <c r="L1306" s="5"/>
      <c r="M1306" s="5"/>
      <c r="N1306" s="5"/>
      <c r="O1306" s="5"/>
      <c r="P1306" s="5"/>
      <c r="Q1306" s="5"/>
      <c r="R1306" s="5"/>
      <c r="S1306" s="5"/>
      <c r="T1306" s="5"/>
      <c r="U1306" s="5"/>
      <c r="V1306" s="5"/>
      <c r="W1306" s="5"/>
      <c r="X1306" s="5"/>
      <c r="Y1306" s="5"/>
      <c r="Z1306" s="5"/>
      <c r="AA1306" s="5"/>
      <c r="AB1306" s="6"/>
      <c r="AC1306" s="6"/>
      <c r="AD1306" s="6"/>
      <c r="AE1306" s="6"/>
      <c r="AF1306" s="6"/>
      <c r="AG1306" s="6"/>
      <c r="AH1306" s="6"/>
      <c r="AI1306" s="6"/>
      <c r="AJ1306" s="6"/>
      <c r="AK1306" s="6"/>
      <c r="AL1306" s="6"/>
      <c r="AM1306" s="6"/>
      <c r="AN1306" s="6"/>
      <c r="AO1306" s="6"/>
      <c r="AP1306" s="6"/>
      <c r="AQ1306" s="6"/>
      <c r="AR1306" s="6"/>
      <c r="AS1306" s="6"/>
      <c r="AT1306" s="6"/>
      <c r="AU1306" s="6"/>
      <c r="AV1306" s="6"/>
      <c r="AW1306" s="6"/>
      <c r="AX1306" s="6"/>
      <c r="AY1306" s="6"/>
      <c r="AZ1306" s="6"/>
      <c r="BA1306" s="6"/>
      <c r="BB1306" s="6"/>
      <c r="BC1306" s="6"/>
      <c r="BD1306" s="6"/>
      <c r="BE1306" s="6"/>
      <c r="BF1306" s="6"/>
      <c r="BG1306" s="6"/>
      <c r="BH1306" s="6"/>
      <c r="BI1306" s="6"/>
      <c r="BJ1306" s="6"/>
      <c r="BK1306" s="6"/>
      <c r="BL1306" s="6"/>
      <c r="BM1306" s="5"/>
      <c r="BN1306" s="7"/>
      <c r="BO1306" s="7"/>
      <c r="BP1306" s="7"/>
    </row>
    <row r="1307" spans="1:68" s="400" customFormat="1" ht="14.25" customHeight="1" x14ac:dyDescent="0.25">
      <c r="A1307" s="5"/>
      <c r="B1307" s="5"/>
      <c r="C1307" s="5"/>
      <c r="D1307" s="5"/>
      <c r="E1307" s="5"/>
      <c r="F1307" s="5"/>
      <c r="G1307" s="5"/>
      <c r="H1307" s="5"/>
      <c r="I1307" s="5"/>
      <c r="J1307" s="5"/>
      <c r="K1307" s="5"/>
      <c r="L1307" s="5"/>
      <c r="M1307" s="5"/>
      <c r="N1307" s="5"/>
      <c r="O1307" s="5"/>
      <c r="P1307" s="5"/>
      <c r="Q1307" s="5"/>
      <c r="R1307" s="5"/>
      <c r="S1307" s="5"/>
      <c r="T1307" s="5"/>
      <c r="U1307" s="5"/>
      <c r="V1307" s="5"/>
      <c r="W1307" s="5"/>
      <c r="X1307" s="5"/>
      <c r="Y1307" s="5"/>
      <c r="Z1307" s="5"/>
      <c r="AA1307" s="5"/>
      <c r="AB1307" s="6"/>
      <c r="AC1307" s="6"/>
      <c r="AD1307" s="6"/>
      <c r="AE1307" s="6"/>
      <c r="AF1307" s="6"/>
      <c r="AG1307" s="6"/>
      <c r="AH1307" s="6"/>
      <c r="AI1307" s="6"/>
      <c r="AJ1307" s="6"/>
      <c r="AK1307" s="6"/>
      <c r="AL1307" s="6"/>
      <c r="AM1307" s="6"/>
      <c r="AN1307" s="6"/>
      <c r="AO1307" s="6"/>
      <c r="AP1307" s="6"/>
      <c r="AQ1307" s="6"/>
      <c r="AR1307" s="6"/>
      <c r="AS1307" s="6"/>
      <c r="AT1307" s="6"/>
      <c r="AU1307" s="6"/>
      <c r="AV1307" s="6"/>
      <c r="AW1307" s="6"/>
      <c r="AX1307" s="6"/>
      <c r="AY1307" s="6"/>
      <c r="AZ1307" s="6"/>
      <c r="BA1307" s="6"/>
      <c r="BB1307" s="6"/>
      <c r="BC1307" s="6"/>
      <c r="BD1307" s="6"/>
      <c r="BE1307" s="6"/>
      <c r="BF1307" s="6"/>
      <c r="BG1307" s="6"/>
      <c r="BH1307" s="6"/>
      <c r="BI1307" s="6"/>
      <c r="BJ1307" s="6"/>
      <c r="BK1307" s="6"/>
      <c r="BL1307" s="6"/>
      <c r="BM1307" s="5"/>
      <c r="BN1307" s="7"/>
      <c r="BO1307" s="7"/>
      <c r="BP1307" s="7"/>
    </row>
    <row r="1308" spans="1:68" s="400" customFormat="1" ht="14.25" customHeight="1" x14ac:dyDescent="0.25">
      <c r="A1308" s="5"/>
      <c r="B1308" s="5"/>
      <c r="C1308" s="5"/>
      <c r="D1308" s="5"/>
      <c r="E1308" s="5"/>
      <c r="F1308" s="5"/>
      <c r="G1308" s="5"/>
      <c r="H1308" s="5"/>
      <c r="I1308" s="5"/>
      <c r="J1308" s="5"/>
      <c r="K1308" s="5"/>
      <c r="L1308" s="5"/>
      <c r="M1308" s="5"/>
      <c r="N1308" s="5"/>
      <c r="O1308" s="5"/>
      <c r="P1308" s="5"/>
      <c r="Q1308" s="5"/>
      <c r="R1308" s="5"/>
      <c r="S1308" s="5"/>
      <c r="T1308" s="5"/>
      <c r="U1308" s="5"/>
      <c r="V1308" s="5"/>
      <c r="W1308" s="5"/>
      <c r="X1308" s="5"/>
      <c r="Y1308" s="5"/>
      <c r="Z1308" s="5"/>
      <c r="AA1308" s="5"/>
      <c r="AB1308" s="6"/>
      <c r="AC1308" s="6"/>
      <c r="AD1308" s="6"/>
      <c r="AE1308" s="6"/>
      <c r="AF1308" s="6"/>
      <c r="AG1308" s="6"/>
      <c r="AH1308" s="6"/>
      <c r="AI1308" s="6"/>
      <c r="AJ1308" s="6"/>
      <c r="AK1308" s="6"/>
      <c r="AL1308" s="6"/>
      <c r="AM1308" s="6"/>
      <c r="AN1308" s="6"/>
      <c r="AO1308" s="6"/>
      <c r="AP1308" s="6"/>
      <c r="AQ1308" s="6"/>
      <c r="AR1308" s="6"/>
      <c r="AS1308" s="6"/>
      <c r="AT1308" s="6"/>
      <c r="AU1308" s="6"/>
      <c r="AV1308" s="6"/>
      <c r="AW1308" s="6"/>
      <c r="AX1308" s="6"/>
      <c r="AY1308" s="6"/>
      <c r="AZ1308" s="6"/>
      <c r="BA1308" s="6"/>
      <c r="BB1308" s="6"/>
      <c r="BC1308" s="6"/>
      <c r="BD1308" s="6"/>
      <c r="BE1308" s="6"/>
      <c r="BF1308" s="6"/>
      <c r="BG1308" s="6"/>
      <c r="BH1308" s="6"/>
      <c r="BI1308" s="6"/>
      <c r="BJ1308" s="6"/>
      <c r="BK1308" s="6"/>
      <c r="BL1308" s="6"/>
      <c r="BM1308" s="5"/>
      <c r="BN1308" s="7"/>
      <c r="BO1308" s="7"/>
      <c r="BP1308" s="7"/>
    </row>
    <row r="1309" spans="1:68" s="400" customFormat="1" ht="14.25" customHeight="1" x14ac:dyDescent="0.25">
      <c r="A1309" s="5"/>
      <c r="B1309" s="5"/>
      <c r="C1309" s="5"/>
      <c r="D1309" s="5"/>
      <c r="E1309" s="5"/>
      <c r="F1309" s="5"/>
      <c r="G1309" s="5"/>
      <c r="H1309" s="5"/>
      <c r="I1309" s="5"/>
      <c r="J1309" s="5"/>
      <c r="K1309" s="5"/>
      <c r="L1309" s="5"/>
      <c r="M1309" s="5"/>
      <c r="N1309" s="5"/>
      <c r="O1309" s="5"/>
      <c r="P1309" s="5"/>
      <c r="Q1309" s="5"/>
      <c r="R1309" s="5"/>
      <c r="S1309" s="5"/>
      <c r="T1309" s="5"/>
      <c r="U1309" s="5"/>
      <c r="V1309" s="5"/>
      <c r="W1309" s="5"/>
      <c r="X1309" s="5"/>
      <c r="Y1309" s="5"/>
      <c r="Z1309" s="5"/>
      <c r="AA1309" s="5"/>
      <c r="AB1309" s="6"/>
      <c r="AC1309" s="6"/>
      <c r="AD1309" s="6"/>
      <c r="AE1309" s="6"/>
      <c r="AF1309" s="6"/>
      <c r="AG1309" s="6"/>
      <c r="AH1309" s="6"/>
      <c r="AI1309" s="6"/>
      <c r="AJ1309" s="6"/>
      <c r="AK1309" s="6"/>
      <c r="AL1309" s="6"/>
      <c r="AM1309" s="6"/>
      <c r="AN1309" s="6"/>
      <c r="AO1309" s="6"/>
      <c r="AP1309" s="6"/>
      <c r="AQ1309" s="6"/>
      <c r="AR1309" s="6"/>
      <c r="AS1309" s="6"/>
      <c r="AT1309" s="6"/>
      <c r="AU1309" s="6"/>
      <c r="AV1309" s="6"/>
      <c r="AW1309" s="6"/>
      <c r="AX1309" s="6"/>
      <c r="AY1309" s="6"/>
      <c r="AZ1309" s="6"/>
      <c r="BA1309" s="6"/>
      <c r="BB1309" s="6"/>
      <c r="BC1309" s="6"/>
      <c r="BD1309" s="6"/>
      <c r="BE1309" s="6"/>
      <c r="BF1309" s="6"/>
      <c r="BG1309" s="6"/>
      <c r="BH1309" s="6"/>
      <c r="BI1309" s="6"/>
      <c r="BJ1309" s="6"/>
      <c r="BK1309" s="6"/>
      <c r="BL1309" s="6"/>
      <c r="BM1309" s="5"/>
      <c r="BN1309" s="7"/>
      <c r="BO1309" s="7"/>
      <c r="BP1309" s="7"/>
    </row>
    <row r="1310" spans="1:68" s="400" customFormat="1" ht="14.25" customHeight="1" x14ac:dyDescent="0.25">
      <c r="A1310" s="5"/>
      <c r="B1310" s="5"/>
      <c r="C1310" s="5"/>
      <c r="D1310" s="5"/>
      <c r="E1310" s="5"/>
      <c r="F1310" s="5"/>
      <c r="G1310" s="5"/>
      <c r="H1310" s="5"/>
      <c r="I1310" s="5"/>
      <c r="J1310" s="5"/>
      <c r="K1310" s="5"/>
      <c r="L1310" s="5"/>
      <c r="M1310" s="5"/>
      <c r="N1310" s="5"/>
      <c r="O1310" s="5"/>
      <c r="P1310" s="5"/>
      <c r="Q1310" s="5"/>
      <c r="R1310" s="5"/>
      <c r="S1310" s="5"/>
      <c r="T1310" s="5"/>
      <c r="U1310" s="5"/>
      <c r="V1310" s="5"/>
      <c r="W1310" s="5"/>
      <c r="X1310" s="5"/>
      <c r="Y1310" s="5"/>
      <c r="Z1310" s="5"/>
      <c r="AA1310" s="5"/>
      <c r="AB1310" s="6"/>
      <c r="AC1310" s="6"/>
      <c r="AD1310" s="6"/>
      <c r="AE1310" s="6"/>
      <c r="AF1310" s="6"/>
      <c r="AG1310" s="6"/>
      <c r="AH1310" s="6"/>
      <c r="AI1310" s="6"/>
      <c r="AJ1310" s="6"/>
      <c r="AK1310" s="6"/>
      <c r="AL1310" s="6"/>
      <c r="AM1310" s="6"/>
      <c r="AN1310" s="6"/>
      <c r="AO1310" s="6"/>
      <c r="AP1310" s="6"/>
      <c r="AQ1310" s="6"/>
      <c r="AR1310" s="6"/>
      <c r="AS1310" s="6"/>
      <c r="AT1310" s="6"/>
      <c r="AU1310" s="6"/>
      <c r="AV1310" s="6"/>
      <c r="AW1310" s="6"/>
      <c r="AX1310" s="6"/>
      <c r="AY1310" s="6"/>
      <c r="AZ1310" s="6"/>
      <c r="BA1310" s="6"/>
      <c r="BB1310" s="6"/>
      <c r="BC1310" s="6"/>
      <c r="BD1310" s="6"/>
      <c r="BE1310" s="6"/>
      <c r="BF1310" s="6"/>
      <c r="BG1310" s="6"/>
      <c r="BH1310" s="6"/>
      <c r="BI1310" s="6"/>
      <c r="BJ1310" s="6"/>
      <c r="BK1310" s="6"/>
      <c r="BL1310" s="6"/>
      <c r="BM1310" s="5"/>
      <c r="BN1310" s="7"/>
      <c r="BO1310" s="7"/>
      <c r="BP1310" s="7"/>
    </row>
    <row r="1311" spans="1:68" s="400" customFormat="1" ht="14.25" customHeight="1" x14ac:dyDescent="0.25">
      <c r="A1311" s="5"/>
      <c r="B1311" s="5"/>
      <c r="C1311" s="5"/>
      <c r="D1311" s="5"/>
      <c r="E1311" s="5"/>
      <c r="F1311" s="5"/>
      <c r="G1311" s="5"/>
      <c r="H1311" s="5"/>
      <c r="I1311" s="5"/>
      <c r="J1311" s="5"/>
      <c r="K1311" s="5"/>
      <c r="L1311" s="5"/>
      <c r="M1311" s="5"/>
      <c r="N1311" s="5"/>
      <c r="O1311" s="5"/>
      <c r="P1311" s="5"/>
      <c r="Q1311" s="5"/>
      <c r="R1311" s="5"/>
      <c r="S1311" s="5"/>
      <c r="T1311" s="5"/>
      <c r="U1311" s="5"/>
      <c r="V1311" s="5"/>
      <c r="W1311" s="5"/>
      <c r="X1311" s="5"/>
      <c r="Y1311" s="5"/>
      <c r="Z1311" s="5"/>
      <c r="AA1311" s="5"/>
      <c r="AB1311" s="6"/>
      <c r="AC1311" s="6"/>
      <c r="AD1311" s="6"/>
      <c r="AE1311" s="6"/>
      <c r="AF1311" s="6"/>
      <c r="AG1311" s="6"/>
      <c r="AH1311" s="6"/>
      <c r="AI1311" s="6"/>
      <c r="AJ1311" s="6"/>
      <c r="AK1311" s="6"/>
      <c r="AL1311" s="6"/>
      <c r="AM1311" s="6"/>
      <c r="AN1311" s="6"/>
      <c r="AO1311" s="6"/>
      <c r="AP1311" s="6"/>
      <c r="AQ1311" s="6"/>
      <c r="AR1311" s="6"/>
      <c r="AS1311" s="6"/>
      <c r="AT1311" s="6"/>
      <c r="AU1311" s="6"/>
      <c r="AV1311" s="6"/>
      <c r="AW1311" s="6"/>
      <c r="AX1311" s="6"/>
      <c r="AY1311" s="6"/>
      <c r="AZ1311" s="6"/>
      <c r="BA1311" s="6"/>
      <c r="BB1311" s="6"/>
      <c r="BC1311" s="6"/>
      <c r="BD1311" s="6"/>
      <c r="BE1311" s="6"/>
      <c r="BF1311" s="6"/>
      <c r="BG1311" s="6"/>
      <c r="BH1311" s="6"/>
      <c r="BI1311" s="6"/>
      <c r="BJ1311" s="6"/>
      <c r="BK1311" s="6"/>
      <c r="BL1311" s="6"/>
      <c r="BM1311" s="5"/>
      <c r="BN1311" s="7"/>
      <c r="BO1311" s="7"/>
      <c r="BP1311" s="7"/>
    </row>
    <row r="1312" spans="1:68" s="400" customFormat="1" ht="14.25" customHeight="1" x14ac:dyDescent="0.25">
      <c r="A1312" s="5"/>
      <c r="B1312" s="5"/>
      <c r="C1312" s="5"/>
      <c r="D1312" s="5"/>
      <c r="E1312" s="5"/>
      <c r="F1312" s="5"/>
      <c r="G1312" s="5"/>
      <c r="H1312" s="5"/>
      <c r="I1312" s="5"/>
      <c r="J1312" s="5"/>
      <c r="K1312" s="5"/>
      <c r="L1312" s="5"/>
      <c r="M1312" s="5"/>
      <c r="N1312" s="5"/>
      <c r="O1312" s="5"/>
      <c r="P1312" s="5"/>
      <c r="Q1312" s="5"/>
      <c r="R1312" s="5"/>
      <c r="S1312" s="5"/>
      <c r="T1312" s="5"/>
      <c r="U1312" s="5"/>
      <c r="V1312" s="5"/>
      <c r="W1312" s="5"/>
      <c r="X1312" s="5"/>
      <c r="Y1312" s="5"/>
      <c r="Z1312" s="5"/>
      <c r="AA1312" s="5"/>
      <c r="AB1312" s="6"/>
      <c r="AC1312" s="6"/>
      <c r="AD1312" s="6"/>
      <c r="AE1312" s="6"/>
      <c r="AF1312" s="6"/>
      <c r="AG1312" s="6"/>
      <c r="AH1312" s="6"/>
      <c r="AI1312" s="6"/>
      <c r="AJ1312" s="6"/>
      <c r="AK1312" s="6"/>
      <c r="AL1312" s="6"/>
      <c r="AM1312" s="6"/>
      <c r="AN1312" s="6"/>
      <c r="AO1312" s="6"/>
      <c r="AP1312" s="6"/>
      <c r="AQ1312" s="6"/>
      <c r="AR1312" s="6"/>
      <c r="AS1312" s="6"/>
      <c r="AT1312" s="6"/>
      <c r="AU1312" s="6"/>
      <c r="AV1312" s="6"/>
      <c r="AW1312" s="6"/>
      <c r="AX1312" s="6"/>
      <c r="AY1312" s="6"/>
      <c r="AZ1312" s="6"/>
      <c r="BA1312" s="6"/>
      <c r="BB1312" s="6"/>
      <c r="BC1312" s="6"/>
      <c r="BD1312" s="6"/>
      <c r="BE1312" s="6"/>
      <c r="BF1312" s="6"/>
      <c r="BG1312" s="6"/>
      <c r="BH1312" s="6"/>
      <c r="BI1312" s="6"/>
      <c r="BJ1312" s="6"/>
      <c r="BK1312" s="6"/>
      <c r="BL1312" s="6"/>
      <c r="BM1312" s="5"/>
      <c r="BN1312" s="7"/>
      <c r="BO1312" s="7"/>
      <c r="BP1312" s="7"/>
    </row>
    <row r="1313" spans="1:68" s="400" customFormat="1" ht="14.25" customHeight="1" x14ac:dyDescent="0.25">
      <c r="A1313" s="5"/>
      <c r="B1313" s="5"/>
      <c r="C1313" s="5"/>
      <c r="D1313" s="5"/>
      <c r="E1313" s="5"/>
      <c r="F1313" s="5"/>
      <c r="G1313" s="5"/>
      <c r="H1313" s="5"/>
      <c r="I1313" s="5"/>
      <c r="J1313" s="5"/>
      <c r="K1313" s="5"/>
      <c r="L1313" s="5"/>
      <c r="M1313" s="5"/>
      <c r="N1313" s="5"/>
      <c r="O1313" s="5"/>
      <c r="P1313" s="5"/>
      <c r="Q1313" s="5"/>
      <c r="R1313" s="5"/>
      <c r="S1313" s="5"/>
      <c r="T1313" s="5"/>
      <c r="U1313" s="5"/>
      <c r="V1313" s="5"/>
      <c r="W1313" s="5"/>
      <c r="X1313" s="5"/>
      <c r="Y1313" s="5"/>
      <c r="Z1313" s="5"/>
      <c r="AA1313" s="5"/>
      <c r="AB1313" s="6"/>
      <c r="AC1313" s="6"/>
      <c r="AD1313" s="6"/>
      <c r="AE1313" s="6"/>
      <c r="AF1313" s="6"/>
      <c r="AG1313" s="6"/>
      <c r="AH1313" s="6"/>
      <c r="AI1313" s="6"/>
      <c r="AJ1313" s="6"/>
      <c r="AK1313" s="6"/>
      <c r="AL1313" s="6"/>
      <c r="AM1313" s="6"/>
      <c r="AN1313" s="6"/>
      <c r="AO1313" s="6"/>
      <c r="AP1313" s="6"/>
      <c r="AQ1313" s="6"/>
      <c r="AR1313" s="6"/>
      <c r="AS1313" s="6"/>
      <c r="AT1313" s="6"/>
      <c r="AU1313" s="6"/>
      <c r="AV1313" s="6"/>
      <c r="AW1313" s="6"/>
      <c r="AX1313" s="6"/>
      <c r="AY1313" s="6"/>
      <c r="AZ1313" s="6"/>
      <c r="BA1313" s="6"/>
      <c r="BB1313" s="6"/>
      <c r="BC1313" s="6"/>
      <c r="BD1313" s="6"/>
      <c r="BE1313" s="6"/>
      <c r="BF1313" s="6"/>
      <c r="BG1313" s="6"/>
      <c r="BH1313" s="6"/>
      <c r="BI1313" s="6"/>
      <c r="BJ1313" s="6"/>
      <c r="BK1313" s="6"/>
      <c r="BL1313" s="6"/>
      <c r="BM1313" s="5"/>
      <c r="BN1313" s="7"/>
      <c r="BO1313" s="7"/>
      <c r="BP1313" s="7"/>
    </row>
    <row r="1314" spans="1:68" s="400" customFormat="1" ht="14.25" customHeight="1" x14ac:dyDescent="0.25">
      <c r="A1314" s="5"/>
      <c r="B1314" s="5"/>
      <c r="C1314" s="5"/>
      <c r="D1314" s="5"/>
      <c r="E1314" s="5"/>
      <c r="F1314" s="5"/>
      <c r="G1314" s="5"/>
      <c r="H1314" s="5"/>
      <c r="I1314" s="5"/>
      <c r="J1314" s="5"/>
      <c r="K1314" s="5"/>
      <c r="L1314" s="5"/>
      <c r="M1314" s="5"/>
      <c r="N1314" s="5"/>
      <c r="O1314" s="5"/>
      <c r="P1314" s="5"/>
      <c r="Q1314" s="5"/>
      <c r="R1314" s="5"/>
      <c r="S1314" s="5"/>
      <c r="T1314" s="5"/>
      <c r="U1314" s="5"/>
      <c r="V1314" s="5"/>
      <c r="W1314" s="5"/>
      <c r="X1314" s="5"/>
      <c r="Y1314" s="5"/>
      <c r="Z1314" s="5"/>
      <c r="AA1314" s="5"/>
      <c r="AB1314" s="6"/>
      <c r="AC1314" s="6"/>
      <c r="AD1314" s="6"/>
      <c r="AE1314" s="6"/>
      <c r="AF1314" s="6"/>
      <c r="AG1314" s="6"/>
      <c r="AH1314" s="6"/>
      <c r="AI1314" s="6"/>
      <c r="AJ1314" s="6"/>
      <c r="AK1314" s="6"/>
      <c r="AL1314" s="6"/>
      <c r="AM1314" s="6"/>
      <c r="AN1314" s="6"/>
      <c r="AO1314" s="6"/>
      <c r="AP1314" s="6"/>
      <c r="AQ1314" s="6"/>
      <c r="AR1314" s="6"/>
      <c r="AS1314" s="6"/>
      <c r="AT1314" s="6"/>
      <c r="AU1314" s="6"/>
      <c r="AV1314" s="6"/>
      <c r="AW1314" s="6"/>
      <c r="AX1314" s="6"/>
      <c r="AY1314" s="6"/>
      <c r="AZ1314" s="6"/>
      <c r="BA1314" s="6"/>
      <c r="BB1314" s="6"/>
      <c r="BC1314" s="6"/>
      <c r="BD1314" s="6"/>
      <c r="BE1314" s="6"/>
      <c r="BF1314" s="6"/>
      <c r="BG1314" s="6"/>
      <c r="BH1314" s="6"/>
      <c r="BI1314" s="6"/>
      <c r="BJ1314" s="6"/>
      <c r="BK1314" s="6"/>
      <c r="BL1314" s="6"/>
      <c r="BM1314" s="5"/>
      <c r="BN1314" s="7"/>
      <c r="BO1314" s="7"/>
      <c r="BP1314" s="7"/>
    </row>
    <row r="1315" spans="1:68" s="400" customFormat="1" ht="14.25" customHeight="1" x14ac:dyDescent="0.25">
      <c r="A1315" s="5"/>
      <c r="B1315" s="5"/>
      <c r="C1315" s="5"/>
      <c r="D1315" s="5"/>
      <c r="E1315" s="5"/>
      <c r="F1315" s="5"/>
      <c r="G1315" s="5"/>
      <c r="H1315" s="5"/>
      <c r="I1315" s="5"/>
      <c r="J1315" s="5"/>
      <c r="K1315" s="5"/>
      <c r="L1315" s="5"/>
      <c r="M1315" s="5"/>
      <c r="N1315" s="5"/>
      <c r="O1315" s="5"/>
      <c r="P1315" s="5"/>
      <c r="Q1315" s="5"/>
      <c r="R1315" s="5"/>
      <c r="S1315" s="5"/>
      <c r="T1315" s="5"/>
      <c r="U1315" s="5"/>
      <c r="V1315" s="5"/>
      <c r="W1315" s="5"/>
      <c r="X1315" s="5"/>
      <c r="Y1315" s="5"/>
      <c r="Z1315" s="5"/>
      <c r="AA1315" s="5"/>
      <c r="AB1315" s="6"/>
      <c r="AC1315" s="6"/>
      <c r="AD1315" s="6"/>
      <c r="AE1315" s="6"/>
      <c r="AF1315" s="6"/>
      <c r="AG1315" s="6"/>
      <c r="AH1315" s="6"/>
      <c r="AI1315" s="6"/>
      <c r="AJ1315" s="6"/>
      <c r="AK1315" s="6"/>
      <c r="AL1315" s="6"/>
      <c r="AM1315" s="6"/>
      <c r="AN1315" s="6"/>
      <c r="AO1315" s="6"/>
      <c r="AP1315" s="6"/>
      <c r="AQ1315" s="6"/>
      <c r="AR1315" s="6"/>
      <c r="AS1315" s="6"/>
      <c r="AT1315" s="6"/>
      <c r="AU1315" s="6"/>
      <c r="AV1315" s="6"/>
      <c r="AW1315" s="6"/>
      <c r="AX1315" s="6"/>
      <c r="AY1315" s="6"/>
      <c r="AZ1315" s="6"/>
      <c r="BA1315" s="6"/>
      <c r="BB1315" s="6"/>
      <c r="BC1315" s="6"/>
      <c r="BD1315" s="6"/>
      <c r="BE1315" s="6"/>
      <c r="BF1315" s="6"/>
      <c r="BG1315" s="6"/>
      <c r="BH1315" s="6"/>
      <c r="BI1315" s="6"/>
      <c r="BJ1315" s="6"/>
      <c r="BK1315" s="6"/>
      <c r="BL1315" s="6"/>
      <c r="BM1315" s="5"/>
      <c r="BN1315" s="7"/>
      <c r="BO1315" s="7"/>
      <c r="BP1315" s="7"/>
    </row>
    <row r="1316" spans="1:68" s="400" customFormat="1" ht="14.25" customHeight="1" x14ac:dyDescent="0.25">
      <c r="A1316" s="5"/>
      <c r="B1316" s="5"/>
      <c r="C1316" s="5"/>
      <c r="D1316" s="5"/>
      <c r="E1316" s="5"/>
      <c r="F1316" s="5"/>
      <c r="G1316" s="5"/>
      <c r="H1316" s="5"/>
      <c r="I1316" s="5"/>
      <c r="J1316" s="5"/>
      <c r="K1316" s="5"/>
      <c r="L1316" s="5"/>
      <c r="M1316" s="5"/>
      <c r="N1316" s="5"/>
      <c r="O1316" s="5"/>
      <c r="P1316" s="5"/>
      <c r="Q1316" s="5"/>
      <c r="R1316" s="5"/>
      <c r="S1316" s="5"/>
      <c r="T1316" s="5"/>
      <c r="U1316" s="5"/>
      <c r="V1316" s="5"/>
      <c r="W1316" s="5"/>
      <c r="X1316" s="5"/>
      <c r="Y1316" s="5"/>
      <c r="Z1316" s="5"/>
      <c r="AA1316" s="5"/>
      <c r="AB1316" s="6"/>
      <c r="AC1316" s="6"/>
      <c r="AD1316" s="6"/>
      <c r="AE1316" s="6"/>
      <c r="AF1316" s="6"/>
      <c r="AG1316" s="6"/>
      <c r="AH1316" s="6"/>
      <c r="AI1316" s="6"/>
      <c r="AJ1316" s="6"/>
      <c r="AK1316" s="6"/>
      <c r="AL1316" s="6"/>
      <c r="AM1316" s="6"/>
      <c r="AN1316" s="6"/>
      <c r="AO1316" s="6"/>
      <c r="AP1316" s="6"/>
      <c r="AQ1316" s="6"/>
      <c r="AR1316" s="6"/>
      <c r="AS1316" s="6"/>
      <c r="AT1316" s="6"/>
      <c r="AU1316" s="6"/>
      <c r="AV1316" s="6"/>
      <c r="AW1316" s="6"/>
      <c r="AX1316" s="6"/>
      <c r="AY1316" s="6"/>
      <c r="AZ1316" s="6"/>
      <c r="BA1316" s="6"/>
      <c r="BB1316" s="6"/>
      <c r="BC1316" s="6"/>
      <c r="BD1316" s="6"/>
      <c r="BE1316" s="6"/>
      <c r="BF1316" s="6"/>
      <c r="BG1316" s="6"/>
      <c r="BH1316" s="6"/>
      <c r="BI1316" s="6"/>
      <c r="BJ1316" s="6"/>
      <c r="BK1316" s="6"/>
      <c r="BL1316" s="6"/>
      <c r="BM1316" s="5"/>
      <c r="BN1316" s="7"/>
      <c r="BO1316" s="7"/>
      <c r="BP1316" s="7"/>
    </row>
    <row r="1317" spans="1:68" s="400" customFormat="1" ht="14.25" customHeight="1" x14ac:dyDescent="0.25">
      <c r="A1317" s="5"/>
      <c r="B1317" s="5"/>
      <c r="C1317" s="5"/>
      <c r="D1317" s="5"/>
      <c r="E1317" s="5"/>
      <c r="F1317" s="5"/>
      <c r="G1317" s="5"/>
      <c r="H1317" s="5"/>
      <c r="I1317" s="5"/>
      <c r="J1317" s="5"/>
      <c r="K1317" s="5"/>
      <c r="L1317" s="5"/>
      <c r="M1317" s="5"/>
      <c r="N1317" s="5"/>
      <c r="O1317" s="5"/>
      <c r="P1317" s="5"/>
      <c r="Q1317" s="5"/>
      <c r="R1317" s="5"/>
      <c r="S1317" s="5"/>
      <c r="T1317" s="5"/>
      <c r="U1317" s="5"/>
      <c r="V1317" s="5"/>
      <c r="W1317" s="5"/>
      <c r="X1317" s="5"/>
      <c r="Y1317" s="5"/>
      <c r="Z1317" s="5"/>
      <c r="AA1317" s="5"/>
      <c r="AB1317" s="6"/>
      <c r="AC1317" s="6"/>
      <c r="AD1317" s="6"/>
      <c r="AE1317" s="6"/>
      <c r="AF1317" s="6"/>
      <c r="AG1317" s="6"/>
      <c r="AH1317" s="6"/>
      <c r="AI1317" s="6"/>
      <c r="AJ1317" s="6"/>
      <c r="AK1317" s="6"/>
      <c r="AL1317" s="6"/>
      <c r="AM1317" s="6"/>
      <c r="AN1317" s="6"/>
      <c r="AO1317" s="6"/>
      <c r="AP1317" s="6"/>
      <c r="AQ1317" s="6"/>
      <c r="AR1317" s="6"/>
      <c r="AS1317" s="6"/>
      <c r="AT1317" s="6"/>
      <c r="AU1317" s="6"/>
      <c r="AV1317" s="6"/>
      <c r="AW1317" s="6"/>
      <c r="AX1317" s="6"/>
      <c r="AY1317" s="6"/>
      <c r="AZ1317" s="6"/>
      <c r="BA1317" s="6"/>
      <c r="BB1317" s="6"/>
      <c r="BC1317" s="6"/>
      <c r="BD1317" s="6"/>
      <c r="BE1317" s="6"/>
      <c r="BF1317" s="6"/>
      <c r="BG1317" s="6"/>
      <c r="BH1317" s="6"/>
      <c r="BI1317" s="6"/>
      <c r="BJ1317" s="6"/>
      <c r="BK1317" s="6"/>
      <c r="BL1317" s="6"/>
      <c r="BM1317" s="5"/>
      <c r="BN1317" s="7"/>
      <c r="BO1317" s="7"/>
      <c r="BP1317" s="7"/>
    </row>
    <row r="1318" spans="1:68" s="400" customFormat="1" ht="14.25" customHeight="1" x14ac:dyDescent="0.25">
      <c r="A1318" s="5"/>
      <c r="B1318" s="5"/>
      <c r="C1318" s="5"/>
      <c r="D1318" s="5"/>
      <c r="E1318" s="5"/>
      <c r="F1318" s="5"/>
      <c r="G1318" s="5"/>
      <c r="H1318" s="5"/>
      <c r="I1318" s="5"/>
      <c r="J1318" s="5"/>
      <c r="K1318" s="5"/>
      <c r="L1318" s="5"/>
      <c r="M1318" s="5"/>
      <c r="N1318" s="5"/>
      <c r="O1318" s="5"/>
      <c r="P1318" s="5"/>
      <c r="Q1318" s="5"/>
      <c r="R1318" s="5"/>
      <c r="S1318" s="5"/>
      <c r="T1318" s="5"/>
      <c r="U1318" s="5"/>
      <c r="V1318" s="5"/>
      <c r="W1318" s="5"/>
      <c r="X1318" s="5"/>
      <c r="Y1318" s="5"/>
      <c r="Z1318" s="5"/>
      <c r="AA1318" s="5"/>
      <c r="AB1318" s="6"/>
      <c r="AC1318" s="6"/>
      <c r="AD1318" s="6"/>
      <c r="AE1318" s="6"/>
      <c r="AF1318" s="6"/>
      <c r="AG1318" s="6"/>
      <c r="AH1318" s="6"/>
      <c r="AI1318" s="6"/>
      <c r="AJ1318" s="6"/>
      <c r="AK1318" s="6"/>
      <c r="AL1318" s="6"/>
      <c r="AM1318" s="6"/>
      <c r="AN1318" s="6"/>
      <c r="AO1318" s="6"/>
      <c r="AP1318" s="6"/>
      <c r="AQ1318" s="6"/>
      <c r="AR1318" s="6"/>
      <c r="AS1318" s="6"/>
      <c r="AT1318" s="6"/>
      <c r="AU1318" s="6"/>
      <c r="AV1318" s="6"/>
      <c r="AW1318" s="6"/>
      <c r="AX1318" s="6"/>
      <c r="AY1318" s="6"/>
      <c r="AZ1318" s="6"/>
      <c r="BA1318" s="6"/>
      <c r="BB1318" s="6"/>
      <c r="BC1318" s="6"/>
      <c r="BD1318" s="6"/>
      <c r="BE1318" s="6"/>
      <c r="BF1318" s="6"/>
      <c r="BG1318" s="6"/>
      <c r="BH1318" s="6"/>
      <c r="BI1318" s="6"/>
      <c r="BJ1318" s="6"/>
      <c r="BK1318" s="6"/>
      <c r="BL1318" s="6"/>
      <c r="BM1318" s="5"/>
      <c r="BN1318" s="7"/>
      <c r="BO1318" s="7"/>
      <c r="BP1318" s="7"/>
    </row>
    <row r="1319" spans="1:68" s="400" customFormat="1" ht="14.25" customHeight="1" x14ac:dyDescent="0.25">
      <c r="A1319" s="5"/>
      <c r="B1319" s="5"/>
      <c r="C1319" s="5"/>
      <c r="D1319" s="5"/>
      <c r="E1319" s="5"/>
      <c r="F1319" s="5"/>
      <c r="G1319" s="5"/>
      <c r="H1319" s="5"/>
      <c r="I1319" s="5"/>
      <c r="J1319" s="5"/>
      <c r="K1319" s="5"/>
      <c r="L1319" s="5"/>
      <c r="M1319" s="5"/>
      <c r="N1319" s="5"/>
      <c r="O1319" s="5"/>
      <c r="P1319" s="5"/>
      <c r="Q1319" s="5"/>
      <c r="R1319" s="5"/>
      <c r="S1319" s="5"/>
      <c r="T1319" s="5"/>
      <c r="U1319" s="5"/>
      <c r="V1319" s="5"/>
      <c r="W1319" s="5"/>
      <c r="X1319" s="5"/>
      <c r="Y1319" s="5"/>
      <c r="Z1319" s="5"/>
      <c r="AA1319" s="5"/>
      <c r="AB1319" s="6"/>
      <c r="AC1319" s="6"/>
      <c r="AD1319" s="6"/>
      <c r="AE1319" s="6"/>
      <c r="AF1319" s="6"/>
      <c r="AG1319" s="6"/>
      <c r="AH1319" s="6"/>
      <c r="AI1319" s="6"/>
      <c r="AJ1319" s="6"/>
      <c r="AK1319" s="6"/>
      <c r="AL1319" s="6"/>
      <c r="AM1319" s="6"/>
      <c r="AN1319" s="6"/>
      <c r="AO1319" s="6"/>
      <c r="AP1319" s="6"/>
      <c r="AQ1319" s="6"/>
      <c r="AR1319" s="6"/>
      <c r="AS1319" s="6"/>
      <c r="AT1319" s="6"/>
      <c r="AU1319" s="6"/>
      <c r="AV1319" s="6"/>
      <c r="AW1319" s="6"/>
      <c r="AX1319" s="6"/>
      <c r="AY1319" s="6"/>
      <c r="AZ1319" s="6"/>
      <c r="BA1319" s="6"/>
      <c r="BB1319" s="6"/>
      <c r="BC1319" s="6"/>
      <c r="BD1319" s="6"/>
      <c r="BE1319" s="6"/>
      <c r="BF1319" s="6"/>
      <c r="BG1319" s="6"/>
      <c r="BH1319" s="6"/>
      <c r="BI1319" s="6"/>
      <c r="BJ1319" s="6"/>
      <c r="BK1319" s="6"/>
      <c r="BL1319" s="6"/>
      <c r="BM1319" s="5"/>
      <c r="BN1319" s="7"/>
      <c r="BO1319" s="7"/>
      <c r="BP1319" s="7"/>
    </row>
    <row r="1320" spans="1:68" s="400" customFormat="1" ht="14.25" customHeight="1" x14ac:dyDescent="0.25">
      <c r="A1320" s="5"/>
      <c r="B1320" s="5"/>
      <c r="C1320" s="5"/>
      <c r="D1320" s="5"/>
      <c r="E1320" s="5"/>
      <c r="F1320" s="5"/>
      <c r="G1320" s="5"/>
      <c r="H1320" s="5"/>
      <c r="I1320" s="5"/>
      <c r="J1320" s="5"/>
      <c r="K1320" s="5"/>
      <c r="L1320" s="5"/>
      <c r="M1320" s="5"/>
      <c r="N1320" s="5"/>
      <c r="O1320" s="5"/>
      <c r="P1320" s="5"/>
      <c r="Q1320" s="5"/>
      <c r="R1320" s="5"/>
      <c r="S1320" s="5"/>
      <c r="T1320" s="5"/>
      <c r="U1320" s="5"/>
      <c r="V1320" s="5"/>
      <c r="W1320" s="5"/>
      <c r="X1320" s="5"/>
      <c r="Y1320" s="5"/>
      <c r="Z1320" s="5"/>
      <c r="AA1320" s="5"/>
      <c r="AB1320" s="6"/>
      <c r="AC1320" s="6"/>
      <c r="AD1320" s="6"/>
      <c r="AE1320" s="6"/>
      <c r="AF1320" s="6"/>
      <c r="AG1320" s="6"/>
      <c r="AH1320" s="6"/>
      <c r="AI1320" s="6"/>
      <c r="AJ1320" s="6"/>
      <c r="AK1320" s="6"/>
      <c r="AL1320" s="6"/>
      <c r="AM1320" s="6"/>
      <c r="AN1320" s="6"/>
      <c r="AO1320" s="6"/>
      <c r="AP1320" s="6"/>
      <c r="AQ1320" s="6"/>
      <c r="AR1320" s="6"/>
      <c r="AS1320" s="6"/>
      <c r="AT1320" s="6"/>
      <c r="AU1320" s="6"/>
      <c r="AV1320" s="6"/>
      <c r="AW1320" s="6"/>
      <c r="AX1320" s="6"/>
      <c r="AY1320" s="6"/>
      <c r="AZ1320" s="6"/>
      <c r="BA1320" s="6"/>
      <c r="BB1320" s="6"/>
      <c r="BC1320" s="6"/>
      <c r="BD1320" s="6"/>
      <c r="BE1320" s="6"/>
      <c r="BF1320" s="6"/>
      <c r="BG1320" s="6"/>
      <c r="BH1320" s="6"/>
      <c r="BI1320" s="6"/>
      <c r="BJ1320" s="6"/>
      <c r="BK1320" s="6"/>
      <c r="BL1320" s="6"/>
      <c r="BM1320" s="5"/>
      <c r="BN1320" s="7"/>
      <c r="BO1320" s="7"/>
      <c r="BP1320" s="7"/>
    </row>
    <row r="1321" spans="1:68" s="400" customFormat="1" ht="14.25" customHeight="1" x14ac:dyDescent="0.25">
      <c r="A1321" s="5"/>
      <c r="B1321" s="5"/>
      <c r="C1321" s="5"/>
      <c r="D1321" s="5"/>
      <c r="E1321" s="5"/>
      <c r="F1321" s="5"/>
      <c r="G1321" s="5"/>
      <c r="H1321" s="5"/>
      <c r="I1321" s="5"/>
      <c r="J1321" s="5"/>
      <c r="K1321" s="5"/>
      <c r="L1321" s="5"/>
      <c r="M1321" s="5"/>
      <c r="N1321" s="5"/>
      <c r="O1321" s="5"/>
      <c r="P1321" s="5"/>
      <c r="Q1321" s="5"/>
      <c r="R1321" s="5"/>
      <c r="S1321" s="5"/>
      <c r="T1321" s="5"/>
      <c r="U1321" s="5"/>
      <c r="V1321" s="5"/>
      <c r="W1321" s="5"/>
      <c r="X1321" s="5"/>
      <c r="Y1321" s="5"/>
      <c r="Z1321" s="5"/>
      <c r="AA1321" s="5"/>
      <c r="AB1321" s="6"/>
      <c r="AC1321" s="6"/>
      <c r="AD1321" s="6"/>
      <c r="AE1321" s="6"/>
      <c r="AF1321" s="6"/>
      <c r="AG1321" s="6"/>
      <c r="AH1321" s="6"/>
      <c r="AI1321" s="6"/>
      <c r="AJ1321" s="6"/>
      <c r="AK1321" s="6"/>
      <c r="AL1321" s="6"/>
      <c r="AM1321" s="6"/>
      <c r="AN1321" s="6"/>
      <c r="AO1321" s="6"/>
      <c r="AP1321" s="6"/>
      <c r="AQ1321" s="6"/>
      <c r="AR1321" s="6"/>
      <c r="AS1321" s="6"/>
      <c r="AT1321" s="6"/>
      <c r="AU1321" s="6"/>
      <c r="AV1321" s="6"/>
      <c r="AW1321" s="6"/>
      <c r="AX1321" s="6"/>
      <c r="AY1321" s="6"/>
      <c r="AZ1321" s="6"/>
      <c r="BA1321" s="6"/>
      <c r="BB1321" s="6"/>
      <c r="BC1321" s="6"/>
      <c r="BD1321" s="6"/>
      <c r="BE1321" s="6"/>
      <c r="BF1321" s="6"/>
      <c r="BG1321" s="6"/>
      <c r="BH1321" s="6"/>
      <c r="BI1321" s="6"/>
      <c r="BJ1321" s="6"/>
      <c r="BK1321" s="6"/>
      <c r="BL1321" s="6"/>
      <c r="BM1321" s="5"/>
      <c r="BN1321" s="7"/>
      <c r="BO1321" s="7"/>
      <c r="BP1321" s="7"/>
    </row>
    <row r="1322" spans="1:68" s="400" customFormat="1" ht="14.25" customHeight="1" x14ac:dyDescent="0.25">
      <c r="A1322" s="5"/>
      <c r="B1322" s="5"/>
      <c r="C1322" s="5"/>
      <c r="D1322" s="5"/>
      <c r="E1322" s="5"/>
      <c r="F1322" s="5"/>
      <c r="G1322" s="5"/>
      <c r="H1322" s="5"/>
      <c r="I1322" s="5"/>
      <c r="J1322" s="5"/>
      <c r="K1322" s="5"/>
      <c r="L1322" s="5"/>
      <c r="M1322" s="5"/>
      <c r="N1322" s="5"/>
      <c r="O1322" s="5"/>
      <c r="P1322" s="5"/>
      <c r="Q1322" s="5"/>
      <c r="R1322" s="5"/>
      <c r="S1322" s="5"/>
      <c r="T1322" s="5"/>
      <c r="U1322" s="5"/>
      <c r="V1322" s="5"/>
      <c r="W1322" s="5"/>
      <c r="X1322" s="5"/>
      <c r="Y1322" s="5"/>
      <c r="Z1322" s="5"/>
      <c r="AA1322" s="5"/>
      <c r="AB1322" s="6"/>
      <c r="AC1322" s="6"/>
      <c r="AD1322" s="6"/>
      <c r="AE1322" s="6"/>
      <c r="AF1322" s="6"/>
      <c r="AG1322" s="6"/>
      <c r="AH1322" s="6"/>
      <c r="AI1322" s="6"/>
      <c r="AJ1322" s="6"/>
      <c r="AK1322" s="6"/>
      <c r="AL1322" s="6"/>
      <c r="AM1322" s="6"/>
      <c r="AN1322" s="6"/>
      <c r="AO1322" s="6"/>
      <c r="AP1322" s="6"/>
      <c r="AQ1322" s="6"/>
      <c r="AR1322" s="6"/>
      <c r="AS1322" s="6"/>
      <c r="AT1322" s="6"/>
      <c r="AU1322" s="6"/>
      <c r="AV1322" s="6"/>
      <c r="AW1322" s="6"/>
      <c r="AX1322" s="6"/>
      <c r="AY1322" s="6"/>
      <c r="AZ1322" s="6"/>
      <c r="BA1322" s="6"/>
      <c r="BB1322" s="6"/>
      <c r="BC1322" s="6"/>
      <c r="BD1322" s="6"/>
      <c r="BE1322" s="6"/>
      <c r="BF1322" s="6"/>
      <c r="BG1322" s="6"/>
      <c r="BH1322" s="6"/>
      <c r="BI1322" s="6"/>
      <c r="BJ1322" s="6"/>
      <c r="BK1322" s="6"/>
      <c r="BL1322" s="6"/>
      <c r="BM1322" s="5"/>
      <c r="BN1322" s="7"/>
      <c r="BO1322" s="7"/>
      <c r="BP1322" s="7"/>
    </row>
    <row r="1323" spans="1:68" s="400" customFormat="1" ht="14.25" customHeight="1" x14ac:dyDescent="0.25">
      <c r="A1323" s="5"/>
      <c r="B1323" s="5"/>
      <c r="C1323" s="5"/>
      <c r="D1323" s="5"/>
      <c r="E1323" s="5"/>
      <c r="F1323" s="5"/>
      <c r="G1323" s="5"/>
      <c r="H1323" s="5"/>
      <c r="I1323" s="5"/>
      <c r="J1323" s="5"/>
      <c r="K1323" s="5"/>
      <c r="L1323" s="5"/>
      <c r="M1323" s="5"/>
      <c r="N1323" s="5"/>
      <c r="O1323" s="5"/>
      <c r="P1323" s="5"/>
      <c r="Q1323" s="5"/>
      <c r="R1323" s="5"/>
      <c r="S1323" s="5"/>
      <c r="T1323" s="5"/>
      <c r="U1323" s="5"/>
      <c r="V1323" s="5"/>
      <c r="W1323" s="5"/>
      <c r="X1323" s="5"/>
      <c r="Y1323" s="5"/>
      <c r="Z1323" s="5"/>
      <c r="AA1323" s="5"/>
      <c r="AB1323" s="6"/>
      <c r="AC1323" s="6"/>
      <c r="AD1323" s="6"/>
      <c r="AE1323" s="6"/>
      <c r="AF1323" s="6"/>
      <c r="AG1323" s="6"/>
      <c r="AH1323" s="6"/>
      <c r="AI1323" s="6"/>
      <c r="AJ1323" s="6"/>
      <c r="AK1323" s="6"/>
      <c r="AL1323" s="6"/>
      <c r="AM1323" s="6"/>
      <c r="AN1323" s="6"/>
      <c r="AO1323" s="6"/>
      <c r="AP1323" s="6"/>
      <c r="AQ1323" s="6"/>
      <c r="AR1323" s="6"/>
      <c r="AS1323" s="6"/>
      <c r="AT1323" s="6"/>
      <c r="AU1323" s="6"/>
      <c r="AV1323" s="6"/>
      <c r="AW1323" s="6"/>
      <c r="AX1323" s="6"/>
      <c r="AY1323" s="6"/>
      <c r="AZ1323" s="6"/>
      <c r="BA1323" s="6"/>
      <c r="BB1323" s="6"/>
      <c r="BC1323" s="6"/>
      <c r="BD1323" s="6"/>
      <c r="BE1323" s="6"/>
      <c r="BF1323" s="6"/>
      <c r="BG1323" s="6"/>
      <c r="BH1323" s="6"/>
      <c r="BI1323" s="6"/>
      <c r="BJ1323" s="6"/>
      <c r="BK1323" s="6"/>
      <c r="BL1323" s="6"/>
      <c r="BM1323" s="5"/>
      <c r="BN1323" s="7"/>
      <c r="BO1323" s="7"/>
      <c r="BP1323" s="7"/>
    </row>
    <row r="1324" spans="1:68" s="400" customFormat="1" ht="14.25" customHeight="1" x14ac:dyDescent="0.25">
      <c r="A1324" s="5"/>
      <c r="B1324" s="5"/>
      <c r="C1324" s="5"/>
      <c r="D1324" s="5"/>
      <c r="E1324" s="5"/>
      <c r="F1324" s="5"/>
      <c r="G1324" s="5"/>
      <c r="H1324" s="5"/>
      <c r="I1324" s="5"/>
      <c r="J1324" s="5"/>
      <c r="K1324" s="5"/>
      <c r="L1324" s="5"/>
      <c r="M1324" s="5"/>
      <c r="N1324" s="5"/>
      <c r="O1324" s="5"/>
      <c r="P1324" s="5"/>
      <c r="Q1324" s="5"/>
      <c r="R1324" s="5"/>
      <c r="S1324" s="5"/>
      <c r="T1324" s="5"/>
      <c r="U1324" s="5"/>
      <c r="V1324" s="5"/>
      <c r="W1324" s="5"/>
      <c r="X1324" s="5"/>
      <c r="Y1324" s="5"/>
      <c r="Z1324" s="5"/>
      <c r="AA1324" s="5"/>
      <c r="AB1324" s="6"/>
      <c r="AC1324" s="6"/>
      <c r="AD1324" s="6"/>
      <c r="AE1324" s="6"/>
      <c r="AF1324" s="6"/>
      <c r="AG1324" s="6"/>
      <c r="AH1324" s="6"/>
      <c r="AI1324" s="6"/>
      <c r="AJ1324" s="6"/>
      <c r="AK1324" s="6"/>
      <c r="AL1324" s="6"/>
      <c r="AM1324" s="6"/>
      <c r="AN1324" s="6"/>
      <c r="AO1324" s="6"/>
      <c r="AP1324" s="6"/>
      <c r="AQ1324" s="6"/>
      <c r="AR1324" s="6"/>
      <c r="AS1324" s="6"/>
      <c r="AT1324" s="6"/>
      <c r="AU1324" s="6"/>
      <c r="AV1324" s="6"/>
      <c r="AW1324" s="6"/>
      <c r="AX1324" s="6"/>
      <c r="AY1324" s="6"/>
      <c r="AZ1324" s="6"/>
      <c r="BA1324" s="6"/>
      <c r="BB1324" s="6"/>
      <c r="BC1324" s="6"/>
      <c r="BD1324" s="6"/>
      <c r="BE1324" s="6"/>
      <c r="BF1324" s="6"/>
      <c r="BG1324" s="6"/>
      <c r="BH1324" s="6"/>
      <c r="BI1324" s="6"/>
      <c r="BJ1324" s="6"/>
      <c r="BK1324" s="6"/>
      <c r="BL1324" s="6"/>
      <c r="BM1324" s="5"/>
      <c r="BN1324" s="7"/>
      <c r="BO1324" s="7"/>
      <c r="BP1324" s="7"/>
    </row>
    <row r="1325" spans="1:68" s="400" customFormat="1" ht="14.25" customHeight="1" x14ac:dyDescent="0.25">
      <c r="A1325" s="5"/>
      <c r="B1325" s="5"/>
      <c r="C1325" s="5"/>
      <c r="D1325" s="5"/>
      <c r="E1325" s="5"/>
      <c r="F1325" s="5"/>
      <c r="G1325" s="5"/>
      <c r="H1325" s="5"/>
      <c r="I1325" s="5"/>
      <c r="J1325" s="5"/>
      <c r="K1325" s="5"/>
      <c r="L1325" s="5"/>
      <c r="M1325" s="5"/>
      <c r="N1325" s="5"/>
      <c r="O1325" s="5"/>
      <c r="P1325" s="5"/>
      <c r="Q1325" s="5"/>
      <c r="R1325" s="5"/>
      <c r="S1325" s="5"/>
      <c r="T1325" s="5"/>
      <c r="U1325" s="5"/>
      <c r="V1325" s="5"/>
      <c r="W1325" s="5"/>
      <c r="X1325" s="5"/>
      <c r="Y1325" s="5"/>
      <c r="Z1325" s="5"/>
      <c r="AA1325" s="5"/>
      <c r="AB1325" s="6"/>
      <c r="AC1325" s="6"/>
      <c r="AD1325" s="6"/>
      <c r="AE1325" s="6"/>
      <c r="AF1325" s="6"/>
      <c r="AG1325" s="6"/>
      <c r="AH1325" s="6"/>
      <c r="AI1325" s="6"/>
      <c r="AJ1325" s="6"/>
      <c r="AK1325" s="6"/>
      <c r="AL1325" s="6"/>
      <c r="AM1325" s="6"/>
      <c r="AN1325" s="6"/>
      <c r="AO1325" s="6"/>
      <c r="AP1325" s="6"/>
      <c r="AQ1325" s="6"/>
      <c r="AR1325" s="6"/>
      <c r="AS1325" s="6"/>
      <c r="AT1325" s="6"/>
      <c r="AU1325" s="6"/>
      <c r="AV1325" s="6"/>
      <c r="AW1325" s="6"/>
      <c r="AX1325" s="6"/>
      <c r="AY1325" s="6"/>
      <c r="AZ1325" s="6"/>
      <c r="BA1325" s="6"/>
      <c r="BB1325" s="6"/>
      <c r="BC1325" s="6"/>
      <c r="BD1325" s="6"/>
      <c r="BE1325" s="6"/>
      <c r="BF1325" s="6"/>
      <c r="BG1325" s="6"/>
      <c r="BH1325" s="6"/>
      <c r="BI1325" s="6"/>
      <c r="BJ1325" s="6"/>
      <c r="BK1325" s="6"/>
      <c r="BL1325" s="6"/>
      <c r="BM1325" s="5"/>
      <c r="BN1325" s="7"/>
      <c r="BO1325" s="7"/>
      <c r="BP1325" s="7"/>
    </row>
    <row r="1326" spans="1:68" s="400" customFormat="1" ht="14.25" customHeight="1" x14ac:dyDescent="0.25">
      <c r="A1326" s="5"/>
      <c r="B1326" s="5"/>
      <c r="C1326" s="5"/>
      <c r="D1326" s="5"/>
      <c r="E1326" s="5"/>
      <c r="F1326" s="5"/>
      <c r="G1326" s="5"/>
      <c r="H1326" s="5"/>
      <c r="I1326" s="5"/>
      <c r="J1326" s="5"/>
      <c r="K1326" s="5"/>
      <c r="L1326" s="5"/>
      <c r="M1326" s="5"/>
      <c r="N1326" s="5"/>
      <c r="O1326" s="5"/>
      <c r="P1326" s="5"/>
      <c r="Q1326" s="5"/>
      <c r="R1326" s="5"/>
      <c r="S1326" s="5"/>
      <c r="T1326" s="5"/>
      <c r="U1326" s="5"/>
      <c r="V1326" s="5"/>
      <c r="W1326" s="5"/>
      <c r="X1326" s="5"/>
      <c r="Y1326" s="5"/>
      <c r="Z1326" s="5"/>
      <c r="AA1326" s="5"/>
      <c r="AB1326" s="6"/>
      <c r="AC1326" s="6"/>
      <c r="AD1326" s="6"/>
      <c r="AE1326" s="6"/>
      <c r="AF1326" s="6"/>
      <c r="AG1326" s="6"/>
      <c r="AH1326" s="6"/>
      <c r="AI1326" s="6"/>
      <c r="AJ1326" s="6"/>
      <c r="AK1326" s="6"/>
      <c r="AL1326" s="6"/>
      <c r="AM1326" s="6"/>
      <c r="AN1326" s="6"/>
      <c r="AO1326" s="6"/>
      <c r="AP1326" s="6"/>
      <c r="AQ1326" s="6"/>
      <c r="AR1326" s="6"/>
      <c r="AS1326" s="6"/>
      <c r="AT1326" s="6"/>
      <c r="AU1326" s="6"/>
      <c r="AV1326" s="6"/>
      <c r="AW1326" s="6"/>
      <c r="AX1326" s="6"/>
      <c r="AY1326" s="6"/>
      <c r="AZ1326" s="6"/>
      <c r="BA1326" s="6"/>
      <c r="BB1326" s="6"/>
      <c r="BC1326" s="6"/>
      <c r="BD1326" s="6"/>
      <c r="BE1326" s="6"/>
      <c r="BF1326" s="6"/>
      <c r="BG1326" s="6"/>
      <c r="BH1326" s="6"/>
      <c r="BI1326" s="6"/>
      <c r="BJ1326" s="6"/>
      <c r="BK1326" s="6"/>
      <c r="BL1326" s="6"/>
      <c r="BM1326" s="5"/>
      <c r="BN1326" s="7"/>
      <c r="BO1326" s="7"/>
      <c r="BP1326" s="7"/>
    </row>
    <row r="1327" spans="1:68" s="400" customFormat="1" ht="14.25" customHeight="1" x14ac:dyDescent="0.25">
      <c r="A1327" s="5"/>
      <c r="B1327" s="5"/>
      <c r="C1327" s="5"/>
      <c r="D1327" s="5"/>
      <c r="E1327" s="5"/>
      <c r="F1327" s="5"/>
      <c r="G1327" s="5"/>
      <c r="H1327" s="5"/>
      <c r="I1327" s="5"/>
      <c r="J1327" s="5"/>
      <c r="K1327" s="5"/>
      <c r="L1327" s="5"/>
      <c r="M1327" s="5"/>
      <c r="N1327" s="5"/>
      <c r="O1327" s="5"/>
      <c r="P1327" s="5"/>
      <c r="Q1327" s="5"/>
      <c r="R1327" s="5"/>
      <c r="S1327" s="5"/>
      <c r="T1327" s="5"/>
      <c r="U1327" s="5"/>
      <c r="V1327" s="5"/>
      <c r="W1327" s="5"/>
      <c r="X1327" s="5"/>
      <c r="Y1327" s="5"/>
      <c r="Z1327" s="5"/>
      <c r="AA1327" s="5"/>
      <c r="AB1327" s="6"/>
      <c r="AC1327" s="6"/>
      <c r="AD1327" s="6"/>
      <c r="AE1327" s="6"/>
      <c r="AF1327" s="6"/>
      <c r="AG1327" s="6"/>
      <c r="AH1327" s="6"/>
      <c r="AI1327" s="6"/>
      <c r="AJ1327" s="6"/>
      <c r="AK1327" s="6"/>
      <c r="AL1327" s="6"/>
      <c r="AM1327" s="6"/>
      <c r="AN1327" s="6"/>
      <c r="AO1327" s="6"/>
      <c r="AP1327" s="6"/>
      <c r="AQ1327" s="6"/>
      <c r="AR1327" s="6"/>
      <c r="AS1327" s="6"/>
      <c r="AT1327" s="6"/>
      <c r="AU1327" s="6"/>
      <c r="AV1327" s="6"/>
      <c r="AW1327" s="6"/>
      <c r="AX1327" s="6"/>
      <c r="AY1327" s="6"/>
      <c r="AZ1327" s="6"/>
      <c r="BA1327" s="6"/>
      <c r="BB1327" s="6"/>
      <c r="BC1327" s="6"/>
      <c r="BD1327" s="6"/>
      <c r="BE1327" s="6"/>
      <c r="BF1327" s="6"/>
      <c r="BG1327" s="6"/>
      <c r="BH1327" s="6"/>
      <c r="BI1327" s="6"/>
      <c r="BJ1327" s="6"/>
      <c r="BK1327" s="6"/>
      <c r="BL1327" s="6"/>
      <c r="BM1327" s="5"/>
      <c r="BN1327" s="7"/>
      <c r="BO1327" s="7"/>
      <c r="BP1327" s="7"/>
    </row>
    <row r="1328" spans="1:68" s="400" customFormat="1" ht="14.25" customHeight="1" x14ac:dyDescent="0.25">
      <c r="A1328" s="5"/>
      <c r="B1328" s="5"/>
      <c r="C1328" s="5"/>
      <c r="D1328" s="5"/>
      <c r="E1328" s="5"/>
      <c r="F1328" s="5"/>
      <c r="G1328" s="5"/>
      <c r="H1328" s="5"/>
      <c r="I1328" s="5"/>
      <c r="J1328" s="5"/>
      <c r="K1328" s="5"/>
      <c r="L1328" s="5"/>
      <c r="M1328" s="5"/>
      <c r="N1328" s="5"/>
      <c r="O1328" s="5"/>
      <c r="P1328" s="5"/>
      <c r="Q1328" s="5"/>
      <c r="R1328" s="5"/>
      <c r="S1328" s="5"/>
      <c r="T1328" s="5"/>
      <c r="U1328" s="5"/>
      <c r="V1328" s="5"/>
      <c r="W1328" s="5"/>
      <c r="X1328" s="5"/>
      <c r="Y1328" s="5"/>
      <c r="Z1328" s="5"/>
      <c r="AA1328" s="5"/>
      <c r="AB1328" s="6"/>
      <c r="AC1328" s="6"/>
      <c r="AD1328" s="6"/>
      <c r="AE1328" s="6"/>
      <c r="AF1328" s="6"/>
      <c r="AG1328" s="6"/>
      <c r="AH1328" s="6"/>
      <c r="AI1328" s="6"/>
      <c r="AJ1328" s="6"/>
      <c r="AK1328" s="6"/>
      <c r="AL1328" s="6"/>
      <c r="AM1328" s="6"/>
      <c r="AN1328" s="6"/>
      <c r="AO1328" s="6"/>
      <c r="AP1328" s="6"/>
      <c r="AQ1328" s="6"/>
      <c r="AR1328" s="6"/>
      <c r="AS1328" s="6"/>
      <c r="AT1328" s="6"/>
      <c r="AU1328" s="6"/>
      <c r="AV1328" s="6"/>
      <c r="AW1328" s="6"/>
      <c r="AX1328" s="6"/>
      <c r="AY1328" s="6"/>
      <c r="AZ1328" s="6"/>
      <c r="BA1328" s="6"/>
      <c r="BB1328" s="6"/>
      <c r="BC1328" s="6"/>
      <c r="BD1328" s="6"/>
      <c r="BE1328" s="6"/>
      <c r="BF1328" s="6"/>
      <c r="BG1328" s="6"/>
      <c r="BH1328" s="6"/>
      <c r="BI1328" s="6"/>
      <c r="BJ1328" s="6"/>
      <c r="BK1328" s="6"/>
      <c r="BL1328" s="6"/>
      <c r="BM1328" s="5"/>
      <c r="BN1328" s="7"/>
      <c r="BO1328" s="7"/>
      <c r="BP1328" s="7"/>
    </row>
    <row r="1329" spans="1:68" s="400" customFormat="1" ht="14.25" customHeight="1" x14ac:dyDescent="0.25">
      <c r="A1329" s="5"/>
      <c r="B1329" s="5"/>
      <c r="C1329" s="5"/>
      <c r="D1329" s="5"/>
      <c r="E1329" s="5"/>
      <c r="F1329" s="5"/>
      <c r="G1329" s="5"/>
      <c r="H1329" s="5"/>
      <c r="I1329" s="5"/>
      <c r="J1329" s="5"/>
      <c r="K1329" s="5"/>
      <c r="L1329" s="5"/>
      <c r="M1329" s="5"/>
      <c r="N1329" s="5"/>
      <c r="O1329" s="5"/>
      <c r="P1329" s="5"/>
      <c r="Q1329" s="5"/>
      <c r="R1329" s="5"/>
      <c r="S1329" s="5"/>
      <c r="T1329" s="5"/>
      <c r="U1329" s="5"/>
      <c r="V1329" s="5"/>
      <c r="W1329" s="5"/>
      <c r="X1329" s="5"/>
      <c r="Y1329" s="5"/>
      <c r="Z1329" s="5"/>
      <c r="AA1329" s="5"/>
      <c r="AB1329" s="6"/>
      <c r="AC1329" s="6"/>
      <c r="AD1329" s="6"/>
      <c r="AE1329" s="6"/>
      <c r="AF1329" s="6"/>
      <c r="AG1329" s="6"/>
      <c r="AH1329" s="6"/>
      <c r="AI1329" s="6"/>
      <c r="AJ1329" s="6"/>
      <c r="AK1329" s="6"/>
      <c r="AL1329" s="6"/>
      <c r="AM1329" s="6"/>
      <c r="AN1329" s="6"/>
      <c r="AO1329" s="6"/>
      <c r="AP1329" s="6"/>
      <c r="AQ1329" s="6"/>
      <c r="AR1329" s="6"/>
      <c r="AS1329" s="6"/>
      <c r="AT1329" s="6"/>
      <c r="AU1329" s="6"/>
      <c r="AV1329" s="6"/>
      <c r="AW1329" s="6"/>
      <c r="AX1329" s="6"/>
      <c r="AY1329" s="6"/>
      <c r="AZ1329" s="6"/>
      <c r="BA1329" s="6"/>
      <c r="BB1329" s="6"/>
      <c r="BC1329" s="6"/>
      <c r="BD1329" s="6"/>
      <c r="BE1329" s="6"/>
      <c r="BF1329" s="6"/>
      <c r="BG1329" s="6"/>
      <c r="BH1329" s="6"/>
      <c r="BI1329" s="6"/>
      <c r="BJ1329" s="6"/>
      <c r="BK1329" s="6"/>
      <c r="BL1329" s="6"/>
      <c r="BM1329" s="5"/>
      <c r="BN1329" s="7"/>
      <c r="BO1329" s="7"/>
      <c r="BP1329" s="7"/>
    </row>
    <row r="1330" spans="1:68" s="400" customFormat="1" ht="14.25" customHeight="1" x14ac:dyDescent="0.25">
      <c r="A1330" s="5"/>
      <c r="B1330" s="5"/>
      <c r="C1330" s="5"/>
      <c r="D1330" s="5"/>
      <c r="E1330" s="5"/>
      <c r="F1330" s="5"/>
      <c r="G1330" s="5"/>
      <c r="H1330" s="5"/>
      <c r="I1330" s="5"/>
      <c r="J1330" s="5"/>
      <c r="K1330" s="5"/>
      <c r="L1330" s="5"/>
      <c r="M1330" s="5"/>
      <c r="N1330" s="5"/>
      <c r="O1330" s="5"/>
      <c r="P1330" s="5"/>
      <c r="Q1330" s="5"/>
      <c r="R1330" s="5"/>
      <c r="S1330" s="5"/>
      <c r="T1330" s="5"/>
      <c r="U1330" s="5"/>
      <c r="V1330" s="5"/>
      <c r="W1330" s="5"/>
      <c r="X1330" s="5"/>
      <c r="Y1330" s="5"/>
      <c r="Z1330" s="5"/>
      <c r="AA1330" s="5"/>
      <c r="AB1330" s="6"/>
      <c r="AC1330" s="6"/>
      <c r="AD1330" s="6"/>
      <c r="AE1330" s="6"/>
      <c r="AF1330" s="6"/>
      <c r="AG1330" s="6"/>
      <c r="AH1330" s="6"/>
      <c r="AI1330" s="6"/>
      <c r="AJ1330" s="6"/>
      <c r="AK1330" s="6"/>
      <c r="AL1330" s="6"/>
      <c r="AM1330" s="6"/>
      <c r="AN1330" s="6"/>
      <c r="AO1330" s="6"/>
      <c r="AP1330" s="6"/>
      <c r="AQ1330" s="6"/>
      <c r="AR1330" s="6"/>
      <c r="AS1330" s="6"/>
      <c r="AT1330" s="6"/>
      <c r="AU1330" s="6"/>
      <c r="AV1330" s="6"/>
      <c r="AW1330" s="6"/>
      <c r="AX1330" s="6"/>
      <c r="AY1330" s="6"/>
      <c r="AZ1330" s="6"/>
      <c r="BA1330" s="6"/>
      <c r="BB1330" s="6"/>
      <c r="BC1330" s="6"/>
      <c r="BD1330" s="6"/>
      <c r="BE1330" s="6"/>
      <c r="BF1330" s="6"/>
      <c r="BG1330" s="6"/>
      <c r="BH1330" s="6"/>
      <c r="BI1330" s="6"/>
      <c r="BJ1330" s="6"/>
      <c r="BK1330" s="6"/>
      <c r="BL1330" s="6"/>
      <c r="BM1330" s="5"/>
      <c r="BN1330" s="7"/>
      <c r="BO1330" s="7"/>
      <c r="BP1330" s="7"/>
    </row>
    <row r="1331" spans="1:68" s="400" customFormat="1" ht="14.25" customHeight="1" x14ac:dyDescent="0.25">
      <c r="A1331" s="5"/>
      <c r="B1331" s="5"/>
      <c r="C1331" s="5"/>
      <c r="D1331" s="5"/>
      <c r="E1331" s="5"/>
      <c r="F1331" s="5"/>
      <c r="G1331" s="5"/>
      <c r="H1331" s="5"/>
      <c r="I1331" s="5"/>
      <c r="J1331" s="5"/>
      <c r="K1331" s="5"/>
      <c r="L1331" s="5"/>
      <c r="M1331" s="5"/>
      <c r="N1331" s="5"/>
      <c r="O1331" s="5"/>
      <c r="P1331" s="5"/>
      <c r="Q1331" s="5"/>
      <c r="R1331" s="5"/>
      <c r="S1331" s="5"/>
      <c r="T1331" s="5"/>
      <c r="U1331" s="5"/>
      <c r="V1331" s="5"/>
      <c r="W1331" s="5"/>
      <c r="X1331" s="5"/>
      <c r="Y1331" s="5"/>
      <c r="Z1331" s="5"/>
      <c r="AA1331" s="5"/>
      <c r="AB1331" s="6"/>
      <c r="AC1331" s="6"/>
      <c r="AD1331" s="6"/>
      <c r="AE1331" s="6"/>
      <c r="AF1331" s="6"/>
      <c r="AG1331" s="6"/>
      <c r="AH1331" s="6"/>
      <c r="AI1331" s="6"/>
      <c r="AJ1331" s="6"/>
      <c r="AK1331" s="6"/>
      <c r="AL1331" s="6"/>
      <c r="AM1331" s="6"/>
      <c r="AN1331" s="6"/>
      <c r="AO1331" s="6"/>
      <c r="AP1331" s="6"/>
      <c r="AQ1331" s="6"/>
      <c r="AR1331" s="6"/>
      <c r="AS1331" s="6"/>
      <c r="AT1331" s="6"/>
      <c r="AU1331" s="6"/>
      <c r="AV1331" s="6"/>
      <c r="AW1331" s="6"/>
      <c r="AX1331" s="6"/>
      <c r="AY1331" s="6"/>
      <c r="AZ1331" s="6"/>
      <c r="BA1331" s="6"/>
      <c r="BB1331" s="6"/>
      <c r="BC1331" s="6"/>
      <c r="BD1331" s="6"/>
      <c r="BE1331" s="6"/>
      <c r="BF1331" s="6"/>
      <c r="BG1331" s="6"/>
      <c r="BH1331" s="6"/>
      <c r="BI1331" s="6"/>
      <c r="BJ1331" s="6"/>
      <c r="BK1331" s="6"/>
      <c r="BL1331" s="6"/>
      <c r="BM1331" s="5"/>
      <c r="BN1331" s="7"/>
      <c r="BO1331" s="7"/>
      <c r="BP1331" s="7"/>
    </row>
    <row r="1332" spans="1:68" s="400" customFormat="1" ht="14.25" customHeight="1" x14ac:dyDescent="0.25">
      <c r="A1332" s="5"/>
      <c r="B1332" s="5"/>
      <c r="C1332" s="5"/>
      <c r="D1332" s="5"/>
      <c r="E1332" s="5"/>
      <c r="F1332" s="5"/>
      <c r="G1332" s="5"/>
      <c r="H1332" s="5"/>
      <c r="I1332" s="5"/>
      <c r="J1332" s="5"/>
      <c r="K1332" s="5"/>
      <c r="L1332" s="5"/>
      <c r="M1332" s="5"/>
      <c r="N1332" s="5"/>
      <c r="O1332" s="5"/>
      <c r="P1332" s="5"/>
      <c r="Q1332" s="5"/>
      <c r="R1332" s="5"/>
      <c r="S1332" s="5"/>
      <c r="T1332" s="5"/>
      <c r="U1332" s="5"/>
      <c r="V1332" s="5"/>
      <c r="W1332" s="5"/>
      <c r="X1332" s="5"/>
      <c r="Y1332" s="5"/>
      <c r="Z1332" s="5"/>
      <c r="AA1332" s="5"/>
      <c r="AB1332" s="6"/>
      <c r="AC1332" s="6"/>
      <c r="AD1332" s="6"/>
      <c r="AE1332" s="6"/>
      <c r="AF1332" s="6"/>
      <c r="AG1332" s="6"/>
      <c r="AH1332" s="6"/>
      <c r="AI1332" s="6"/>
      <c r="AJ1332" s="6"/>
      <c r="AK1332" s="6"/>
      <c r="AL1332" s="6"/>
      <c r="AM1332" s="6"/>
      <c r="AN1332" s="6"/>
      <c r="AO1332" s="6"/>
      <c r="AP1332" s="6"/>
      <c r="AQ1332" s="6"/>
      <c r="AR1332" s="6"/>
      <c r="AS1332" s="6"/>
      <c r="AT1332" s="6"/>
      <c r="AU1332" s="6"/>
      <c r="AV1332" s="6"/>
      <c r="AW1332" s="6"/>
      <c r="AX1332" s="6"/>
      <c r="AY1332" s="6"/>
      <c r="AZ1332" s="6"/>
      <c r="BA1332" s="6"/>
      <c r="BB1332" s="6"/>
      <c r="BC1332" s="6"/>
      <c r="BD1332" s="6"/>
      <c r="BE1332" s="6"/>
      <c r="BF1332" s="6"/>
      <c r="BG1332" s="6"/>
      <c r="BH1332" s="6"/>
      <c r="BI1332" s="6"/>
      <c r="BJ1332" s="6"/>
      <c r="BK1332" s="6"/>
      <c r="BL1332" s="6"/>
      <c r="BM1332" s="5"/>
      <c r="BN1332" s="7"/>
      <c r="BO1332" s="7"/>
      <c r="BP1332" s="7"/>
    </row>
    <row r="1333" spans="1:68" s="400" customFormat="1" ht="14.25" customHeight="1" x14ac:dyDescent="0.25">
      <c r="A1333" s="5"/>
      <c r="B1333" s="5"/>
      <c r="C1333" s="5"/>
      <c r="D1333" s="5"/>
      <c r="E1333" s="5"/>
      <c r="F1333" s="5"/>
      <c r="G1333" s="5"/>
      <c r="H1333" s="5"/>
      <c r="I1333" s="5"/>
      <c r="J1333" s="5"/>
      <c r="K1333" s="5"/>
      <c r="L1333" s="5"/>
      <c r="M1333" s="5"/>
      <c r="N1333" s="5"/>
      <c r="O1333" s="5"/>
      <c r="P1333" s="5"/>
      <c r="Q1333" s="5"/>
      <c r="R1333" s="5"/>
      <c r="S1333" s="5"/>
      <c r="T1333" s="5"/>
      <c r="U1333" s="5"/>
      <c r="V1333" s="5"/>
      <c r="W1333" s="5"/>
      <c r="X1333" s="5"/>
      <c r="Y1333" s="5"/>
      <c r="Z1333" s="5"/>
      <c r="AA1333" s="5"/>
      <c r="AB1333" s="6"/>
      <c r="AC1333" s="6"/>
      <c r="AD1333" s="6"/>
      <c r="AE1333" s="6"/>
      <c r="AF1333" s="6"/>
      <c r="AG1333" s="6"/>
      <c r="AH1333" s="6"/>
      <c r="AI1333" s="6"/>
      <c r="AJ1333" s="6"/>
      <c r="AK1333" s="6"/>
      <c r="AL1333" s="6"/>
      <c r="AM1333" s="6"/>
      <c r="AN1333" s="6"/>
      <c r="AO1333" s="6"/>
      <c r="AP1333" s="6"/>
      <c r="AQ1333" s="6"/>
      <c r="AR1333" s="6"/>
      <c r="AS1333" s="6"/>
      <c r="AT1333" s="6"/>
      <c r="AU1333" s="6"/>
      <c r="AV1333" s="6"/>
      <c r="AW1333" s="6"/>
      <c r="AX1333" s="6"/>
      <c r="AY1333" s="6"/>
      <c r="AZ1333" s="6"/>
      <c r="BA1333" s="6"/>
      <c r="BB1333" s="6"/>
      <c r="BC1333" s="6"/>
      <c r="BD1333" s="6"/>
      <c r="BE1333" s="6"/>
      <c r="BF1333" s="6"/>
      <c r="BG1333" s="6"/>
      <c r="BH1333" s="6"/>
      <c r="BI1333" s="6"/>
      <c r="BJ1333" s="6"/>
      <c r="BK1333" s="6"/>
      <c r="BL1333" s="6"/>
      <c r="BM1333" s="5"/>
      <c r="BN1333" s="7"/>
      <c r="BO1333" s="7"/>
      <c r="BP1333" s="7"/>
    </row>
    <row r="1334" spans="1:68" s="400" customFormat="1" ht="14.25" customHeight="1" x14ac:dyDescent="0.25">
      <c r="A1334" s="5"/>
      <c r="B1334" s="5"/>
      <c r="C1334" s="5"/>
      <c r="D1334" s="5"/>
      <c r="E1334" s="5"/>
      <c r="F1334" s="5"/>
      <c r="G1334" s="5"/>
      <c r="H1334" s="5"/>
      <c r="I1334" s="5"/>
      <c r="J1334" s="5"/>
      <c r="K1334" s="5"/>
      <c r="L1334" s="5"/>
      <c r="M1334" s="5"/>
      <c r="N1334" s="5"/>
      <c r="O1334" s="5"/>
      <c r="P1334" s="5"/>
      <c r="Q1334" s="5"/>
      <c r="R1334" s="5"/>
      <c r="S1334" s="5"/>
      <c r="T1334" s="5"/>
      <c r="U1334" s="5"/>
      <c r="V1334" s="5"/>
      <c r="W1334" s="5"/>
      <c r="X1334" s="5"/>
      <c r="Y1334" s="5"/>
      <c r="Z1334" s="5"/>
      <c r="AA1334" s="5"/>
      <c r="AB1334" s="6"/>
      <c r="AC1334" s="6"/>
      <c r="AD1334" s="6"/>
      <c r="AE1334" s="6"/>
      <c r="AF1334" s="6"/>
      <c r="AG1334" s="6"/>
      <c r="AH1334" s="6"/>
      <c r="AI1334" s="6"/>
      <c r="AJ1334" s="6"/>
      <c r="AK1334" s="6"/>
      <c r="AL1334" s="6"/>
      <c r="AM1334" s="6"/>
      <c r="AN1334" s="6"/>
      <c r="AO1334" s="6"/>
      <c r="AP1334" s="6"/>
      <c r="AQ1334" s="6"/>
      <c r="AR1334" s="6"/>
      <c r="AS1334" s="6"/>
      <c r="AT1334" s="6"/>
      <c r="AU1334" s="6"/>
      <c r="AV1334" s="6"/>
      <c r="AW1334" s="6"/>
      <c r="AX1334" s="6"/>
      <c r="AY1334" s="6"/>
      <c r="AZ1334" s="6"/>
      <c r="BA1334" s="6"/>
      <c r="BB1334" s="6"/>
      <c r="BC1334" s="6"/>
      <c r="BD1334" s="6"/>
      <c r="BE1334" s="6"/>
      <c r="BF1334" s="6"/>
      <c r="BG1334" s="6"/>
      <c r="BH1334" s="6"/>
      <c r="BI1334" s="6"/>
      <c r="BJ1334" s="6"/>
      <c r="BK1334" s="6"/>
      <c r="BL1334" s="6"/>
      <c r="BM1334" s="5"/>
      <c r="BN1334" s="7"/>
      <c r="BO1334" s="7"/>
      <c r="BP1334" s="7"/>
    </row>
    <row r="1335" spans="1:68" s="400" customFormat="1" ht="14.25" customHeight="1" x14ac:dyDescent="0.25">
      <c r="A1335" s="5"/>
      <c r="B1335" s="5"/>
      <c r="C1335" s="5"/>
      <c r="D1335" s="5"/>
      <c r="E1335" s="5"/>
      <c r="F1335" s="5"/>
      <c r="G1335" s="5"/>
      <c r="H1335" s="5"/>
      <c r="I1335" s="5"/>
      <c r="J1335" s="5"/>
      <c r="K1335" s="5"/>
      <c r="L1335" s="5"/>
      <c r="M1335" s="5"/>
      <c r="N1335" s="5"/>
      <c r="O1335" s="5"/>
      <c r="P1335" s="5"/>
      <c r="Q1335" s="5"/>
      <c r="R1335" s="5"/>
      <c r="S1335" s="5"/>
      <c r="T1335" s="5"/>
      <c r="U1335" s="5"/>
      <c r="V1335" s="5"/>
      <c r="W1335" s="5"/>
      <c r="X1335" s="5"/>
      <c r="Y1335" s="5"/>
      <c r="Z1335" s="5"/>
      <c r="AA1335" s="5"/>
      <c r="AB1335" s="6"/>
      <c r="AC1335" s="6"/>
      <c r="AD1335" s="6"/>
      <c r="AE1335" s="6"/>
      <c r="AF1335" s="6"/>
      <c r="AG1335" s="6"/>
      <c r="AH1335" s="6"/>
      <c r="AI1335" s="6"/>
      <c r="AJ1335" s="6"/>
      <c r="AK1335" s="6"/>
      <c r="AL1335" s="6"/>
      <c r="AM1335" s="6"/>
      <c r="AN1335" s="6"/>
      <c r="AO1335" s="6"/>
      <c r="AP1335" s="6"/>
      <c r="AQ1335" s="6"/>
      <c r="AR1335" s="6"/>
      <c r="AS1335" s="6"/>
      <c r="AT1335" s="6"/>
      <c r="AU1335" s="6"/>
      <c r="AV1335" s="6"/>
      <c r="AW1335" s="6"/>
      <c r="AX1335" s="6"/>
      <c r="AY1335" s="6"/>
      <c r="AZ1335" s="6"/>
      <c r="BA1335" s="6"/>
      <c r="BB1335" s="6"/>
      <c r="BC1335" s="6"/>
      <c r="BD1335" s="6"/>
      <c r="BE1335" s="6"/>
      <c r="BF1335" s="6"/>
      <c r="BG1335" s="6"/>
      <c r="BH1335" s="6"/>
      <c r="BI1335" s="6"/>
      <c r="BJ1335" s="6"/>
      <c r="BK1335" s="6"/>
      <c r="BL1335" s="6"/>
      <c r="BM1335" s="5"/>
      <c r="BN1335" s="7"/>
      <c r="BO1335" s="7"/>
      <c r="BP1335" s="7"/>
    </row>
    <row r="1336" spans="1:68" s="400" customFormat="1" ht="14.25" customHeight="1" x14ac:dyDescent="0.25">
      <c r="A1336" s="5"/>
      <c r="B1336" s="5"/>
      <c r="C1336" s="5"/>
      <c r="D1336" s="5"/>
      <c r="E1336" s="5"/>
      <c r="F1336" s="5"/>
      <c r="G1336" s="5"/>
      <c r="H1336" s="5"/>
      <c r="I1336" s="5"/>
      <c r="J1336" s="5"/>
      <c r="K1336" s="5"/>
      <c r="L1336" s="5"/>
      <c r="M1336" s="5"/>
      <c r="N1336" s="5"/>
      <c r="O1336" s="5"/>
      <c r="P1336" s="5"/>
      <c r="Q1336" s="5"/>
      <c r="R1336" s="5"/>
      <c r="S1336" s="5"/>
      <c r="T1336" s="5"/>
      <c r="U1336" s="5"/>
      <c r="V1336" s="5"/>
      <c r="W1336" s="5"/>
      <c r="X1336" s="5"/>
      <c r="Y1336" s="5"/>
      <c r="Z1336" s="5"/>
      <c r="AA1336" s="5"/>
      <c r="AB1336" s="6"/>
      <c r="AC1336" s="6"/>
      <c r="AD1336" s="6"/>
      <c r="AE1336" s="6"/>
      <c r="AF1336" s="6"/>
      <c r="AG1336" s="6"/>
      <c r="AH1336" s="6"/>
      <c r="AI1336" s="6"/>
      <c r="AJ1336" s="6"/>
      <c r="AK1336" s="6"/>
      <c r="AL1336" s="6"/>
      <c r="AM1336" s="6"/>
      <c r="AN1336" s="6"/>
      <c r="AO1336" s="6"/>
      <c r="AP1336" s="6"/>
      <c r="AQ1336" s="6"/>
      <c r="AR1336" s="6"/>
      <c r="AS1336" s="6"/>
      <c r="AT1336" s="6"/>
      <c r="AU1336" s="6"/>
      <c r="AV1336" s="6"/>
      <c r="AW1336" s="6"/>
      <c r="AX1336" s="6"/>
      <c r="AY1336" s="6"/>
      <c r="AZ1336" s="6"/>
      <c r="BA1336" s="6"/>
      <c r="BB1336" s="6"/>
      <c r="BC1336" s="6"/>
      <c r="BD1336" s="6"/>
      <c r="BE1336" s="6"/>
      <c r="BF1336" s="6"/>
      <c r="BG1336" s="6"/>
      <c r="BH1336" s="6"/>
      <c r="BI1336" s="6"/>
      <c r="BJ1336" s="6"/>
      <c r="BK1336" s="6"/>
      <c r="BL1336" s="6"/>
      <c r="BM1336" s="5"/>
      <c r="BN1336" s="7"/>
      <c r="BO1336" s="7"/>
      <c r="BP1336" s="7"/>
    </row>
    <row r="1337" spans="1:68" s="400" customFormat="1" ht="14.25" customHeight="1" x14ac:dyDescent="0.25">
      <c r="A1337" s="5"/>
      <c r="B1337" s="5"/>
      <c r="C1337" s="5"/>
      <c r="D1337" s="5"/>
      <c r="E1337" s="5"/>
      <c r="F1337" s="5"/>
      <c r="G1337" s="5"/>
      <c r="H1337" s="5"/>
      <c r="I1337" s="5"/>
      <c r="J1337" s="5"/>
      <c r="K1337" s="5"/>
      <c r="L1337" s="5"/>
      <c r="M1337" s="5"/>
      <c r="N1337" s="5"/>
      <c r="O1337" s="5"/>
      <c r="P1337" s="5"/>
      <c r="Q1337" s="5"/>
      <c r="R1337" s="5"/>
      <c r="S1337" s="5"/>
      <c r="T1337" s="5"/>
      <c r="U1337" s="5"/>
      <c r="V1337" s="5"/>
      <c r="W1337" s="5"/>
      <c r="X1337" s="5"/>
      <c r="Y1337" s="5"/>
      <c r="Z1337" s="5"/>
      <c r="AA1337" s="5"/>
      <c r="AB1337" s="6"/>
      <c r="AC1337" s="6"/>
      <c r="AD1337" s="6"/>
      <c r="AE1337" s="6"/>
      <c r="AF1337" s="6"/>
      <c r="AG1337" s="6"/>
      <c r="AH1337" s="6"/>
      <c r="AI1337" s="6"/>
      <c r="AJ1337" s="6"/>
      <c r="AK1337" s="6"/>
      <c r="AL1337" s="6"/>
      <c r="AM1337" s="6"/>
      <c r="AN1337" s="6"/>
      <c r="AO1337" s="6"/>
      <c r="AP1337" s="6"/>
      <c r="AQ1337" s="6"/>
      <c r="AR1337" s="6"/>
      <c r="AS1337" s="6"/>
      <c r="AT1337" s="6"/>
      <c r="AU1337" s="6"/>
      <c r="AV1337" s="6"/>
      <c r="AW1337" s="6"/>
      <c r="AX1337" s="6"/>
      <c r="AY1337" s="6"/>
      <c r="AZ1337" s="6"/>
      <c r="BA1337" s="6"/>
      <c r="BB1337" s="6"/>
      <c r="BC1337" s="6"/>
      <c r="BD1337" s="6"/>
      <c r="BE1337" s="6"/>
      <c r="BF1337" s="6"/>
      <c r="BG1337" s="6"/>
      <c r="BH1337" s="6"/>
      <c r="BI1337" s="6"/>
      <c r="BJ1337" s="6"/>
      <c r="BK1337" s="6"/>
      <c r="BL1337" s="6"/>
      <c r="BM1337" s="5"/>
      <c r="BN1337" s="7"/>
      <c r="BO1337" s="7"/>
      <c r="BP1337" s="7"/>
    </row>
    <row r="1338" spans="1:68" s="400" customFormat="1" ht="14.25" customHeight="1" x14ac:dyDescent="0.25">
      <c r="A1338" s="5"/>
      <c r="B1338" s="5"/>
      <c r="C1338" s="5"/>
      <c r="D1338" s="5"/>
      <c r="E1338" s="5"/>
      <c r="F1338" s="5"/>
      <c r="G1338" s="5"/>
      <c r="H1338" s="5"/>
      <c r="I1338" s="5"/>
      <c r="J1338" s="5"/>
      <c r="K1338" s="5"/>
      <c r="L1338" s="5"/>
      <c r="M1338" s="5"/>
      <c r="N1338" s="5"/>
      <c r="O1338" s="5"/>
      <c r="P1338" s="5"/>
      <c r="Q1338" s="5"/>
      <c r="R1338" s="5"/>
      <c r="S1338" s="5"/>
      <c r="T1338" s="5"/>
      <c r="U1338" s="5"/>
      <c r="V1338" s="5"/>
      <c r="W1338" s="5"/>
      <c r="X1338" s="5"/>
      <c r="Y1338" s="5"/>
      <c r="Z1338" s="5"/>
      <c r="AA1338" s="5"/>
      <c r="AB1338" s="6"/>
      <c r="AC1338" s="6"/>
      <c r="AD1338" s="6"/>
      <c r="AE1338" s="6"/>
      <c r="AF1338" s="6"/>
      <c r="AG1338" s="6"/>
      <c r="AH1338" s="6"/>
      <c r="AI1338" s="6"/>
      <c r="AJ1338" s="6"/>
      <c r="AK1338" s="6"/>
      <c r="AL1338" s="6"/>
      <c r="AM1338" s="6"/>
      <c r="AN1338" s="6"/>
      <c r="AO1338" s="6"/>
      <c r="AP1338" s="6"/>
      <c r="AQ1338" s="6"/>
      <c r="AR1338" s="6"/>
      <c r="AS1338" s="6"/>
      <c r="AT1338" s="6"/>
      <c r="AU1338" s="6"/>
      <c r="AV1338" s="6"/>
      <c r="AW1338" s="6"/>
      <c r="AX1338" s="6"/>
      <c r="AY1338" s="6"/>
      <c r="AZ1338" s="6"/>
      <c r="BA1338" s="6"/>
      <c r="BB1338" s="6"/>
      <c r="BC1338" s="6"/>
      <c r="BD1338" s="6"/>
      <c r="BE1338" s="6"/>
      <c r="BF1338" s="6"/>
      <c r="BG1338" s="6"/>
      <c r="BH1338" s="6"/>
      <c r="BI1338" s="6"/>
      <c r="BJ1338" s="6"/>
      <c r="BK1338" s="6"/>
      <c r="BL1338" s="6"/>
      <c r="BM1338" s="5"/>
      <c r="BN1338" s="7"/>
      <c r="BO1338" s="7"/>
      <c r="BP1338" s="7"/>
    </row>
    <row r="1339" spans="1:68" s="400" customFormat="1" ht="14.25" customHeight="1" x14ac:dyDescent="0.25">
      <c r="A1339" s="5"/>
      <c r="B1339" s="5"/>
      <c r="C1339" s="5"/>
      <c r="D1339" s="5"/>
      <c r="E1339" s="5"/>
      <c r="F1339" s="5"/>
      <c r="G1339" s="5"/>
      <c r="H1339" s="5"/>
      <c r="I1339" s="5"/>
      <c r="J1339" s="5"/>
      <c r="K1339" s="5"/>
      <c r="L1339" s="5"/>
      <c r="M1339" s="5"/>
      <c r="N1339" s="5"/>
      <c r="O1339" s="5"/>
      <c r="P1339" s="5"/>
      <c r="Q1339" s="5"/>
      <c r="R1339" s="5"/>
      <c r="S1339" s="5"/>
      <c r="T1339" s="5"/>
      <c r="U1339" s="5"/>
      <c r="V1339" s="5"/>
      <c r="W1339" s="5"/>
      <c r="X1339" s="5"/>
      <c r="Y1339" s="5"/>
      <c r="Z1339" s="5"/>
      <c r="AA1339" s="5"/>
      <c r="AB1339" s="6"/>
      <c r="AC1339" s="6"/>
      <c r="AD1339" s="6"/>
      <c r="AE1339" s="6"/>
      <c r="AF1339" s="6"/>
      <c r="AG1339" s="6"/>
      <c r="AH1339" s="6"/>
      <c r="AI1339" s="6"/>
      <c r="AJ1339" s="6"/>
      <c r="AK1339" s="6"/>
      <c r="AL1339" s="6"/>
      <c r="AM1339" s="6"/>
      <c r="AN1339" s="6"/>
      <c r="AO1339" s="6"/>
      <c r="AP1339" s="6"/>
      <c r="AQ1339" s="6"/>
      <c r="AR1339" s="6"/>
      <c r="AS1339" s="6"/>
      <c r="AT1339" s="6"/>
      <c r="AU1339" s="6"/>
      <c r="AV1339" s="6"/>
      <c r="AW1339" s="6"/>
      <c r="AX1339" s="6"/>
      <c r="AY1339" s="6"/>
      <c r="AZ1339" s="6"/>
      <c r="BA1339" s="6"/>
      <c r="BB1339" s="6"/>
      <c r="BC1339" s="6"/>
      <c r="BD1339" s="6"/>
      <c r="BE1339" s="6"/>
      <c r="BF1339" s="6"/>
      <c r="BG1339" s="6"/>
      <c r="BH1339" s="6"/>
      <c r="BI1339" s="6"/>
      <c r="BJ1339" s="6"/>
      <c r="BK1339" s="6"/>
      <c r="BL1339" s="6"/>
      <c r="BM1339" s="5"/>
      <c r="BN1339" s="7"/>
      <c r="BO1339" s="7"/>
      <c r="BP1339" s="7"/>
    </row>
    <row r="1340" spans="1:68" s="400" customFormat="1" ht="14.25" customHeight="1" x14ac:dyDescent="0.25">
      <c r="A1340" s="5"/>
      <c r="B1340" s="5"/>
      <c r="C1340" s="5"/>
      <c r="D1340" s="5"/>
      <c r="E1340" s="5"/>
      <c r="F1340" s="5"/>
      <c r="G1340" s="5"/>
      <c r="H1340" s="5"/>
      <c r="I1340" s="5"/>
      <c r="J1340" s="5"/>
      <c r="K1340" s="5"/>
      <c r="L1340" s="5"/>
      <c r="M1340" s="5"/>
      <c r="N1340" s="5"/>
      <c r="O1340" s="5"/>
      <c r="P1340" s="5"/>
      <c r="Q1340" s="5"/>
      <c r="R1340" s="5"/>
      <c r="S1340" s="5"/>
      <c r="T1340" s="5"/>
      <c r="U1340" s="5"/>
      <c r="V1340" s="5"/>
      <c r="W1340" s="5"/>
      <c r="X1340" s="5"/>
      <c r="Y1340" s="5"/>
      <c r="Z1340" s="5"/>
      <c r="AA1340" s="5"/>
      <c r="AB1340" s="6"/>
      <c r="AC1340" s="6"/>
      <c r="AD1340" s="6"/>
      <c r="AE1340" s="6"/>
      <c r="AF1340" s="6"/>
      <c r="AG1340" s="6"/>
      <c r="AH1340" s="6"/>
      <c r="AI1340" s="6"/>
      <c r="AJ1340" s="6"/>
      <c r="AK1340" s="6"/>
      <c r="AL1340" s="6"/>
      <c r="AM1340" s="6"/>
      <c r="AN1340" s="6"/>
      <c r="AO1340" s="6"/>
      <c r="AP1340" s="6"/>
      <c r="AQ1340" s="6"/>
      <c r="AR1340" s="6"/>
      <c r="AS1340" s="6"/>
      <c r="AT1340" s="6"/>
      <c r="AU1340" s="6"/>
      <c r="AV1340" s="6"/>
      <c r="AW1340" s="6"/>
      <c r="AX1340" s="6"/>
      <c r="AY1340" s="6"/>
      <c r="AZ1340" s="6"/>
      <c r="BA1340" s="6"/>
      <c r="BB1340" s="6"/>
      <c r="BC1340" s="6"/>
      <c r="BD1340" s="6"/>
      <c r="BE1340" s="6"/>
      <c r="BF1340" s="6"/>
      <c r="BG1340" s="6"/>
      <c r="BH1340" s="6"/>
      <c r="BI1340" s="6"/>
      <c r="BJ1340" s="6"/>
      <c r="BK1340" s="6"/>
      <c r="BL1340" s="6"/>
      <c r="BM1340" s="5"/>
      <c r="BN1340" s="7"/>
      <c r="BO1340" s="7"/>
      <c r="BP1340" s="7"/>
    </row>
    <row r="1341" spans="1:68" s="400" customFormat="1" ht="14.25" customHeight="1" x14ac:dyDescent="0.25">
      <c r="A1341" s="5"/>
      <c r="B1341" s="5"/>
      <c r="C1341" s="5"/>
      <c r="D1341" s="5"/>
      <c r="E1341" s="5"/>
      <c r="F1341" s="5"/>
      <c r="G1341" s="5"/>
      <c r="H1341" s="5"/>
      <c r="I1341" s="5"/>
      <c r="J1341" s="5"/>
      <c r="K1341" s="5"/>
      <c r="L1341" s="5"/>
      <c r="M1341" s="5"/>
      <c r="N1341" s="5"/>
      <c r="O1341" s="5"/>
      <c r="P1341" s="5"/>
      <c r="Q1341" s="5"/>
      <c r="R1341" s="5"/>
      <c r="S1341" s="5"/>
      <c r="T1341" s="5"/>
      <c r="U1341" s="5"/>
      <c r="V1341" s="5"/>
      <c r="W1341" s="5"/>
      <c r="X1341" s="5"/>
      <c r="Y1341" s="5"/>
      <c r="Z1341" s="5"/>
      <c r="AA1341" s="5"/>
      <c r="AB1341" s="6"/>
      <c r="AC1341" s="6"/>
      <c r="AD1341" s="6"/>
      <c r="AE1341" s="6"/>
      <c r="AF1341" s="6"/>
      <c r="AG1341" s="6"/>
      <c r="AH1341" s="6"/>
      <c r="AI1341" s="6"/>
      <c r="AJ1341" s="6"/>
      <c r="AK1341" s="6"/>
      <c r="AL1341" s="6"/>
      <c r="AM1341" s="6"/>
      <c r="AN1341" s="6"/>
      <c r="AO1341" s="6"/>
      <c r="AP1341" s="6"/>
      <c r="AQ1341" s="6"/>
      <c r="AR1341" s="6"/>
      <c r="AS1341" s="6"/>
      <c r="AT1341" s="6"/>
      <c r="AU1341" s="6"/>
      <c r="AV1341" s="6"/>
      <c r="AW1341" s="6"/>
      <c r="AX1341" s="6"/>
      <c r="AY1341" s="6"/>
      <c r="AZ1341" s="6"/>
      <c r="BA1341" s="6"/>
      <c r="BB1341" s="6"/>
      <c r="BC1341" s="6"/>
      <c r="BD1341" s="6"/>
      <c r="BE1341" s="6"/>
      <c r="BF1341" s="6"/>
      <c r="BG1341" s="6"/>
      <c r="BH1341" s="6"/>
      <c r="BI1341" s="6"/>
      <c r="BJ1341" s="6"/>
      <c r="BK1341" s="6"/>
      <c r="BL1341" s="6"/>
      <c r="BM1341" s="5"/>
      <c r="BN1341" s="7"/>
      <c r="BO1341" s="7"/>
      <c r="BP1341" s="7"/>
    </row>
    <row r="1342" spans="1:68" s="400" customFormat="1" ht="14.25" customHeight="1" x14ac:dyDescent="0.25">
      <c r="A1342" s="5"/>
      <c r="B1342" s="5"/>
      <c r="C1342" s="5"/>
      <c r="D1342" s="5"/>
      <c r="E1342" s="5"/>
      <c r="F1342" s="5"/>
      <c r="G1342" s="5"/>
      <c r="H1342" s="5"/>
      <c r="I1342" s="5"/>
      <c r="J1342" s="5"/>
      <c r="K1342" s="5"/>
      <c r="L1342" s="5"/>
      <c r="M1342" s="5"/>
      <c r="N1342" s="5"/>
      <c r="O1342" s="5"/>
      <c r="P1342" s="5"/>
      <c r="Q1342" s="5"/>
      <c r="R1342" s="5"/>
      <c r="S1342" s="5"/>
      <c r="T1342" s="5"/>
      <c r="U1342" s="5"/>
      <c r="V1342" s="5"/>
      <c r="W1342" s="5"/>
      <c r="X1342" s="5"/>
      <c r="Y1342" s="5"/>
      <c r="Z1342" s="5"/>
      <c r="AA1342" s="5"/>
      <c r="AB1342" s="6"/>
      <c r="AC1342" s="6"/>
      <c r="AD1342" s="6"/>
      <c r="AE1342" s="6"/>
      <c r="AF1342" s="6"/>
      <c r="AG1342" s="6"/>
      <c r="AH1342" s="6"/>
      <c r="AI1342" s="6"/>
      <c r="AJ1342" s="6"/>
      <c r="AK1342" s="6"/>
      <c r="AL1342" s="6"/>
      <c r="AM1342" s="6"/>
      <c r="AN1342" s="6"/>
      <c r="AO1342" s="6"/>
      <c r="AP1342" s="6"/>
      <c r="AQ1342" s="6"/>
      <c r="AR1342" s="6"/>
      <c r="AS1342" s="6"/>
      <c r="AT1342" s="6"/>
      <c r="AU1342" s="6"/>
      <c r="AV1342" s="6"/>
      <c r="AW1342" s="6"/>
      <c r="AX1342" s="6"/>
      <c r="AY1342" s="6"/>
      <c r="AZ1342" s="6"/>
      <c r="BA1342" s="6"/>
      <c r="BB1342" s="6"/>
      <c r="BC1342" s="6"/>
      <c r="BD1342" s="6"/>
      <c r="BE1342" s="6"/>
      <c r="BF1342" s="6"/>
      <c r="BG1342" s="6"/>
      <c r="BH1342" s="6"/>
      <c r="BI1342" s="6"/>
      <c r="BJ1342" s="6"/>
      <c r="BK1342" s="6"/>
      <c r="BL1342" s="6"/>
      <c r="BM1342" s="5"/>
      <c r="BN1342" s="7"/>
      <c r="BO1342" s="7"/>
      <c r="BP1342" s="7"/>
    </row>
    <row r="1343" spans="1:68" s="400" customFormat="1" ht="14.25" customHeight="1" x14ac:dyDescent="0.25">
      <c r="A1343" s="5"/>
      <c r="B1343" s="5"/>
      <c r="C1343" s="5"/>
      <c r="D1343" s="5"/>
      <c r="E1343" s="5"/>
      <c r="F1343" s="5"/>
      <c r="G1343" s="5"/>
      <c r="H1343" s="5"/>
      <c r="I1343" s="5"/>
      <c r="J1343" s="5"/>
      <c r="K1343" s="5"/>
      <c r="L1343" s="5"/>
      <c r="M1343" s="5"/>
      <c r="N1343" s="5"/>
      <c r="O1343" s="5"/>
      <c r="P1343" s="5"/>
      <c r="Q1343" s="5"/>
      <c r="R1343" s="5"/>
      <c r="S1343" s="5"/>
      <c r="T1343" s="5"/>
      <c r="U1343" s="5"/>
      <c r="V1343" s="5"/>
      <c r="W1343" s="5"/>
      <c r="X1343" s="5"/>
      <c r="Y1343" s="5"/>
      <c r="Z1343" s="5"/>
      <c r="AA1343" s="5"/>
      <c r="AB1343" s="6"/>
      <c r="AC1343" s="6"/>
      <c r="AD1343" s="6"/>
      <c r="AE1343" s="6"/>
      <c r="AF1343" s="6"/>
      <c r="AG1343" s="6"/>
      <c r="AH1343" s="6"/>
      <c r="AI1343" s="6"/>
      <c r="AJ1343" s="6"/>
      <c r="AK1343" s="6"/>
      <c r="AL1343" s="6"/>
      <c r="AM1343" s="6"/>
      <c r="AN1343" s="6"/>
      <c r="AO1343" s="6"/>
      <c r="AP1343" s="6"/>
      <c r="AQ1343" s="6"/>
      <c r="AR1343" s="6"/>
      <c r="AS1343" s="6"/>
      <c r="AT1343" s="6"/>
      <c r="AU1343" s="6"/>
      <c r="AV1343" s="6"/>
      <c r="AW1343" s="6"/>
      <c r="AX1343" s="6"/>
      <c r="AY1343" s="6"/>
      <c r="AZ1343" s="6"/>
      <c r="BA1343" s="6"/>
      <c r="BB1343" s="6"/>
      <c r="BC1343" s="6"/>
      <c r="BD1343" s="6"/>
      <c r="BE1343" s="6"/>
      <c r="BF1343" s="6"/>
      <c r="BG1343" s="6"/>
      <c r="BH1343" s="6"/>
      <c r="BI1343" s="6"/>
      <c r="BJ1343" s="6"/>
      <c r="BK1343" s="6"/>
      <c r="BL1343" s="6"/>
      <c r="BM1343" s="5"/>
      <c r="BN1343" s="7"/>
      <c r="BO1343" s="7"/>
      <c r="BP1343" s="7"/>
    </row>
    <row r="1344" spans="1:68" s="400" customFormat="1" ht="14.25" customHeight="1" x14ac:dyDescent="0.25">
      <c r="A1344" s="5"/>
      <c r="B1344" s="5"/>
      <c r="C1344" s="5"/>
      <c r="D1344" s="5"/>
      <c r="E1344" s="5"/>
      <c r="F1344" s="5"/>
      <c r="G1344" s="5"/>
      <c r="H1344" s="5"/>
      <c r="I1344" s="5"/>
      <c r="J1344" s="5"/>
      <c r="K1344" s="5"/>
      <c r="L1344" s="5"/>
      <c r="M1344" s="5"/>
      <c r="N1344" s="5"/>
      <c r="O1344" s="5"/>
      <c r="P1344" s="5"/>
      <c r="Q1344" s="5"/>
      <c r="R1344" s="5"/>
      <c r="S1344" s="5"/>
      <c r="T1344" s="5"/>
      <c r="U1344" s="5"/>
      <c r="V1344" s="5"/>
      <c r="W1344" s="5"/>
      <c r="X1344" s="5"/>
      <c r="Y1344" s="5"/>
      <c r="Z1344" s="5"/>
      <c r="AA1344" s="5"/>
      <c r="AB1344" s="6"/>
      <c r="AC1344" s="6"/>
      <c r="AD1344" s="6"/>
      <c r="AE1344" s="6"/>
      <c r="AF1344" s="6"/>
      <c r="AG1344" s="6"/>
      <c r="AH1344" s="6"/>
      <c r="AI1344" s="6"/>
      <c r="AJ1344" s="6"/>
      <c r="AK1344" s="6"/>
      <c r="AL1344" s="6"/>
      <c r="AM1344" s="6"/>
      <c r="AN1344" s="6"/>
      <c r="AO1344" s="6"/>
      <c r="AP1344" s="6"/>
      <c r="AQ1344" s="6"/>
      <c r="AR1344" s="6"/>
      <c r="AS1344" s="6"/>
      <c r="AT1344" s="6"/>
      <c r="AU1344" s="6"/>
      <c r="AV1344" s="6"/>
      <c r="AW1344" s="6"/>
      <c r="AX1344" s="6"/>
      <c r="AY1344" s="6"/>
      <c r="AZ1344" s="6"/>
      <c r="BA1344" s="6"/>
      <c r="BB1344" s="6"/>
      <c r="BC1344" s="6"/>
      <c r="BD1344" s="6"/>
      <c r="BE1344" s="6"/>
      <c r="BF1344" s="6"/>
      <c r="BG1344" s="6"/>
      <c r="BH1344" s="6"/>
      <c r="BI1344" s="6"/>
      <c r="BJ1344" s="6"/>
      <c r="BK1344" s="6"/>
      <c r="BL1344" s="6"/>
      <c r="BM1344" s="5"/>
      <c r="BN1344" s="7"/>
      <c r="BO1344" s="7"/>
      <c r="BP1344" s="7"/>
    </row>
    <row r="1345" spans="1:68" s="400" customFormat="1" ht="14.25" customHeight="1" x14ac:dyDescent="0.25">
      <c r="A1345" s="5"/>
      <c r="B1345" s="5"/>
      <c r="C1345" s="5"/>
      <c r="D1345" s="5"/>
      <c r="E1345" s="5"/>
      <c r="F1345" s="5"/>
      <c r="G1345" s="5"/>
      <c r="H1345" s="5"/>
      <c r="I1345" s="5"/>
      <c r="J1345" s="5"/>
      <c r="K1345" s="5"/>
      <c r="L1345" s="5"/>
      <c r="M1345" s="5"/>
      <c r="N1345" s="5"/>
      <c r="O1345" s="5"/>
      <c r="P1345" s="5"/>
      <c r="Q1345" s="5"/>
      <c r="R1345" s="5"/>
      <c r="S1345" s="5"/>
      <c r="T1345" s="5"/>
      <c r="U1345" s="5"/>
      <c r="V1345" s="5"/>
      <c r="W1345" s="5"/>
      <c r="X1345" s="5"/>
      <c r="Y1345" s="5"/>
      <c r="Z1345" s="5"/>
      <c r="AA1345" s="5"/>
      <c r="AB1345" s="6"/>
      <c r="AC1345" s="6"/>
      <c r="AD1345" s="6"/>
      <c r="AE1345" s="6"/>
      <c r="AF1345" s="6"/>
      <c r="AG1345" s="6"/>
      <c r="AH1345" s="6"/>
      <c r="AI1345" s="6"/>
      <c r="AJ1345" s="6"/>
      <c r="AK1345" s="6"/>
      <c r="AL1345" s="6"/>
      <c r="AM1345" s="6"/>
      <c r="AN1345" s="6"/>
      <c r="AO1345" s="6"/>
      <c r="AP1345" s="6"/>
      <c r="AQ1345" s="6"/>
      <c r="AR1345" s="6"/>
      <c r="AS1345" s="6"/>
      <c r="AT1345" s="6"/>
      <c r="AU1345" s="6"/>
      <c r="AV1345" s="6"/>
      <c r="AW1345" s="6"/>
      <c r="AX1345" s="6"/>
      <c r="AY1345" s="6"/>
      <c r="AZ1345" s="6"/>
      <c r="BA1345" s="6"/>
      <c r="BB1345" s="6"/>
      <c r="BC1345" s="6"/>
      <c r="BD1345" s="6"/>
      <c r="BE1345" s="6"/>
      <c r="BF1345" s="6"/>
      <c r="BG1345" s="6"/>
      <c r="BH1345" s="6"/>
      <c r="BI1345" s="6"/>
      <c r="BJ1345" s="6"/>
      <c r="BK1345" s="6"/>
      <c r="BL1345" s="6"/>
      <c r="BM1345" s="5"/>
      <c r="BN1345" s="7"/>
      <c r="BO1345" s="7"/>
      <c r="BP1345" s="7"/>
    </row>
    <row r="1346" spans="1:68" s="400" customFormat="1" ht="14.25" customHeight="1" x14ac:dyDescent="0.25">
      <c r="A1346" s="5"/>
      <c r="B1346" s="5"/>
      <c r="C1346" s="5"/>
      <c r="D1346" s="5"/>
      <c r="E1346" s="5"/>
      <c r="F1346" s="5"/>
      <c r="G1346" s="5"/>
      <c r="H1346" s="5"/>
      <c r="I1346" s="5"/>
      <c r="J1346" s="5"/>
      <c r="K1346" s="5"/>
      <c r="L1346" s="5"/>
      <c r="M1346" s="5"/>
      <c r="N1346" s="5"/>
      <c r="O1346" s="5"/>
      <c r="P1346" s="5"/>
      <c r="Q1346" s="5"/>
      <c r="R1346" s="5"/>
      <c r="S1346" s="5"/>
      <c r="T1346" s="5"/>
      <c r="U1346" s="5"/>
      <c r="V1346" s="5"/>
      <c r="W1346" s="5"/>
      <c r="X1346" s="5"/>
      <c r="Y1346" s="5"/>
      <c r="Z1346" s="5"/>
      <c r="AA1346" s="5"/>
      <c r="AB1346" s="6"/>
      <c r="AC1346" s="6"/>
      <c r="AD1346" s="6"/>
      <c r="AE1346" s="6"/>
      <c r="AF1346" s="6"/>
      <c r="AG1346" s="6"/>
      <c r="AH1346" s="6"/>
      <c r="AI1346" s="6"/>
      <c r="AJ1346" s="6"/>
      <c r="AK1346" s="6"/>
      <c r="AL1346" s="6"/>
      <c r="AM1346" s="6"/>
      <c r="AN1346" s="6"/>
      <c r="AO1346" s="6"/>
      <c r="AP1346" s="6"/>
      <c r="AQ1346" s="6"/>
      <c r="AR1346" s="6"/>
      <c r="AS1346" s="6"/>
      <c r="AT1346" s="6"/>
      <c r="AU1346" s="6"/>
      <c r="AV1346" s="6"/>
      <c r="AW1346" s="6"/>
      <c r="AX1346" s="6"/>
      <c r="AY1346" s="6"/>
      <c r="AZ1346" s="6"/>
      <c r="BA1346" s="6"/>
      <c r="BB1346" s="6"/>
      <c r="BC1346" s="6"/>
      <c r="BD1346" s="6"/>
      <c r="BE1346" s="6"/>
      <c r="BF1346" s="6"/>
      <c r="BG1346" s="6"/>
      <c r="BH1346" s="6"/>
      <c r="BI1346" s="6"/>
      <c r="BJ1346" s="6"/>
      <c r="BK1346" s="6"/>
      <c r="BL1346" s="6"/>
      <c r="BM1346" s="5"/>
      <c r="BN1346" s="7"/>
      <c r="BO1346" s="7"/>
      <c r="BP1346" s="7"/>
    </row>
    <row r="1347" spans="1:68" s="400" customFormat="1" ht="14.25" customHeight="1" x14ac:dyDescent="0.25">
      <c r="A1347" s="5"/>
      <c r="B1347" s="5"/>
      <c r="C1347" s="5"/>
      <c r="D1347" s="5"/>
      <c r="E1347" s="5"/>
      <c r="F1347" s="5"/>
      <c r="G1347" s="5"/>
      <c r="H1347" s="5"/>
      <c r="I1347" s="5"/>
      <c r="J1347" s="5"/>
      <c r="K1347" s="5"/>
      <c r="L1347" s="5"/>
      <c r="M1347" s="5"/>
      <c r="N1347" s="5"/>
      <c r="O1347" s="5"/>
      <c r="P1347" s="5"/>
      <c r="Q1347" s="5"/>
      <c r="R1347" s="5"/>
      <c r="S1347" s="5"/>
      <c r="T1347" s="5"/>
      <c r="U1347" s="5"/>
      <c r="V1347" s="5"/>
      <c r="W1347" s="5"/>
      <c r="X1347" s="5"/>
      <c r="Y1347" s="5"/>
      <c r="Z1347" s="5"/>
      <c r="AA1347" s="5"/>
      <c r="AB1347" s="6"/>
      <c r="AC1347" s="6"/>
      <c r="AD1347" s="6"/>
      <c r="AE1347" s="6"/>
      <c r="AF1347" s="6"/>
      <c r="AG1347" s="6"/>
      <c r="AH1347" s="6"/>
      <c r="AI1347" s="6"/>
      <c r="AJ1347" s="6"/>
      <c r="AK1347" s="6"/>
      <c r="AL1347" s="6"/>
      <c r="AM1347" s="6"/>
      <c r="AN1347" s="6"/>
      <c r="AO1347" s="6"/>
      <c r="AP1347" s="6"/>
      <c r="AQ1347" s="6"/>
      <c r="AR1347" s="6"/>
      <c r="AS1347" s="6"/>
      <c r="AT1347" s="6"/>
      <c r="AU1347" s="6"/>
      <c r="AV1347" s="6"/>
      <c r="AW1347" s="6"/>
      <c r="AX1347" s="6"/>
      <c r="AY1347" s="6"/>
      <c r="AZ1347" s="6"/>
      <c r="BA1347" s="6"/>
      <c r="BB1347" s="6"/>
      <c r="BC1347" s="6"/>
      <c r="BD1347" s="6"/>
      <c r="BE1347" s="6"/>
      <c r="BF1347" s="6"/>
      <c r="BG1347" s="6"/>
      <c r="BH1347" s="6"/>
      <c r="BI1347" s="6"/>
      <c r="BJ1347" s="6"/>
      <c r="BK1347" s="6"/>
      <c r="BL1347" s="6"/>
      <c r="BM1347" s="5"/>
      <c r="BN1347" s="7"/>
      <c r="BO1347" s="7"/>
      <c r="BP1347" s="7"/>
    </row>
    <row r="1348" spans="1:68" s="400" customFormat="1" ht="14.25" customHeight="1" x14ac:dyDescent="0.25">
      <c r="A1348" s="5"/>
      <c r="B1348" s="5"/>
      <c r="C1348" s="5"/>
      <c r="D1348" s="5"/>
      <c r="E1348" s="5"/>
      <c r="F1348" s="5"/>
      <c r="G1348" s="5"/>
      <c r="H1348" s="5"/>
      <c r="I1348" s="5"/>
      <c r="J1348" s="5"/>
      <c r="K1348" s="5"/>
      <c r="L1348" s="5"/>
      <c r="M1348" s="5"/>
      <c r="N1348" s="5"/>
      <c r="O1348" s="5"/>
      <c r="P1348" s="5"/>
      <c r="Q1348" s="5"/>
      <c r="R1348" s="5"/>
      <c r="S1348" s="5"/>
      <c r="T1348" s="5"/>
      <c r="U1348" s="5"/>
      <c r="V1348" s="5"/>
      <c r="W1348" s="5"/>
      <c r="X1348" s="5"/>
      <c r="Y1348" s="5"/>
      <c r="Z1348" s="5"/>
      <c r="AA1348" s="5"/>
      <c r="AB1348" s="6"/>
      <c r="AC1348" s="6"/>
      <c r="AD1348" s="6"/>
      <c r="AE1348" s="6"/>
      <c r="AF1348" s="6"/>
      <c r="AG1348" s="6"/>
      <c r="AH1348" s="6"/>
      <c r="AI1348" s="6"/>
      <c r="AJ1348" s="6"/>
      <c r="AK1348" s="6"/>
      <c r="AL1348" s="6"/>
      <c r="AM1348" s="6"/>
      <c r="AN1348" s="6"/>
      <c r="AO1348" s="6"/>
      <c r="AP1348" s="6"/>
      <c r="AQ1348" s="6"/>
      <c r="AR1348" s="6"/>
      <c r="AS1348" s="6"/>
      <c r="AT1348" s="6"/>
      <c r="AU1348" s="6"/>
      <c r="AV1348" s="6"/>
      <c r="AW1348" s="6"/>
      <c r="AX1348" s="6"/>
      <c r="AY1348" s="6"/>
      <c r="AZ1348" s="6"/>
      <c r="BA1348" s="6"/>
      <c r="BB1348" s="6"/>
      <c r="BC1348" s="6"/>
      <c r="BD1348" s="6"/>
      <c r="BE1348" s="6"/>
      <c r="BF1348" s="6"/>
      <c r="BG1348" s="6"/>
      <c r="BH1348" s="6"/>
      <c r="BI1348" s="6"/>
      <c r="BJ1348" s="6"/>
      <c r="BK1348" s="6"/>
      <c r="BL1348" s="6"/>
      <c r="BM1348" s="5"/>
      <c r="BN1348" s="7"/>
      <c r="BO1348" s="7"/>
      <c r="BP1348" s="7"/>
    </row>
    <row r="1349" spans="1:68" s="400" customFormat="1" ht="14.25" customHeight="1" x14ac:dyDescent="0.25">
      <c r="A1349" s="5"/>
      <c r="B1349" s="5"/>
      <c r="C1349" s="5"/>
      <c r="D1349" s="5"/>
      <c r="E1349" s="5"/>
      <c r="F1349" s="5"/>
      <c r="G1349" s="5"/>
      <c r="H1349" s="5"/>
      <c r="I1349" s="5"/>
      <c r="J1349" s="5"/>
      <c r="K1349" s="5"/>
      <c r="L1349" s="5"/>
      <c r="M1349" s="5"/>
      <c r="N1349" s="5"/>
      <c r="O1349" s="5"/>
      <c r="P1349" s="5"/>
      <c r="Q1349" s="5"/>
      <c r="R1349" s="5"/>
      <c r="S1349" s="5"/>
      <c r="T1349" s="5"/>
      <c r="U1349" s="5"/>
      <c r="V1349" s="5"/>
      <c r="W1349" s="5"/>
      <c r="X1349" s="5"/>
      <c r="Y1349" s="5"/>
      <c r="Z1349" s="5"/>
      <c r="AA1349" s="5"/>
      <c r="AB1349" s="6"/>
      <c r="AC1349" s="6"/>
      <c r="AD1349" s="6"/>
      <c r="AE1349" s="6"/>
      <c r="AF1349" s="6"/>
      <c r="AG1349" s="6"/>
      <c r="AH1349" s="6"/>
      <c r="AI1349" s="6"/>
      <c r="AJ1349" s="6"/>
      <c r="AK1349" s="6"/>
      <c r="AL1349" s="6"/>
      <c r="AM1349" s="6"/>
      <c r="AN1349" s="6"/>
      <c r="AO1349" s="6"/>
      <c r="AP1349" s="6"/>
      <c r="AQ1349" s="6"/>
      <c r="AR1349" s="6"/>
      <c r="AS1349" s="6"/>
      <c r="AT1349" s="6"/>
      <c r="AU1349" s="6"/>
      <c r="AV1349" s="6"/>
      <c r="AW1349" s="6"/>
      <c r="AX1349" s="6"/>
      <c r="AY1349" s="6"/>
      <c r="AZ1349" s="6"/>
      <c r="BA1349" s="6"/>
      <c r="BB1349" s="6"/>
      <c r="BC1349" s="6"/>
      <c r="BD1349" s="6"/>
      <c r="BE1349" s="6"/>
      <c r="BF1349" s="6"/>
      <c r="BG1349" s="6"/>
      <c r="BH1349" s="6"/>
      <c r="BI1349" s="6"/>
      <c r="BJ1349" s="6"/>
      <c r="BK1349" s="6"/>
      <c r="BL1349" s="6"/>
      <c r="BM1349" s="5"/>
      <c r="BN1349" s="7"/>
      <c r="BO1349" s="7"/>
      <c r="BP1349" s="7"/>
    </row>
    <row r="1350" spans="1:68" s="400" customFormat="1" ht="14.25" customHeight="1" x14ac:dyDescent="0.25">
      <c r="A1350" s="5"/>
      <c r="B1350" s="5"/>
      <c r="C1350" s="5"/>
      <c r="D1350" s="5"/>
      <c r="E1350" s="5"/>
      <c r="F1350" s="5"/>
      <c r="G1350" s="5"/>
      <c r="H1350" s="5"/>
      <c r="I1350" s="5"/>
      <c r="J1350" s="5"/>
      <c r="K1350" s="5"/>
      <c r="L1350" s="5"/>
      <c r="M1350" s="5"/>
      <c r="N1350" s="5"/>
      <c r="O1350" s="5"/>
      <c r="P1350" s="5"/>
      <c r="Q1350" s="5"/>
      <c r="R1350" s="5"/>
      <c r="S1350" s="5"/>
      <c r="T1350" s="5"/>
      <c r="U1350" s="5"/>
      <c r="V1350" s="5"/>
      <c r="W1350" s="5"/>
      <c r="X1350" s="5"/>
      <c r="Y1350" s="5"/>
      <c r="Z1350" s="5"/>
      <c r="AA1350" s="5"/>
      <c r="AB1350" s="6"/>
      <c r="AC1350" s="6"/>
      <c r="AD1350" s="6"/>
      <c r="AE1350" s="6"/>
      <c r="AF1350" s="6"/>
      <c r="AG1350" s="6"/>
      <c r="AH1350" s="6"/>
      <c r="AI1350" s="6"/>
      <c r="AJ1350" s="6"/>
      <c r="AK1350" s="6"/>
      <c r="AL1350" s="6"/>
      <c r="AM1350" s="6"/>
      <c r="AN1350" s="6"/>
      <c r="AO1350" s="6"/>
      <c r="AP1350" s="6"/>
      <c r="AQ1350" s="6"/>
      <c r="AR1350" s="6"/>
      <c r="AS1350" s="6"/>
      <c r="AT1350" s="6"/>
      <c r="AU1350" s="6"/>
      <c r="AV1350" s="6"/>
      <c r="AW1350" s="6"/>
      <c r="AX1350" s="6"/>
      <c r="AY1350" s="6"/>
      <c r="AZ1350" s="6"/>
      <c r="BA1350" s="6"/>
      <c r="BB1350" s="6"/>
      <c r="BC1350" s="6"/>
      <c r="BD1350" s="6"/>
      <c r="BE1350" s="6"/>
      <c r="BF1350" s="6"/>
      <c r="BG1350" s="6"/>
      <c r="BH1350" s="6"/>
      <c r="BI1350" s="6"/>
      <c r="BJ1350" s="6"/>
      <c r="BK1350" s="6"/>
      <c r="BL1350" s="6"/>
      <c r="BM1350" s="5"/>
      <c r="BN1350" s="7"/>
      <c r="BO1350" s="7"/>
      <c r="BP1350" s="7"/>
    </row>
    <row r="1351" spans="1:68" s="400" customFormat="1" ht="14.25" customHeight="1" x14ac:dyDescent="0.25">
      <c r="A1351" s="5"/>
      <c r="B1351" s="5"/>
      <c r="C1351" s="5"/>
      <c r="D1351" s="5"/>
      <c r="E1351" s="5"/>
      <c r="F1351" s="5"/>
      <c r="G1351" s="5"/>
      <c r="H1351" s="5"/>
      <c r="I1351" s="5"/>
      <c r="J1351" s="5"/>
      <c r="K1351" s="5"/>
      <c r="L1351" s="5"/>
      <c r="M1351" s="5"/>
      <c r="N1351" s="5"/>
      <c r="O1351" s="5"/>
      <c r="P1351" s="5"/>
      <c r="Q1351" s="5"/>
      <c r="R1351" s="5"/>
      <c r="S1351" s="5"/>
      <c r="T1351" s="5"/>
      <c r="U1351" s="5"/>
      <c r="V1351" s="5"/>
      <c r="W1351" s="5"/>
      <c r="X1351" s="5"/>
      <c r="Y1351" s="5"/>
      <c r="Z1351" s="5"/>
      <c r="AA1351" s="5"/>
      <c r="AB1351" s="6"/>
      <c r="AC1351" s="6"/>
      <c r="AD1351" s="6"/>
      <c r="AE1351" s="6"/>
      <c r="AF1351" s="6"/>
      <c r="AG1351" s="6"/>
      <c r="AH1351" s="6"/>
      <c r="AI1351" s="6"/>
      <c r="AJ1351" s="6"/>
      <c r="AK1351" s="6"/>
      <c r="AL1351" s="6"/>
      <c r="AM1351" s="6"/>
      <c r="AN1351" s="6"/>
      <c r="AO1351" s="6"/>
      <c r="AP1351" s="6"/>
      <c r="AQ1351" s="6"/>
      <c r="AR1351" s="6"/>
      <c r="AS1351" s="6"/>
      <c r="AT1351" s="6"/>
      <c r="AU1351" s="6"/>
      <c r="AV1351" s="6"/>
      <c r="AW1351" s="6"/>
      <c r="AX1351" s="6"/>
      <c r="AY1351" s="6"/>
      <c r="AZ1351" s="6"/>
      <c r="BA1351" s="6"/>
      <c r="BB1351" s="6"/>
      <c r="BC1351" s="6"/>
      <c r="BD1351" s="6"/>
      <c r="BE1351" s="6"/>
      <c r="BF1351" s="6"/>
      <c r="BG1351" s="6"/>
      <c r="BH1351" s="6"/>
      <c r="BI1351" s="6"/>
      <c r="BJ1351" s="6"/>
      <c r="BK1351" s="6"/>
      <c r="BL1351" s="6"/>
      <c r="BM1351" s="5"/>
      <c r="BN1351" s="7"/>
      <c r="BO1351" s="7"/>
      <c r="BP1351" s="7"/>
    </row>
    <row r="1352" spans="1:68" s="400" customFormat="1" ht="14.25" customHeight="1" x14ac:dyDescent="0.25">
      <c r="A1352" s="5"/>
      <c r="B1352" s="5"/>
      <c r="C1352" s="5"/>
      <c r="D1352" s="5"/>
      <c r="E1352" s="5"/>
      <c r="F1352" s="5"/>
      <c r="G1352" s="5"/>
      <c r="H1352" s="5"/>
      <c r="I1352" s="5"/>
      <c r="J1352" s="5"/>
      <c r="K1352" s="5"/>
      <c r="L1352" s="5"/>
      <c r="M1352" s="5"/>
      <c r="N1352" s="5"/>
      <c r="O1352" s="5"/>
      <c r="P1352" s="5"/>
      <c r="Q1352" s="5"/>
      <c r="R1352" s="5"/>
      <c r="S1352" s="5"/>
      <c r="T1352" s="5"/>
      <c r="U1352" s="5"/>
      <c r="V1352" s="5"/>
      <c r="W1352" s="5"/>
      <c r="X1352" s="5"/>
      <c r="Y1352" s="5"/>
      <c r="Z1352" s="5"/>
      <c r="AA1352" s="5"/>
      <c r="AB1352" s="6"/>
      <c r="AC1352" s="6"/>
      <c r="AD1352" s="6"/>
      <c r="AE1352" s="6"/>
      <c r="AF1352" s="6"/>
      <c r="AG1352" s="6"/>
      <c r="AH1352" s="6"/>
      <c r="AI1352" s="6"/>
      <c r="AJ1352" s="6"/>
      <c r="AK1352" s="6"/>
      <c r="AL1352" s="6"/>
      <c r="AM1352" s="6"/>
      <c r="AN1352" s="6"/>
      <c r="AO1352" s="6"/>
      <c r="AP1352" s="6"/>
      <c r="AQ1352" s="6"/>
      <c r="AR1352" s="6"/>
      <c r="AS1352" s="6"/>
      <c r="AT1352" s="6"/>
      <c r="AU1352" s="6"/>
      <c r="AV1352" s="6"/>
      <c r="AW1352" s="6"/>
      <c r="AX1352" s="6"/>
      <c r="AY1352" s="6"/>
      <c r="AZ1352" s="6"/>
      <c r="BA1352" s="6"/>
      <c r="BB1352" s="6"/>
      <c r="BC1352" s="6"/>
      <c r="BD1352" s="6"/>
      <c r="BE1352" s="6"/>
      <c r="BF1352" s="6"/>
      <c r="BG1352" s="6"/>
      <c r="BH1352" s="6"/>
      <c r="BI1352" s="6"/>
      <c r="BJ1352" s="6"/>
      <c r="BK1352" s="6"/>
      <c r="BL1352" s="6"/>
      <c r="BM1352" s="5"/>
      <c r="BN1352" s="7"/>
      <c r="BO1352" s="7"/>
      <c r="BP1352" s="7"/>
    </row>
    <row r="1353" spans="1:68" s="400" customFormat="1" ht="14.25" customHeight="1" x14ac:dyDescent="0.25">
      <c r="A1353" s="5"/>
      <c r="B1353" s="5"/>
      <c r="C1353" s="5"/>
      <c r="D1353" s="5"/>
      <c r="E1353" s="5"/>
      <c r="F1353" s="5"/>
      <c r="G1353" s="5"/>
      <c r="H1353" s="5"/>
      <c r="I1353" s="5"/>
      <c r="J1353" s="5"/>
      <c r="K1353" s="5"/>
      <c r="L1353" s="5"/>
      <c r="M1353" s="5"/>
      <c r="N1353" s="5"/>
      <c r="O1353" s="5"/>
      <c r="P1353" s="5"/>
      <c r="Q1353" s="5"/>
      <c r="R1353" s="5"/>
      <c r="S1353" s="5"/>
      <c r="T1353" s="5"/>
      <c r="U1353" s="5"/>
      <c r="V1353" s="5"/>
      <c r="W1353" s="5"/>
      <c r="X1353" s="5"/>
      <c r="Y1353" s="5"/>
      <c r="Z1353" s="5"/>
      <c r="AA1353" s="5"/>
      <c r="AB1353" s="6"/>
      <c r="AC1353" s="6"/>
      <c r="AD1353" s="6"/>
      <c r="AE1353" s="6"/>
      <c r="AF1353" s="6"/>
      <c r="AG1353" s="6"/>
      <c r="AH1353" s="6"/>
      <c r="AI1353" s="6"/>
      <c r="AJ1353" s="6"/>
      <c r="AK1353" s="6"/>
      <c r="AL1353" s="6"/>
      <c r="AM1353" s="6"/>
      <c r="AN1353" s="6"/>
      <c r="AO1353" s="6"/>
      <c r="AP1353" s="6"/>
      <c r="AQ1353" s="6"/>
      <c r="AR1353" s="6"/>
      <c r="AS1353" s="6"/>
      <c r="AT1353" s="6"/>
      <c r="AU1353" s="6"/>
      <c r="AV1353" s="6"/>
      <c r="AW1353" s="6"/>
      <c r="AX1353" s="6"/>
      <c r="AY1353" s="6"/>
      <c r="AZ1353" s="6"/>
      <c r="BA1353" s="6"/>
      <c r="BB1353" s="6"/>
      <c r="BC1353" s="6"/>
      <c r="BD1353" s="6"/>
      <c r="BE1353" s="6"/>
      <c r="BF1353" s="6"/>
      <c r="BG1353" s="6"/>
      <c r="BH1353" s="6"/>
      <c r="BI1353" s="6"/>
      <c r="BJ1353" s="6"/>
      <c r="BK1353" s="6"/>
      <c r="BL1353" s="6"/>
      <c r="BM1353" s="5"/>
      <c r="BN1353" s="7"/>
      <c r="BO1353" s="7"/>
      <c r="BP1353" s="7"/>
    </row>
    <row r="1354" spans="1:68" s="400" customFormat="1" ht="14.25" customHeight="1" x14ac:dyDescent="0.25">
      <c r="A1354" s="5"/>
      <c r="B1354" s="5"/>
      <c r="C1354" s="5"/>
      <c r="D1354" s="5"/>
      <c r="E1354" s="5"/>
      <c r="F1354" s="5"/>
      <c r="G1354" s="5"/>
      <c r="H1354" s="5"/>
      <c r="I1354" s="5"/>
      <c r="J1354" s="5"/>
      <c r="K1354" s="5"/>
      <c r="L1354" s="5"/>
      <c r="M1354" s="5"/>
      <c r="N1354" s="5"/>
      <c r="O1354" s="5"/>
      <c r="P1354" s="5"/>
      <c r="Q1354" s="5"/>
      <c r="R1354" s="5"/>
      <c r="S1354" s="5"/>
      <c r="T1354" s="5"/>
      <c r="U1354" s="5"/>
      <c r="V1354" s="5"/>
      <c r="W1354" s="5"/>
      <c r="X1354" s="5"/>
      <c r="Y1354" s="5"/>
      <c r="Z1354" s="5"/>
      <c r="AA1354" s="5"/>
      <c r="AB1354" s="6"/>
      <c r="AC1354" s="6"/>
      <c r="AD1354" s="6"/>
      <c r="AE1354" s="6"/>
      <c r="AF1354" s="6"/>
      <c r="AG1354" s="6"/>
      <c r="AH1354" s="6"/>
      <c r="AI1354" s="6"/>
      <c r="AJ1354" s="6"/>
      <c r="AK1354" s="6"/>
      <c r="AL1354" s="6"/>
      <c r="AM1354" s="6"/>
      <c r="AN1354" s="6"/>
      <c r="AO1354" s="6"/>
      <c r="AP1354" s="6"/>
      <c r="AQ1354" s="6"/>
      <c r="AR1354" s="6"/>
      <c r="AS1354" s="6"/>
      <c r="AT1354" s="6"/>
      <c r="AU1354" s="6"/>
      <c r="AV1354" s="6"/>
      <c r="AW1354" s="6"/>
      <c r="AX1354" s="6"/>
      <c r="AY1354" s="6"/>
      <c r="AZ1354" s="6"/>
      <c r="BA1354" s="6"/>
      <c r="BB1354" s="6"/>
      <c r="BC1354" s="6"/>
      <c r="BD1354" s="6"/>
      <c r="BE1354" s="6"/>
      <c r="BF1354" s="6"/>
      <c r="BG1354" s="6"/>
      <c r="BH1354" s="6"/>
      <c r="BI1354" s="6"/>
      <c r="BJ1354" s="6"/>
      <c r="BK1354" s="6"/>
      <c r="BL1354" s="6"/>
      <c r="BM1354" s="5"/>
      <c r="BN1354" s="7"/>
      <c r="BO1354" s="7"/>
      <c r="BP1354" s="7"/>
    </row>
    <row r="1355" spans="1:68" s="400" customFormat="1" ht="14.25" customHeight="1" x14ac:dyDescent="0.25">
      <c r="A1355" s="5"/>
      <c r="B1355" s="5"/>
      <c r="C1355" s="5"/>
      <c r="D1355" s="5"/>
      <c r="E1355" s="5"/>
      <c r="F1355" s="5"/>
      <c r="G1355" s="5"/>
      <c r="H1355" s="5"/>
      <c r="I1355" s="5"/>
      <c r="J1355" s="5"/>
      <c r="K1355" s="5"/>
      <c r="L1355" s="5"/>
      <c r="M1355" s="5"/>
      <c r="N1355" s="5"/>
      <c r="O1355" s="5"/>
      <c r="P1355" s="5"/>
      <c r="Q1355" s="5"/>
      <c r="R1355" s="5"/>
      <c r="S1355" s="5"/>
      <c r="T1355" s="5"/>
      <c r="U1355" s="5"/>
      <c r="V1355" s="5"/>
      <c r="W1355" s="5"/>
      <c r="X1355" s="5"/>
      <c r="Y1355" s="5"/>
      <c r="Z1355" s="5"/>
      <c r="AA1355" s="5"/>
      <c r="AB1355" s="6"/>
      <c r="AC1355" s="6"/>
      <c r="AD1355" s="6"/>
      <c r="AE1355" s="6"/>
      <c r="AF1355" s="6"/>
      <c r="AG1355" s="6"/>
      <c r="AH1355" s="6"/>
      <c r="AI1355" s="6"/>
      <c r="AJ1355" s="6"/>
      <c r="AK1355" s="6"/>
      <c r="AL1355" s="6"/>
      <c r="AM1355" s="6"/>
      <c r="AN1355" s="6"/>
      <c r="AO1355" s="6"/>
      <c r="AP1355" s="6"/>
      <c r="AQ1355" s="6"/>
      <c r="AR1355" s="6"/>
      <c r="AS1355" s="6"/>
      <c r="AT1355" s="6"/>
      <c r="AU1355" s="6"/>
      <c r="AV1355" s="6"/>
      <c r="AW1355" s="6"/>
      <c r="AX1355" s="6"/>
      <c r="AY1355" s="6"/>
      <c r="AZ1355" s="6"/>
      <c r="BA1355" s="6"/>
      <c r="BB1355" s="6"/>
      <c r="BC1355" s="6"/>
      <c r="BD1355" s="6"/>
      <c r="BE1355" s="6"/>
      <c r="BF1355" s="6"/>
      <c r="BG1355" s="6"/>
      <c r="BH1355" s="6"/>
      <c r="BI1355" s="6"/>
      <c r="BJ1355" s="6"/>
      <c r="BK1355" s="6"/>
      <c r="BL1355" s="6"/>
      <c r="BM1355" s="5"/>
      <c r="BN1355" s="7"/>
      <c r="BO1355" s="7"/>
      <c r="BP1355" s="7"/>
    </row>
    <row r="1356" spans="1:68" s="400" customFormat="1" ht="14.25" customHeight="1" x14ac:dyDescent="0.25">
      <c r="A1356" s="5"/>
      <c r="B1356" s="5"/>
      <c r="C1356" s="5"/>
      <c r="D1356" s="5"/>
      <c r="E1356" s="5"/>
      <c r="F1356" s="5"/>
      <c r="G1356" s="5"/>
      <c r="H1356" s="5"/>
      <c r="I1356" s="5"/>
      <c r="J1356" s="5"/>
      <c r="K1356" s="5"/>
      <c r="L1356" s="5"/>
      <c r="M1356" s="5"/>
      <c r="N1356" s="5"/>
      <c r="O1356" s="5"/>
      <c r="P1356" s="5"/>
      <c r="Q1356" s="5"/>
      <c r="R1356" s="5"/>
      <c r="S1356" s="5"/>
      <c r="T1356" s="5"/>
      <c r="U1356" s="5"/>
      <c r="V1356" s="5"/>
      <c r="W1356" s="5"/>
      <c r="X1356" s="5"/>
      <c r="Y1356" s="5"/>
      <c r="Z1356" s="5"/>
      <c r="AA1356" s="5"/>
      <c r="AB1356" s="6"/>
      <c r="AC1356" s="6"/>
      <c r="AD1356" s="6"/>
      <c r="AE1356" s="6"/>
      <c r="AF1356" s="6"/>
      <c r="AG1356" s="6"/>
      <c r="AH1356" s="6"/>
      <c r="AI1356" s="6"/>
      <c r="AJ1356" s="6"/>
      <c r="AK1356" s="6"/>
      <c r="AL1356" s="6"/>
      <c r="AM1356" s="6"/>
      <c r="AN1356" s="6"/>
      <c r="AO1356" s="6"/>
      <c r="AP1356" s="6"/>
      <c r="AQ1356" s="6"/>
      <c r="AR1356" s="6"/>
      <c r="AS1356" s="6"/>
      <c r="AT1356" s="6"/>
      <c r="AU1356" s="6"/>
      <c r="AV1356" s="6"/>
      <c r="AW1356" s="6"/>
      <c r="AX1356" s="6"/>
      <c r="AY1356" s="6"/>
      <c r="AZ1356" s="6"/>
      <c r="BA1356" s="6"/>
      <c r="BB1356" s="6"/>
      <c r="BC1356" s="6"/>
      <c r="BD1356" s="6"/>
      <c r="BE1356" s="6"/>
      <c r="BF1356" s="6"/>
      <c r="BG1356" s="6"/>
      <c r="BH1356" s="6"/>
      <c r="BI1356" s="6"/>
      <c r="BJ1356" s="6"/>
      <c r="BK1356" s="6"/>
      <c r="BL1356" s="6"/>
      <c r="BM1356" s="5"/>
      <c r="BN1356" s="7"/>
      <c r="BO1356" s="7"/>
      <c r="BP1356" s="7"/>
    </row>
    <row r="1357" spans="1:68" s="400" customFormat="1" ht="14.25" customHeight="1" x14ac:dyDescent="0.25">
      <c r="A1357" s="5"/>
      <c r="B1357" s="5"/>
      <c r="C1357" s="5"/>
      <c r="D1357" s="5"/>
      <c r="E1357" s="5"/>
      <c r="F1357" s="5"/>
      <c r="G1357" s="5"/>
      <c r="H1357" s="5"/>
      <c r="I1357" s="5"/>
      <c r="J1357" s="5"/>
      <c r="K1357" s="5"/>
      <c r="L1357" s="5"/>
      <c r="M1357" s="5"/>
      <c r="N1357" s="5"/>
      <c r="O1357" s="5"/>
      <c r="P1357" s="5"/>
      <c r="Q1357" s="5"/>
      <c r="R1357" s="5"/>
      <c r="S1357" s="5"/>
      <c r="T1357" s="5"/>
      <c r="U1357" s="5"/>
      <c r="V1357" s="5"/>
      <c r="W1357" s="5"/>
      <c r="X1357" s="5"/>
      <c r="Y1357" s="5"/>
      <c r="Z1357" s="5"/>
      <c r="AA1357" s="5"/>
      <c r="AB1357" s="6"/>
      <c r="AC1357" s="6"/>
      <c r="AD1357" s="6"/>
      <c r="AE1357" s="6"/>
      <c r="AF1357" s="6"/>
      <c r="AG1357" s="6"/>
      <c r="AH1357" s="6"/>
      <c r="AI1357" s="6"/>
      <c r="AJ1357" s="6"/>
      <c r="AK1357" s="6"/>
      <c r="AL1357" s="6"/>
      <c r="AM1357" s="6"/>
      <c r="AN1357" s="6"/>
      <c r="AO1357" s="6"/>
      <c r="AP1357" s="6"/>
      <c r="AQ1357" s="6"/>
      <c r="AR1357" s="6"/>
      <c r="AS1357" s="6"/>
      <c r="AT1357" s="6"/>
      <c r="AU1357" s="6"/>
      <c r="AV1357" s="6"/>
      <c r="AW1357" s="6"/>
      <c r="AX1357" s="6"/>
      <c r="AY1357" s="6"/>
      <c r="AZ1357" s="6"/>
      <c r="BA1357" s="6"/>
      <c r="BB1357" s="6"/>
      <c r="BC1357" s="6"/>
      <c r="BD1357" s="6"/>
      <c r="BE1357" s="6"/>
      <c r="BF1357" s="6"/>
      <c r="BG1357" s="6"/>
      <c r="BH1357" s="6"/>
      <c r="BI1357" s="6"/>
      <c r="BJ1357" s="6"/>
      <c r="BK1357" s="6"/>
      <c r="BL1357" s="6"/>
      <c r="BM1357" s="5"/>
      <c r="BN1357" s="7"/>
      <c r="BO1357" s="7"/>
      <c r="BP1357" s="7"/>
    </row>
    <row r="1358" spans="1:68" s="400" customFormat="1" ht="14.25" customHeight="1" x14ac:dyDescent="0.25">
      <c r="A1358" s="5"/>
      <c r="B1358" s="5"/>
      <c r="C1358" s="5"/>
      <c r="D1358" s="5"/>
      <c r="E1358" s="5"/>
      <c r="F1358" s="5"/>
      <c r="G1358" s="5"/>
      <c r="H1358" s="5"/>
      <c r="I1358" s="5"/>
      <c r="J1358" s="5"/>
      <c r="K1358" s="5"/>
      <c r="L1358" s="5"/>
      <c r="M1358" s="5"/>
      <c r="N1358" s="5"/>
      <c r="O1358" s="5"/>
      <c r="P1358" s="5"/>
      <c r="Q1358" s="5"/>
      <c r="R1358" s="5"/>
      <c r="S1358" s="5"/>
      <c r="T1358" s="5"/>
      <c r="U1358" s="5"/>
      <c r="V1358" s="5"/>
      <c r="W1358" s="5"/>
      <c r="X1358" s="5"/>
      <c r="Y1358" s="5"/>
      <c r="Z1358" s="5"/>
      <c r="AA1358" s="5"/>
      <c r="AB1358" s="6"/>
      <c r="AC1358" s="6"/>
      <c r="AD1358" s="6"/>
      <c r="AE1358" s="6"/>
      <c r="AF1358" s="6"/>
      <c r="AG1358" s="6"/>
      <c r="AH1358" s="6"/>
      <c r="AI1358" s="6"/>
      <c r="AJ1358" s="6"/>
      <c r="AK1358" s="6"/>
      <c r="AL1358" s="6"/>
      <c r="AM1358" s="6"/>
      <c r="AN1358" s="6"/>
      <c r="AO1358" s="6"/>
      <c r="AP1358" s="6"/>
      <c r="AQ1358" s="6"/>
      <c r="AR1358" s="6"/>
      <c r="AS1358" s="6"/>
      <c r="AT1358" s="6"/>
      <c r="AU1358" s="6"/>
      <c r="AV1358" s="6"/>
      <c r="AW1358" s="6"/>
      <c r="AX1358" s="6"/>
      <c r="AY1358" s="6"/>
      <c r="AZ1358" s="6"/>
      <c r="BA1358" s="6"/>
      <c r="BB1358" s="6"/>
      <c r="BC1358" s="6"/>
      <c r="BD1358" s="6"/>
      <c r="BE1358" s="6"/>
      <c r="BF1358" s="6"/>
      <c r="BG1358" s="6"/>
      <c r="BH1358" s="6"/>
      <c r="BI1358" s="6"/>
      <c r="BJ1358" s="6"/>
      <c r="BK1358" s="6"/>
      <c r="BL1358" s="6"/>
      <c r="BM1358" s="5"/>
      <c r="BN1358" s="7"/>
      <c r="BO1358" s="7"/>
      <c r="BP1358" s="7"/>
    </row>
    <row r="1359" spans="1:68" s="400" customFormat="1" ht="14.25" customHeight="1" x14ac:dyDescent="0.25">
      <c r="A1359" s="5"/>
      <c r="B1359" s="5"/>
      <c r="C1359" s="5"/>
      <c r="D1359" s="5"/>
      <c r="E1359" s="5"/>
      <c r="F1359" s="5"/>
      <c r="G1359" s="5"/>
      <c r="H1359" s="5"/>
      <c r="I1359" s="5"/>
      <c r="J1359" s="5"/>
      <c r="K1359" s="5"/>
      <c r="L1359" s="5"/>
      <c r="M1359" s="5"/>
      <c r="N1359" s="5"/>
      <c r="O1359" s="5"/>
      <c r="P1359" s="5"/>
      <c r="Q1359" s="5"/>
      <c r="R1359" s="5"/>
      <c r="S1359" s="5"/>
      <c r="T1359" s="5"/>
      <c r="U1359" s="5"/>
      <c r="V1359" s="5"/>
      <c r="W1359" s="5"/>
      <c r="X1359" s="5"/>
      <c r="Y1359" s="5"/>
      <c r="Z1359" s="5"/>
      <c r="AA1359" s="5"/>
      <c r="AB1359" s="6"/>
      <c r="AC1359" s="6"/>
      <c r="AD1359" s="6"/>
      <c r="AE1359" s="6"/>
      <c r="AF1359" s="6"/>
      <c r="AG1359" s="6"/>
      <c r="AH1359" s="6"/>
      <c r="AI1359" s="6"/>
      <c r="AJ1359" s="6"/>
      <c r="AK1359" s="6"/>
      <c r="AL1359" s="6"/>
      <c r="AM1359" s="6"/>
      <c r="AN1359" s="6"/>
      <c r="AO1359" s="6"/>
      <c r="AP1359" s="6"/>
      <c r="AQ1359" s="6"/>
      <c r="AR1359" s="6"/>
      <c r="AS1359" s="6"/>
      <c r="AT1359" s="6"/>
      <c r="AU1359" s="6"/>
      <c r="AV1359" s="6"/>
      <c r="AW1359" s="6"/>
      <c r="AX1359" s="6"/>
      <c r="AY1359" s="6"/>
      <c r="AZ1359" s="6"/>
      <c r="BA1359" s="6"/>
      <c r="BB1359" s="6"/>
      <c r="BC1359" s="6"/>
      <c r="BD1359" s="6"/>
      <c r="BE1359" s="6"/>
      <c r="BF1359" s="6"/>
      <c r="BG1359" s="6"/>
      <c r="BH1359" s="6"/>
      <c r="BI1359" s="6"/>
      <c r="BJ1359" s="6"/>
      <c r="BK1359" s="6"/>
      <c r="BL1359" s="6"/>
      <c r="BM1359" s="5"/>
      <c r="BN1359" s="7"/>
      <c r="BO1359" s="7"/>
      <c r="BP1359" s="7"/>
    </row>
    <row r="1360" spans="1:68" s="400" customFormat="1" ht="14.25" customHeight="1" x14ac:dyDescent="0.25">
      <c r="A1360" s="5"/>
      <c r="B1360" s="5"/>
      <c r="C1360" s="5"/>
      <c r="D1360" s="5"/>
      <c r="E1360" s="5"/>
      <c r="F1360" s="5"/>
      <c r="G1360" s="5"/>
      <c r="H1360" s="5"/>
      <c r="I1360" s="5"/>
      <c r="J1360" s="5"/>
      <c r="K1360" s="5"/>
      <c r="L1360" s="5"/>
      <c r="M1360" s="5"/>
      <c r="N1360" s="5"/>
      <c r="O1360" s="5"/>
      <c r="P1360" s="5"/>
      <c r="Q1360" s="5"/>
      <c r="R1360" s="5"/>
      <c r="S1360" s="5"/>
      <c r="T1360" s="5"/>
      <c r="U1360" s="5"/>
      <c r="V1360" s="5"/>
      <c r="W1360" s="5"/>
      <c r="X1360" s="5"/>
      <c r="Y1360" s="5"/>
      <c r="Z1360" s="5"/>
      <c r="AA1360" s="5"/>
      <c r="AB1360" s="6"/>
      <c r="AC1360" s="6"/>
      <c r="AD1360" s="6"/>
      <c r="AE1360" s="6"/>
      <c r="AF1360" s="6"/>
      <c r="AG1360" s="6"/>
      <c r="AH1360" s="6"/>
      <c r="AI1360" s="6"/>
      <c r="AJ1360" s="6"/>
      <c r="AK1360" s="6"/>
      <c r="AL1360" s="6"/>
      <c r="AM1360" s="6"/>
      <c r="AN1360" s="6"/>
      <c r="AO1360" s="6"/>
      <c r="AP1360" s="6"/>
      <c r="AQ1360" s="6"/>
      <c r="AR1360" s="6"/>
      <c r="AS1360" s="6"/>
      <c r="AT1360" s="6"/>
      <c r="AU1360" s="6"/>
      <c r="AV1360" s="6"/>
      <c r="AW1360" s="6"/>
      <c r="AX1360" s="6"/>
      <c r="AY1360" s="6"/>
      <c r="AZ1360" s="6"/>
      <c r="BA1360" s="6"/>
      <c r="BB1360" s="6"/>
      <c r="BC1360" s="6"/>
      <c r="BD1360" s="6"/>
      <c r="BE1360" s="6"/>
      <c r="BF1360" s="6"/>
      <c r="BG1360" s="6"/>
      <c r="BH1360" s="6"/>
      <c r="BI1360" s="6"/>
      <c r="BJ1360" s="6"/>
      <c r="BK1360" s="6"/>
      <c r="BL1360" s="6"/>
      <c r="BM1360" s="5"/>
      <c r="BN1360" s="7"/>
      <c r="BO1360" s="7"/>
      <c r="BP1360" s="7"/>
    </row>
    <row r="1361" spans="1:68" s="400" customFormat="1" ht="14.25" customHeight="1" x14ac:dyDescent="0.25">
      <c r="A1361" s="5"/>
      <c r="B1361" s="5"/>
      <c r="C1361" s="5"/>
      <c r="D1361" s="5"/>
      <c r="E1361" s="5"/>
      <c r="F1361" s="5"/>
      <c r="G1361" s="5"/>
      <c r="H1361" s="5"/>
      <c r="I1361" s="5"/>
      <c r="J1361" s="5"/>
      <c r="K1361" s="5"/>
      <c r="L1361" s="5"/>
      <c r="M1361" s="5"/>
      <c r="N1361" s="5"/>
      <c r="O1361" s="5"/>
      <c r="P1361" s="5"/>
      <c r="Q1361" s="5"/>
      <c r="R1361" s="5"/>
      <c r="S1361" s="5"/>
      <c r="T1361" s="5"/>
      <c r="U1361" s="5"/>
      <c r="V1361" s="5"/>
      <c r="W1361" s="5"/>
      <c r="X1361" s="5"/>
      <c r="Y1361" s="5"/>
      <c r="Z1361" s="5"/>
      <c r="AA1361" s="5"/>
      <c r="AB1361" s="6"/>
      <c r="AC1361" s="6"/>
      <c r="AD1361" s="6"/>
      <c r="AE1361" s="6"/>
      <c r="AF1361" s="6"/>
      <c r="AG1361" s="6"/>
      <c r="AH1361" s="6"/>
      <c r="AI1361" s="6"/>
      <c r="AJ1361" s="6"/>
      <c r="AK1361" s="6"/>
      <c r="AL1361" s="6"/>
      <c r="AM1361" s="6"/>
      <c r="AN1361" s="6"/>
      <c r="AO1361" s="6"/>
      <c r="AP1361" s="6"/>
      <c r="AQ1361" s="6"/>
      <c r="AR1361" s="6"/>
      <c r="AS1361" s="6"/>
      <c r="AT1361" s="6"/>
      <c r="AU1361" s="6"/>
      <c r="AV1361" s="6"/>
      <c r="AW1361" s="6"/>
      <c r="AX1361" s="6"/>
      <c r="AY1361" s="6"/>
      <c r="AZ1361" s="6"/>
      <c r="BA1361" s="6"/>
      <c r="BB1361" s="6"/>
      <c r="BC1361" s="6"/>
      <c r="BD1361" s="6"/>
      <c r="BE1361" s="6"/>
      <c r="BF1361" s="6"/>
      <c r="BG1361" s="6"/>
      <c r="BH1361" s="6"/>
      <c r="BI1361" s="6"/>
      <c r="BJ1361" s="6"/>
      <c r="BK1361" s="6"/>
      <c r="BL1361" s="6"/>
      <c r="BM1361" s="5"/>
      <c r="BN1361" s="7"/>
      <c r="BO1361" s="7"/>
      <c r="BP1361" s="7"/>
    </row>
    <row r="1362" spans="1:68" s="400" customFormat="1" ht="14.25" customHeight="1" x14ac:dyDescent="0.25">
      <c r="A1362" s="5"/>
      <c r="B1362" s="5"/>
      <c r="C1362" s="5"/>
      <c r="D1362" s="5"/>
      <c r="E1362" s="5"/>
      <c r="F1362" s="5"/>
      <c r="G1362" s="5"/>
      <c r="H1362" s="5"/>
      <c r="I1362" s="5"/>
      <c r="J1362" s="5"/>
      <c r="K1362" s="5"/>
      <c r="L1362" s="5"/>
      <c r="M1362" s="5"/>
      <c r="N1362" s="5"/>
      <c r="O1362" s="5"/>
      <c r="P1362" s="5"/>
      <c r="Q1362" s="5"/>
      <c r="R1362" s="5"/>
      <c r="S1362" s="5"/>
      <c r="T1362" s="5"/>
      <c r="U1362" s="5"/>
      <c r="V1362" s="5"/>
      <c r="W1362" s="5"/>
      <c r="X1362" s="5"/>
      <c r="Y1362" s="5"/>
      <c r="Z1362" s="5"/>
      <c r="AA1362" s="5"/>
      <c r="AB1362" s="6"/>
      <c r="AC1362" s="6"/>
      <c r="AD1362" s="6"/>
      <c r="AE1362" s="6"/>
      <c r="AF1362" s="6"/>
      <c r="AG1362" s="6"/>
      <c r="AH1362" s="6"/>
      <c r="AI1362" s="6"/>
      <c r="AJ1362" s="6"/>
      <c r="AK1362" s="6"/>
      <c r="AL1362" s="6"/>
      <c r="AM1362" s="6"/>
      <c r="AN1362" s="6"/>
      <c r="AO1362" s="6"/>
      <c r="AP1362" s="6"/>
      <c r="AQ1362" s="6"/>
      <c r="AR1362" s="6"/>
      <c r="AS1362" s="6"/>
      <c r="AT1362" s="6"/>
      <c r="AU1362" s="6"/>
      <c r="AV1362" s="6"/>
      <c r="AW1362" s="6"/>
      <c r="AX1362" s="6"/>
      <c r="AY1362" s="6"/>
      <c r="AZ1362" s="6"/>
      <c r="BA1362" s="6"/>
      <c r="BB1362" s="6"/>
      <c r="BC1362" s="6"/>
      <c r="BD1362" s="6"/>
      <c r="BE1362" s="6"/>
      <c r="BF1362" s="6"/>
      <c r="BG1362" s="6"/>
      <c r="BH1362" s="6"/>
      <c r="BI1362" s="6"/>
      <c r="BJ1362" s="6"/>
      <c r="BK1362" s="6"/>
      <c r="BL1362" s="6"/>
      <c r="BM1362" s="5"/>
      <c r="BN1362" s="7"/>
      <c r="BO1362" s="7"/>
      <c r="BP1362" s="7"/>
    </row>
    <row r="1363" spans="1:68" s="400" customFormat="1" ht="14.25" customHeight="1" x14ac:dyDescent="0.25">
      <c r="A1363" s="5"/>
      <c r="B1363" s="5"/>
      <c r="C1363" s="5"/>
      <c r="D1363" s="5"/>
      <c r="E1363" s="5"/>
      <c r="F1363" s="5"/>
      <c r="G1363" s="5"/>
      <c r="H1363" s="5"/>
      <c r="I1363" s="5"/>
      <c r="J1363" s="5"/>
      <c r="K1363" s="5"/>
      <c r="L1363" s="5"/>
      <c r="M1363" s="5"/>
      <c r="N1363" s="5"/>
      <c r="O1363" s="5"/>
      <c r="P1363" s="5"/>
      <c r="Q1363" s="5"/>
      <c r="R1363" s="5"/>
      <c r="S1363" s="5"/>
      <c r="T1363" s="5"/>
      <c r="U1363" s="5"/>
      <c r="V1363" s="5"/>
      <c r="W1363" s="5"/>
      <c r="X1363" s="5"/>
      <c r="Y1363" s="5"/>
      <c r="Z1363" s="5"/>
      <c r="AA1363" s="5"/>
      <c r="AB1363" s="6"/>
      <c r="AC1363" s="6"/>
      <c r="AD1363" s="6"/>
      <c r="AE1363" s="6"/>
      <c r="AF1363" s="6"/>
      <c r="AG1363" s="6"/>
      <c r="AH1363" s="6"/>
      <c r="AI1363" s="6"/>
      <c r="AJ1363" s="6"/>
      <c r="AK1363" s="6"/>
      <c r="AL1363" s="6"/>
      <c r="AM1363" s="6"/>
      <c r="AN1363" s="6"/>
      <c r="AO1363" s="6"/>
      <c r="AP1363" s="6"/>
      <c r="AQ1363" s="6"/>
      <c r="AR1363" s="6"/>
      <c r="AS1363" s="6"/>
      <c r="AT1363" s="6"/>
      <c r="AU1363" s="6"/>
      <c r="AV1363" s="6"/>
      <c r="AW1363" s="6"/>
      <c r="AX1363" s="6"/>
      <c r="AY1363" s="6"/>
      <c r="AZ1363" s="6"/>
      <c r="BA1363" s="6"/>
      <c r="BB1363" s="6"/>
      <c r="BC1363" s="6"/>
      <c r="BD1363" s="6"/>
      <c r="BE1363" s="6"/>
      <c r="BF1363" s="6"/>
      <c r="BG1363" s="6"/>
      <c r="BH1363" s="6"/>
      <c r="BI1363" s="6"/>
      <c r="BJ1363" s="6"/>
      <c r="BK1363" s="6"/>
      <c r="BL1363" s="6"/>
      <c r="BM1363" s="5"/>
      <c r="BN1363" s="7"/>
      <c r="BO1363" s="7"/>
      <c r="BP1363" s="7"/>
    </row>
    <row r="1364" spans="1:68" s="400" customFormat="1" ht="14.25" customHeight="1" x14ac:dyDescent="0.25">
      <c r="A1364" s="5"/>
      <c r="B1364" s="5"/>
      <c r="C1364" s="5"/>
      <c r="D1364" s="5"/>
      <c r="E1364" s="5"/>
      <c r="F1364" s="5"/>
      <c r="G1364" s="5"/>
      <c r="H1364" s="5"/>
      <c r="I1364" s="5"/>
      <c r="J1364" s="5"/>
      <c r="K1364" s="5"/>
      <c r="L1364" s="5"/>
      <c r="M1364" s="5"/>
      <c r="N1364" s="5"/>
      <c r="O1364" s="5"/>
      <c r="P1364" s="5"/>
      <c r="Q1364" s="5"/>
      <c r="R1364" s="5"/>
      <c r="S1364" s="5"/>
      <c r="T1364" s="5"/>
      <c r="U1364" s="5"/>
      <c r="V1364" s="5"/>
      <c r="W1364" s="5"/>
      <c r="X1364" s="5"/>
      <c r="Y1364" s="5"/>
      <c r="Z1364" s="5"/>
      <c r="AA1364" s="5"/>
      <c r="AB1364" s="6"/>
      <c r="AC1364" s="6"/>
      <c r="AD1364" s="6"/>
      <c r="AE1364" s="6"/>
      <c r="AF1364" s="6"/>
      <c r="AG1364" s="6"/>
      <c r="AH1364" s="6"/>
      <c r="AI1364" s="6"/>
      <c r="AJ1364" s="6"/>
      <c r="AK1364" s="6"/>
      <c r="AL1364" s="6"/>
      <c r="AM1364" s="6"/>
      <c r="AN1364" s="6"/>
      <c r="AO1364" s="6"/>
      <c r="AP1364" s="6"/>
      <c r="AQ1364" s="6"/>
      <c r="AR1364" s="6"/>
      <c r="AS1364" s="6"/>
      <c r="AT1364" s="6"/>
      <c r="AU1364" s="6"/>
      <c r="AV1364" s="6"/>
      <c r="AW1364" s="6"/>
      <c r="AX1364" s="6"/>
      <c r="AY1364" s="6"/>
      <c r="AZ1364" s="6"/>
      <c r="BA1364" s="6"/>
      <c r="BB1364" s="6"/>
      <c r="BC1364" s="6"/>
      <c r="BD1364" s="6"/>
      <c r="BE1364" s="6"/>
      <c r="BF1364" s="6"/>
      <c r="BG1364" s="6"/>
      <c r="BH1364" s="6"/>
      <c r="BI1364" s="6"/>
      <c r="BJ1364" s="6"/>
      <c r="BK1364" s="6"/>
      <c r="BL1364" s="6"/>
      <c r="BM1364" s="5"/>
      <c r="BN1364" s="7"/>
      <c r="BO1364" s="7"/>
      <c r="BP1364" s="7"/>
    </row>
    <row r="1365" spans="1:68" s="400" customFormat="1" ht="14.25" customHeight="1" x14ac:dyDescent="0.25">
      <c r="A1365" s="5"/>
      <c r="B1365" s="5"/>
      <c r="C1365" s="5"/>
      <c r="D1365" s="5"/>
      <c r="E1365" s="5"/>
      <c r="F1365" s="5"/>
      <c r="G1365" s="5"/>
      <c r="H1365" s="5"/>
      <c r="I1365" s="5"/>
      <c r="J1365" s="5"/>
      <c r="K1365" s="5"/>
      <c r="L1365" s="5"/>
      <c r="M1365" s="5"/>
      <c r="N1365" s="5"/>
      <c r="O1365" s="5"/>
      <c r="P1365" s="5"/>
      <c r="Q1365" s="5"/>
      <c r="R1365" s="5"/>
      <c r="S1365" s="5"/>
      <c r="T1365" s="5"/>
      <c r="U1365" s="5"/>
      <c r="V1365" s="5"/>
      <c r="W1365" s="5"/>
      <c r="X1365" s="5"/>
      <c r="Y1365" s="5"/>
      <c r="Z1365" s="5"/>
      <c r="AA1365" s="5"/>
      <c r="AB1365" s="6"/>
      <c r="AC1365" s="6"/>
      <c r="AD1365" s="6"/>
      <c r="AE1365" s="6"/>
      <c r="AF1365" s="6"/>
      <c r="AG1365" s="6"/>
      <c r="AH1365" s="6"/>
      <c r="AI1365" s="6"/>
      <c r="AJ1365" s="6"/>
      <c r="AK1365" s="6"/>
      <c r="AL1365" s="6"/>
      <c r="AM1365" s="6"/>
      <c r="AN1365" s="6"/>
      <c r="AO1365" s="6"/>
      <c r="AP1365" s="6"/>
      <c r="AQ1365" s="6"/>
      <c r="AR1365" s="6"/>
      <c r="AS1365" s="6"/>
      <c r="AT1365" s="6"/>
      <c r="AU1365" s="6"/>
      <c r="AV1365" s="6"/>
      <c r="AW1365" s="6"/>
      <c r="AX1365" s="6"/>
      <c r="AY1365" s="6"/>
      <c r="AZ1365" s="6"/>
      <c r="BA1365" s="6"/>
      <c r="BB1365" s="6"/>
      <c r="BC1365" s="6"/>
      <c r="BD1365" s="6"/>
      <c r="BE1365" s="6"/>
      <c r="BF1365" s="6"/>
      <c r="BG1365" s="6"/>
      <c r="BH1365" s="6"/>
      <c r="BI1365" s="6"/>
      <c r="BJ1365" s="6"/>
      <c r="BK1365" s="6"/>
      <c r="BL1365" s="6"/>
      <c r="BM1365" s="5"/>
      <c r="BN1365" s="7"/>
      <c r="BO1365" s="7"/>
      <c r="BP1365" s="7"/>
    </row>
    <row r="1366" spans="1:68" s="400" customFormat="1" ht="14.25" customHeight="1" x14ac:dyDescent="0.25">
      <c r="A1366" s="5"/>
      <c r="B1366" s="5"/>
      <c r="C1366" s="5"/>
      <c r="D1366" s="5"/>
      <c r="E1366" s="5"/>
      <c r="F1366" s="5"/>
      <c r="G1366" s="5"/>
      <c r="H1366" s="5"/>
      <c r="I1366" s="5"/>
      <c r="J1366" s="5"/>
      <c r="K1366" s="5"/>
      <c r="L1366" s="5"/>
      <c r="M1366" s="5"/>
      <c r="N1366" s="5"/>
      <c r="O1366" s="5"/>
      <c r="P1366" s="5"/>
      <c r="Q1366" s="5"/>
      <c r="R1366" s="5"/>
      <c r="S1366" s="5"/>
      <c r="T1366" s="5"/>
      <c r="U1366" s="5"/>
      <c r="V1366" s="5"/>
      <c r="W1366" s="5"/>
      <c r="X1366" s="5"/>
      <c r="Y1366" s="5"/>
      <c r="Z1366" s="5"/>
      <c r="AA1366" s="5"/>
      <c r="AB1366" s="6"/>
      <c r="AC1366" s="6"/>
      <c r="AD1366" s="6"/>
      <c r="AE1366" s="6"/>
      <c r="AF1366" s="6"/>
      <c r="AG1366" s="6"/>
      <c r="AH1366" s="6"/>
      <c r="AI1366" s="6"/>
      <c r="AJ1366" s="6"/>
      <c r="AK1366" s="6"/>
      <c r="AL1366" s="6"/>
      <c r="AM1366" s="6"/>
      <c r="AN1366" s="6"/>
      <c r="AO1366" s="6"/>
      <c r="AP1366" s="6"/>
      <c r="AQ1366" s="6"/>
      <c r="AR1366" s="6"/>
      <c r="AS1366" s="6"/>
      <c r="AT1366" s="6"/>
      <c r="AU1366" s="6"/>
      <c r="AV1366" s="6"/>
      <c r="AW1366" s="6"/>
      <c r="AX1366" s="6"/>
      <c r="AY1366" s="6"/>
      <c r="AZ1366" s="6"/>
      <c r="BA1366" s="6"/>
      <c r="BB1366" s="6"/>
      <c r="BC1366" s="6"/>
      <c r="BD1366" s="6"/>
      <c r="BE1366" s="6"/>
      <c r="BF1366" s="6"/>
      <c r="BG1366" s="6"/>
      <c r="BH1366" s="6"/>
      <c r="BI1366" s="6"/>
      <c r="BJ1366" s="6"/>
      <c r="BK1366" s="6"/>
      <c r="BL1366" s="6"/>
      <c r="BM1366" s="5"/>
      <c r="BN1366" s="7"/>
      <c r="BO1366" s="7"/>
      <c r="BP1366" s="7"/>
    </row>
    <row r="1367" spans="1:68" s="400" customFormat="1" ht="14.25" customHeight="1" x14ac:dyDescent="0.25">
      <c r="A1367" s="5"/>
      <c r="B1367" s="5"/>
      <c r="C1367" s="5"/>
      <c r="D1367" s="5"/>
      <c r="E1367" s="5"/>
      <c r="F1367" s="5"/>
      <c r="G1367" s="5"/>
      <c r="H1367" s="5"/>
      <c r="I1367" s="5"/>
      <c r="J1367" s="5"/>
      <c r="K1367" s="5"/>
      <c r="L1367" s="5"/>
      <c r="M1367" s="5"/>
      <c r="N1367" s="5"/>
      <c r="O1367" s="5"/>
      <c r="P1367" s="5"/>
      <c r="Q1367" s="5"/>
      <c r="R1367" s="5"/>
      <c r="S1367" s="5"/>
      <c r="T1367" s="5"/>
      <c r="U1367" s="5"/>
      <c r="V1367" s="5"/>
      <c r="W1367" s="5"/>
      <c r="X1367" s="5"/>
      <c r="Y1367" s="5"/>
      <c r="Z1367" s="5"/>
      <c r="AA1367" s="5"/>
      <c r="AB1367" s="6"/>
      <c r="AC1367" s="6"/>
      <c r="AD1367" s="6"/>
      <c r="AE1367" s="6"/>
      <c r="AF1367" s="6"/>
      <c r="AG1367" s="6"/>
      <c r="AH1367" s="6"/>
      <c r="AI1367" s="6"/>
      <c r="AJ1367" s="6"/>
      <c r="AK1367" s="6"/>
      <c r="AL1367" s="6"/>
      <c r="AM1367" s="6"/>
      <c r="AN1367" s="6"/>
      <c r="AO1367" s="6"/>
      <c r="AP1367" s="6"/>
      <c r="AQ1367" s="6"/>
      <c r="AR1367" s="6"/>
      <c r="AS1367" s="6"/>
      <c r="AT1367" s="6"/>
      <c r="AU1367" s="6"/>
      <c r="AV1367" s="6"/>
      <c r="AW1367" s="6"/>
      <c r="AX1367" s="6"/>
      <c r="AY1367" s="6"/>
      <c r="AZ1367" s="6"/>
      <c r="BA1367" s="6"/>
      <c r="BB1367" s="6"/>
      <c r="BC1367" s="6"/>
      <c r="BD1367" s="6"/>
      <c r="BE1367" s="6"/>
      <c r="BF1367" s="6"/>
      <c r="BG1367" s="6"/>
      <c r="BH1367" s="6"/>
      <c r="BI1367" s="6"/>
      <c r="BJ1367" s="6"/>
      <c r="BK1367" s="6"/>
      <c r="BL1367" s="6"/>
      <c r="BM1367" s="5"/>
      <c r="BN1367" s="7"/>
      <c r="BO1367" s="7"/>
      <c r="BP1367" s="7"/>
    </row>
    <row r="1368" spans="1:68" s="400" customFormat="1" ht="14.25" customHeight="1" x14ac:dyDescent="0.25">
      <c r="A1368" s="5"/>
      <c r="B1368" s="5"/>
      <c r="C1368" s="5"/>
      <c r="D1368" s="5"/>
      <c r="E1368" s="5"/>
      <c r="F1368" s="5"/>
      <c r="G1368" s="5"/>
      <c r="H1368" s="5"/>
      <c r="I1368" s="5"/>
      <c r="J1368" s="5"/>
      <c r="K1368" s="5"/>
      <c r="L1368" s="5"/>
      <c r="M1368" s="5"/>
      <c r="N1368" s="5"/>
      <c r="O1368" s="5"/>
      <c r="P1368" s="5"/>
      <c r="Q1368" s="5"/>
      <c r="R1368" s="5"/>
      <c r="S1368" s="5"/>
      <c r="T1368" s="5"/>
      <c r="U1368" s="5"/>
      <c r="V1368" s="5"/>
      <c r="W1368" s="5"/>
      <c r="X1368" s="5"/>
      <c r="Y1368" s="5"/>
      <c r="Z1368" s="5"/>
      <c r="AA1368" s="5"/>
      <c r="AB1368" s="6"/>
      <c r="AC1368" s="6"/>
      <c r="AD1368" s="6"/>
      <c r="AE1368" s="6"/>
      <c r="AF1368" s="6"/>
      <c r="AG1368" s="6"/>
      <c r="AH1368" s="6"/>
      <c r="AI1368" s="6"/>
      <c r="AJ1368" s="6"/>
      <c r="AK1368" s="6"/>
      <c r="AL1368" s="6"/>
      <c r="AM1368" s="6"/>
      <c r="AN1368" s="6"/>
      <c r="AO1368" s="6"/>
      <c r="AP1368" s="6"/>
      <c r="AQ1368" s="6"/>
      <c r="AR1368" s="6"/>
      <c r="AS1368" s="6"/>
      <c r="AT1368" s="6"/>
      <c r="AU1368" s="6"/>
      <c r="AV1368" s="6"/>
      <c r="AW1368" s="6"/>
      <c r="AX1368" s="6"/>
      <c r="AY1368" s="6"/>
      <c r="AZ1368" s="6"/>
      <c r="BA1368" s="6"/>
      <c r="BB1368" s="6"/>
      <c r="BC1368" s="6"/>
      <c r="BD1368" s="6"/>
      <c r="BE1368" s="6"/>
      <c r="BF1368" s="6"/>
      <c r="BG1368" s="6"/>
      <c r="BH1368" s="6"/>
      <c r="BI1368" s="6"/>
      <c r="BJ1368" s="6"/>
      <c r="BK1368" s="6"/>
      <c r="BL1368" s="6"/>
      <c r="BM1368" s="5"/>
      <c r="BN1368" s="7"/>
      <c r="BO1368" s="7"/>
      <c r="BP1368" s="7"/>
    </row>
    <row r="1369" spans="1:68" s="400" customFormat="1" ht="14.25" customHeight="1" x14ac:dyDescent="0.25">
      <c r="A1369" s="5"/>
      <c r="B1369" s="5"/>
      <c r="C1369" s="5"/>
      <c r="D1369" s="5"/>
      <c r="E1369" s="5"/>
      <c r="F1369" s="5"/>
      <c r="G1369" s="5"/>
      <c r="H1369" s="5"/>
      <c r="I1369" s="5"/>
      <c r="J1369" s="5"/>
      <c r="K1369" s="5"/>
      <c r="L1369" s="5"/>
      <c r="M1369" s="5"/>
      <c r="N1369" s="5"/>
      <c r="O1369" s="5"/>
      <c r="P1369" s="5"/>
      <c r="Q1369" s="5"/>
      <c r="R1369" s="5"/>
      <c r="S1369" s="5"/>
      <c r="T1369" s="5"/>
      <c r="U1369" s="5"/>
      <c r="V1369" s="5"/>
      <c r="W1369" s="5"/>
      <c r="X1369" s="5"/>
      <c r="Y1369" s="5"/>
      <c r="Z1369" s="5"/>
      <c r="AA1369" s="5"/>
      <c r="AB1369" s="6"/>
      <c r="AC1369" s="6"/>
      <c r="AD1369" s="6"/>
      <c r="AE1369" s="6"/>
      <c r="AF1369" s="6"/>
      <c r="AG1369" s="6"/>
      <c r="AH1369" s="6"/>
      <c r="AI1369" s="6"/>
      <c r="AJ1369" s="6"/>
      <c r="AK1369" s="6"/>
      <c r="AL1369" s="6"/>
      <c r="AM1369" s="6"/>
      <c r="AN1369" s="6"/>
      <c r="AO1369" s="6"/>
      <c r="AP1369" s="6"/>
      <c r="AQ1369" s="6"/>
      <c r="AR1369" s="6"/>
      <c r="AS1369" s="6"/>
      <c r="AT1369" s="6"/>
      <c r="AU1369" s="6"/>
      <c r="AV1369" s="6"/>
      <c r="AW1369" s="6"/>
      <c r="AX1369" s="6"/>
      <c r="AY1369" s="6"/>
      <c r="AZ1369" s="6"/>
      <c r="BA1369" s="6"/>
      <c r="BB1369" s="6"/>
      <c r="BC1369" s="6"/>
      <c r="BD1369" s="6"/>
      <c r="BE1369" s="6"/>
      <c r="BF1369" s="6"/>
      <c r="BG1369" s="6"/>
      <c r="BH1369" s="6"/>
      <c r="BI1369" s="6"/>
      <c r="BJ1369" s="6"/>
      <c r="BK1369" s="6"/>
      <c r="BL1369" s="6"/>
      <c r="BM1369" s="5"/>
      <c r="BN1369" s="7"/>
      <c r="BO1369" s="7"/>
      <c r="BP1369" s="7"/>
    </row>
    <row r="1370" spans="1:68" s="400" customFormat="1" ht="14.25" customHeight="1" x14ac:dyDescent="0.25">
      <c r="A1370" s="5"/>
      <c r="B1370" s="5"/>
      <c r="C1370" s="5"/>
      <c r="D1370" s="5"/>
      <c r="E1370" s="5"/>
      <c r="F1370" s="5"/>
      <c r="G1370" s="5"/>
      <c r="H1370" s="5"/>
      <c r="I1370" s="5"/>
      <c r="J1370" s="5"/>
      <c r="K1370" s="5"/>
      <c r="L1370" s="5"/>
      <c r="M1370" s="5"/>
      <c r="N1370" s="5"/>
      <c r="O1370" s="5"/>
      <c r="P1370" s="5"/>
      <c r="Q1370" s="5"/>
      <c r="R1370" s="5"/>
      <c r="S1370" s="5"/>
      <c r="T1370" s="5"/>
      <c r="U1370" s="5"/>
      <c r="V1370" s="5"/>
      <c r="W1370" s="5"/>
      <c r="X1370" s="5"/>
      <c r="Y1370" s="5"/>
      <c r="Z1370" s="5"/>
      <c r="AA1370" s="5"/>
      <c r="AB1370" s="6"/>
      <c r="AC1370" s="6"/>
      <c r="AD1370" s="6"/>
      <c r="AE1370" s="6"/>
      <c r="AF1370" s="6"/>
      <c r="AG1370" s="6"/>
      <c r="AH1370" s="6"/>
      <c r="AI1370" s="6"/>
      <c r="AJ1370" s="6"/>
      <c r="AK1370" s="6"/>
      <c r="AL1370" s="6"/>
      <c r="AM1370" s="6"/>
      <c r="AN1370" s="6"/>
      <c r="AO1370" s="6"/>
      <c r="AP1370" s="6"/>
      <c r="AQ1370" s="6"/>
      <c r="AR1370" s="6"/>
      <c r="AS1370" s="6"/>
      <c r="AT1370" s="6"/>
      <c r="AU1370" s="6"/>
      <c r="AV1370" s="6"/>
      <c r="AW1370" s="6"/>
      <c r="AX1370" s="6"/>
      <c r="AY1370" s="6"/>
      <c r="AZ1370" s="6"/>
      <c r="BA1370" s="6"/>
      <c r="BB1370" s="6"/>
      <c r="BC1370" s="6"/>
      <c r="BD1370" s="6"/>
      <c r="BE1370" s="6"/>
      <c r="BF1370" s="6"/>
      <c r="BG1370" s="6"/>
      <c r="BH1370" s="6"/>
      <c r="BI1370" s="6"/>
      <c r="BJ1370" s="6"/>
      <c r="BK1370" s="6"/>
      <c r="BL1370" s="6"/>
      <c r="BM1370" s="5"/>
      <c r="BN1370" s="7"/>
      <c r="BO1370" s="7"/>
      <c r="BP1370" s="7"/>
    </row>
    <row r="1371" spans="1:68" s="400" customFormat="1" ht="14.25" customHeight="1" x14ac:dyDescent="0.25">
      <c r="A1371" s="5"/>
      <c r="B1371" s="5"/>
      <c r="C1371" s="5"/>
      <c r="D1371" s="5"/>
      <c r="E1371" s="5"/>
      <c r="F1371" s="5"/>
      <c r="G1371" s="5"/>
      <c r="H1371" s="5"/>
      <c r="I1371" s="5"/>
      <c r="J1371" s="5"/>
      <c r="K1371" s="5"/>
      <c r="L1371" s="5"/>
      <c r="M1371" s="5"/>
      <c r="N1371" s="5"/>
      <c r="O1371" s="5"/>
      <c r="P1371" s="5"/>
      <c r="Q1371" s="5"/>
      <c r="R1371" s="5"/>
      <c r="S1371" s="5"/>
      <c r="T1371" s="5"/>
      <c r="U1371" s="5"/>
      <c r="V1371" s="5"/>
      <c r="W1371" s="5"/>
      <c r="X1371" s="5"/>
      <c r="Y1371" s="5"/>
      <c r="Z1371" s="5"/>
      <c r="AA1371" s="5"/>
      <c r="AB1371" s="6"/>
      <c r="AC1371" s="6"/>
      <c r="AD1371" s="6"/>
      <c r="AE1371" s="6"/>
      <c r="AF1371" s="6"/>
      <c r="AG1371" s="6"/>
      <c r="AH1371" s="6"/>
      <c r="AI1371" s="6"/>
      <c r="AJ1371" s="6"/>
      <c r="AK1371" s="6"/>
      <c r="AL1371" s="6"/>
      <c r="AM1371" s="6"/>
      <c r="AN1371" s="6"/>
      <c r="AO1371" s="6"/>
      <c r="AP1371" s="6"/>
      <c r="AQ1371" s="6"/>
      <c r="AR1371" s="6"/>
      <c r="AS1371" s="6"/>
      <c r="AT1371" s="6"/>
      <c r="AU1371" s="6"/>
      <c r="AV1371" s="6"/>
      <c r="AW1371" s="6"/>
      <c r="AX1371" s="6"/>
      <c r="AY1371" s="6"/>
      <c r="AZ1371" s="6"/>
      <c r="BA1371" s="6"/>
      <c r="BB1371" s="6"/>
      <c r="BC1371" s="6"/>
      <c r="BD1371" s="6"/>
      <c r="BE1371" s="6"/>
      <c r="BF1371" s="6"/>
      <c r="BG1371" s="6"/>
      <c r="BH1371" s="6"/>
      <c r="BI1371" s="6"/>
      <c r="BJ1371" s="6"/>
      <c r="BK1371" s="6"/>
      <c r="BL1371" s="6"/>
      <c r="BM1371" s="5"/>
      <c r="BN1371" s="7"/>
      <c r="BO1371" s="7"/>
      <c r="BP1371" s="7"/>
    </row>
    <row r="1372" spans="1:68" s="400" customFormat="1" ht="14.25" customHeight="1" x14ac:dyDescent="0.25">
      <c r="A1372" s="5"/>
      <c r="B1372" s="5"/>
      <c r="C1372" s="5"/>
      <c r="D1372" s="5"/>
      <c r="E1372" s="5"/>
      <c r="F1372" s="5"/>
      <c r="G1372" s="5"/>
      <c r="H1372" s="5"/>
      <c r="I1372" s="5"/>
      <c r="J1372" s="5"/>
      <c r="K1372" s="5"/>
      <c r="L1372" s="5"/>
      <c r="M1372" s="5"/>
      <c r="N1372" s="5"/>
      <c r="O1372" s="5"/>
      <c r="P1372" s="5"/>
      <c r="Q1372" s="5"/>
      <c r="R1372" s="5"/>
      <c r="S1372" s="5"/>
      <c r="T1372" s="5"/>
      <c r="U1372" s="5"/>
      <c r="V1372" s="5"/>
      <c r="W1372" s="5"/>
      <c r="X1372" s="5"/>
      <c r="Y1372" s="5"/>
      <c r="Z1372" s="5"/>
      <c r="AA1372" s="5"/>
      <c r="AB1372" s="6"/>
      <c r="AC1372" s="6"/>
      <c r="AD1372" s="6"/>
      <c r="AE1372" s="6"/>
      <c r="AF1372" s="6"/>
      <c r="AG1372" s="6"/>
      <c r="AH1372" s="6"/>
      <c r="AI1372" s="6"/>
      <c r="AJ1372" s="6"/>
      <c r="AK1372" s="6"/>
      <c r="AL1372" s="6"/>
      <c r="AM1372" s="6"/>
      <c r="AN1372" s="6"/>
      <c r="AO1372" s="6"/>
      <c r="AP1372" s="6"/>
      <c r="AQ1372" s="6"/>
      <c r="AR1372" s="6"/>
      <c r="AS1372" s="6"/>
      <c r="AT1372" s="6"/>
      <c r="AU1372" s="6"/>
      <c r="AV1372" s="6"/>
      <c r="AW1372" s="6"/>
      <c r="AX1372" s="6"/>
      <c r="AY1372" s="6"/>
      <c r="AZ1372" s="6"/>
      <c r="BA1372" s="6"/>
      <c r="BB1372" s="6"/>
      <c r="BC1372" s="6"/>
      <c r="BD1372" s="6"/>
      <c r="BE1372" s="6"/>
      <c r="BF1372" s="6"/>
      <c r="BG1372" s="6"/>
      <c r="BH1372" s="6"/>
      <c r="BI1372" s="6"/>
      <c r="BJ1372" s="6"/>
      <c r="BK1372" s="6"/>
      <c r="BL1372" s="6"/>
      <c r="BM1372" s="5"/>
      <c r="BN1372" s="7"/>
      <c r="BO1372" s="7"/>
      <c r="BP1372" s="7"/>
    </row>
    <row r="1373" spans="1:68" s="400" customFormat="1" ht="14.25" customHeight="1" x14ac:dyDescent="0.25">
      <c r="A1373" s="5"/>
      <c r="B1373" s="5"/>
      <c r="C1373" s="5"/>
      <c r="D1373" s="5"/>
      <c r="E1373" s="5"/>
      <c r="F1373" s="5"/>
      <c r="G1373" s="5"/>
      <c r="H1373" s="5"/>
      <c r="I1373" s="5"/>
      <c r="J1373" s="5"/>
      <c r="K1373" s="5"/>
      <c r="L1373" s="5"/>
      <c r="M1373" s="5"/>
      <c r="N1373" s="5"/>
      <c r="O1373" s="5"/>
      <c r="P1373" s="5"/>
      <c r="Q1373" s="5"/>
      <c r="R1373" s="5"/>
      <c r="S1373" s="5"/>
      <c r="T1373" s="5"/>
      <c r="U1373" s="5"/>
      <c r="V1373" s="5"/>
      <c r="W1373" s="5"/>
      <c r="X1373" s="5"/>
      <c r="Y1373" s="5"/>
      <c r="Z1373" s="5"/>
      <c r="AA1373" s="5"/>
      <c r="AB1373" s="6"/>
      <c r="AC1373" s="6"/>
      <c r="AD1373" s="6"/>
      <c r="AE1373" s="6"/>
      <c r="AF1373" s="6"/>
      <c r="AG1373" s="6"/>
      <c r="AH1373" s="6"/>
      <c r="AI1373" s="6"/>
      <c r="AJ1373" s="6"/>
      <c r="AK1373" s="6"/>
      <c r="AL1373" s="6"/>
      <c r="AM1373" s="6"/>
      <c r="AN1373" s="6"/>
      <c r="AO1373" s="6"/>
      <c r="AP1373" s="6"/>
      <c r="AQ1373" s="6"/>
      <c r="AR1373" s="6"/>
      <c r="AS1373" s="6"/>
      <c r="AT1373" s="6"/>
      <c r="AU1373" s="6"/>
      <c r="AV1373" s="6"/>
      <c r="AW1373" s="6"/>
      <c r="AX1373" s="6"/>
      <c r="AY1373" s="6"/>
      <c r="AZ1373" s="6"/>
      <c r="BA1373" s="6"/>
      <c r="BB1373" s="6"/>
      <c r="BC1373" s="6"/>
      <c r="BD1373" s="6"/>
      <c r="BE1373" s="6"/>
      <c r="BF1373" s="6"/>
      <c r="BG1373" s="6"/>
      <c r="BH1373" s="6"/>
      <c r="BI1373" s="6"/>
      <c r="BJ1373" s="6"/>
      <c r="BK1373" s="6"/>
      <c r="BL1373" s="6"/>
      <c r="BM1373" s="5"/>
      <c r="BN1373" s="7"/>
      <c r="BO1373" s="7"/>
      <c r="BP1373" s="7"/>
    </row>
    <row r="1374" spans="1:68" s="400" customFormat="1" ht="14.25" customHeight="1" x14ac:dyDescent="0.25">
      <c r="A1374" s="5"/>
      <c r="B1374" s="5"/>
      <c r="C1374" s="5"/>
      <c r="D1374" s="5"/>
      <c r="E1374" s="5"/>
      <c r="F1374" s="5"/>
      <c r="G1374" s="5"/>
      <c r="H1374" s="5"/>
      <c r="I1374" s="5"/>
      <c r="J1374" s="5"/>
      <c r="K1374" s="5"/>
      <c r="L1374" s="5"/>
      <c r="M1374" s="5"/>
      <c r="N1374" s="5"/>
      <c r="O1374" s="5"/>
      <c r="P1374" s="5"/>
      <c r="Q1374" s="5"/>
      <c r="R1374" s="5"/>
      <c r="S1374" s="5"/>
      <c r="T1374" s="5"/>
      <c r="U1374" s="5"/>
      <c r="V1374" s="5"/>
      <c r="W1374" s="5"/>
      <c r="X1374" s="5"/>
      <c r="Y1374" s="5"/>
      <c r="Z1374" s="5"/>
      <c r="AA1374" s="5"/>
      <c r="AB1374" s="6"/>
      <c r="AC1374" s="6"/>
      <c r="AD1374" s="6"/>
      <c r="AE1374" s="6"/>
      <c r="AF1374" s="6"/>
      <c r="AG1374" s="6"/>
      <c r="AH1374" s="6"/>
      <c r="AI1374" s="6"/>
      <c r="AJ1374" s="6"/>
      <c r="AK1374" s="6"/>
      <c r="AL1374" s="6"/>
      <c r="AM1374" s="6"/>
      <c r="AN1374" s="6"/>
      <c r="AO1374" s="6"/>
      <c r="AP1374" s="6"/>
      <c r="AQ1374" s="6"/>
      <c r="AR1374" s="6"/>
      <c r="AS1374" s="6"/>
      <c r="AT1374" s="6"/>
      <c r="AU1374" s="6"/>
      <c r="AV1374" s="6"/>
      <c r="AW1374" s="6"/>
      <c r="AX1374" s="6"/>
      <c r="AY1374" s="6"/>
      <c r="AZ1374" s="6"/>
      <c r="BA1374" s="6"/>
      <c r="BB1374" s="6"/>
      <c r="BC1374" s="6"/>
      <c r="BD1374" s="6"/>
      <c r="BE1374" s="6"/>
      <c r="BF1374" s="6"/>
      <c r="BG1374" s="6"/>
      <c r="BH1374" s="6"/>
      <c r="BI1374" s="6"/>
      <c r="BJ1374" s="6"/>
      <c r="BK1374" s="6"/>
      <c r="BL1374" s="6"/>
      <c r="BM1374" s="5"/>
      <c r="BN1374" s="7"/>
      <c r="BO1374" s="7"/>
      <c r="BP1374" s="7"/>
    </row>
    <row r="1375" spans="1:68" s="400" customFormat="1" ht="14.25" customHeight="1" x14ac:dyDescent="0.25">
      <c r="A1375" s="5"/>
      <c r="B1375" s="5"/>
      <c r="C1375" s="5"/>
      <c r="D1375" s="5"/>
      <c r="E1375" s="5"/>
      <c r="F1375" s="5"/>
      <c r="G1375" s="5"/>
      <c r="H1375" s="5"/>
      <c r="I1375" s="5"/>
      <c r="J1375" s="5"/>
      <c r="K1375" s="5"/>
      <c r="L1375" s="5"/>
      <c r="M1375" s="5"/>
      <c r="N1375" s="5"/>
      <c r="O1375" s="5"/>
      <c r="P1375" s="5"/>
      <c r="Q1375" s="5"/>
      <c r="R1375" s="5"/>
      <c r="S1375" s="5"/>
      <c r="T1375" s="5"/>
      <c r="U1375" s="5"/>
      <c r="V1375" s="5"/>
      <c r="W1375" s="5"/>
      <c r="X1375" s="5"/>
      <c r="Y1375" s="5"/>
      <c r="Z1375" s="5"/>
      <c r="AA1375" s="5"/>
      <c r="AB1375" s="6"/>
      <c r="AC1375" s="6"/>
      <c r="AD1375" s="6"/>
      <c r="AE1375" s="6"/>
      <c r="AF1375" s="6"/>
      <c r="AG1375" s="6"/>
      <c r="AH1375" s="6"/>
      <c r="AI1375" s="6"/>
      <c r="AJ1375" s="6"/>
      <c r="AK1375" s="6"/>
      <c r="AL1375" s="6"/>
      <c r="AM1375" s="6"/>
      <c r="AN1375" s="6"/>
      <c r="AO1375" s="6"/>
      <c r="AP1375" s="6"/>
      <c r="AQ1375" s="6"/>
      <c r="AR1375" s="6"/>
      <c r="AS1375" s="6"/>
      <c r="AT1375" s="6"/>
      <c r="AU1375" s="6"/>
      <c r="AV1375" s="6"/>
      <c r="AW1375" s="6"/>
      <c r="AX1375" s="6"/>
      <c r="AY1375" s="6"/>
      <c r="AZ1375" s="6"/>
      <c r="BA1375" s="6"/>
      <c r="BB1375" s="6"/>
      <c r="BC1375" s="6"/>
      <c r="BD1375" s="6"/>
      <c r="BE1375" s="6"/>
      <c r="BF1375" s="6"/>
      <c r="BG1375" s="6"/>
      <c r="BH1375" s="6"/>
      <c r="BI1375" s="6"/>
      <c r="BJ1375" s="6"/>
      <c r="BK1375" s="6"/>
      <c r="BL1375" s="6"/>
      <c r="BM1375" s="5"/>
      <c r="BN1375" s="7"/>
      <c r="BO1375" s="7"/>
      <c r="BP1375" s="7"/>
    </row>
    <row r="1376" spans="1:68" s="400" customFormat="1" ht="14.25" customHeight="1" x14ac:dyDescent="0.25">
      <c r="A1376" s="5"/>
      <c r="B1376" s="5"/>
      <c r="C1376" s="5"/>
      <c r="D1376" s="5"/>
      <c r="E1376" s="5"/>
      <c r="F1376" s="5"/>
      <c r="G1376" s="5"/>
      <c r="H1376" s="5"/>
      <c r="I1376" s="5"/>
      <c r="J1376" s="5"/>
      <c r="K1376" s="5"/>
      <c r="L1376" s="5"/>
      <c r="M1376" s="5"/>
      <c r="N1376" s="5"/>
      <c r="O1376" s="5"/>
      <c r="P1376" s="5"/>
      <c r="Q1376" s="5"/>
      <c r="R1376" s="5"/>
      <c r="S1376" s="5"/>
      <c r="T1376" s="5"/>
      <c r="U1376" s="5"/>
      <c r="V1376" s="5"/>
      <c r="W1376" s="5"/>
      <c r="X1376" s="5"/>
      <c r="Y1376" s="5"/>
      <c r="Z1376" s="5"/>
      <c r="AA1376" s="5"/>
      <c r="AB1376" s="6"/>
      <c r="AC1376" s="6"/>
      <c r="AD1376" s="6"/>
      <c r="AE1376" s="6"/>
      <c r="AF1376" s="6"/>
      <c r="AG1376" s="6"/>
      <c r="AH1376" s="6"/>
      <c r="AI1376" s="6"/>
      <c r="AJ1376" s="6"/>
      <c r="AK1376" s="6"/>
      <c r="AL1376" s="6"/>
      <c r="AM1376" s="6"/>
      <c r="AN1376" s="6"/>
      <c r="AO1376" s="6"/>
      <c r="AP1376" s="6"/>
      <c r="AQ1376" s="6"/>
      <c r="AR1376" s="6"/>
      <c r="AS1376" s="6"/>
      <c r="AT1376" s="6"/>
      <c r="AU1376" s="6"/>
      <c r="AV1376" s="6"/>
      <c r="AW1376" s="6"/>
      <c r="AX1376" s="6"/>
      <c r="AY1376" s="6"/>
      <c r="AZ1376" s="6"/>
      <c r="BA1376" s="6"/>
      <c r="BB1376" s="6"/>
      <c r="BC1376" s="6"/>
      <c r="BD1376" s="6"/>
      <c r="BE1376" s="6"/>
      <c r="BF1376" s="6"/>
      <c r="BG1376" s="6"/>
      <c r="BH1376" s="6"/>
      <c r="BI1376" s="6"/>
      <c r="BJ1376" s="6"/>
      <c r="BK1376" s="6"/>
      <c r="BL1376" s="6"/>
      <c r="BM1376" s="5"/>
      <c r="BN1376" s="7"/>
      <c r="BO1376" s="7"/>
      <c r="BP1376" s="7"/>
    </row>
    <row r="1377" spans="1:68" s="400" customFormat="1" ht="14.25" customHeight="1" x14ac:dyDescent="0.25">
      <c r="A1377" s="5"/>
      <c r="B1377" s="5"/>
      <c r="C1377" s="5"/>
      <c r="D1377" s="5"/>
      <c r="E1377" s="5"/>
      <c r="F1377" s="5"/>
      <c r="G1377" s="5"/>
      <c r="H1377" s="5"/>
      <c r="I1377" s="5"/>
      <c r="J1377" s="5"/>
      <c r="K1377" s="5"/>
      <c r="L1377" s="5"/>
      <c r="M1377" s="5"/>
      <c r="N1377" s="5"/>
      <c r="O1377" s="5"/>
      <c r="P1377" s="5"/>
      <c r="Q1377" s="5"/>
      <c r="R1377" s="5"/>
      <c r="S1377" s="5"/>
      <c r="T1377" s="5"/>
      <c r="U1377" s="5"/>
      <c r="V1377" s="5"/>
      <c r="W1377" s="5"/>
      <c r="X1377" s="5"/>
      <c r="Y1377" s="5"/>
      <c r="Z1377" s="5"/>
      <c r="AA1377" s="5"/>
      <c r="AB1377" s="6"/>
      <c r="AC1377" s="6"/>
      <c r="AD1377" s="6"/>
      <c r="AE1377" s="6"/>
      <c r="AF1377" s="6"/>
      <c r="AG1377" s="6"/>
      <c r="AH1377" s="6"/>
      <c r="AI1377" s="6"/>
      <c r="AJ1377" s="6"/>
      <c r="AK1377" s="6"/>
      <c r="AL1377" s="6"/>
      <c r="AM1377" s="6"/>
      <c r="AN1377" s="6"/>
      <c r="AO1377" s="6"/>
      <c r="AP1377" s="6"/>
      <c r="AQ1377" s="6"/>
      <c r="AR1377" s="6"/>
      <c r="AS1377" s="6"/>
      <c r="AT1377" s="6"/>
      <c r="AU1377" s="6"/>
      <c r="AV1377" s="6"/>
      <c r="AW1377" s="6"/>
      <c r="AX1377" s="6"/>
      <c r="AY1377" s="6"/>
      <c r="AZ1377" s="6"/>
      <c r="BA1377" s="6"/>
      <c r="BB1377" s="6"/>
      <c r="BC1377" s="6"/>
      <c r="BD1377" s="6"/>
      <c r="BE1377" s="6"/>
      <c r="BF1377" s="6"/>
      <c r="BG1377" s="6"/>
      <c r="BH1377" s="6"/>
      <c r="BI1377" s="6"/>
      <c r="BJ1377" s="6"/>
      <c r="BK1377" s="6"/>
      <c r="BL1377" s="6"/>
      <c r="BM1377" s="5"/>
      <c r="BN1377" s="7"/>
      <c r="BO1377" s="7"/>
      <c r="BP1377" s="7"/>
    </row>
    <row r="1378" spans="1:68" s="400" customFormat="1" ht="14.25" customHeight="1" x14ac:dyDescent="0.25">
      <c r="A1378" s="5"/>
      <c r="B1378" s="5"/>
      <c r="C1378" s="5"/>
      <c r="D1378" s="5"/>
      <c r="E1378" s="5"/>
      <c r="F1378" s="5"/>
      <c r="G1378" s="5"/>
      <c r="H1378" s="5"/>
      <c r="I1378" s="5"/>
      <c r="J1378" s="5"/>
      <c r="K1378" s="5"/>
      <c r="L1378" s="5"/>
      <c r="M1378" s="5"/>
      <c r="N1378" s="5"/>
      <c r="O1378" s="5"/>
      <c r="P1378" s="5"/>
      <c r="Q1378" s="5"/>
      <c r="R1378" s="5"/>
      <c r="S1378" s="5"/>
      <c r="T1378" s="5"/>
      <c r="U1378" s="5"/>
      <c r="V1378" s="5"/>
      <c r="W1378" s="5"/>
      <c r="X1378" s="5"/>
      <c r="Y1378" s="5"/>
      <c r="Z1378" s="5"/>
      <c r="AA1378" s="5"/>
      <c r="AB1378" s="6"/>
      <c r="AC1378" s="6"/>
      <c r="AD1378" s="6"/>
      <c r="AE1378" s="6"/>
      <c r="AF1378" s="6"/>
      <c r="AG1378" s="6"/>
      <c r="AH1378" s="6"/>
      <c r="AI1378" s="6"/>
      <c r="AJ1378" s="6"/>
      <c r="AK1378" s="6"/>
      <c r="AL1378" s="6"/>
      <c r="AM1378" s="6"/>
      <c r="AN1378" s="6"/>
      <c r="AO1378" s="6"/>
      <c r="AP1378" s="6"/>
      <c r="AQ1378" s="6"/>
      <c r="AR1378" s="6"/>
      <c r="AS1378" s="6"/>
      <c r="AT1378" s="6"/>
      <c r="AU1378" s="6"/>
      <c r="AV1378" s="6"/>
      <c r="AW1378" s="6"/>
      <c r="AX1378" s="6"/>
      <c r="AY1378" s="6"/>
      <c r="AZ1378" s="6"/>
      <c r="BA1378" s="6"/>
      <c r="BB1378" s="6"/>
      <c r="BC1378" s="6"/>
      <c r="BD1378" s="6"/>
      <c r="BE1378" s="6"/>
      <c r="BF1378" s="6"/>
      <c r="BG1378" s="6"/>
      <c r="BH1378" s="6"/>
      <c r="BI1378" s="6"/>
      <c r="BJ1378" s="6"/>
      <c r="BK1378" s="6"/>
      <c r="BL1378" s="6"/>
      <c r="BM1378" s="5"/>
      <c r="BN1378" s="7"/>
      <c r="BO1378" s="7"/>
      <c r="BP1378" s="7"/>
    </row>
    <row r="1379" spans="1:68" s="400" customFormat="1" ht="14.25" customHeight="1" x14ac:dyDescent="0.25">
      <c r="A1379" s="5"/>
      <c r="B1379" s="5"/>
      <c r="C1379" s="5"/>
      <c r="D1379" s="5"/>
      <c r="E1379" s="5"/>
      <c r="F1379" s="5"/>
      <c r="G1379" s="5"/>
      <c r="H1379" s="5"/>
      <c r="I1379" s="5"/>
      <c r="J1379" s="5"/>
      <c r="K1379" s="5"/>
      <c r="L1379" s="5"/>
      <c r="M1379" s="5"/>
      <c r="N1379" s="5"/>
      <c r="O1379" s="5"/>
      <c r="P1379" s="5"/>
      <c r="Q1379" s="5"/>
      <c r="R1379" s="5"/>
      <c r="S1379" s="5"/>
      <c r="T1379" s="5"/>
      <c r="U1379" s="5"/>
      <c r="V1379" s="5"/>
      <c r="W1379" s="5"/>
      <c r="X1379" s="5"/>
      <c r="Y1379" s="5"/>
      <c r="Z1379" s="5"/>
      <c r="AA1379" s="5"/>
      <c r="AB1379" s="6"/>
      <c r="AC1379" s="6"/>
      <c r="AD1379" s="6"/>
      <c r="AE1379" s="6"/>
      <c r="AF1379" s="6"/>
      <c r="AG1379" s="6"/>
      <c r="AH1379" s="6"/>
      <c r="AI1379" s="6"/>
      <c r="AJ1379" s="6"/>
      <c r="AK1379" s="6"/>
      <c r="AL1379" s="6"/>
      <c r="AM1379" s="6"/>
      <c r="AN1379" s="6"/>
      <c r="AO1379" s="6"/>
      <c r="AP1379" s="6"/>
      <c r="AQ1379" s="6"/>
      <c r="AR1379" s="6"/>
      <c r="AS1379" s="6"/>
      <c r="AT1379" s="6"/>
      <c r="AU1379" s="6"/>
      <c r="AV1379" s="6"/>
      <c r="AW1379" s="6"/>
      <c r="AX1379" s="6"/>
      <c r="AY1379" s="6"/>
      <c r="AZ1379" s="6"/>
      <c r="BA1379" s="6"/>
      <c r="BB1379" s="6"/>
      <c r="BC1379" s="6"/>
      <c r="BD1379" s="6"/>
      <c r="BE1379" s="6"/>
      <c r="BF1379" s="6"/>
      <c r="BG1379" s="6"/>
      <c r="BH1379" s="6"/>
      <c r="BI1379" s="6"/>
      <c r="BJ1379" s="6"/>
      <c r="BK1379" s="6"/>
      <c r="BL1379" s="6"/>
      <c r="BM1379" s="5"/>
      <c r="BN1379" s="7"/>
      <c r="BO1379" s="7"/>
      <c r="BP1379" s="7"/>
    </row>
    <row r="1380" spans="1:68" s="400" customFormat="1" ht="14.25" customHeight="1" x14ac:dyDescent="0.25">
      <c r="A1380" s="5"/>
      <c r="B1380" s="5"/>
      <c r="C1380" s="5"/>
      <c r="D1380" s="5"/>
      <c r="E1380" s="5"/>
      <c r="F1380" s="5"/>
      <c r="G1380" s="5"/>
      <c r="H1380" s="5"/>
      <c r="I1380" s="5"/>
      <c r="J1380" s="5"/>
      <c r="K1380" s="5"/>
      <c r="L1380" s="5"/>
      <c r="M1380" s="5"/>
      <c r="N1380" s="5"/>
      <c r="O1380" s="5"/>
      <c r="P1380" s="5"/>
      <c r="Q1380" s="5"/>
      <c r="R1380" s="5"/>
      <c r="S1380" s="5"/>
      <c r="T1380" s="5"/>
      <c r="U1380" s="5"/>
      <c r="V1380" s="5"/>
      <c r="W1380" s="5"/>
      <c r="X1380" s="5"/>
      <c r="Y1380" s="5"/>
      <c r="Z1380" s="5"/>
      <c r="AA1380" s="5"/>
      <c r="AB1380" s="6"/>
      <c r="AC1380" s="6"/>
      <c r="AD1380" s="6"/>
      <c r="AE1380" s="6"/>
      <c r="AF1380" s="6"/>
      <c r="AG1380" s="6"/>
      <c r="AH1380" s="6"/>
      <c r="AI1380" s="6"/>
      <c r="AJ1380" s="6"/>
      <c r="AK1380" s="6"/>
      <c r="AL1380" s="6"/>
      <c r="AM1380" s="6"/>
      <c r="AN1380" s="6"/>
      <c r="AO1380" s="6"/>
      <c r="AP1380" s="6"/>
      <c r="AQ1380" s="6"/>
      <c r="AR1380" s="6"/>
      <c r="AS1380" s="6"/>
      <c r="AT1380" s="6"/>
      <c r="AU1380" s="6"/>
      <c r="AV1380" s="6"/>
      <c r="AW1380" s="6"/>
      <c r="AX1380" s="6"/>
      <c r="AY1380" s="6"/>
      <c r="AZ1380" s="6"/>
      <c r="BA1380" s="6"/>
      <c r="BB1380" s="6"/>
      <c r="BC1380" s="6"/>
      <c r="BD1380" s="6"/>
      <c r="BE1380" s="6"/>
      <c r="BF1380" s="6"/>
      <c r="BG1380" s="6"/>
      <c r="BH1380" s="6"/>
      <c r="BI1380" s="6"/>
      <c r="BJ1380" s="6"/>
      <c r="BK1380" s="6"/>
      <c r="BL1380" s="6"/>
      <c r="BM1380" s="5"/>
      <c r="BN1380" s="7"/>
      <c r="BO1380" s="7"/>
      <c r="BP1380" s="7"/>
    </row>
    <row r="1381" spans="1:68" s="400" customFormat="1" ht="14.25" customHeight="1" x14ac:dyDescent="0.25">
      <c r="A1381" s="5"/>
      <c r="B1381" s="5"/>
      <c r="C1381" s="5"/>
      <c r="D1381" s="5"/>
      <c r="E1381" s="5"/>
      <c r="F1381" s="5"/>
      <c r="G1381" s="5"/>
      <c r="H1381" s="5"/>
      <c r="I1381" s="5"/>
      <c r="J1381" s="5"/>
      <c r="K1381" s="5"/>
      <c r="L1381" s="5"/>
      <c r="M1381" s="5"/>
      <c r="N1381" s="5"/>
      <c r="O1381" s="5"/>
      <c r="P1381" s="5"/>
      <c r="Q1381" s="5"/>
      <c r="R1381" s="5"/>
      <c r="S1381" s="5"/>
      <c r="T1381" s="5"/>
      <c r="U1381" s="5"/>
      <c r="V1381" s="5"/>
      <c r="W1381" s="5"/>
      <c r="X1381" s="5"/>
      <c r="Y1381" s="5"/>
      <c r="Z1381" s="5"/>
      <c r="AA1381" s="5"/>
      <c r="AB1381" s="6"/>
      <c r="AC1381" s="6"/>
      <c r="AD1381" s="6"/>
      <c r="AE1381" s="6"/>
      <c r="AF1381" s="6"/>
      <c r="AG1381" s="6"/>
      <c r="AH1381" s="6"/>
      <c r="AI1381" s="6"/>
      <c r="AJ1381" s="6"/>
      <c r="AK1381" s="6"/>
      <c r="AL1381" s="6"/>
      <c r="AM1381" s="6"/>
      <c r="AN1381" s="6"/>
      <c r="AO1381" s="6"/>
      <c r="AP1381" s="6"/>
      <c r="AQ1381" s="6"/>
      <c r="AR1381" s="6"/>
      <c r="AS1381" s="6"/>
      <c r="AT1381" s="6"/>
      <c r="AU1381" s="6"/>
      <c r="AV1381" s="6"/>
      <c r="AW1381" s="6"/>
      <c r="AX1381" s="6"/>
      <c r="AY1381" s="6"/>
      <c r="AZ1381" s="6"/>
      <c r="BA1381" s="6"/>
      <c r="BB1381" s="6"/>
      <c r="BC1381" s="6"/>
      <c r="BD1381" s="6"/>
      <c r="BE1381" s="6"/>
      <c r="BF1381" s="6"/>
      <c r="BG1381" s="6"/>
      <c r="BH1381" s="6"/>
      <c r="BI1381" s="6"/>
      <c r="BJ1381" s="6"/>
      <c r="BK1381" s="6"/>
      <c r="BL1381" s="6"/>
      <c r="BM1381" s="5"/>
      <c r="BN1381" s="7"/>
      <c r="BO1381" s="7"/>
      <c r="BP1381" s="7"/>
    </row>
    <row r="1382" spans="1:68" s="400" customFormat="1" ht="14.25" customHeight="1" x14ac:dyDescent="0.25">
      <c r="A1382" s="5"/>
      <c r="B1382" s="5"/>
      <c r="C1382" s="5"/>
      <c r="D1382" s="5"/>
      <c r="E1382" s="5"/>
      <c r="F1382" s="5"/>
      <c r="G1382" s="5"/>
      <c r="H1382" s="5"/>
      <c r="I1382" s="5"/>
      <c r="J1382" s="5"/>
      <c r="K1382" s="5"/>
      <c r="L1382" s="5"/>
      <c r="M1382" s="5"/>
      <c r="N1382" s="5"/>
      <c r="O1382" s="5"/>
      <c r="P1382" s="5"/>
      <c r="Q1382" s="5"/>
      <c r="R1382" s="5"/>
      <c r="S1382" s="5"/>
      <c r="T1382" s="5"/>
      <c r="U1382" s="5"/>
      <c r="V1382" s="5"/>
      <c r="W1382" s="5"/>
      <c r="X1382" s="5"/>
      <c r="Y1382" s="5"/>
      <c r="Z1382" s="5"/>
      <c r="AA1382" s="5"/>
      <c r="AB1382" s="6"/>
      <c r="AC1382" s="6"/>
      <c r="AD1382" s="6"/>
      <c r="AE1382" s="6"/>
      <c r="AF1382" s="6"/>
      <c r="AG1382" s="6"/>
      <c r="AH1382" s="6"/>
      <c r="AI1382" s="6"/>
      <c r="AJ1382" s="6"/>
      <c r="AK1382" s="6"/>
      <c r="AL1382" s="6"/>
      <c r="AM1382" s="6"/>
      <c r="AN1382" s="6"/>
      <c r="AO1382" s="6"/>
      <c r="AP1382" s="6"/>
      <c r="AQ1382" s="6"/>
      <c r="AR1382" s="6"/>
      <c r="AS1382" s="6"/>
      <c r="AT1382" s="6"/>
      <c r="AU1382" s="6"/>
      <c r="AV1382" s="6"/>
      <c r="AW1382" s="6"/>
      <c r="AX1382" s="6"/>
      <c r="AY1382" s="6"/>
      <c r="AZ1382" s="6"/>
      <c r="BA1382" s="6"/>
      <c r="BB1382" s="6"/>
      <c r="BC1382" s="6"/>
      <c r="BD1382" s="6"/>
      <c r="BE1382" s="6"/>
      <c r="BF1382" s="6"/>
      <c r="BG1382" s="6"/>
      <c r="BH1382" s="6"/>
      <c r="BI1382" s="6"/>
      <c r="BJ1382" s="6"/>
      <c r="BK1382" s="6"/>
      <c r="BL1382" s="6"/>
      <c r="BM1382" s="5"/>
      <c r="BN1382" s="7"/>
      <c r="BO1382" s="7"/>
      <c r="BP1382" s="7"/>
    </row>
    <row r="1383" spans="1:68" s="400" customFormat="1" ht="14.25" customHeight="1" x14ac:dyDescent="0.25">
      <c r="A1383" s="5"/>
      <c r="B1383" s="5"/>
      <c r="C1383" s="5"/>
      <c r="D1383" s="5"/>
      <c r="E1383" s="5"/>
      <c r="F1383" s="5"/>
      <c r="G1383" s="5"/>
      <c r="H1383" s="5"/>
      <c r="I1383" s="5"/>
      <c r="J1383" s="5"/>
      <c r="K1383" s="5"/>
      <c r="L1383" s="5"/>
      <c r="M1383" s="5"/>
      <c r="N1383" s="5"/>
      <c r="O1383" s="5"/>
      <c r="P1383" s="5"/>
      <c r="Q1383" s="5"/>
      <c r="R1383" s="5"/>
      <c r="S1383" s="5"/>
      <c r="T1383" s="5"/>
      <c r="U1383" s="5"/>
      <c r="V1383" s="5"/>
      <c r="W1383" s="5"/>
      <c r="X1383" s="5"/>
      <c r="Y1383" s="5"/>
      <c r="Z1383" s="5"/>
      <c r="AA1383" s="5"/>
      <c r="AB1383" s="6"/>
      <c r="AC1383" s="6"/>
      <c r="AD1383" s="6"/>
      <c r="AE1383" s="6"/>
      <c r="AF1383" s="6"/>
      <c r="AG1383" s="6"/>
      <c r="AH1383" s="6"/>
      <c r="AI1383" s="6"/>
      <c r="AJ1383" s="6"/>
      <c r="AK1383" s="6"/>
      <c r="AL1383" s="6"/>
      <c r="AM1383" s="6"/>
      <c r="AN1383" s="6"/>
      <c r="AO1383" s="6"/>
      <c r="AP1383" s="6"/>
      <c r="AQ1383" s="6"/>
      <c r="AR1383" s="6"/>
      <c r="AS1383" s="6"/>
      <c r="AT1383" s="6"/>
      <c r="AU1383" s="6"/>
      <c r="AV1383" s="6"/>
      <c r="AW1383" s="6"/>
      <c r="AX1383" s="6"/>
      <c r="AY1383" s="6"/>
      <c r="AZ1383" s="6"/>
      <c r="BA1383" s="6"/>
      <c r="BB1383" s="6"/>
      <c r="BC1383" s="6"/>
      <c r="BD1383" s="6"/>
      <c r="BE1383" s="6"/>
      <c r="BF1383" s="6"/>
      <c r="BG1383" s="6"/>
      <c r="BH1383" s="6"/>
      <c r="BI1383" s="6"/>
      <c r="BJ1383" s="6"/>
      <c r="BK1383" s="6"/>
      <c r="BL1383" s="6"/>
      <c r="BM1383" s="5"/>
      <c r="BN1383" s="7"/>
      <c r="BO1383" s="7"/>
      <c r="BP1383" s="7"/>
    </row>
    <row r="1384" spans="1:68" s="400" customFormat="1" ht="14.25" customHeight="1" x14ac:dyDescent="0.25">
      <c r="A1384" s="5"/>
      <c r="B1384" s="5"/>
      <c r="C1384" s="5"/>
      <c r="D1384" s="5"/>
      <c r="E1384" s="5"/>
      <c r="F1384" s="5"/>
      <c r="G1384" s="5"/>
      <c r="H1384" s="5"/>
      <c r="I1384" s="5"/>
      <c r="J1384" s="5"/>
      <c r="K1384" s="5"/>
      <c r="L1384" s="5"/>
      <c r="M1384" s="5"/>
      <c r="N1384" s="5"/>
      <c r="O1384" s="5"/>
      <c r="P1384" s="5"/>
      <c r="Q1384" s="5"/>
      <c r="R1384" s="5"/>
      <c r="S1384" s="5"/>
      <c r="T1384" s="5"/>
      <c r="U1384" s="5"/>
      <c r="V1384" s="5"/>
      <c r="W1384" s="5"/>
      <c r="X1384" s="5"/>
      <c r="Y1384" s="5"/>
      <c r="Z1384" s="5"/>
      <c r="AA1384" s="5"/>
      <c r="AB1384" s="6"/>
      <c r="AC1384" s="6"/>
      <c r="AD1384" s="6"/>
      <c r="AE1384" s="6"/>
      <c r="AF1384" s="6"/>
      <c r="AG1384" s="6"/>
      <c r="AH1384" s="6"/>
      <c r="AI1384" s="6"/>
      <c r="AJ1384" s="6"/>
      <c r="AK1384" s="6"/>
      <c r="AL1384" s="6"/>
      <c r="AM1384" s="6"/>
      <c r="AN1384" s="6"/>
      <c r="AO1384" s="6"/>
      <c r="AP1384" s="6"/>
      <c r="AQ1384" s="6"/>
      <c r="AR1384" s="6"/>
      <c r="AS1384" s="6"/>
      <c r="AT1384" s="6"/>
      <c r="AU1384" s="6"/>
      <c r="AV1384" s="6"/>
      <c r="AW1384" s="6"/>
      <c r="AX1384" s="6"/>
      <c r="AY1384" s="6"/>
      <c r="AZ1384" s="6"/>
      <c r="BA1384" s="6"/>
      <c r="BB1384" s="6"/>
      <c r="BC1384" s="6"/>
      <c r="BD1384" s="6"/>
      <c r="BE1384" s="6"/>
      <c r="BF1384" s="6"/>
      <c r="BG1384" s="6"/>
      <c r="BH1384" s="6"/>
      <c r="BI1384" s="6"/>
      <c r="BJ1384" s="6"/>
      <c r="BK1384" s="6"/>
      <c r="BL1384" s="6"/>
      <c r="BM1384" s="5"/>
      <c r="BN1384" s="7"/>
      <c r="BO1384" s="7"/>
      <c r="BP1384" s="7"/>
    </row>
    <row r="1385" spans="1:68" s="400" customFormat="1" ht="14.25" customHeight="1" x14ac:dyDescent="0.25">
      <c r="A1385" s="5"/>
      <c r="B1385" s="5"/>
      <c r="C1385" s="5"/>
      <c r="D1385" s="5"/>
      <c r="E1385" s="5"/>
      <c r="F1385" s="5"/>
      <c r="G1385" s="5"/>
      <c r="H1385" s="5"/>
      <c r="I1385" s="5"/>
      <c r="J1385" s="5"/>
      <c r="K1385" s="5"/>
      <c r="L1385" s="5"/>
      <c r="M1385" s="5"/>
      <c r="N1385" s="5"/>
      <c r="O1385" s="5"/>
      <c r="P1385" s="5"/>
      <c r="Q1385" s="5"/>
      <c r="R1385" s="5"/>
      <c r="S1385" s="5"/>
      <c r="T1385" s="5"/>
      <c r="U1385" s="5"/>
      <c r="V1385" s="5"/>
      <c r="W1385" s="5"/>
      <c r="X1385" s="5"/>
      <c r="Y1385" s="5"/>
      <c r="Z1385" s="5"/>
      <c r="AA1385" s="5"/>
      <c r="AB1385" s="6"/>
      <c r="AC1385" s="6"/>
      <c r="AD1385" s="6"/>
      <c r="AE1385" s="6"/>
      <c r="AF1385" s="6"/>
      <c r="AG1385" s="6"/>
      <c r="AH1385" s="6"/>
      <c r="AI1385" s="6"/>
      <c r="AJ1385" s="6"/>
      <c r="AK1385" s="6"/>
      <c r="AL1385" s="6"/>
      <c r="AM1385" s="6"/>
      <c r="AN1385" s="6"/>
      <c r="AO1385" s="6"/>
      <c r="AP1385" s="6"/>
      <c r="AQ1385" s="6"/>
      <c r="AR1385" s="6"/>
      <c r="AS1385" s="6"/>
      <c r="AT1385" s="6"/>
      <c r="AU1385" s="6"/>
      <c r="AV1385" s="6"/>
      <c r="AW1385" s="6"/>
      <c r="AX1385" s="6"/>
      <c r="AY1385" s="6"/>
      <c r="AZ1385" s="6"/>
      <c r="BA1385" s="6"/>
      <c r="BB1385" s="6"/>
      <c r="BC1385" s="6"/>
      <c r="BD1385" s="6"/>
      <c r="BE1385" s="6"/>
      <c r="BF1385" s="6"/>
      <c r="BG1385" s="6"/>
      <c r="BH1385" s="6"/>
      <c r="BI1385" s="6"/>
      <c r="BJ1385" s="6"/>
      <c r="BK1385" s="6"/>
      <c r="BL1385" s="6"/>
      <c r="BM1385" s="5"/>
      <c r="BN1385" s="7"/>
      <c r="BO1385" s="7"/>
      <c r="BP1385" s="7"/>
    </row>
    <row r="1386" spans="1:68" s="400" customFormat="1" ht="14.25" customHeight="1" x14ac:dyDescent="0.25">
      <c r="A1386" s="5"/>
      <c r="B1386" s="5"/>
      <c r="C1386" s="5"/>
      <c r="D1386" s="5"/>
      <c r="E1386" s="5"/>
      <c r="F1386" s="5"/>
      <c r="G1386" s="5"/>
      <c r="H1386" s="5"/>
      <c r="I1386" s="5"/>
      <c r="J1386" s="5"/>
      <c r="K1386" s="5"/>
      <c r="L1386" s="5"/>
      <c r="M1386" s="5"/>
      <c r="N1386" s="5"/>
      <c r="O1386" s="5"/>
      <c r="P1386" s="5"/>
      <c r="Q1386" s="5"/>
      <c r="R1386" s="5"/>
      <c r="S1386" s="5"/>
      <c r="T1386" s="5"/>
      <c r="U1386" s="5"/>
      <c r="V1386" s="5"/>
      <c r="W1386" s="5"/>
      <c r="X1386" s="5"/>
      <c r="Y1386" s="5"/>
      <c r="Z1386" s="5"/>
      <c r="AA1386" s="5"/>
      <c r="AB1386" s="6"/>
      <c r="AC1386" s="6"/>
      <c r="AD1386" s="6"/>
      <c r="AE1386" s="6"/>
      <c r="AF1386" s="6"/>
      <c r="AG1386" s="6"/>
      <c r="AH1386" s="6"/>
      <c r="AI1386" s="6"/>
      <c r="AJ1386" s="6"/>
      <c r="AK1386" s="6"/>
      <c r="AL1386" s="6"/>
      <c r="AM1386" s="6"/>
      <c r="AN1386" s="6"/>
      <c r="AO1386" s="6"/>
      <c r="AP1386" s="6"/>
      <c r="AQ1386" s="6"/>
      <c r="AR1386" s="6"/>
      <c r="AS1386" s="6"/>
      <c r="AT1386" s="6"/>
      <c r="AU1386" s="6"/>
      <c r="AV1386" s="6"/>
      <c r="AW1386" s="6"/>
      <c r="AX1386" s="6"/>
      <c r="AY1386" s="6"/>
      <c r="AZ1386" s="6"/>
      <c r="BA1386" s="6"/>
      <c r="BB1386" s="6"/>
      <c r="BC1386" s="6"/>
      <c r="BD1386" s="6"/>
      <c r="BE1386" s="6"/>
      <c r="BF1386" s="6"/>
      <c r="BG1386" s="6"/>
      <c r="BH1386" s="6"/>
      <c r="BI1386" s="6"/>
      <c r="BJ1386" s="6"/>
      <c r="BK1386" s="6"/>
      <c r="BL1386" s="6"/>
      <c r="BM1386" s="5"/>
      <c r="BN1386" s="7"/>
      <c r="BO1386" s="7"/>
      <c r="BP1386" s="7"/>
    </row>
    <row r="1387" spans="1:68" s="400" customFormat="1" ht="14.25" customHeight="1" x14ac:dyDescent="0.25">
      <c r="A1387" s="5"/>
      <c r="B1387" s="5"/>
      <c r="C1387" s="5"/>
      <c r="D1387" s="5"/>
      <c r="E1387" s="5"/>
      <c r="F1387" s="5"/>
      <c r="G1387" s="5"/>
      <c r="H1387" s="5"/>
      <c r="I1387" s="5"/>
      <c r="J1387" s="5"/>
      <c r="K1387" s="5"/>
      <c r="L1387" s="5"/>
      <c r="M1387" s="5"/>
      <c r="N1387" s="5"/>
      <c r="O1387" s="5"/>
      <c r="P1387" s="5"/>
      <c r="Q1387" s="5"/>
      <c r="R1387" s="5"/>
      <c r="S1387" s="5"/>
      <c r="T1387" s="5"/>
      <c r="U1387" s="5"/>
      <c r="V1387" s="5"/>
      <c r="W1387" s="5"/>
      <c r="X1387" s="5"/>
      <c r="Y1387" s="5"/>
      <c r="Z1387" s="5"/>
      <c r="AA1387" s="5"/>
      <c r="AB1387" s="6"/>
      <c r="AC1387" s="6"/>
      <c r="AD1387" s="6"/>
      <c r="AE1387" s="6"/>
      <c r="AF1387" s="6"/>
      <c r="AG1387" s="6"/>
      <c r="AH1387" s="6"/>
      <c r="AI1387" s="6"/>
      <c r="AJ1387" s="6"/>
      <c r="AK1387" s="6"/>
      <c r="AL1387" s="6"/>
      <c r="AM1387" s="6"/>
      <c r="AN1387" s="6"/>
      <c r="AO1387" s="6"/>
      <c r="AP1387" s="6"/>
      <c r="AQ1387" s="6"/>
      <c r="AR1387" s="6"/>
      <c r="AS1387" s="6"/>
      <c r="AT1387" s="6"/>
      <c r="AU1387" s="6"/>
      <c r="AV1387" s="6"/>
      <c r="AW1387" s="6"/>
      <c r="AX1387" s="6"/>
      <c r="AY1387" s="6"/>
      <c r="AZ1387" s="6"/>
      <c r="BA1387" s="6"/>
      <c r="BB1387" s="6"/>
      <c r="BC1387" s="6"/>
      <c r="BD1387" s="6"/>
      <c r="BE1387" s="6"/>
      <c r="BF1387" s="6"/>
      <c r="BG1387" s="6"/>
      <c r="BH1387" s="6"/>
      <c r="BI1387" s="6"/>
      <c r="BJ1387" s="6"/>
      <c r="BK1387" s="6"/>
      <c r="BL1387" s="6"/>
      <c r="BM1387" s="5"/>
      <c r="BN1387" s="7"/>
      <c r="BO1387" s="7"/>
      <c r="BP1387" s="7"/>
    </row>
    <row r="1388" spans="1:68" s="400" customFormat="1" ht="14.25" customHeight="1" x14ac:dyDescent="0.25">
      <c r="A1388" s="5"/>
      <c r="B1388" s="5"/>
      <c r="C1388" s="5"/>
      <c r="D1388" s="5"/>
      <c r="E1388" s="5"/>
      <c r="F1388" s="5"/>
      <c r="G1388" s="5"/>
      <c r="H1388" s="5"/>
      <c r="I1388" s="5"/>
      <c r="J1388" s="5"/>
      <c r="K1388" s="5"/>
      <c r="L1388" s="5"/>
      <c r="M1388" s="5"/>
      <c r="N1388" s="5"/>
      <c r="O1388" s="5"/>
      <c r="P1388" s="5"/>
      <c r="Q1388" s="5"/>
      <c r="R1388" s="5"/>
      <c r="S1388" s="5"/>
      <c r="T1388" s="5"/>
      <c r="U1388" s="5"/>
      <c r="V1388" s="5"/>
      <c r="W1388" s="5"/>
      <c r="X1388" s="5"/>
      <c r="Y1388" s="5"/>
      <c r="Z1388" s="5"/>
      <c r="AA1388" s="5"/>
      <c r="AB1388" s="6"/>
      <c r="AC1388" s="6"/>
      <c r="AD1388" s="6"/>
      <c r="AE1388" s="6"/>
      <c r="AF1388" s="6"/>
      <c r="AG1388" s="6"/>
      <c r="AH1388" s="6"/>
      <c r="AI1388" s="6"/>
      <c r="AJ1388" s="6"/>
      <c r="AK1388" s="6"/>
      <c r="AL1388" s="6"/>
      <c r="AM1388" s="6"/>
      <c r="AN1388" s="6"/>
      <c r="AO1388" s="6"/>
      <c r="AP1388" s="6"/>
      <c r="AQ1388" s="6"/>
      <c r="AR1388" s="6"/>
      <c r="AS1388" s="6"/>
      <c r="AT1388" s="6"/>
      <c r="AU1388" s="6"/>
      <c r="AV1388" s="6"/>
      <c r="AW1388" s="6"/>
      <c r="AX1388" s="6"/>
      <c r="AY1388" s="6"/>
      <c r="AZ1388" s="6"/>
      <c r="BA1388" s="6"/>
      <c r="BB1388" s="6"/>
      <c r="BC1388" s="6"/>
      <c r="BD1388" s="6"/>
      <c r="BE1388" s="6"/>
      <c r="BF1388" s="6"/>
      <c r="BG1388" s="6"/>
      <c r="BH1388" s="6"/>
      <c r="BI1388" s="6"/>
      <c r="BJ1388" s="6"/>
      <c r="BK1388" s="6"/>
      <c r="BL1388" s="6"/>
      <c r="BM1388" s="5"/>
      <c r="BN1388" s="7"/>
      <c r="BO1388" s="7"/>
      <c r="BP1388" s="7"/>
    </row>
    <row r="1389" spans="1:68" s="400" customFormat="1" ht="14.25" customHeight="1" x14ac:dyDescent="0.25">
      <c r="A1389" s="5"/>
      <c r="B1389" s="5"/>
      <c r="C1389" s="5"/>
      <c r="D1389" s="5"/>
      <c r="E1389" s="5"/>
      <c r="F1389" s="5"/>
      <c r="G1389" s="5"/>
      <c r="H1389" s="5"/>
      <c r="I1389" s="5"/>
      <c r="J1389" s="5"/>
      <c r="K1389" s="5"/>
      <c r="L1389" s="5"/>
      <c r="M1389" s="5"/>
      <c r="N1389" s="5"/>
      <c r="O1389" s="5"/>
      <c r="P1389" s="5"/>
      <c r="Q1389" s="5"/>
      <c r="R1389" s="5"/>
      <c r="S1389" s="5"/>
      <c r="T1389" s="5"/>
      <c r="U1389" s="5"/>
      <c r="V1389" s="5"/>
      <c r="W1389" s="5"/>
      <c r="X1389" s="5"/>
      <c r="Y1389" s="5"/>
      <c r="Z1389" s="5"/>
      <c r="AA1389" s="5"/>
      <c r="AB1389" s="6"/>
      <c r="AC1389" s="6"/>
      <c r="AD1389" s="6"/>
      <c r="AE1389" s="6"/>
      <c r="AF1389" s="6"/>
      <c r="AG1389" s="6"/>
      <c r="AH1389" s="6"/>
      <c r="AI1389" s="6"/>
      <c r="AJ1389" s="6"/>
      <c r="AK1389" s="6"/>
      <c r="AL1389" s="6"/>
      <c r="AM1389" s="6"/>
      <c r="AN1389" s="6"/>
      <c r="AO1389" s="6"/>
      <c r="AP1389" s="6"/>
      <c r="AQ1389" s="6"/>
      <c r="AR1389" s="6"/>
      <c r="AS1389" s="6"/>
      <c r="AT1389" s="6"/>
      <c r="AU1389" s="6"/>
      <c r="AV1389" s="6"/>
      <c r="AW1389" s="6"/>
      <c r="AX1389" s="6"/>
      <c r="AY1389" s="6"/>
      <c r="AZ1389" s="6"/>
      <c r="BA1389" s="6"/>
      <c r="BB1389" s="6"/>
      <c r="BC1389" s="6"/>
      <c r="BD1389" s="6"/>
      <c r="BE1389" s="6"/>
      <c r="BF1389" s="6"/>
      <c r="BG1389" s="6"/>
      <c r="BH1389" s="6"/>
      <c r="BI1389" s="6"/>
      <c r="BJ1389" s="6"/>
      <c r="BK1389" s="6"/>
      <c r="BL1389" s="6"/>
      <c r="BM1389" s="5"/>
      <c r="BN1389" s="7"/>
      <c r="BO1389" s="7"/>
      <c r="BP1389" s="7"/>
    </row>
    <row r="1390" spans="1:68" s="400" customFormat="1" ht="14.25" customHeight="1" x14ac:dyDescent="0.25">
      <c r="A1390" s="5"/>
      <c r="B1390" s="5"/>
      <c r="C1390" s="5"/>
      <c r="D1390" s="5"/>
      <c r="E1390" s="5"/>
      <c r="F1390" s="5"/>
      <c r="G1390" s="5"/>
      <c r="H1390" s="5"/>
      <c r="I1390" s="5"/>
      <c r="J1390" s="5"/>
      <c r="K1390" s="5"/>
      <c r="L1390" s="5"/>
      <c r="M1390" s="5"/>
      <c r="N1390" s="5"/>
      <c r="O1390" s="5"/>
      <c r="P1390" s="5"/>
      <c r="Q1390" s="5"/>
      <c r="R1390" s="5"/>
      <c r="S1390" s="5"/>
      <c r="T1390" s="5"/>
      <c r="U1390" s="5"/>
      <c r="V1390" s="5"/>
      <c r="W1390" s="5"/>
      <c r="X1390" s="5"/>
      <c r="Y1390" s="5"/>
      <c r="Z1390" s="5"/>
      <c r="AA1390" s="5"/>
      <c r="AB1390" s="6"/>
      <c r="AC1390" s="6"/>
      <c r="AD1390" s="6"/>
      <c r="AE1390" s="6"/>
      <c r="AF1390" s="6"/>
      <c r="AG1390" s="6"/>
      <c r="AH1390" s="6"/>
      <c r="AI1390" s="6"/>
      <c r="AJ1390" s="6"/>
      <c r="AK1390" s="6"/>
      <c r="AL1390" s="6"/>
      <c r="AM1390" s="6"/>
      <c r="AN1390" s="6"/>
      <c r="AO1390" s="6"/>
      <c r="AP1390" s="6"/>
      <c r="AQ1390" s="6"/>
      <c r="AR1390" s="6"/>
      <c r="AS1390" s="6"/>
      <c r="AT1390" s="6"/>
      <c r="AU1390" s="6"/>
      <c r="AV1390" s="6"/>
      <c r="AW1390" s="6"/>
      <c r="AX1390" s="6"/>
      <c r="AY1390" s="6"/>
      <c r="AZ1390" s="6"/>
      <c r="BA1390" s="6"/>
      <c r="BB1390" s="6"/>
      <c r="BC1390" s="6"/>
      <c r="BD1390" s="6"/>
      <c r="BE1390" s="6"/>
      <c r="BF1390" s="6"/>
      <c r="BG1390" s="6"/>
      <c r="BH1390" s="6"/>
      <c r="BI1390" s="6"/>
      <c r="BJ1390" s="6"/>
      <c r="BK1390" s="6"/>
      <c r="BL1390" s="6"/>
      <c r="BM1390" s="5"/>
      <c r="BN1390" s="7"/>
      <c r="BO1390" s="7"/>
      <c r="BP1390" s="7"/>
    </row>
    <row r="1391" spans="1:68" s="400" customFormat="1" ht="14.25" customHeight="1" x14ac:dyDescent="0.25">
      <c r="A1391" s="5"/>
      <c r="B1391" s="5"/>
      <c r="C1391" s="5"/>
      <c r="D1391" s="5"/>
      <c r="E1391" s="5"/>
      <c r="F1391" s="5"/>
      <c r="G1391" s="5"/>
      <c r="H1391" s="5"/>
      <c r="I1391" s="5"/>
      <c r="J1391" s="5"/>
      <c r="K1391" s="5"/>
      <c r="L1391" s="5"/>
      <c r="M1391" s="5"/>
      <c r="N1391" s="5"/>
      <c r="O1391" s="5"/>
      <c r="P1391" s="5"/>
      <c r="Q1391" s="5"/>
      <c r="R1391" s="5"/>
      <c r="S1391" s="5"/>
      <c r="T1391" s="5"/>
      <c r="U1391" s="5"/>
      <c r="V1391" s="5"/>
      <c r="W1391" s="5"/>
      <c r="X1391" s="5"/>
      <c r="Y1391" s="5"/>
      <c r="Z1391" s="5"/>
      <c r="AA1391" s="5"/>
      <c r="AB1391" s="6"/>
      <c r="AC1391" s="6"/>
      <c r="AD1391" s="6"/>
      <c r="AE1391" s="6"/>
      <c r="AF1391" s="6"/>
      <c r="AG1391" s="6"/>
      <c r="AH1391" s="6"/>
      <c r="AI1391" s="6"/>
      <c r="AJ1391" s="6"/>
      <c r="AK1391" s="6"/>
      <c r="AL1391" s="6"/>
      <c r="AM1391" s="6"/>
      <c r="AN1391" s="6"/>
      <c r="AO1391" s="6"/>
      <c r="AP1391" s="6"/>
      <c r="AQ1391" s="6"/>
      <c r="AR1391" s="6"/>
      <c r="AS1391" s="6"/>
      <c r="AT1391" s="6"/>
      <c r="AU1391" s="6"/>
      <c r="AV1391" s="6"/>
      <c r="AW1391" s="6"/>
      <c r="AX1391" s="6"/>
      <c r="AY1391" s="6"/>
      <c r="AZ1391" s="6"/>
      <c r="BA1391" s="6"/>
      <c r="BB1391" s="6"/>
      <c r="BC1391" s="6"/>
      <c r="BD1391" s="6"/>
      <c r="BE1391" s="6"/>
      <c r="BF1391" s="6"/>
      <c r="BG1391" s="6"/>
      <c r="BH1391" s="6"/>
      <c r="BI1391" s="6"/>
      <c r="BJ1391" s="6"/>
      <c r="BK1391" s="6"/>
      <c r="BL1391" s="6"/>
      <c r="BM1391" s="5"/>
      <c r="BN1391" s="7"/>
      <c r="BO1391" s="7"/>
      <c r="BP1391" s="7"/>
    </row>
    <row r="1392" spans="1:68" s="400" customFormat="1" ht="14.25" customHeight="1" x14ac:dyDescent="0.25">
      <c r="A1392" s="5"/>
      <c r="B1392" s="5"/>
      <c r="C1392" s="5"/>
      <c r="D1392" s="5"/>
      <c r="E1392" s="5"/>
      <c r="F1392" s="5"/>
      <c r="G1392" s="5"/>
      <c r="H1392" s="5"/>
      <c r="I1392" s="5"/>
      <c r="J1392" s="5"/>
      <c r="K1392" s="5"/>
      <c r="L1392" s="5"/>
      <c r="M1392" s="5"/>
      <c r="N1392" s="5"/>
      <c r="O1392" s="5"/>
      <c r="P1392" s="5"/>
      <c r="Q1392" s="5"/>
      <c r="R1392" s="5"/>
      <c r="S1392" s="5"/>
      <c r="T1392" s="5"/>
      <c r="U1392" s="5"/>
      <c r="V1392" s="5"/>
      <c r="W1392" s="5"/>
      <c r="X1392" s="5"/>
      <c r="Y1392" s="5"/>
      <c r="Z1392" s="5"/>
      <c r="AA1392" s="5"/>
      <c r="AB1392" s="6"/>
      <c r="AC1392" s="6"/>
      <c r="AD1392" s="6"/>
      <c r="AE1392" s="6"/>
      <c r="AF1392" s="6"/>
      <c r="AG1392" s="6"/>
      <c r="AH1392" s="6"/>
      <c r="AI1392" s="6"/>
      <c r="AJ1392" s="6"/>
      <c r="AK1392" s="6"/>
      <c r="AL1392" s="6"/>
      <c r="AM1392" s="6"/>
      <c r="AN1392" s="6"/>
      <c r="AO1392" s="6"/>
      <c r="AP1392" s="6"/>
      <c r="AQ1392" s="6"/>
      <c r="AR1392" s="6"/>
      <c r="AS1392" s="6"/>
      <c r="AT1392" s="6"/>
      <c r="AU1392" s="6"/>
      <c r="AV1392" s="6"/>
      <c r="AW1392" s="6"/>
      <c r="AX1392" s="6"/>
      <c r="AY1392" s="6"/>
      <c r="AZ1392" s="6"/>
      <c r="BA1392" s="6"/>
      <c r="BB1392" s="6"/>
      <c r="BC1392" s="6"/>
      <c r="BD1392" s="6"/>
      <c r="BE1392" s="6"/>
      <c r="BF1392" s="6"/>
      <c r="BG1392" s="6"/>
      <c r="BH1392" s="6"/>
      <c r="BI1392" s="6"/>
      <c r="BJ1392" s="6"/>
      <c r="BK1392" s="6"/>
      <c r="BL1392" s="6"/>
      <c r="BM1392" s="5"/>
      <c r="BN1392" s="7"/>
      <c r="BO1392" s="7"/>
      <c r="BP1392" s="7"/>
    </row>
    <row r="1393" spans="1:68" s="400" customFormat="1" ht="14.25" customHeight="1" x14ac:dyDescent="0.25">
      <c r="A1393" s="5"/>
      <c r="B1393" s="5"/>
      <c r="C1393" s="5"/>
      <c r="D1393" s="5"/>
      <c r="E1393" s="5"/>
      <c r="F1393" s="5"/>
      <c r="G1393" s="5"/>
      <c r="H1393" s="5"/>
      <c r="I1393" s="5"/>
      <c r="J1393" s="5"/>
      <c r="K1393" s="5"/>
      <c r="L1393" s="5"/>
      <c r="M1393" s="5"/>
      <c r="N1393" s="5"/>
      <c r="O1393" s="5"/>
      <c r="P1393" s="5"/>
      <c r="Q1393" s="5"/>
      <c r="R1393" s="5"/>
      <c r="S1393" s="5"/>
      <c r="T1393" s="5"/>
      <c r="U1393" s="5"/>
      <c r="V1393" s="5"/>
      <c r="W1393" s="5"/>
      <c r="X1393" s="5"/>
      <c r="Y1393" s="5"/>
      <c r="Z1393" s="5"/>
      <c r="AA1393" s="5"/>
      <c r="AB1393" s="6"/>
      <c r="AC1393" s="6"/>
      <c r="AD1393" s="6"/>
      <c r="AE1393" s="6"/>
      <c r="AF1393" s="6"/>
      <c r="AG1393" s="6"/>
      <c r="AH1393" s="6"/>
      <c r="AI1393" s="6"/>
      <c r="AJ1393" s="6"/>
      <c r="AK1393" s="6"/>
      <c r="AL1393" s="6"/>
      <c r="AM1393" s="6"/>
      <c r="AN1393" s="6"/>
      <c r="AO1393" s="6"/>
      <c r="AP1393" s="6"/>
      <c r="AQ1393" s="6"/>
      <c r="AR1393" s="6"/>
      <c r="AS1393" s="6"/>
      <c r="AT1393" s="6"/>
      <c r="AU1393" s="6"/>
      <c r="AV1393" s="6"/>
      <c r="AW1393" s="6"/>
      <c r="AX1393" s="6"/>
      <c r="AY1393" s="6"/>
      <c r="AZ1393" s="6"/>
      <c r="BA1393" s="6"/>
      <c r="BB1393" s="6"/>
      <c r="BC1393" s="6"/>
      <c r="BD1393" s="6"/>
      <c r="BE1393" s="6"/>
      <c r="BF1393" s="6"/>
      <c r="BG1393" s="6"/>
      <c r="BH1393" s="6"/>
      <c r="BI1393" s="6"/>
      <c r="BJ1393" s="6"/>
      <c r="BK1393" s="6"/>
      <c r="BL1393" s="6"/>
      <c r="BM1393" s="5"/>
      <c r="BN1393" s="7"/>
      <c r="BO1393" s="7"/>
      <c r="BP1393" s="7"/>
    </row>
    <row r="1394" spans="1:68" s="400" customFormat="1" ht="14.25" customHeight="1" x14ac:dyDescent="0.25">
      <c r="A1394" s="5"/>
      <c r="B1394" s="5"/>
      <c r="C1394" s="5"/>
      <c r="D1394" s="5"/>
      <c r="E1394" s="5"/>
      <c r="F1394" s="5"/>
      <c r="G1394" s="5"/>
      <c r="H1394" s="5"/>
      <c r="I1394" s="5"/>
      <c r="J1394" s="5"/>
      <c r="K1394" s="5"/>
      <c r="L1394" s="5"/>
      <c r="M1394" s="5"/>
      <c r="N1394" s="5"/>
      <c r="O1394" s="5"/>
      <c r="P1394" s="5"/>
      <c r="Q1394" s="5"/>
      <c r="R1394" s="5"/>
      <c r="S1394" s="5"/>
      <c r="T1394" s="5"/>
      <c r="U1394" s="5"/>
      <c r="V1394" s="5"/>
      <c r="W1394" s="5"/>
      <c r="X1394" s="5"/>
      <c r="Y1394" s="5"/>
      <c r="Z1394" s="5"/>
      <c r="AA1394" s="5"/>
      <c r="AB1394" s="6"/>
      <c r="AC1394" s="6"/>
      <c r="AD1394" s="6"/>
      <c r="AE1394" s="6"/>
      <c r="AF1394" s="6"/>
      <c r="AG1394" s="6"/>
      <c r="AH1394" s="6"/>
      <c r="AI1394" s="6"/>
      <c r="AJ1394" s="6"/>
      <c r="AK1394" s="6"/>
      <c r="AL1394" s="6"/>
      <c r="AM1394" s="6"/>
      <c r="AN1394" s="6"/>
      <c r="AO1394" s="6"/>
      <c r="AP1394" s="6"/>
      <c r="AQ1394" s="6"/>
      <c r="AR1394" s="6"/>
      <c r="AS1394" s="6"/>
      <c r="AT1394" s="6"/>
      <c r="AU1394" s="6"/>
      <c r="AV1394" s="6"/>
      <c r="AW1394" s="6"/>
      <c r="AX1394" s="6"/>
      <c r="AY1394" s="6"/>
      <c r="AZ1394" s="6"/>
      <c r="BA1394" s="6"/>
      <c r="BB1394" s="6"/>
      <c r="BC1394" s="6"/>
      <c r="BD1394" s="6"/>
      <c r="BE1394" s="6"/>
      <c r="BF1394" s="6"/>
      <c r="BG1394" s="6"/>
      <c r="BH1394" s="6"/>
      <c r="BI1394" s="6"/>
      <c r="BJ1394" s="6"/>
      <c r="BK1394" s="6"/>
      <c r="BL1394" s="6"/>
      <c r="BM1394" s="5"/>
      <c r="BN1394" s="7"/>
      <c r="BO1394" s="7"/>
      <c r="BP1394" s="7"/>
    </row>
    <row r="1395" spans="1:68" s="400" customFormat="1" ht="14.25" customHeight="1" x14ac:dyDescent="0.25">
      <c r="A1395" s="5"/>
      <c r="B1395" s="5"/>
      <c r="C1395" s="5"/>
      <c r="D1395" s="5"/>
      <c r="E1395" s="5"/>
      <c r="F1395" s="5"/>
      <c r="G1395" s="5"/>
      <c r="H1395" s="5"/>
      <c r="I1395" s="5"/>
      <c r="J1395" s="5"/>
      <c r="K1395" s="5"/>
      <c r="L1395" s="5"/>
      <c r="M1395" s="5"/>
      <c r="N1395" s="5"/>
      <c r="O1395" s="5"/>
      <c r="P1395" s="5"/>
      <c r="Q1395" s="5"/>
      <c r="R1395" s="5"/>
      <c r="S1395" s="5"/>
      <c r="T1395" s="5"/>
      <c r="U1395" s="5"/>
      <c r="V1395" s="5"/>
      <c r="W1395" s="5"/>
      <c r="X1395" s="5"/>
      <c r="Y1395" s="5"/>
      <c r="Z1395" s="5"/>
      <c r="AA1395" s="5"/>
      <c r="AB1395" s="6"/>
      <c r="AC1395" s="6"/>
      <c r="AD1395" s="6"/>
      <c r="AE1395" s="6"/>
      <c r="AF1395" s="6"/>
      <c r="AG1395" s="6"/>
      <c r="AH1395" s="6"/>
      <c r="AI1395" s="6"/>
      <c r="AJ1395" s="6"/>
      <c r="AK1395" s="6"/>
      <c r="AL1395" s="6"/>
      <c r="AM1395" s="6"/>
      <c r="AN1395" s="6"/>
      <c r="AO1395" s="6"/>
      <c r="AP1395" s="6"/>
      <c r="AQ1395" s="6"/>
      <c r="AR1395" s="6"/>
      <c r="AS1395" s="6"/>
      <c r="AT1395" s="6"/>
      <c r="AU1395" s="6"/>
      <c r="AV1395" s="6"/>
      <c r="AW1395" s="6"/>
      <c r="AX1395" s="6"/>
      <c r="AY1395" s="6"/>
      <c r="AZ1395" s="6"/>
      <c r="BA1395" s="6"/>
      <c r="BB1395" s="6"/>
      <c r="BC1395" s="6"/>
      <c r="BD1395" s="6"/>
      <c r="BE1395" s="6"/>
      <c r="BF1395" s="6"/>
      <c r="BG1395" s="6"/>
      <c r="BH1395" s="6"/>
      <c r="BI1395" s="6"/>
      <c r="BJ1395" s="6"/>
      <c r="BK1395" s="6"/>
      <c r="BL1395" s="6"/>
      <c r="BM1395" s="5"/>
      <c r="BN1395" s="7"/>
      <c r="BO1395" s="7"/>
      <c r="BP1395" s="7"/>
    </row>
    <row r="1396" spans="1:68" s="400" customFormat="1" ht="14.25" customHeight="1" x14ac:dyDescent="0.25">
      <c r="A1396" s="5"/>
      <c r="B1396" s="5"/>
      <c r="C1396" s="5"/>
      <c r="D1396" s="5"/>
      <c r="E1396" s="5"/>
      <c r="F1396" s="5"/>
      <c r="G1396" s="5"/>
      <c r="H1396" s="5"/>
      <c r="I1396" s="5"/>
      <c r="J1396" s="5"/>
      <c r="K1396" s="5"/>
      <c r="L1396" s="5"/>
      <c r="M1396" s="5"/>
      <c r="N1396" s="5"/>
      <c r="O1396" s="5"/>
      <c r="P1396" s="5"/>
      <c r="Q1396" s="5"/>
      <c r="R1396" s="5"/>
      <c r="S1396" s="5"/>
      <c r="T1396" s="5"/>
      <c r="U1396" s="5"/>
      <c r="V1396" s="5"/>
      <c r="W1396" s="5"/>
      <c r="X1396" s="5"/>
      <c r="Y1396" s="5"/>
      <c r="Z1396" s="5"/>
      <c r="AA1396" s="5"/>
      <c r="AB1396" s="6"/>
      <c r="AC1396" s="6"/>
      <c r="AD1396" s="6"/>
      <c r="AE1396" s="6"/>
      <c r="AF1396" s="6"/>
      <c r="AG1396" s="6"/>
      <c r="AH1396" s="6"/>
      <c r="AI1396" s="6"/>
      <c r="AJ1396" s="6"/>
      <c r="AK1396" s="6"/>
      <c r="AL1396" s="6"/>
      <c r="AM1396" s="6"/>
      <c r="AN1396" s="6"/>
      <c r="AO1396" s="6"/>
      <c r="AP1396" s="6"/>
      <c r="AQ1396" s="6"/>
      <c r="AR1396" s="6"/>
      <c r="AS1396" s="6"/>
      <c r="AT1396" s="6"/>
      <c r="AU1396" s="6"/>
      <c r="AV1396" s="6"/>
      <c r="AW1396" s="6"/>
      <c r="AX1396" s="6"/>
      <c r="AY1396" s="6"/>
      <c r="AZ1396" s="6"/>
      <c r="BA1396" s="6"/>
      <c r="BB1396" s="6"/>
      <c r="BC1396" s="6"/>
      <c r="BD1396" s="6"/>
      <c r="BE1396" s="6"/>
      <c r="BF1396" s="6"/>
      <c r="BG1396" s="6"/>
      <c r="BH1396" s="6"/>
      <c r="BI1396" s="6"/>
      <c r="BJ1396" s="6"/>
      <c r="BK1396" s="6"/>
      <c r="BL1396" s="6"/>
      <c r="BM1396" s="5"/>
      <c r="BN1396" s="7"/>
      <c r="BO1396" s="7"/>
      <c r="BP1396" s="7"/>
    </row>
    <row r="1397" spans="1:68" s="400" customFormat="1" ht="14.25" customHeight="1" x14ac:dyDescent="0.25">
      <c r="A1397" s="5"/>
      <c r="B1397" s="5"/>
      <c r="C1397" s="5"/>
      <c r="D1397" s="5"/>
      <c r="E1397" s="5"/>
      <c r="F1397" s="5"/>
      <c r="G1397" s="5"/>
      <c r="H1397" s="5"/>
      <c r="I1397" s="5"/>
      <c r="J1397" s="5"/>
      <c r="K1397" s="5"/>
      <c r="L1397" s="5"/>
      <c r="M1397" s="5"/>
      <c r="N1397" s="5"/>
      <c r="O1397" s="5"/>
      <c r="P1397" s="5"/>
      <c r="Q1397" s="5"/>
      <c r="R1397" s="5"/>
      <c r="S1397" s="5"/>
      <c r="T1397" s="5"/>
      <c r="U1397" s="5"/>
      <c r="V1397" s="5"/>
      <c r="W1397" s="5"/>
      <c r="X1397" s="5"/>
      <c r="Y1397" s="5"/>
      <c r="Z1397" s="5"/>
      <c r="AA1397" s="5"/>
      <c r="AB1397" s="6"/>
      <c r="AC1397" s="6"/>
      <c r="AD1397" s="6"/>
      <c r="AE1397" s="6"/>
      <c r="AF1397" s="6"/>
      <c r="AG1397" s="6"/>
      <c r="AH1397" s="6"/>
      <c r="AI1397" s="6"/>
      <c r="AJ1397" s="6"/>
      <c r="AK1397" s="6"/>
      <c r="AL1397" s="6"/>
      <c r="AM1397" s="6"/>
      <c r="AN1397" s="6"/>
      <c r="AO1397" s="6"/>
      <c r="AP1397" s="6"/>
      <c r="AQ1397" s="6"/>
      <c r="AR1397" s="6"/>
      <c r="AS1397" s="6"/>
      <c r="AT1397" s="6"/>
      <c r="AU1397" s="6"/>
      <c r="AV1397" s="6"/>
      <c r="AW1397" s="6"/>
      <c r="AX1397" s="6"/>
      <c r="AY1397" s="6"/>
      <c r="AZ1397" s="6"/>
      <c r="BA1397" s="6"/>
      <c r="BB1397" s="6"/>
      <c r="BC1397" s="6"/>
      <c r="BD1397" s="6"/>
      <c r="BE1397" s="6"/>
      <c r="BF1397" s="6"/>
      <c r="BG1397" s="6"/>
      <c r="BH1397" s="6"/>
      <c r="BI1397" s="6"/>
      <c r="BJ1397" s="6"/>
      <c r="BK1397" s="6"/>
      <c r="BL1397" s="6"/>
      <c r="BM1397" s="5"/>
      <c r="BN1397" s="7"/>
      <c r="BO1397" s="7"/>
      <c r="BP1397" s="7"/>
    </row>
    <row r="1398" spans="1:68" s="400" customFormat="1" ht="14.25" customHeight="1" x14ac:dyDescent="0.25">
      <c r="A1398" s="5"/>
      <c r="B1398" s="5"/>
      <c r="C1398" s="5"/>
      <c r="D1398" s="5"/>
      <c r="E1398" s="5"/>
      <c r="F1398" s="5"/>
      <c r="G1398" s="5"/>
      <c r="H1398" s="5"/>
      <c r="I1398" s="5"/>
      <c r="J1398" s="5"/>
      <c r="K1398" s="5"/>
      <c r="L1398" s="5"/>
      <c r="M1398" s="5"/>
      <c r="N1398" s="5"/>
      <c r="O1398" s="5"/>
      <c r="P1398" s="5"/>
      <c r="Q1398" s="5"/>
      <c r="R1398" s="5"/>
      <c r="S1398" s="5"/>
      <c r="T1398" s="5"/>
      <c r="U1398" s="5"/>
      <c r="V1398" s="5"/>
      <c r="W1398" s="5"/>
      <c r="X1398" s="5"/>
      <c r="Y1398" s="5"/>
      <c r="Z1398" s="5"/>
      <c r="AA1398" s="5"/>
      <c r="AB1398" s="6"/>
      <c r="AC1398" s="6"/>
      <c r="AD1398" s="6"/>
      <c r="AE1398" s="6"/>
      <c r="AF1398" s="6"/>
      <c r="AG1398" s="6"/>
      <c r="AH1398" s="6"/>
      <c r="AI1398" s="6"/>
      <c r="AJ1398" s="6"/>
      <c r="AK1398" s="6"/>
      <c r="AL1398" s="6"/>
      <c r="AM1398" s="6"/>
      <c r="AN1398" s="6"/>
      <c r="AO1398" s="6"/>
      <c r="AP1398" s="6"/>
      <c r="AQ1398" s="6"/>
      <c r="AR1398" s="6"/>
      <c r="AS1398" s="6"/>
      <c r="AT1398" s="6"/>
      <c r="AU1398" s="6"/>
      <c r="AV1398" s="6"/>
      <c r="AW1398" s="6"/>
      <c r="AX1398" s="6"/>
      <c r="AY1398" s="6"/>
      <c r="AZ1398" s="6"/>
      <c r="BA1398" s="6"/>
      <c r="BB1398" s="6"/>
      <c r="BC1398" s="6"/>
      <c r="BD1398" s="6"/>
      <c r="BE1398" s="6"/>
      <c r="BF1398" s="6"/>
      <c r="BG1398" s="6"/>
      <c r="BH1398" s="6"/>
      <c r="BI1398" s="6"/>
      <c r="BJ1398" s="6"/>
      <c r="BK1398" s="6"/>
      <c r="BL1398" s="6"/>
      <c r="BM1398" s="5"/>
      <c r="BN1398" s="7"/>
      <c r="BO1398" s="7"/>
      <c r="BP1398" s="7"/>
    </row>
    <row r="1399" spans="1:68" s="400" customFormat="1" ht="14.25" customHeight="1" x14ac:dyDescent="0.25">
      <c r="A1399" s="5"/>
      <c r="B1399" s="5"/>
      <c r="C1399" s="5"/>
      <c r="D1399" s="5"/>
      <c r="E1399" s="5"/>
      <c r="F1399" s="5"/>
      <c r="G1399" s="5"/>
      <c r="H1399" s="5"/>
      <c r="I1399" s="5"/>
      <c r="J1399" s="5"/>
      <c r="K1399" s="5"/>
      <c r="L1399" s="5"/>
      <c r="M1399" s="5"/>
      <c r="N1399" s="5"/>
      <c r="O1399" s="5"/>
      <c r="P1399" s="5"/>
      <c r="Q1399" s="5"/>
      <c r="R1399" s="5"/>
      <c r="S1399" s="5"/>
      <c r="T1399" s="5"/>
      <c r="U1399" s="5"/>
      <c r="V1399" s="5"/>
      <c r="W1399" s="5"/>
      <c r="X1399" s="5"/>
      <c r="Y1399" s="5"/>
      <c r="Z1399" s="5"/>
      <c r="AA1399" s="5"/>
      <c r="AB1399" s="6"/>
      <c r="AC1399" s="6"/>
      <c r="AD1399" s="6"/>
      <c r="AE1399" s="6"/>
      <c r="AF1399" s="6"/>
      <c r="AG1399" s="6"/>
      <c r="AH1399" s="6"/>
      <c r="AI1399" s="6"/>
      <c r="AJ1399" s="6"/>
      <c r="AK1399" s="6"/>
      <c r="AL1399" s="6"/>
      <c r="AM1399" s="6"/>
      <c r="AN1399" s="6"/>
      <c r="AO1399" s="6"/>
      <c r="AP1399" s="6"/>
      <c r="AQ1399" s="6"/>
      <c r="AR1399" s="6"/>
      <c r="AS1399" s="6"/>
      <c r="AT1399" s="6"/>
      <c r="AU1399" s="6"/>
      <c r="AV1399" s="6"/>
      <c r="AW1399" s="6"/>
      <c r="AX1399" s="6"/>
      <c r="AY1399" s="6"/>
      <c r="AZ1399" s="6"/>
      <c r="BA1399" s="6"/>
      <c r="BB1399" s="6"/>
      <c r="BC1399" s="6"/>
      <c r="BD1399" s="6"/>
      <c r="BE1399" s="6"/>
      <c r="BF1399" s="6"/>
      <c r="BG1399" s="6"/>
      <c r="BH1399" s="6"/>
      <c r="BI1399" s="6"/>
      <c r="BJ1399" s="6"/>
      <c r="BK1399" s="6"/>
      <c r="BL1399" s="6"/>
      <c r="BM1399" s="5"/>
      <c r="BN1399" s="7"/>
      <c r="BO1399" s="7"/>
      <c r="BP1399" s="7"/>
    </row>
    <row r="1400" spans="1:68" s="400" customFormat="1" ht="14.25" customHeight="1" x14ac:dyDescent="0.25">
      <c r="A1400" s="5"/>
      <c r="B1400" s="5"/>
      <c r="C1400" s="5"/>
      <c r="D1400" s="5"/>
      <c r="E1400" s="5"/>
      <c r="F1400" s="5"/>
      <c r="G1400" s="5"/>
      <c r="H1400" s="5"/>
      <c r="I1400" s="5"/>
      <c r="J1400" s="5"/>
      <c r="K1400" s="5"/>
      <c r="L1400" s="5"/>
      <c r="M1400" s="5"/>
      <c r="N1400" s="5"/>
      <c r="O1400" s="5"/>
      <c r="P1400" s="5"/>
      <c r="Q1400" s="5"/>
      <c r="R1400" s="5"/>
      <c r="S1400" s="5"/>
      <c r="T1400" s="5"/>
      <c r="U1400" s="5"/>
      <c r="V1400" s="5"/>
      <c r="W1400" s="5"/>
      <c r="X1400" s="5"/>
      <c r="Y1400" s="5"/>
      <c r="Z1400" s="5"/>
      <c r="AA1400" s="5"/>
      <c r="AB1400" s="6"/>
      <c r="AC1400" s="6"/>
      <c r="AD1400" s="6"/>
      <c r="AE1400" s="6"/>
      <c r="AF1400" s="6"/>
      <c r="AG1400" s="6"/>
      <c r="AH1400" s="6"/>
      <c r="AI1400" s="6"/>
      <c r="AJ1400" s="6"/>
      <c r="AK1400" s="6"/>
      <c r="AL1400" s="6"/>
      <c r="AM1400" s="6"/>
      <c r="AN1400" s="6"/>
      <c r="AO1400" s="6"/>
      <c r="AP1400" s="6"/>
      <c r="AQ1400" s="6"/>
      <c r="AR1400" s="6"/>
      <c r="AS1400" s="6"/>
      <c r="AT1400" s="6"/>
      <c r="AU1400" s="6"/>
      <c r="AV1400" s="6"/>
      <c r="AW1400" s="6"/>
      <c r="AX1400" s="6"/>
      <c r="AY1400" s="6"/>
      <c r="AZ1400" s="6"/>
      <c r="BA1400" s="6"/>
      <c r="BB1400" s="6"/>
      <c r="BC1400" s="6"/>
      <c r="BD1400" s="6"/>
      <c r="BE1400" s="6"/>
      <c r="BF1400" s="6"/>
      <c r="BG1400" s="6"/>
      <c r="BH1400" s="6"/>
      <c r="BI1400" s="6"/>
      <c r="BJ1400" s="6"/>
      <c r="BK1400" s="6"/>
      <c r="BL1400" s="6"/>
      <c r="BM1400" s="5"/>
      <c r="BN1400" s="7"/>
      <c r="BO1400" s="7"/>
      <c r="BP1400" s="7"/>
    </row>
    <row r="1401" spans="1:68" s="400" customFormat="1" ht="14.25" customHeight="1" x14ac:dyDescent="0.25">
      <c r="A1401" s="5"/>
      <c r="B1401" s="5"/>
      <c r="C1401" s="5"/>
      <c r="D1401" s="5"/>
      <c r="E1401" s="5"/>
      <c r="F1401" s="5"/>
      <c r="G1401" s="5"/>
      <c r="H1401" s="5"/>
      <c r="I1401" s="5"/>
      <c r="J1401" s="5"/>
      <c r="K1401" s="5"/>
      <c r="L1401" s="5"/>
      <c r="M1401" s="5"/>
      <c r="N1401" s="5"/>
      <c r="O1401" s="5"/>
      <c r="P1401" s="5"/>
      <c r="Q1401" s="5"/>
      <c r="R1401" s="5"/>
      <c r="S1401" s="5"/>
      <c r="T1401" s="5"/>
      <c r="U1401" s="5"/>
      <c r="V1401" s="5"/>
      <c r="W1401" s="5"/>
      <c r="X1401" s="5"/>
      <c r="Y1401" s="5"/>
      <c r="Z1401" s="5"/>
      <c r="AA1401" s="5"/>
      <c r="AB1401" s="6"/>
      <c r="AC1401" s="6"/>
      <c r="AD1401" s="6"/>
      <c r="AE1401" s="6"/>
      <c r="AF1401" s="6"/>
      <c r="AG1401" s="6"/>
      <c r="AH1401" s="6"/>
      <c r="AI1401" s="6"/>
      <c r="AJ1401" s="6"/>
      <c r="AK1401" s="6"/>
      <c r="AL1401" s="6"/>
      <c r="AM1401" s="6"/>
      <c r="AN1401" s="6"/>
      <c r="AO1401" s="6"/>
      <c r="AP1401" s="6"/>
      <c r="AQ1401" s="6"/>
      <c r="AR1401" s="6"/>
      <c r="AS1401" s="6"/>
      <c r="AT1401" s="6"/>
      <c r="AU1401" s="6"/>
      <c r="AV1401" s="6"/>
      <c r="AW1401" s="6"/>
      <c r="AX1401" s="6"/>
      <c r="AY1401" s="6"/>
      <c r="AZ1401" s="6"/>
      <c r="BA1401" s="6"/>
      <c r="BB1401" s="6"/>
      <c r="BC1401" s="6"/>
      <c r="BD1401" s="6"/>
      <c r="BE1401" s="6"/>
      <c r="BF1401" s="6"/>
      <c r="BG1401" s="6"/>
      <c r="BH1401" s="6"/>
      <c r="BI1401" s="6"/>
      <c r="BJ1401" s="6"/>
      <c r="BK1401" s="6"/>
      <c r="BL1401" s="6"/>
      <c r="BM1401" s="5"/>
      <c r="BN1401" s="7"/>
      <c r="BO1401" s="7"/>
      <c r="BP1401" s="7"/>
    </row>
    <row r="1402" spans="1:68" s="400" customFormat="1" ht="14.25" customHeight="1" x14ac:dyDescent="0.25">
      <c r="A1402" s="5"/>
      <c r="B1402" s="5"/>
      <c r="C1402" s="5"/>
      <c r="D1402" s="5"/>
      <c r="E1402" s="5"/>
      <c r="F1402" s="5"/>
      <c r="G1402" s="5"/>
      <c r="H1402" s="5"/>
      <c r="I1402" s="5"/>
      <c r="J1402" s="5"/>
      <c r="K1402" s="5"/>
      <c r="L1402" s="5"/>
      <c r="M1402" s="5"/>
      <c r="N1402" s="5"/>
      <c r="O1402" s="5"/>
      <c r="P1402" s="5"/>
      <c r="Q1402" s="5"/>
      <c r="R1402" s="5"/>
      <c r="S1402" s="5"/>
      <c r="T1402" s="5"/>
      <c r="U1402" s="5"/>
      <c r="V1402" s="5"/>
      <c r="W1402" s="5"/>
      <c r="X1402" s="5"/>
      <c r="Y1402" s="5"/>
      <c r="Z1402" s="5"/>
      <c r="AA1402" s="5"/>
      <c r="AB1402" s="6"/>
      <c r="AC1402" s="6"/>
      <c r="AD1402" s="6"/>
      <c r="AE1402" s="6"/>
      <c r="AF1402" s="6"/>
      <c r="AG1402" s="6"/>
      <c r="AH1402" s="6"/>
      <c r="AI1402" s="6"/>
      <c r="AJ1402" s="6"/>
      <c r="AK1402" s="6"/>
      <c r="AL1402" s="6"/>
      <c r="AM1402" s="6"/>
      <c r="AN1402" s="6"/>
      <c r="AO1402" s="6"/>
      <c r="AP1402" s="6"/>
      <c r="AQ1402" s="6"/>
      <c r="AR1402" s="6"/>
      <c r="AS1402" s="6"/>
      <c r="AT1402" s="6"/>
      <c r="AU1402" s="6"/>
      <c r="AV1402" s="6"/>
      <c r="AW1402" s="6"/>
      <c r="AX1402" s="6"/>
      <c r="AY1402" s="6"/>
      <c r="AZ1402" s="6"/>
      <c r="BA1402" s="6"/>
      <c r="BB1402" s="6"/>
      <c r="BC1402" s="6"/>
      <c r="BD1402" s="6"/>
      <c r="BE1402" s="6"/>
      <c r="BF1402" s="6"/>
      <c r="BG1402" s="6"/>
      <c r="BH1402" s="6"/>
      <c r="BI1402" s="6"/>
      <c r="BJ1402" s="6"/>
      <c r="BK1402" s="6"/>
      <c r="BL1402" s="6"/>
      <c r="BM1402" s="5"/>
      <c r="BN1402" s="7"/>
      <c r="BO1402" s="7"/>
      <c r="BP1402" s="7"/>
    </row>
    <row r="1403" spans="1:68" s="400" customFormat="1" ht="14.25" customHeight="1" x14ac:dyDescent="0.25">
      <c r="A1403" s="5"/>
      <c r="B1403" s="5"/>
      <c r="C1403" s="5"/>
      <c r="D1403" s="5"/>
      <c r="E1403" s="5"/>
      <c r="F1403" s="5"/>
      <c r="G1403" s="5"/>
      <c r="H1403" s="5"/>
      <c r="I1403" s="5"/>
      <c r="J1403" s="5"/>
      <c r="K1403" s="5"/>
      <c r="L1403" s="5"/>
      <c r="M1403" s="5"/>
      <c r="N1403" s="5"/>
      <c r="O1403" s="5"/>
      <c r="P1403" s="5"/>
      <c r="Q1403" s="5"/>
      <c r="R1403" s="5"/>
      <c r="S1403" s="5"/>
      <c r="T1403" s="5"/>
      <c r="U1403" s="5"/>
      <c r="V1403" s="5"/>
      <c r="W1403" s="5"/>
      <c r="X1403" s="5"/>
      <c r="Y1403" s="5"/>
      <c r="Z1403" s="5"/>
      <c r="AA1403" s="5"/>
      <c r="AB1403" s="6"/>
      <c r="AC1403" s="6"/>
      <c r="AD1403" s="6"/>
      <c r="AE1403" s="6"/>
      <c r="AF1403" s="6"/>
      <c r="AG1403" s="6"/>
      <c r="AH1403" s="6"/>
      <c r="AI1403" s="6"/>
      <c r="AJ1403" s="6"/>
      <c r="AK1403" s="6"/>
      <c r="AL1403" s="6"/>
      <c r="AM1403" s="6"/>
      <c r="AN1403" s="6"/>
      <c r="AO1403" s="6"/>
      <c r="AP1403" s="6"/>
      <c r="AQ1403" s="6"/>
      <c r="AR1403" s="6"/>
      <c r="AS1403" s="6"/>
      <c r="AT1403" s="6"/>
      <c r="AU1403" s="6"/>
      <c r="AV1403" s="6"/>
      <c r="AW1403" s="6"/>
      <c r="AX1403" s="6"/>
      <c r="AY1403" s="6"/>
      <c r="AZ1403" s="6"/>
      <c r="BA1403" s="6"/>
      <c r="BB1403" s="6"/>
      <c r="BC1403" s="6"/>
      <c r="BD1403" s="6"/>
      <c r="BE1403" s="6"/>
      <c r="BF1403" s="6"/>
      <c r="BG1403" s="6"/>
      <c r="BH1403" s="6"/>
      <c r="BI1403" s="6"/>
      <c r="BJ1403" s="6"/>
      <c r="BK1403" s="6"/>
      <c r="BL1403" s="6"/>
      <c r="BM1403" s="5"/>
      <c r="BN1403" s="7"/>
      <c r="BO1403" s="7"/>
      <c r="BP1403" s="7"/>
    </row>
    <row r="1404" spans="1:68" s="400" customFormat="1" ht="14.25" customHeight="1" x14ac:dyDescent="0.25">
      <c r="A1404" s="5"/>
      <c r="B1404" s="5"/>
      <c r="C1404" s="5"/>
      <c r="D1404" s="5"/>
      <c r="E1404" s="5"/>
      <c r="F1404" s="5"/>
      <c r="G1404" s="5"/>
      <c r="H1404" s="5"/>
      <c r="I1404" s="5"/>
      <c r="J1404" s="5"/>
      <c r="K1404" s="5"/>
      <c r="L1404" s="5"/>
      <c r="M1404" s="5"/>
      <c r="N1404" s="5"/>
      <c r="O1404" s="5"/>
      <c r="P1404" s="5"/>
      <c r="Q1404" s="5"/>
      <c r="R1404" s="5"/>
      <c r="S1404" s="5"/>
      <c r="T1404" s="5"/>
      <c r="U1404" s="5"/>
      <c r="V1404" s="5"/>
      <c r="W1404" s="5"/>
      <c r="X1404" s="5"/>
      <c r="Y1404" s="5"/>
      <c r="Z1404" s="5"/>
      <c r="AA1404" s="5"/>
      <c r="AB1404" s="6"/>
      <c r="AC1404" s="6"/>
      <c r="AD1404" s="6"/>
      <c r="AE1404" s="6"/>
      <c r="AF1404" s="6"/>
      <c r="AG1404" s="6"/>
      <c r="AH1404" s="6"/>
      <c r="AI1404" s="6"/>
      <c r="AJ1404" s="6"/>
      <c r="AK1404" s="6"/>
      <c r="AL1404" s="6"/>
      <c r="AM1404" s="6"/>
      <c r="AN1404" s="6"/>
      <c r="AO1404" s="6"/>
      <c r="AP1404" s="6"/>
      <c r="AQ1404" s="6"/>
      <c r="AR1404" s="6"/>
      <c r="AS1404" s="6"/>
      <c r="AT1404" s="6"/>
      <c r="AU1404" s="6"/>
      <c r="AV1404" s="6"/>
      <c r="AW1404" s="6"/>
      <c r="AX1404" s="6"/>
      <c r="AY1404" s="6"/>
      <c r="AZ1404" s="6"/>
      <c r="BA1404" s="6"/>
      <c r="BB1404" s="6"/>
      <c r="BC1404" s="6"/>
      <c r="BD1404" s="6"/>
      <c r="BE1404" s="6"/>
      <c r="BF1404" s="6"/>
      <c r="BG1404" s="6"/>
      <c r="BH1404" s="6"/>
      <c r="BI1404" s="6"/>
      <c r="BJ1404" s="6"/>
      <c r="BK1404" s="6"/>
      <c r="BL1404" s="6"/>
      <c r="BM1404" s="5"/>
      <c r="BN1404" s="7"/>
      <c r="BO1404" s="7"/>
      <c r="BP1404" s="7"/>
    </row>
    <row r="1405" spans="1:68" s="400" customFormat="1" ht="14.25" customHeight="1" x14ac:dyDescent="0.25">
      <c r="A1405" s="5"/>
      <c r="B1405" s="5"/>
      <c r="C1405" s="5"/>
      <c r="D1405" s="5"/>
      <c r="E1405" s="5"/>
      <c r="F1405" s="5"/>
      <c r="G1405" s="5"/>
      <c r="H1405" s="5"/>
      <c r="I1405" s="5"/>
      <c r="J1405" s="5"/>
      <c r="K1405" s="5"/>
      <c r="L1405" s="5"/>
      <c r="M1405" s="5"/>
      <c r="N1405" s="5"/>
      <c r="O1405" s="5"/>
      <c r="P1405" s="5"/>
      <c r="Q1405" s="5"/>
      <c r="R1405" s="5"/>
      <c r="S1405" s="5"/>
      <c r="T1405" s="5"/>
      <c r="U1405" s="5"/>
      <c r="V1405" s="5"/>
      <c r="W1405" s="5"/>
      <c r="X1405" s="5"/>
      <c r="Y1405" s="5"/>
      <c r="Z1405" s="5"/>
      <c r="AA1405" s="5"/>
      <c r="AB1405" s="6"/>
      <c r="AC1405" s="6"/>
      <c r="AD1405" s="6"/>
      <c r="AE1405" s="6"/>
      <c r="AF1405" s="6"/>
      <c r="AG1405" s="6"/>
      <c r="AH1405" s="6"/>
      <c r="AI1405" s="6"/>
      <c r="AJ1405" s="6"/>
      <c r="AK1405" s="6"/>
      <c r="AL1405" s="6"/>
      <c r="AM1405" s="6"/>
      <c r="AN1405" s="6"/>
      <c r="AO1405" s="6"/>
      <c r="AP1405" s="6"/>
      <c r="AQ1405" s="6"/>
      <c r="AR1405" s="6"/>
      <c r="AS1405" s="6"/>
      <c r="AT1405" s="6"/>
      <c r="AU1405" s="6"/>
      <c r="AV1405" s="6"/>
      <c r="AW1405" s="6"/>
      <c r="AX1405" s="6"/>
      <c r="AY1405" s="6"/>
      <c r="AZ1405" s="6"/>
      <c r="BA1405" s="6"/>
      <c r="BB1405" s="6"/>
      <c r="BC1405" s="6"/>
      <c r="BD1405" s="6"/>
      <c r="BE1405" s="6"/>
      <c r="BF1405" s="6"/>
      <c r="BG1405" s="6"/>
      <c r="BH1405" s="6"/>
      <c r="BI1405" s="6"/>
      <c r="BJ1405" s="6"/>
      <c r="BK1405" s="6"/>
      <c r="BL1405" s="6"/>
      <c r="BM1405" s="5"/>
      <c r="BN1405" s="7"/>
      <c r="BO1405" s="7"/>
      <c r="BP1405" s="7"/>
    </row>
    <row r="1406" spans="1:68" s="400" customFormat="1" ht="14.25" customHeight="1" x14ac:dyDescent="0.25">
      <c r="A1406" s="5"/>
      <c r="B1406" s="5"/>
      <c r="C1406" s="5"/>
      <c r="D1406" s="5"/>
      <c r="E1406" s="5"/>
      <c r="F1406" s="5"/>
      <c r="G1406" s="5"/>
      <c r="H1406" s="5"/>
      <c r="I1406" s="5"/>
      <c r="J1406" s="5"/>
      <c r="K1406" s="5"/>
      <c r="L1406" s="5"/>
      <c r="M1406" s="5"/>
      <c r="N1406" s="5"/>
      <c r="O1406" s="5"/>
      <c r="P1406" s="5"/>
      <c r="Q1406" s="5"/>
      <c r="R1406" s="5"/>
      <c r="S1406" s="5"/>
      <c r="T1406" s="5"/>
      <c r="U1406" s="5"/>
      <c r="V1406" s="5"/>
      <c r="W1406" s="5"/>
      <c r="X1406" s="5"/>
      <c r="Y1406" s="5"/>
      <c r="Z1406" s="5"/>
      <c r="AA1406" s="5"/>
      <c r="AB1406" s="6"/>
      <c r="AC1406" s="6"/>
      <c r="AD1406" s="6"/>
      <c r="AE1406" s="6"/>
      <c r="AF1406" s="6"/>
      <c r="AG1406" s="6"/>
      <c r="AH1406" s="6"/>
      <c r="AI1406" s="6"/>
      <c r="AJ1406" s="6"/>
      <c r="AK1406" s="6"/>
      <c r="AL1406" s="6"/>
      <c r="AM1406" s="6"/>
      <c r="AN1406" s="6"/>
      <c r="AO1406" s="6"/>
      <c r="AP1406" s="6"/>
      <c r="AQ1406" s="6"/>
      <c r="AR1406" s="6"/>
      <c r="AS1406" s="6"/>
      <c r="AT1406" s="6"/>
      <c r="AU1406" s="6"/>
      <c r="AV1406" s="6"/>
      <c r="AW1406" s="6"/>
      <c r="AX1406" s="6"/>
      <c r="AY1406" s="6"/>
      <c r="AZ1406" s="6"/>
      <c r="BA1406" s="6"/>
      <c r="BB1406" s="6"/>
      <c r="BC1406" s="6"/>
      <c r="BD1406" s="6"/>
      <c r="BE1406" s="6"/>
      <c r="BF1406" s="6"/>
      <c r="BG1406" s="6"/>
      <c r="BH1406" s="6"/>
      <c r="BI1406" s="6"/>
      <c r="BJ1406" s="6"/>
      <c r="BK1406" s="6"/>
      <c r="BL1406" s="6"/>
      <c r="BM1406" s="5"/>
      <c r="BN1406" s="7"/>
      <c r="BO1406" s="7"/>
      <c r="BP1406" s="7"/>
    </row>
    <row r="1407" spans="1:68" s="400" customFormat="1" ht="14.25" customHeight="1" x14ac:dyDescent="0.25">
      <c r="A1407" s="5"/>
      <c r="B1407" s="5"/>
      <c r="C1407" s="5"/>
      <c r="D1407" s="5"/>
      <c r="E1407" s="5"/>
      <c r="F1407" s="5"/>
      <c r="G1407" s="5"/>
      <c r="H1407" s="5"/>
      <c r="I1407" s="5"/>
      <c r="J1407" s="5"/>
      <c r="K1407" s="5"/>
      <c r="L1407" s="5"/>
      <c r="M1407" s="5"/>
      <c r="N1407" s="5"/>
      <c r="O1407" s="5"/>
      <c r="P1407" s="5"/>
      <c r="Q1407" s="5"/>
      <c r="R1407" s="5"/>
      <c r="S1407" s="5"/>
      <c r="T1407" s="5"/>
      <c r="U1407" s="5"/>
      <c r="V1407" s="5"/>
      <c r="W1407" s="5"/>
      <c r="X1407" s="5"/>
      <c r="Y1407" s="5"/>
      <c r="Z1407" s="5"/>
      <c r="AA1407" s="5"/>
      <c r="AB1407" s="6"/>
      <c r="AC1407" s="6"/>
      <c r="AD1407" s="6"/>
      <c r="AE1407" s="6"/>
      <c r="AF1407" s="6"/>
      <c r="AG1407" s="6"/>
      <c r="AH1407" s="6"/>
      <c r="AI1407" s="6"/>
      <c r="AJ1407" s="6"/>
      <c r="AK1407" s="6"/>
      <c r="AL1407" s="6"/>
      <c r="AM1407" s="6"/>
      <c r="AN1407" s="6"/>
      <c r="AO1407" s="6"/>
      <c r="AP1407" s="6"/>
      <c r="AQ1407" s="6"/>
      <c r="AR1407" s="6"/>
      <c r="AS1407" s="6"/>
      <c r="AT1407" s="6"/>
      <c r="AU1407" s="6"/>
      <c r="AV1407" s="6"/>
      <c r="AW1407" s="6"/>
      <c r="AX1407" s="6"/>
      <c r="AY1407" s="6"/>
      <c r="AZ1407" s="6"/>
      <c r="BA1407" s="6"/>
      <c r="BB1407" s="6"/>
      <c r="BC1407" s="6"/>
      <c r="BD1407" s="6"/>
      <c r="BE1407" s="6"/>
      <c r="BF1407" s="6"/>
      <c r="BG1407" s="6"/>
      <c r="BH1407" s="6"/>
      <c r="BI1407" s="6"/>
      <c r="BJ1407" s="6"/>
      <c r="BK1407" s="6"/>
      <c r="BL1407" s="6"/>
      <c r="BM1407" s="5"/>
      <c r="BN1407" s="7"/>
      <c r="BO1407" s="7"/>
      <c r="BP1407" s="7"/>
    </row>
    <row r="1408" spans="1:68" s="400" customFormat="1" ht="14.25" customHeight="1" x14ac:dyDescent="0.25">
      <c r="A1408" s="5"/>
      <c r="B1408" s="5"/>
      <c r="C1408" s="5"/>
      <c r="D1408" s="5"/>
      <c r="E1408" s="5"/>
      <c r="F1408" s="5"/>
      <c r="G1408" s="5"/>
      <c r="H1408" s="5"/>
      <c r="I1408" s="5"/>
      <c r="J1408" s="5"/>
      <c r="K1408" s="5"/>
      <c r="L1408" s="5"/>
      <c r="M1408" s="5"/>
      <c r="N1408" s="5"/>
      <c r="O1408" s="5"/>
      <c r="P1408" s="5"/>
      <c r="Q1408" s="5"/>
      <c r="R1408" s="5"/>
      <c r="S1408" s="5"/>
      <c r="T1408" s="5"/>
      <c r="U1408" s="5"/>
      <c r="V1408" s="5"/>
      <c r="W1408" s="5"/>
      <c r="X1408" s="5"/>
      <c r="Y1408" s="5"/>
      <c r="Z1408" s="5"/>
      <c r="AA1408" s="5"/>
      <c r="AB1408" s="6"/>
      <c r="AC1408" s="6"/>
      <c r="AD1408" s="6"/>
      <c r="AE1408" s="6"/>
      <c r="AF1408" s="6"/>
      <c r="AG1408" s="6"/>
      <c r="AH1408" s="6"/>
      <c r="AI1408" s="6"/>
      <c r="AJ1408" s="6"/>
      <c r="AK1408" s="6"/>
      <c r="AL1408" s="6"/>
      <c r="AM1408" s="6"/>
      <c r="AN1408" s="6"/>
      <c r="AO1408" s="6"/>
      <c r="AP1408" s="6"/>
      <c r="AQ1408" s="6"/>
      <c r="AR1408" s="6"/>
      <c r="AS1408" s="6"/>
      <c r="AT1408" s="6"/>
      <c r="AU1408" s="6"/>
      <c r="AV1408" s="6"/>
      <c r="AW1408" s="6"/>
      <c r="AX1408" s="6"/>
      <c r="AY1408" s="6"/>
      <c r="AZ1408" s="6"/>
      <c r="BA1408" s="6"/>
      <c r="BB1408" s="6"/>
      <c r="BC1408" s="6"/>
      <c r="BD1408" s="6"/>
      <c r="BE1408" s="6"/>
      <c r="BF1408" s="6"/>
      <c r="BG1408" s="6"/>
      <c r="BH1408" s="6"/>
      <c r="BI1408" s="6"/>
      <c r="BJ1408" s="6"/>
      <c r="BK1408" s="6"/>
      <c r="BL1408" s="6"/>
      <c r="BM1408" s="5"/>
      <c r="BN1408" s="7"/>
      <c r="BO1408" s="7"/>
      <c r="BP1408" s="7"/>
    </row>
    <row r="1409" spans="1:68" s="400" customFormat="1" ht="14.25" customHeight="1" x14ac:dyDescent="0.25">
      <c r="A1409" s="5"/>
      <c r="B1409" s="5"/>
      <c r="C1409" s="5"/>
      <c r="D1409" s="5"/>
      <c r="E1409" s="5"/>
      <c r="F1409" s="5"/>
      <c r="G1409" s="5"/>
      <c r="H1409" s="5"/>
      <c r="I1409" s="5"/>
      <c r="J1409" s="5"/>
      <c r="K1409" s="5"/>
      <c r="L1409" s="5"/>
      <c r="M1409" s="5"/>
      <c r="N1409" s="5"/>
      <c r="O1409" s="5"/>
      <c r="P1409" s="5"/>
      <c r="Q1409" s="5"/>
      <c r="R1409" s="5"/>
      <c r="S1409" s="5"/>
      <c r="T1409" s="5"/>
      <c r="U1409" s="5"/>
      <c r="V1409" s="5"/>
      <c r="W1409" s="5"/>
      <c r="X1409" s="5"/>
      <c r="Y1409" s="5"/>
      <c r="Z1409" s="5"/>
      <c r="AA1409" s="5"/>
      <c r="AB1409" s="6"/>
      <c r="AC1409" s="6"/>
      <c r="AD1409" s="6"/>
      <c r="AE1409" s="6"/>
      <c r="AF1409" s="6"/>
      <c r="AG1409" s="6"/>
      <c r="AH1409" s="6"/>
      <c r="AI1409" s="6"/>
      <c r="AJ1409" s="6"/>
      <c r="AK1409" s="6"/>
      <c r="AL1409" s="6"/>
      <c r="AM1409" s="6"/>
      <c r="AN1409" s="6"/>
      <c r="AO1409" s="6"/>
      <c r="AP1409" s="6"/>
      <c r="AQ1409" s="6"/>
      <c r="AR1409" s="6"/>
      <c r="AS1409" s="6"/>
      <c r="AT1409" s="6"/>
      <c r="AU1409" s="6"/>
      <c r="AV1409" s="6"/>
      <c r="AW1409" s="6"/>
      <c r="AX1409" s="6"/>
      <c r="AY1409" s="6"/>
      <c r="AZ1409" s="6"/>
      <c r="BA1409" s="6"/>
      <c r="BB1409" s="6"/>
      <c r="BC1409" s="6"/>
      <c r="BD1409" s="6"/>
      <c r="BE1409" s="6"/>
      <c r="BF1409" s="6"/>
      <c r="BG1409" s="6"/>
      <c r="BH1409" s="6"/>
      <c r="BI1409" s="6"/>
      <c r="BJ1409" s="6"/>
      <c r="BK1409" s="6"/>
      <c r="BL1409" s="6"/>
      <c r="BM1409" s="5"/>
      <c r="BN1409" s="7"/>
      <c r="BO1409" s="7"/>
      <c r="BP1409" s="7"/>
    </row>
    <row r="1410" spans="1:68" s="400" customFormat="1" ht="14.25" customHeight="1" x14ac:dyDescent="0.25">
      <c r="A1410" s="5"/>
      <c r="B1410" s="5"/>
      <c r="C1410" s="5"/>
      <c r="D1410" s="5"/>
      <c r="E1410" s="5"/>
      <c r="F1410" s="5"/>
      <c r="G1410" s="5"/>
      <c r="H1410" s="5"/>
      <c r="I1410" s="5"/>
      <c r="J1410" s="5"/>
      <c r="K1410" s="5"/>
      <c r="L1410" s="5"/>
      <c r="M1410" s="5"/>
      <c r="N1410" s="5"/>
      <c r="O1410" s="5"/>
      <c r="P1410" s="5"/>
      <c r="Q1410" s="5"/>
      <c r="R1410" s="5"/>
      <c r="S1410" s="5"/>
      <c r="T1410" s="5"/>
      <c r="U1410" s="5"/>
      <c r="V1410" s="5"/>
      <c r="W1410" s="5"/>
      <c r="X1410" s="5"/>
      <c r="Y1410" s="5"/>
      <c r="Z1410" s="5"/>
      <c r="AA1410" s="5"/>
      <c r="AB1410" s="6"/>
      <c r="AC1410" s="6"/>
      <c r="AD1410" s="6"/>
      <c r="AE1410" s="6"/>
      <c r="AF1410" s="6"/>
      <c r="AG1410" s="6"/>
      <c r="AH1410" s="6"/>
      <c r="AI1410" s="6"/>
      <c r="AJ1410" s="6"/>
      <c r="AK1410" s="6"/>
      <c r="AL1410" s="6"/>
      <c r="AM1410" s="6"/>
      <c r="AN1410" s="6"/>
      <c r="AO1410" s="6"/>
      <c r="AP1410" s="6"/>
      <c r="AQ1410" s="6"/>
      <c r="AR1410" s="6"/>
      <c r="AS1410" s="6"/>
      <c r="AT1410" s="6"/>
      <c r="AU1410" s="6"/>
      <c r="AV1410" s="6"/>
      <c r="AW1410" s="6"/>
      <c r="AX1410" s="6"/>
      <c r="AY1410" s="6"/>
      <c r="AZ1410" s="6"/>
      <c r="BA1410" s="6"/>
      <c r="BB1410" s="6"/>
      <c r="BC1410" s="6"/>
      <c r="BD1410" s="6"/>
      <c r="BE1410" s="6"/>
      <c r="BF1410" s="6"/>
      <c r="BG1410" s="6"/>
      <c r="BH1410" s="6"/>
      <c r="BI1410" s="6"/>
      <c r="BJ1410" s="6"/>
      <c r="BK1410" s="6"/>
      <c r="BL1410" s="6"/>
      <c r="BM1410" s="5"/>
      <c r="BN1410" s="7"/>
      <c r="BO1410" s="7"/>
      <c r="BP1410" s="7"/>
    </row>
    <row r="1411" spans="1:68" s="400" customFormat="1" ht="14.25" customHeight="1" x14ac:dyDescent="0.25">
      <c r="A1411" s="5"/>
      <c r="B1411" s="5"/>
      <c r="C1411" s="5"/>
      <c r="D1411" s="5"/>
      <c r="E1411" s="5"/>
      <c r="F1411" s="5"/>
      <c r="G1411" s="5"/>
      <c r="H1411" s="5"/>
      <c r="I1411" s="5"/>
      <c r="J1411" s="5"/>
      <c r="K1411" s="5"/>
      <c r="L1411" s="5"/>
      <c r="M1411" s="5"/>
      <c r="N1411" s="5"/>
      <c r="O1411" s="5"/>
      <c r="P1411" s="5"/>
      <c r="Q1411" s="5"/>
      <c r="R1411" s="5"/>
      <c r="S1411" s="5"/>
      <c r="T1411" s="5"/>
      <c r="U1411" s="5"/>
      <c r="V1411" s="5"/>
      <c r="W1411" s="5"/>
      <c r="X1411" s="5"/>
      <c r="Y1411" s="5"/>
      <c r="Z1411" s="5"/>
      <c r="AA1411" s="5"/>
      <c r="AB1411" s="6"/>
      <c r="AC1411" s="6"/>
      <c r="AD1411" s="6"/>
      <c r="AE1411" s="6"/>
      <c r="AF1411" s="6"/>
      <c r="AG1411" s="6"/>
      <c r="AH1411" s="6"/>
      <c r="AI1411" s="6"/>
      <c r="AJ1411" s="6"/>
      <c r="AK1411" s="6"/>
      <c r="AL1411" s="6"/>
      <c r="AM1411" s="6"/>
      <c r="AN1411" s="6"/>
      <c r="AO1411" s="6"/>
      <c r="AP1411" s="6"/>
      <c r="AQ1411" s="6"/>
      <c r="AR1411" s="6"/>
      <c r="AS1411" s="6"/>
      <c r="AT1411" s="6"/>
      <c r="AU1411" s="6"/>
      <c r="AV1411" s="6"/>
      <c r="AW1411" s="6"/>
      <c r="AX1411" s="6"/>
      <c r="AY1411" s="6"/>
      <c r="AZ1411" s="6"/>
      <c r="BA1411" s="6"/>
      <c r="BB1411" s="6"/>
      <c r="BC1411" s="6"/>
      <c r="BD1411" s="6"/>
      <c r="BE1411" s="6"/>
      <c r="BF1411" s="6"/>
      <c r="BG1411" s="6"/>
      <c r="BH1411" s="6"/>
      <c r="BI1411" s="6"/>
      <c r="BJ1411" s="6"/>
      <c r="BK1411" s="6"/>
      <c r="BL1411" s="6"/>
      <c r="BM1411" s="5"/>
      <c r="BN1411" s="7"/>
      <c r="BO1411" s="7"/>
      <c r="BP1411" s="7"/>
    </row>
    <row r="1412" spans="1:68" s="400" customFormat="1" ht="14.25" customHeight="1" x14ac:dyDescent="0.25">
      <c r="A1412" s="5"/>
      <c r="B1412" s="5"/>
      <c r="C1412" s="5"/>
      <c r="D1412" s="5"/>
      <c r="E1412" s="5"/>
      <c r="F1412" s="5"/>
      <c r="G1412" s="5"/>
      <c r="H1412" s="5"/>
      <c r="I1412" s="5"/>
      <c r="J1412" s="5"/>
      <c r="K1412" s="5"/>
      <c r="L1412" s="5"/>
      <c r="M1412" s="5"/>
      <c r="N1412" s="5"/>
      <c r="O1412" s="5"/>
      <c r="P1412" s="5"/>
      <c r="Q1412" s="5"/>
      <c r="R1412" s="5"/>
      <c r="S1412" s="5"/>
      <c r="T1412" s="5"/>
      <c r="U1412" s="5"/>
      <c r="V1412" s="5"/>
      <c r="W1412" s="5"/>
      <c r="X1412" s="5"/>
      <c r="Y1412" s="5"/>
      <c r="Z1412" s="5"/>
      <c r="AA1412" s="5"/>
      <c r="AB1412" s="6"/>
      <c r="AC1412" s="6"/>
      <c r="AD1412" s="6"/>
      <c r="AE1412" s="6"/>
      <c r="AF1412" s="6"/>
      <c r="AG1412" s="6"/>
      <c r="AH1412" s="6"/>
      <c r="AI1412" s="6"/>
      <c r="AJ1412" s="6"/>
      <c r="AK1412" s="6"/>
      <c r="AL1412" s="6"/>
      <c r="AM1412" s="6"/>
      <c r="AN1412" s="6"/>
      <c r="AO1412" s="6"/>
      <c r="AP1412" s="6"/>
      <c r="AQ1412" s="6"/>
      <c r="AR1412" s="6"/>
      <c r="AS1412" s="6"/>
      <c r="AT1412" s="6"/>
      <c r="AU1412" s="6"/>
      <c r="AV1412" s="6"/>
      <c r="AW1412" s="6"/>
      <c r="AX1412" s="6"/>
      <c r="AY1412" s="6"/>
      <c r="AZ1412" s="6"/>
      <c r="BA1412" s="6"/>
      <c r="BB1412" s="6"/>
      <c r="BC1412" s="6"/>
      <c r="BD1412" s="6"/>
      <c r="BE1412" s="6"/>
      <c r="BF1412" s="6"/>
      <c r="BG1412" s="6"/>
      <c r="BH1412" s="6"/>
      <c r="BI1412" s="6"/>
      <c r="BJ1412" s="6"/>
      <c r="BK1412" s="6"/>
      <c r="BL1412" s="6"/>
      <c r="BM1412" s="5"/>
      <c r="BN1412" s="7"/>
      <c r="BO1412" s="7"/>
      <c r="BP1412" s="7"/>
    </row>
    <row r="1413" spans="1:68" s="400" customFormat="1" ht="14.25" customHeight="1" x14ac:dyDescent="0.25">
      <c r="A1413" s="5"/>
      <c r="B1413" s="5"/>
      <c r="C1413" s="5"/>
      <c r="D1413" s="5"/>
      <c r="E1413" s="5"/>
      <c r="F1413" s="5"/>
      <c r="G1413" s="5"/>
      <c r="H1413" s="5"/>
      <c r="I1413" s="5"/>
      <c r="J1413" s="5"/>
      <c r="K1413" s="5"/>
      <c r="L1413" s="5"/>
      <c r="M1413" s="5"/>
      <c r="N1413" s="5"/>
      <c r="O1413" s="5"/>
      <c r="P1413" s="5"/>
      <c r="Q1413" s="5"/>
      <c r="R1413" s="5"/>
      <c r="S1413" s="5"/>
      <c r="T1413" s="5"/>
      <c r="U1413" s="5"/>
      <c r="V1413" s="5"/>
      <c r="W1413" s="5"/>
      <c r="X1413" s="5"/>
      <c r="Y1413" s="5"/>
      <c r="Z1413" s="5"/>
      <c r="AA1413" s="5"/>
      <c r="AB1413" s="6"/>
      <c r="AC1413" s="6"/>
      <c r="AD1413" s="6"/>
      <c r="AE1413" s="6"/>
      <c r="AF1413" s="6"/>
      <c r="AG1413" s="6"/>
      <c r="AH1413" s="6"/>
      <c r="AI1413" s="6"/>
      <c r="AJ1413" s="6"/>
      <c r="AK1413" s="6"/>
      <c r="AL1413" s="6"/>
      <c r="AM1413" s="6"/>
      <c r="AN1413" s="6"/>
      <c r="AO1413" s="6"/>
      <c r="AP1413" s="6"/>
      <c r="AQ1413" s="6"/>
      <c r="AR1413" s="6"/>
      <c r="AS1413" s="6"/>
      <c r="AT1413" s="6"/>
      <c r="AU1413" s="6"/>
      <c r="AV1413" s="6"/>
      <c r="AW1413" s="6"/>
      <c r="AX1413" s="6"/>
      <c r="AY1413" s="6"/>
      <c r="AZ1413" s="6"/>
      <c r="BA1413" s="6"/>
      <c r="BB1413" s="6"/>
      <c r="BC1413" s="6"/>
      <c r="BD1413" s="6"/>
      <c r="BE1413" s="6"/>
      <c r="BF1413" s="6"/>
      <c r="BG1413" s="6"/>
      <c r="BH1413" s="6"/>
      <c r="BI1413" s="6"/>
      <c r="BJ1413" s="6"/>
      <c r="BK1413" s="6"/>
      <c r="BL1413" s="6"/>
      <c r="BM1413" s="5"/>
      <c r="BN1413" s="7"/>
      <c r="BO1413" s="7"/>
      <c r="BP1413" s="7"/>
    </row>
    <row r="1414" spans="1:68" s="400" customFormat="1" ht="14.25" customHeight="1" x14ac:dyDescent="0.25">
      <c r="A1414" s="5"/>
      <c r="B1414" s="5"/>
      <c r="C1414" s="5"/>
      <c r="D1414" s="5"/>
      <c r="E1414" s="5"/>
      <c r="F1414" s="5"/>
      <c r="G1414" s="5"/>
      <c r="H1414" s="5"/>
      <c r="I1414" s="5"/>
      <c r="J1414" s="5"/>
      <c r="K1414" s="5"/>
      <c r="L1414" s="5"/>
      <c r="M1414" s="5"/>
      <c r="N1414" s="5"/>
      <c r="O1414" s="5"/>
      <c r="P1414" s="5"/>
      <c r="Q1414" s="5"/>
      <c r="R1414" s="5"/>
      <c r="S1414" s="5"/>
      <c r="T1414" s="5"/>
      <c r="U1414" s="5"/>
      <c r="V1414" s="5"/>
      <c r="W1414" s="5"/>
      <c r="X1414" s="5"/>
      <c r="Y1414" s="5"/>
      <c r="Z1414" s="5"/>
      <c r="AA1414" s="5"/>
      <c r="AB1414" s="6"/>
      <c r="AC1414" s="6"/>
      <c r="AD1414" s="6"/>
      <c r="AE1414" s="6"/>
      <c r="AF1414" s="6"/>
      <c r="AG1414" s="6"/>
      <c r="AH1414" s="6"/>
      <c r="AI1414" s="6"/>
      <c r="AJ1414" s="6"/>
      <c r="AK1414" s="6"/>
      <c r="AL1414" s="6"/>
      <c r="AM1414" s="6"/>
      <c r="AN1414" s="6"/>
      <c r="AO1414" s="6"/>
      <c r="AP1414" s="6"/>
      <c r="AQ1414" s="6"/>
      <c r="AR1414" s="6"/>
      <c r="AS1414" s="6"/>
      <c r="AT1414" s="6"/>
      <c r="AU1414" s="6"/>
      <c r="AV1414" s="6"/>
      <c r="AW1414" s="6"/>
      <c r="AX1414" s="6"/>
      <c r="AY1414" s="6"/>
      <c r="AZ1414" s="6"/>
      <c r="BA1414" s="6"/>
      <c r="BB1414" s="6"/>
      <c r="BC1414" s="6"/>
      <c r="BD1414" s="6"/>
      <c r="BE1414" s="6"/>
      <c r="BF1414" s="6"/>
      <c r="BG1414" s="6"/>
      <c r="BH1414" s="6"/>
      <c r="BI1414" s="6"/>
      <c r="BJ1414" s="6"/>
      <c r="BK1414" s="6"/>
      <c r="BL1414" s="6"/>
      <c r="BM1414" s="5"/>
      <c r="BN1414" s="7"/>
      <c r="BO1414" s="7"/>
      <c r="BP1414" s="7"/>
    </row>
    <row r="1415" spans="1:68" s="400" customFormat="1" ht="14.25" customHeight="1" x14ac:dyDescent="0.25">
      <c r="A1415" s="5"/>
      <c r="B1415" s="5"/>
      <c r="C1415" s="5"/>
      <c r="D1415" s="5"/>
      <c r="E1415" s="5"/>
      <c r="F1415" s="5"/>
      <c r="G1415" s="5"/>
      <c r="H1415" s="5"/>
      <c r="I1415" s="5"/>
      <c r="J1415" s="5"/>
      <c r="K1415" s="5"/>
      <c r="L1415" s="5"/>
      <c r="M1415" s="5"/>
      <c r="N1415" s="5"/>
      <c r="O1415" s="5"/>
      <c r="P1415" s="5"/>
      <c r="Q1415" s="5"/>
      <c r="R1415" s="5"/>
      <c r="S1415" s="5"/>
      <c r="T1415" s="5"/>
      <c r="U1415" s="5"/>
      <c r="V1415" s="5"/>
      <c r="W1415" s="5"/>
      <c r="X1415" s="5"/>
      <c r="Y1415" s="5"/>
      <c r="Z1415" s="5"/>
      <c r="AA1415" s="5"/>
      <c r="AB1415" s="6"/>
      <c r="AC1415" s="6"/>
      <c r="AD1415" s="6"/>
      <c r="AE1415" s="6"/>
      <c r="AF1415" s="6"/>
      <c r="AG1415" s="6"/>
      <c r="AH1415" s="6"/>
      <c r="AI1415" s="6"/>
      <c r="AJ1415" s="6"/>
      <c r="AK1415" s="6"/>
      <c r="AL1415" s="6"/>
      <c r="AM1415" s="6"/>
      <c r="AN1415" s="6"/>
      <c r="AO1415" s="6"/>
      <c r="AP1415" s="6"/>
      <c r="AQ1415" s="6"/>
      <c r="AR1415" s="6"/>
      <c r="AS1415" s="6"/>
      <c r="AT1415" s="6"/>
      <c r="AU1415" s="6"/>
      <c r="AV1415" s="6"/>
      <c r="AW1415" s="6"/>
      <c r="AX1415" s="6"/>
      <c r="AY1415" s="6"/>
      <c r="AZ1415" s="6"/>
      <c r="BA1415" s="6"/>
      <c r="BB1415" s="6"/>
      <c r="BC1415" s="6"/>
      <c r="BD1415" s="6"/>
      <c r="BE1415" s="6"/>
      <c r="BF1415" s="6"/>
      <c r="BG1415" s="6"/>
      <c r="BH1415" s="6"/>
      <c r="BI1415" s="6"/>
      <c r="BJ1415" s="6"/>
      <c r="BK1415" s="6"/>
      <c r="BL1415" s="6"/>
      <c r="BM1415" s="5"/>
      <c r="BN1415" s="7"/>
      <c r="BO1415" s="7"/>
      <c r="BP1415" s="7"/>
    </row>
    <row r="1416" spans="1:68" s="400" customFormat="1" ht="14.25" customHeight="1" x14ac:dyDescent="0.25">
      <c r="A1416" s="5"/>
      <c r="B1416" s="5"/>
      <c r="C1416" s="5"/>
      <c r="D1416" s="5"/>
      <c r="E1416" s="5"/>
      <c r="F1416" s="5"/>
      <c r="G1416" s="5"/>
      <c r="H1416" s="5"/>
      <c r="I1416" s="5"/>
      <c r="J1416" s="5"/>
      <c r="K1416" s="5"/>
      <c r="L1416" s="5"/>
      <c r="M1416" s="5"/>
      <c r="N1416" s="5"/>
      <c r="O1416" s="5"/>
      <c r="P1416" s="5"/>
      <c r="Q1416" s="5"/>
      <c r="R1416" s="5"/>
      <c r="S1416" s="5"/>
      <c r="T1416" s="5"/>
      <c r="U1416" s="5"/>
      <c r="V1416" s="5"/>
      <c r="W1416" s="5"/>
      <c r="X1416" s="5"/>
      <c r="Y1416" s="5"/>
      <c r="Z1416" s="5"/>
      <c r="AA1416" s="5"/>
      <c r="AB1416" s="6"/>
      <c r="AC1416" s="6"/>
      <c r="AD1416" s="6"/>
      <c r="AE1416" s="6"/>
      <c r="AF1416" s="6"/>
      <c r="AG1416" s="6"/>
      <c r="AH1416" s="6"/>
      <c r="AI1416" s="6"/>
      <c r="AJ1416" s="6"/>
      <c r="AK1416" s="6"/>
      <c r="AL1416" s="6"/>
      <c r="AM1416" s="6"/>
      <c r="AN1416" s="6"/>
      <c r="AO1416" s="6"/>
      <c r="AP1416" s="6"/>
      <c r="AQ1416" s="6"/>
      <c r="AR1416" s="6"/>
      <c r="AS1416" s="6"/>
      <c r="AT1416" s="6"/>
      <c r="AU1416" s="6"/>
      <c r="AV1416" s="6"/>
      <c r="AW1416" s="6"/>
      <c r="AX1416" s="6"/>
      <c r="AY1416" s="6"/>
      <c r="AZ1416" s="6"/>
      <c r="BA1416" s="6"/>
      <c r="BB1416" s="6"/>
      <c r="BC1416" s="6"/>
      <c r="BD1416" s="6"/>
      <c r="BE1416" s="6"/>
      <c r="BF1416" s="6"/>
      <c r="BG1416" s="6"/>
      <c r="BH1416" s="6"/>
      <c r="BI1416" s="6"/>
      <c r="BJ1416" s="6"/>
      <c r="BK1416" s="6"/>
      <c r="BL1416" s="6"/>
      <c r="BM1416" s="5"/>
      <c r="BN1416" s="7"/>
      <c r="BO1416" s="7"/>
      <c r="BP1416" s="7"/>
    </row>
    <row r="1417" spans="1:68" s="400" customFormat="1" ht="14.25" customHeight="1" x14ac:dyDescent="0.25">
      <c r="A1417" s="5"/>
      <c r="B1417" s="5"/>
      <c r="C1417" s="5"/>
      <c r="D1417" s="5"/>
      <c r="E1417" s="5"/>
      <c r="F1417" s="5"/>
      <c r="G1417" s="5"/>
      <c r="H1417" s="5"/>
      <c r="I1417" s="5"/>
      <c r="J1417" s="5"/>
      <c r="K1417" s="5"/>
      <c r="L1417" s="5"/>
      <c r="M1417" s="5"/>
      <c r="N1417" s="5"/>
      <c r="O1417" s="5"/>
      <c r="P1417" s="5"/>
      <c r="Q1417" s="5"/>
      <c r="R1417" s="5"/>
      <c r="S1417" s="5"/>
      <c r="T1417" s="5"/>
      <c r="U1417" s="5"/>
      <c r="V1417" s="5"/>
      <c r="W1417" s="5"/>
      <c r="X1417" s="5"/>
      <c r="Y1417" s="5"/>
      <c r="Z1417" s="5"/>
      <c r="AA1417" s="5"/>
      <c r="AB1417" s="6"/>
      <c r="AC1417" s="6"/>
      <c r="AD1417" s="6"/>
      <c r="AE1417" s="6"/>
      <c r="AF1417" s="6"/>
      <c r="AG1417" s="6"/>
      <c r="AH1417" s="6"/>
      <c r="AI1417" s="6"/>
      <c r="AJ1417" s="6"/>
      <c r="AK1417" s="6"/>
      <c r="AL1417" s="6"/>
      <c r="AM1417" s="6"/>
      <c r="AN1417" s="6"/>
      <c r="AO1417" s="6"/>
      <c r="AP1417" s="6"/>
      <c r="AQ1417" s="6"/>
      <c r="AR1417" s="6"/>
      <c r="AS1417" s="6"/>
      <c r="AT1417" s="6"/>
      <c r="AU1417" s="6"/>
      <c r="AV1417" s="6"/>
      <c r="AW1417" s="6"/>
      <c r="AX1417" s="6"/>
      <c r="AY1417" s="6"/>
      <c r="AZ1417" s="6"/>
      <c r="BA1417" s="6"/>
      <c r="BB1417" s="6"/>
      <c r="BC1417" s="6"/>
      <c r="BD1417" s="6"/>
      <c r="BE1417" s="6"/>
      <c r="BF1417" s="6"/>
      <c r="BG1417" s="6"/>
      <c r="BH1417" s="6"/>
      <c r="BI1417" s="6"/>
      <c r="BJ1417" s="6"/>
      <c r="BK1417" s="6"/>
      <c r="BL1417" s="6"/>
      <c r="BM1417" s="5"/>
      <c r="BN1417" s="7"/>
      <c r="BO1417" s="7"/>
      <c r="BP1417" s="7"/>
    </row>
    <row r="1418" spans="1:68" s="400" customFormat="1" ht="14.25" customHeight="1" x14ac:dyDescent="0.25">
      <c r="A1418" s="5"/>
      <c r="B1418" s="5"/>
      <c r="C1418" s="5"/>
      <c r="D1418" s="5"/>
      <c r="E1418" s="5"/>
      <c r="F1418" s="5"/>
      <c r="G1418" s="5"/>
      <c r="H1418" s="5"/>
      <c r="I1418" s="5"/>
      <c r="J1418" s="5"/>
      <c r="K1418" s="5"/>
      <c r="L1418" s="5"/>
      <c r="M1418" s="5"/>
      <c r="N1418" s="5"/>
      <c r="O1418" s="5"/>
      <c r="P1418" s="5"/>
      <c r="Q1418" s="5"/>
      <c r="R1418" s="5"/>
      <c r="S1418" s="5"/>
      <c r="T1418" s="5"/>
      <c r="U1418" s="5"/>
      <c r="V1418" s="5"/>
      <c r="W1418" s="5"/>
      <c r="X1418" s="5"/>
      <c r="Y1418" s="5"/>
      <c r="Z1418" s="5"/>
      <c r="AA1418" s="5"/>
      <c r="AB1418" s="6"/>
      <c r="AC1418" s="6"/>
      <c r="AD1418" s="6"/>
      <c r="AE1418" s="6"/>
      <c r="AF1418" s="6"/>
      <c r="AG1418" s="6"/>
      <c r="AH1418" s="6"/>
      <c r="AI1418" s="6"/>
      <c r="AJ1418" s="6"/>
      <c r="AK1418" s="6"/>
      <c r="AL1418" s="6"/>
      <c r="AM1418" s="6"/>
      <c r="AN1418" s="6"/>
      <c r="AO1418" s="6"/>
      <c r="AP1418" s="6"/>
      <c r="AQ1418" s="6"/>
      <c r="AR1418" s="6"/>
      <c r="AS1418" s="6"/>
      <c r="AT1418" s="6"/>
      <c r="AU1418" s="6"/>
      <c r="AV1418" s="6"/>
      <c r="AW1418" s="6"/>
      <c r="AX1418" s="6"/>
      <c r="AY1418" s="6"/>
      <c r="AZ1418" s="6"/>
      <c r="BA1418" s="6"/>
      <c r="BB1418" s="6"/>
      <c r="BC1418" s="6"/>
      <c r="BD1418" s="6"/>
      <c r="BE1418" s="6"/>
      <c r="BF1418" s="6"/>
      <c r="BG1418" s="6"/>
      <c r="BH1418" s="6"/>
      <c r="BI1418" s="6"/>
      <c r="BJ1418" s="6"/>
      <c r="BK1418" s="6"/>
      <c r="BL1418" s="6"/>
      <c r="BM1418" s="5"/>
      <c r="BN1418" s="7"/>
      <c r="BO1418" s="7"/>
      <c r="BP1418" s="7"/>
    </row>
    <row r="1419" spans="1:68" s="400" customFormat="1" ht="14.25" customHeight="1" x14ac:dyDescent="0.25">
      <c r="A1419" s="5"/>
      <c r="B1419" s="5"/>
      <c r="C1419" s="5"/>
      <c r="D1419" s="5"/>
      <c r="E1419" s="5"/>
      <c r="F1419" s="5"/>
      <c r="G1419" s="5"/>
      <c r="H1419" s="5"/>
      <c r="I1419" s="5"/>
      <c r="J1419" s="5"/>
      <c r="K1419" s="5"/>
      <c r="L1419" s="5"/>
      <c r="M1419" s="5"/>
      <c r="N1419" s="5"/>
      <c r="O1419" s="5"/>
      <c r="P1419" s="5"/>
      <c r="Q1419" s="5"/>
      <c r="R1419" s="5"/>
      <c r="S1419" s="5"/>
      <c r="T1419" s="5"/>
      <c r="U1419" s="5"/>
      <c r="V1419" s="5"/>
      <c r="W1419" s="5"/>
      <c r="X1419" s="5"/>
      <c r="Y1419" s="5"/>
      <c r="Z1419" s="5"/>
      <c r="AA1419" s="5"/>
      <c r="AB1419" s="6"/>
      <c r="AC1419" s="6"/>
      <c r="AD1419" s="6"/>
      <c r="AE1419" s="6"/>
      <c r="AF1419" s="6"/>
      <c r="AG1419" s="6"/>
      <c r="AH1419" s="6"/>
      <c r="AI1419" s="6"/>
      <c r="AJ1419" s="6"/>
      <c r="AK1419" s="6"/>
      <c r="AL1419" s="6"/>
      <c r="AM1419" s="6"/>
      <c r="AN1419" s="6"/>
      <c r="AO1419" s="6"/>
      <c r="AP1419" s="6"/>
      <c r="AQ1419" s="6"/>
      <c r="AR1419" s="6"/>
      <c r="AS1419" s="6"/>
      <c r="AT1419" s="6"/>
      <c r="AU1419" s="6"/>
      <c r="AV1419" s="6"/>
      <c r="AW1419" s="6"/>
      <c r="AX1419" s="6"/>
      <c r="AY1419" s="6"/>
      <c r="AZ1419" s="6"/>
      <c r="BA1419" s="6"/>
      <c r="BB1419" s="6"/>
      <c r="BC1419" s="6"/>
      <c r="BD1419" s="6"/>
      <c r="BE1419" s="6"/>
      <c r="BF1419" s="6"/>
      <c r="BG1419" s="6"/>
      <c r="BH1419" s="6"/>
      <c r="BI1419" s="6"/>
      <c r="BJ1419" s="6"/>
      <c r="BK1419" s="6"/>
      <c r="BL1419" s="6"/>
      <c r="BM1419" s="5"/>
      <c r="BN1419" s="7"/>
      <c r="BO1419" s="7"/>
      <c r="BP1419" s="7"/>
    </row>
    <row r="1420" spans="1:68" s="400" customFormat="1" ht="14.25" customHeight="1" x14ac:dyDescent="0.25">
      <c r="A1420" s="5"/>
      <c r="B1420" s="5"/>
      <c r="C1420" s="5"/>
      <c r="D1420" s="5"/>
      <c r="E1420" s="5"/>
      <c r="F1420" s="5"/>
      <c r="G1420" s="5"/>
      <c r="H1420" s="5"/>
      <c r="I1420" s="5"/>
      <c r="J1420" s="5"/>
      <c r="K1420" s="5"/>
      <c r="L1420" s="5"/>
      <c r="M1420" s="5"/>
      <c r="N1420" s="5"/>
      <c r="O1420" s="5"/>
      <c r="P1420" s="5"/>
      <c r="Q1420" s="5"/>
      <c r="R1420" s="5"/>
      <c r="S1420" s="5"/>
      <c r="T1420" s="5"/>
      <c r="U1420" s="5"/>
      <c r="V1420" s="5"/>
      <c r="W1420" s="5"/>
      <c r="X1420" s="5"/>
      <c r="Y1420" s="5"/>
      <c r="Z1420" s="5"/>
      <c r="AA1420" s="5"/>
      <c r="AB1420" s="6"/>
      <c r="AC1420" s="6"/>
      <c r="AD1420" s="6"/>
      <c r="AE1420" s="6"/>
      <c r="AF1420" s="6"/>
      <c r="AG1420" s="6"/>
      <c r="AH1420" s="6"/>
      <c r="AI1420" s="6"/>
      <c r="AJ1420" s="6"/>
      <c r="AK1420" s="6"/>
      <c r="AL1420" s="6"/>
      <c r="AM1420" s="6"/>
      <c r="AN1420" s="6"/>
      <c r="AO1420" s="6"/>
      <c r="AP1420" s="6"/>
      <c r="AQ1420" s="6"/>
      <c r="AR1420" s="6"/>
      <c r="AS1420" s="6"/>
      <c r="AT1420" s="6"/>
      <c r="AU1420" s="6"/>
      <c r="AV1420" s="6"/>
      <c r="AW1420" s="6"/>
      <c r="AX1420" s="6"/>
      <c r="AY1420" s="6"/>
      <c r="AZ1420" s="6"/>
      <c r="BA1420" s="6"/>
      <c r="BB1420" s="6"/>
      <c r="BC1420" s="6"/>
      <c r="BD1420" s="6"/>
      <c r="BE1420" s="6"/>
      <c r="BF1420" s="6"/>
      <c r="BG1420" s="6"/>
      <c r="BH1420" s="6"/>
      <c r="BI1420" s="6"/>
      <c r="BJ1420" s="6"/>
      <c r="BK1420" s="6"/>
      <c r="BL1420" s="6"/>
      <c r="BM1420" s="5"/>
      <c r="BN1420" s="7"/>
      <c r="BO1420" s="7"/>
      <c r="BP1420" s="7"/>
    </row>
    <row r="1421" spans="1:68" s="400" customFormat="1" ht="14.25" customHeight="1" x14ac:dyDescent="0.25">
      <c r="A1421" s="5"/>
      <c r="B1421" s="5"/>
      <c r="C1421" s="5"/>
      <c r="D1421" s="5"/>
      <c r="E1421" s="5"/>
      <c r="F1421" s="5"/>
      <c r="G1421" s="5"/>
      <c r="H1421" s="5"/>
      <c r="I1421" s="5"/>
      <c r="J1421" s="5"/>
      <c r="K1421" s="5"/>
      <c r="L1421" s="5"/>
      <c r="M1421" s="5"/>
      <c r="N1421" s="5"/>
      <c r="O1421" s="5"/>
      <c r="P1421" s="5"/>
      <c r="Q1421" s="5"/>
      <c r="R1421" s="5"/>
      <c r="S1421" s="5"/>
      <c r="T1421" s="5"/>
      <c r="U1421" s="5"/>
      <c r="V1421" s="5"/>
      <c r="W1421" s="5"/>
      <c r="X1421" s="5"/>
      <c r="Y1421" s="5"/>
      <c r="Z1421" s="5"/>
      <c r="AA1421" s="5"/>
      <c r="AB1421" s="6"/>
      <c r="AC1421" s="6"/>
      <c r="AD1421" s="6"/>
      <c r="AE1421" s="6"/>
      <c r="AF1421" s="6"/>
      <c r="AG1421" s="6"/>
      <c r="AH1421" s="6"/>
      <c r="AI1421" s="6"/>
      <c r="AJ1421" s="6"/>
      <c r="AK1421" s="6"/>
      <c r="AL1421" s="6"/>
      <c r="AM1421" s="6"/>
      <c r="AN1421" s="6"/>
      <c r="AO1421" s="6"/>
      <c r="AP1421" s="6"/>
      <c r="AQ1421" s="6"/>
      <c r="AR1421" s="6"/>
      <c r="AS1421" s="6"/>
      <c r="AT1421" s="6"/>
      <c r="AU1421" s="6"/>
      <c r="AV1421" s="6"/>
      <c r="AW1421" s="6"/>
      <c r="AX1421" s="6"/>
      <c r="AY1421" s="6"/>
      <c r="AZ1421" s="6"/>
      <c r="BA1421" s="6"/>
      <c r="BB1421" s="6"/>
      <c r="BC1421" s="6"/>
      <c r="BD1421" s="6"/>
      <c r="BE1421" s="6"/>
      <c r="BF1421" s="6"/>
      <c r="BG1421" s="6"/>
      <c r="BH1421" s="6"/>
      <c r="BI1421" s="6"/>
      <c r="BJ1421" s="6"/>
      <c r="BK1421" s="6"/>
      <c r="BL1421" s="6"/>
      <c r="BM1421" s="5"/>
      <c r="BN1421" s="7"/>
      <c r="BO1421" s="7"/>
      <c r="BP1421" s="7"/>
    </row>
    <row r="1422" spans="1:68" s="400" customFormat="1" ht="14.25" customHeight="1" x14ac:dyDescent="0.25">
      <c r="A1422" s="5"/>
      <c r="B1422" s="5"/>
      <c r="C1422" s="5"/>
      <c r="D1422" s="5"/>
      <c r="E1422" s="5"/>
      <c r="F1422" s="5"/>
      <c r="G1422" s="5"/>
      <c r="H1422" s="5"/>
      <c r="I1422" s="5"/>
      <c r="J1422" s="5"/>
      <c r="K1422" s="5"/>
      <c r="L1422" s="5"/>
      <c r="M1422" s="5"/>
      <c r="N1422" s="5"/>
      <c r="O1422" s="5"/>
      <c r="P1422" s="5"/>
      <c r="Q1422" s="5"/>
      <c r="R1422" s="5"/>
      <c r="S1422" s="5"/>
      <c r="T1422" s="5"/>
      <c r="U1422" s="5"/>
      <c r="V1422" s="5"/>
      <c r="W1422" s="5"/>
      <c r="X1422" s="5"/>
      <c r="Y1422" s="5"/>
      <c r="Z1422" s="5"/>
      <c r="AA1422" s="5"/>
      <c r="AB1422" s="6"/>
      <c r="AC1422" s="6"/>
      <c r="AD1422" s="6"/>
      <c r="AE1422" s="6"/>
      <c r="AF1422" s="6"/>
      <c r="AG1422" s="6"/>
      <c r="AH1422" s="6"/>
      <c r="AI1422" s="6"/>
      <c r="AJ1422" s="6"/>
      <c r="AK1422" s="6"/>
      <c r="AL1422" s="6"/>
      <c r="AM1422" s="6"/>
      <c r="AN1422" s="6"/>
      <c r="AO1422" s="6"/>
      <c r="AP1422" s="6"/>
      <c r="AQ1422" s="6"/>
      <c r="AR1422" s="6"/>
      <c r="AS1422" s="6"/>
      <c r="AT1422" s="6"/>
      <c r="AU1422" s="6"/>
      <c r="AV1422" s="6"/>
      <c r="AW1422" s="6"/>
      <c r="AX1422" s="6"/>
      <c r="AY1422" s="6"/>
      <c r="AZ1422" s="6"/>
      <c r="BA1422" s="6"/>
      <c r="BB1422" s="6"/>
      <c r="BC1422" s="6"/>
      <c r="BD1422" s="6"/>
      <c r="BE1422" s="6"/>
      <c r="BF1422" s="6"/>
      <c r="BG1422" s="6"/>
      <c r="BH1422" s="6"/>
      <c r="BI1422" s="6"/>
      <c r="BJ1422" s="6"/>
      <c r="BK1422" s="6"/>
      <c r="BL1422" s="6"/>
      <c r="BM1422" s="5"/>
      <c r="BN1422" s="7"/>
      <c r="BO1422" s="7"/>
      <c r="BP1422" s="7"/>
    </row>
    <row r="1423" spans="1:68" s="400" customFormat="1" ht="14.25" customHeight="1" x14ac:dyDescent="0.25">
      <c r="A1423" s="5"/>
      <c r="B1423" s="5"/>
      <c r="C1423" s="5"/>
      <c r="D1423" s="5"/>
      <c r="E1423" s="5"/>
      <c r="F1423" s="5"/>
      <c r="G1423" s="5"/>
      <c r="H1423" s="5"/>
      <c r="I1423" s="5"/>
      <c r="J1423" s="5"/>
      <c r="K1423" s="5"/>
      <c r="L1423" s="5"/>
      <c r="M1423" s="5"/>
      <c r="N1423" s="5"/>
      <c r="O1423" s="5"/>
      <c r="P1423" s="5"/>
      <c r="Q1423" s="5"/>
      <c r="R1423" s="5"/>
      <c r="S1423" s="5"/>
      <c r="T1423" s="5"/>
      <c r="U1423" s="5"/>
      <c r="V1423" s="5"/>
      <c r="W1423" s="5"/>
      <c r="X1423" s="5"/>
      <c r="Y1423" s="5"/>
      <c r="Z1423" s="5"/>
      <c r="AA1423" s="5"/>
      <c r="AB1423" s="6"/>
      <c r="AC1423" s="6"/>
      <c r="AD1423" s="6"/>
      <c r="AE1423" s="6"/>
      <c r="AF1423" s="6"/>
      <c r="AG1423" s="6"/>
      <c r="AH1423" s="6"/>
      <c r="AI1423" s="6"/>
      <c r="AJ1423" s="6"/>
      <c r="AK1423" s="6"/>
      <c r="AL1423" s="6"/>
      <c r="AM1423" s="6"/>
      <c r="AN1423" s="6"/>
      <c r="AO1423" s="6"/>
      <c r="AP1423" s="6"/>
      <c r="AQ1423" s="6"/>
      <c r="AR1423" s="6"/>
      <c r="AS1423" s="6"/>
      <c r="AT1423" s="6"/>
      <c r="AU1423" s="6"/>
      <c r="AV1423" s="6"/>
      <c r="AW1423" s="6"/>
      <c r="AX1423" s="6"/>
      <c r="AY1423" s="6"/>
      <c r="AZ1423" s="6"/>
      <c r="BA1423" s="6"/>
      <c r="BB1423" s="6"/>
      <c r="BC1423" s="6"/>
      <c r="BD1423" s="6"/>
      <c r="BE1423" s="6"/>
      <c r="BF1423" s="6"/>
      <c r="BG1423" s="6"/>
      <c r="BH1423" s="6"/>
      <c r="BI1423" s="6"/>
      <c r="BJ1423" s="6"/>
      <c r="BK1423" s="6"/>
      <c r="BL1423" s="6"/>
      <c r="BM1423" s="5"/>
      <c r="BN1423" s="7"/>
      <c r="BO1423" s="7"/>
      <c r="BP1423" s="7"/>
    </row>
    <row r="1424" spans="1:68" s="400" customFormat="1" ht="14.25" customHeight="1" x14ac:dyDescent="0.25">
      <c r="A1424" s="5"/>
      <c r="B1424" s="5"/>
      <c r="C1424" s="5"/>
      <c r="D1424" s="5"/>
      <c r="E1424" s="5"/>
      <c r="F1424" s="5"/>
      <c r="G1424" s="5"/>
      <c r="H1424" s="5"/>
      <c r="I1424" s="5"/>
      <c r="J1424" s="5"/>
      <c r="K1424" s="5"/>
      <c r="L1424" s="5"/>
      <c r="M1424" s="5"/>
      <c r="N1424" s="5"/>
      <c r="O1424" s="5"/>
      <c r="P1424" s="5"/>
      <c r="Q1424" s="5"/>
      <c r="R1424" s="5"/>
      <c r="S1424" s="5"/>
      <c r="T1424" s="5"/>
      <c r="U1424" s="5"/>
      <c r="V1424" s="5"/>
      <c r="W1424" s="5"/>
      <c r="X1424" s="5"/>
      <c r="Y1424" s="5"/>
      <c r="Z1424" s="5"/>
      <c r="AA1424" s="5"/>
      <c r="AB1424" s="6"/>
      <c r="AC1424" s="6"/>
      <c r="AD1424" s="6"/>
      <c r="AE1424" s="6"/>
      <c r="AF1424" s="6"/>
      <c r="AG1424" s="6"/>
      <c r="AH1424" s="6"/>
      <c r="AI1424" s="6"/>
      <c r="AJ1424" s="6"/>
      <c r="AK1424" s="6"/>
      <c r="AL1424" s="6"/>
      <c r="AM1424" s="6"/>
      <c r="AN1424" s="6"/>
      <c r="AO1424" s="6"/>
      <c r="AP1424" s="6"/>
      <c r="AQ1424" s="6"/>
      <c r="AR1424" s="6"/>
      <c r="AS1424" s="6"/>
      <c r="AT1424" s="6"/>
      <c r="AU1424" s="6"/>
      <c r="AV1424" s="6"/>
      <c r="AW1424" s="6"/>
      <c r="AX1424" s="6"/>
      <c r="AY1424" s="6"/>
      <c r="AZ1424" s="6"/>
      <c r="BA1424" s="6"/>
      <c r="BB1424" s="6"/>
      <c r="BC1424" s="6"/>
      <c r="BD1424" s="6"/>
      <c r="BE1424" s="6"/>
      <c r="BF1424" s="6"/>
      <c r="BG1424" s="6"/>
      <c r="BH1424" s="6"/>
      <c r="BI1424" s="6"/>
      <c r="BJ1424" s="6"/>
      <c r="BK1424" s="6"/>
      <c r="BL1424" s="6"/>
      <c r="BM1424" s="5"/>
      <c r="BN1424" s="7"/>
      <c r="BO1424" s="7"/>
      <c r="BP1424" s="7"/>
    </row>
    <row r="1425" spans="1:68" s="400" customFormat="1" ht="14.25" customHeight="1" x14ac:dyDescent="0.25">
      <c r="A1425" s="5"/>
      <c r="B1425" s="5"/>
      <c r="C1425" s="5"/>
      <c r="D1425" s="5"/>
      <c r="E1425" s="5"/>
      <c r="F1425" s="5"/>
      <c r="G1425" s="5"/>
      <c r="H1425" s="5"/>
      <c r="I1425" s="5"/>
      <c r="J1425" s="5"/>
      <c r="K1425" s="5"/>
      <c r="L1425" s="5"/>
      <c r="M1425" s="5"/>
      <c r="N1425" s="5"/>
      <c r="O1425" s="5"/>
      <c r="P1425" s="5"/>
      <c r="Q1425" s="5"/>
      <c r="R1425" s="5"/>
      <c r="S1425" s="5"/>
      <c r="T1425" s="5"/>
      <c r="U1425" s="5"/>
      <c r="V1425" s="5"/>
      <c r="W1425" s="5"/>
      <c r="X1425" s="5"/>
      <c r="Y1425" s="5"/>
      <c r="Z1425" s="5"/>
      <c r="AA1425" s="5"/>
      <c r="AB1425" s="6"/>
      <c r="AC1425" s="6"/>
      <c r="AD1425" s="6"/>
      <c r="AE1425" s="6"/>
      <c r="AF1425" s="6"/>
      <c r="AG1425" s="6"/>
      <c r="AH1425" s="6"/>
      <c r="AI1425" s="6"/>
      <c r="AJ1425" s="6"/>
      <c r="AK1425" s="6"/>
      <c r="AL1425" s="6"/>
      <c r="AM1425" s="6"/>
      <c r="AN1425" s="6"/>
      <c r="AO1425" s="6"/>
      <c r="AP1425" s="6"/>
      <c r="AQ1425" s="6"/>
      <c r="AR1425" s="6"/>
      <c r="AS1425" s="6"/>
      <c r="AT1425" s="6"/>
      <c r="AU1425" s="6"/>
      <c r="AV1425" s="6"/>
      <c r="AW1425" s="6"/>
      <c r="AX1425" s="6"/>
      <c r="AY1425" s="6"/>
      <c r="AZ1425" s="6"/>
      <c r="BA1425" s="6"/>
      <c r="BB1425" s="6"/>
      <c r="BC1425" s="6"/>
      <c r="BD1425" s="6"/>
      <c r="BE1425" s="6"/>
      <c r="BF1425" s="6"/>
      <c r="BG1425" s="6"/>
      <c r="BH1425" s="6"/>
      <c r="BI1425" s="6"/>
      <c r="BJ1425" s="6"/>
      <c r="BK1425" s="6"/>
      <c r="BL1425" s="6"/>
      <c r="BM1425" s="5"/>
      <c r="BN1425" s="7"/>
      <c r="BO1425" s="7"/>
      <c r="BP1425" s="7"/>
    </row>
    <row r="1426" spans="1:68" s="400" customFormat="1" ht="14.25" customHeight="1" x14ac:dyDescent="0.25">
      <c r="A1426" s="5"/>
      <c r="B1426" s="5"/>
      <c r="C1426" s="5"/>
      <c r="D1426" s="5"/>
      <c r="E1426" s="5"/>
      <c r="F1426" s="5"/>
      <c r="G1426" s="5"/>
      <c r="H1426" s="5"/>
      <c r="I1426" s="5"/>
      <c r="J1426" s="5"/>
      <c r="K1426" s="5"/>
      <c r="L1426" s="5"/>
      <c r="M1426" s="5"/>
      <c r="N1426" s="5"/>
      <c r="O1426" s="5"/>
      <c r="P1426" s="5"/>
      <c r="Q1426" s="5"/>
      <c r="R1426" s="5"/>
      <c r="S1426" s="5"/>
      <c r="T1426" s="5"/>
      <c r="U1426" s="5"/>
      <c r="V1426" s="5"/>
      <c r="W1426" s="5"/>
      <c r="X1426" s="5"/>
      <c r="Y1426" s="5"/>
      <c r="Z1426" s="5"/>
      <c r="AA1426" s="5"/>
      <c r="AB1426" s="6"/>
      <c r="AC1426" s="6"/>
      <c r="AD1426" s="6"/>
      <c r="AE1426" s="6"/>
      <c r="AF1426" s="6"/>
      <c r="AG1426" s="6"/>
      <c r="AH1426" s="6"/>
      <c r="AI1426" s="6"/>
      <c r="AJ1426" s="6"/>
      <c r="AK1426" s="6"/>
      <c r="AL1426" s="6"/>
      <c r="AM1426" s="6"/>
      <c r="AN1426" s="6"/>
      <c r="AO1426" s="6"/>
      <c r="AP1426" s="6"/>
      <c r="AQ1426" s="6"/>
      <c r="AR1426" s="6"/>
      <c r="AS1426" s="6"/>
      <c r="AT1426" s="6"/>
      <c r="AU1426" s="6"/>
      <c r="AV1426" s="6"/>
      <c r="AW1426" s="6"/>
      <c r="AX1426" s="6"/>
      <c r="AY1426" s="6"/>
      <c r="AZ1426" s="6"/>
      <c r="BA1426" s="6"/>
      <c r="BB1426" s="6"/>
      <c r="BC1426" s="6"/>
      <c r="BD1426" s="6"/>
      <c r="BE1426" s="6"/>
      <c r="BF1426" s="6"/>
      <c r="BG1426" s="6"/>
      <c r="BH1426" s="6"/>
      <c r="BI1426" s="6"/>
      <c r="BJ1426" s="6"/>
      <c r="BK1426" s="6"/>
      <c r="BL1426" s="6"/>
      <c r="BM1426" s="5"/>
      <c r="BN1426" s="7"/>
      <c r="BO1426" s="7"/>
      <c r="BP1426" s="7"/>
    </row>
    <row r="1427" spans="1:68" s="400" customFormat="1" ht="14.25" customHeight="1" x14ac:dyDescent="0.25">
      <c r="A1427" s="5"/>
      <c r="B1427" s="5"/>
      <c r="C1427" s="5"/>
      <c r="D1427" s="5"/>
      <c r="E1427" s="5"/>
      <c r="F1427" s="5"/>
      <c r="G1427" s="5"/>
      <c r="H1427" s="5"/>
      <c r="I1427" s="5"/>
      <c r="J1427" s="5"/>
      <c r="K1427" s="5"/>
      <c r="L1427" s="5"/>
      <c r="M1427" s="5"/>
      <c r="N1427" s="5"/>
      <c r="O1427" s="5"/>
      <c r="P1427" s="5"/>
      <c r="Q1427" s="5"/>
      <c r="R1427" s="5"/>
      <c r="S1427" s="5"/>
      <c r="T1427" s="5"/>
      <c r="U1427" s="5"/>
      <c r="V1427" s="5"/>
      <c r="W1427" s="5"/>
      <c r="X1427" s="5"/>
      <c r="Y1427" s="5"/>
      <c r="Z1427" s="5"/>
      <c r="AA1427" s="5"/>
      <c r="AB1427" s="6"/>
      <c r="AC1427" s="6"/>
      <c r="AD1427" s="6"/>
      <c r="AE1427" s="6"/>
      <c r="AF1427" s="6"/>
      <c r="AG1427" s="6"/>
      <c r="AH1427" s="6"/>
      <c r="AI1427" s="6"/>
      <c r="AJ1427" s="6"/>
      <c r="AK1427" s="6"/>
      <c r="AL1427" s="6"/>
      <c r="AM1427" s="6"/>
      <c r="AN1427" s="6"/>
      <c r="AO1427" s="6"/>
      <c r="AP1427" s="6"/>
      <c r="AQ1427" s="6"/>
      <c r="AR1427" s="6"/>
      <c r="AS1427" s="6"/>
      <c r="AT1427" s="6"/>
      <c r="AU1427" s="6"/>
      <c r="AV1427" s="6"/>
      <c r="AW1427" s="6"/>
      <c r="AX1427" s="6"/>
      <c r="AY1427" s="6"/>
      <c r="AZ1427" s="6"/>
      <c r="BA1427" s="6"/>
      <c r="BB1427" s="6"/>
      <c r="BC1427" s="6"/>
      <c r="BD1427" s="6"/>
      <c r="BE1427" s="6"/>
      <c r="BF1427" s="6"/>
      <c r="BG1427" s="6"/>
      <c r="BH1427" s="6"/>
      <c r="BI1427" s="6"/>
      <c r="BJ1427" s="6"/>
      <c r="BK1427" s="6"/>
      <c r="BL1427" s="6"/>
      <c r="BM1427" s="5"/>
      <c r="BN1427" s="7"/>
      <c r="BO1427" s="7"/>
      <c r="BP1427" s="7"/>
    </row>
    <row r="1428" spans="1:68" s="400" customFormat="1" ht="14.25" customHeight="1" x14ac:dyDescent="0.25">
      <c r="A1428" s="5"/>
      <c r="B1428" s="5"/>
      <c r="C1428" s="5"/>
      <c r="D1428" s="5"/>
      <c r="E1428" s="5"/>
      <c r="F1428" s="5"/>
      <c r="G1428" s="5"/>
      <c r="H1428" s="5"/>
      <c r="I1428" s="5"/>
      <c r="J1428" s="5"/>
      <c r="K1428" s="5"/>
      <c r="L1428" s="5"/>
      <c r="M1428" s="5"/>
      <c r="N1428" s="5"/>
      <c r="O1428" s="5"/>
      <c r="P1428" s="5"/>
      <c r="Q1428" s="5"/>
      <c r="R1428" s="5"/>
      <c r="S1428" s="5"/>
      <c r="T1428" s="5"/>
      <c r="U1428" s="5"/>
      <c r="V1428" s="5"/>
      <c r="W1428" s="5"/>
      <c r="X1428" s="5"/>
      <c r="Y1428" s="5"/>
      <c r="Z1428" s="5"/>
      <c r="AA1428" s="5"/>
      <c r="AB1428" s="6"/>
      <c r="AC1428" s="6"/>
      <c r="AD1428" s="6"/>
      <c r="AE1428" s="6"/>
      <c r="AF1428" s="6"/>
      <c r="AG1428" s="6"/>
      <c r="AH1428" s="6"/>
      <c r="AI1428" s="6"/>
      <c r="AJ1428" s="6"/>
      <c r="AK1428" s="6"/>
      <c r="AL1428" s="6"/>
      <c r="AM1428" s="6"/>
      <c r="AN1428" s="6"/>
      <c r="AO1428" s="6"/>
      <c r="AP1428" s="6"/>
      <c r="AQ1428" s="6"/>
      <c r="AR1428" s="6"/>
      <c r="AS1428" s="6"/>
      <c r="AT1428" s="6"/>
      <c r="AU1428" s="6"/>
      <c r="AV1428" s="6"/>
      <c r="AW1428" s="6"/>
      <c r="AX1428" s="6"/>
      <c r="AY1428" s="6"/>
      <c r="AZ1428" s="6"/>
      <c r="BA1428" s="6"/>
      <c r="BB1428" s="6"/>
      <c r="BC1428" s="6"/>
      <c r="BD1428" s="6"/>
      <c r="BE1428" s="6"/>
      <c r="BF1428" s="6"/>
      <c r="BG1428" s="6"/>
      <c r="BH1428" s="6"/>
      <c r="BI1428" s="6"/>
      <c r="BJ1428" s="6"/>
      <c r="BK1428" s="6"/>
      <c r="BL1428" s="6"/>
      <c r="BM1428" s="5"/>
      <c r="BN1428" s="7"/>
      <c r="BO1428" s="7"/>
      <c r="BP1428" s="7"/>
    </row>
    <row r="1429" spans="1:68" s="400" customFormat="1" ht="14.25" customHeight="1" x14ac:dyDescent="0.25">
      <c r="A1429" s="5"/>
      <c r="B1429" s="5"/>
      <c r="C1429" s="5"/>
      <c r="D1429" s="5"/>
      <c r="E1429" s="5"/>
      <c r="F1429" s="5"/>
      <c r="G1429" s="5"/>
      <c r="H1429" s="5"/>
      <c r="I1429" s="5"/>
      <c r="J1429" s="5"/>
      <c r="K1429" s="5"/>
      <c r="L1429" s="5"/>
      <c r="M1429" s="5"/>
      <c r="N1429" s="5"/>
      <c r="O1429" s="5"/>
      <c r="P1429" s="5"/>
      <c r="Q1429" s="5"/>
      <c r="R1429" s="5"/>
      <c r="S1429" s="5"/>
      <c r="T1429" s="5"/>
      <c r="U1429" s="5"/>
      <c r="V1429" s="5"/>
      <c r="W1429" s="5"/>
      <c r="X1429" s="5"/>
      <c r="Y1429" s="5"/>
      <c r="Z1429" s="5"/>
      <c r="AA1429" s="5"/>
      <c r="AB1429" s="6"/>
      <c r="AC1429" s="6"/>
      <c r="AD1429" s="6"/>
      <c r="AE1429" s="6"/>
      <c r="AF1429" s="6"/>
      <c r="AG1429" s="6"/>
      <c r="AH1429" s="6"/>
      <c r="AI1429" s="6"/>
      <c r="AJ1429" s="6"/>
      <c r="AK1429" s="6"/>
      <c r="AL1429" s="6"/>
      <c r="AM1429" s="6"/>
      <c r="AN1429" s="6"/>
      <c r="AO1429" s="6"/>
      <c r="AP1429" s="6"/>
      <c r="AQ1429" s="6"/>
      <c r="AR1429" s="6"/>
      <c r="AS1429" s="6"/>
      <c r="AT1429" s="6"/>
      <c r="AU1429" s="6"/>
      <c r="AV1429" s="6"/>
      <c r="AW1429" s="6"/>
      <c r="AX1429" s="6"/>
      <c r="AY1429" s="6"/>
      <c r="AZ1429" s="6"/>
      <c r="BA1429" s="6"/>
      <c r="BB1429" s="6"/>
      <c r="BC1429" s="6"/>
      <c r="BD1429" s="6"/>
      <c r="BE1429" s="6"/>
      <c r="BF1429" s="6"/>
      <c r="BG1429" s="6"/>
      <c r="BH1429" s="6"/>
      <c r="BI1429" s="6"/>
      <c r="BJ1429" s="6"/>
      <c r="BK1429" s="6"/>
      <c r="BL1429" s="6"/>
      <c r="BM1429" s="5"/>
      <c r="BN1429" s="7"/>
      <c r="BO1429" s="7"/>
      <c r="BP1429" s="7"/>
    </row>
    <row r="1430" spans="1:68" s="400" customFormat="1" ht="14.25" customHeight="1" x14ac:dyDescent="0.25">
      <c r="A1430" s="5"/>
      <c r="B1430" s="5"/>
      <c r="C1430" s="5"/>
      <c r="D1430" s="5"/>
      <c r="E1430" s="5"/>
      <c r="F1430" s="5"/>
      <c r="G1430" s="5"/>
      <c r="H1430" s="5"/>
      <c r="I1430" s="5"/>
      <c r="J1430" s="5"/>
      <c r="K1430" s="5"/>
      <c r="L1430" s="5"/>
      <c r="M1430" s="5"/>
      <c r="N1430" s="5"/>
      <c r="O1430" s="5"/>
      <c r="P1430" s="5"/>
      <c r="Q1430" s="5"/>
      <c r="R1430" s="5"/>
      <c r="S1430" s="5"/>
      <c r="T1430" s="5"/>
      <c r="U1430" s="5"/>
      <c r="V1430" s="5"/>
      <c r="W1430" s="5"/>
      <c r="X1430" s="5"/>
      <c r="Y1430" s="5"/>
      <c r="Z1430" s="5"/>
      <c r="AA1430" s="5"/>
      <c r="AB1430" s="6"/>
      <c r="AC1430" s="6"/>
      <c r="AD1430" s="6"/>
      <c r="AE1430" s="6"/>
      <c r="AF1430" s="6"/>
      <c r="AG1430" s="6"/>
      <c r="AH1430" s="6"/>
      <c r="AI1430" s="6"/>
      <c r="AJ1430" s="6"/>
      <c r="AK1430" s="6"/>
      <c r="AL1430" s="6"/>
      <c r="AM1430" s="6"/>
      <c r="AN1430" s="6"/>
      <c r="AO1430" s="6"/>
      <c r="AP1430" s="6"/>
      <c r="AQ1430" s="6"/>
      <c r="AR1430" s="6"/>
      <c r="AS1430" s="6"/>
      <c r="AT1430" s="6"/>
      <c r="AU1430" s="6"/>
      <c r="AV1430" s="6"/>
      <c r="AW1430" s="6"/>
      <c r="AX1430" s="6"/>
      <c r="AY1430" s="6"/>
      <c r="AZ1430" s="6"/>
      <c r="BA1430" s="6"/>
      <c r="BB1430" s="6"/>
      <c r="BC1430" s="6"/>
      <c r="BD1430" s="6"/>
      <c r="BE1430" s="6"/>
      <c r="BF1430" s="6"/>
      <c r="BG1430" s="6"/>
      <c r="BH1430" s="6"/>
      <c r="BI1430" s="6"/>
      <c r="BJ1430" s="6"/>
      <c r="BK1430" s="6"/>
      <c r="BL1430" s="6"/>
      <c r="BM1430" s="5"/>
      <c r="BN1430" s="7"/>
      <c r="BO1430" s="7"/>
      <c r="BP1430" s="7"/>
    </row>
    <row r="1431" spans="1:68" s="400" customFormat="1" ht="14.25" customHeight="1" x14ac:dyDescent="0.25">
      <c r="A1431" s="5"/>
      <c r="B1431" s="5"/>
      <c r="C1431" s="5"/>
      <c r="D1431" s="5"/>
      <c r="E1431" s="5"/>
      <c r="F1431" s="5"/>
      <c r="G1431" s="5"/>
      <c r="H1431" s="5"/>
      <c r="I1431" s="5"/>
      <c r="J1431" s="5"/>
      <c r="K1431" s="5"/>
      <c r="L1431" s="5"/>
      <c r="M1431" s="5"/>
      <c r="N1431" s="5"/>
      <c r="O1431" s="5"/>
      <c r="P1431" s="5"/>
      <c r="Q1431" s="5"/>
      <c r="R1431" s="5"/>
      <c r="S1431" s="5"/>
      <c r="T1431" s="5"/>
      <c r="U1431" s="5"/>
      <c r="V1431" s="5"/>
      <c r="W1431" s="5"/>
      <c r="X1431" s="5"/>
      <c r="Y1431" s="5"/>
      <c r="Z1431" s="5"/>
      <c r="AA1431" s="5"/>
      <c r="AB1431" s="6"/>
      <c r="AC1431" s="6"/>
      <c r="AD1431" s="6"/>
      <c r="AE1431" s="6"/>
      <c r="AF1431" s="6"/>
      <c r="AG1431" s="6"/>
      <c r="AH1431" s="6"/>
      <c r="AI1431" s="6"/>
      <c r="AJ1431" s="6"/>
      <c r="AK1431" s="6"/>
      <c r="AL1431" s="6"/>
      <c r="AM1431" s="6"/>
      <c r="AN1431" s="6"/>
      <c r="AO1431" s="6"/>
      <c r="AP1431" s="6"/>
      <c r="AQ1431" s="6"/>
      <c r="AR1431" s="6"/>
      <c r="AS1431" s="6"/>
      <c r="AT1431" s="6"/>
      <c r="AU1431" s="6"/>
      <c r="AV1431" s="6"/>
      <c r="AW1431" s="6"/>
      <c r="AX1431" s="6"/>
      <c r="AY1431" s="6"/>
      <c r="AZ1431" s="6"/>
      <c r="BA1431" s="6"/>
      <c r="BB1431" s="6"/>
      <c r="BC1431" s="6"/>
      <c r="BD1431" s="6"/>
      <c r="BE1431" s="6"/>
      <c r="BF1431" s="6"/>
      <c r="BG1431" s="6"/>
      <c r="BH1431" s="6"/>
      <c r="BI1431" s="6"/>
      <c r="BJ1431" s="6"/>
      <c r="BK1431" s="6"/>
      <c r="BL1431" s="6"/>
      <c r="BM1431" s="5"/>
      <c r="BN1431" s="7"/>
      <c r="BO1431" s="7"/>
      <c r="BP1431" s="7"/>
    </row>
    <row r="1432" spans="1:68" s="400" customFormat="1" ht="14.25" customHeight="1" x14ac:dyDescent="0.25">
      <c r="A1432" s="5"/>
      <c r="B1432" s="5"/>
      <c r="C1432" s="5"/>
      <c r="D1432" s="5"/>
      <c r="E1432" s="5"/>
      <c r="F1432" s="5"/>
      <c r="G1432" s="5"/>
      <c r="H1432" s="5"/>
      <c r="I1432" s="5"/>
      <c r="J1432" s="5"/>
      <c r="K1432" s="5"/>
      <c r="L1432" s="5"/>
      <c r="M1432" s="5"/>
      <c r="N1432" s="5"/>
      <c r="O1432" s="5"/>
      <c r="P1432" s="5"/>
      <c r="Q1432" s="5"/>
      <c r="R1432" s="5"/>
      <c r="S1432" s="5"/>
      <c r="T1432" s="5"/>
      <c r="U1432" s="5"/>
      <c r="V1432" s="5"/>
      <c r="W1432" s="5"/>
      <c r="X1432" s="5"/>
      <c r="Y1432" s="5"/>
      <c r="Z1432" s="5"/>
      <c r="AA1432" s="5"/>
      <c r="AB1432" s="6"/>
      <c r="AC1432" s="6"/>
      <c r="AD1432" s="6"/>
      <c r="AE1432" s="6"/>
      <c r="AF1432" s="6"/>
      <c r="AG1432" s="6"/>
      <c r="AH1432" s="6"/>
      <c r="AI1432" s="6"/>
      <c r="AJ1432" s="6"/>
      <c r="AK1432" s="6"/>
      <c r="AL1432" s="6"/>
      <c r="AM1432" s="6"/>
      <c r="AN1432" s="6"/>
      <c r="AO1432" s="6"/>
      <c r="AP1432" s="6"/>
      <c r="AQ1432" s="6"/>
      <c r="AR1432" s="6"/>
      <c r="AS1432" s="6"/>
      <c r="AT1432" s="6"/>
      <c r="AU1432" s="6"/>
      <c r="AV1432" s="6"/>
      <c r="AW1432" s="6"/>
      <c r="AX1432" s="6"/>
      <c r="AY1432" s="6"/>
      <c r="AZ1432" s="6"/>
      <c r="BA1432" s="6"/>
      <c r="BB1432" s="6"/>
      <c r="BC1432" s="6"/>
      <c r="BD1432" s="6"/>
      <c r="BE1432" s="6"/>
      <c r="BF1432" s="6"/>
      <c r="BG1432" s="6"/>
      <c r="BH1432" s="6"/>
      <c r="BI1432" s="6"/>
      <c r="BJ1432" s="6"/>
      <c r="BK1432" s="6"/>
      <c r="BL1432" s="6"/>
      <c r="BM1432" s="5"/>
      <c r="BN1432" s="7"/>
      <c r="BO1432" s="7"/>
      <c r="BP1432" s="7"/>
    </row>
    <row r="1433" spans="1:68" s="400" customFormat="1" ht="14.25" customHeight="1" x14ac:dyDescent="0.25">
      <c r="A1433" s="5"/>
      <c r="B1433" s="5"/>
      <c r="C1433" s="5"/>
      <c r="D1433" s="5"/>
      <c r="E1433" s="5"/>
      <c r="F1433" s="5"/>
      <c r="G1433" s="5"/>
      <c r="H1433" s="5"/>
      <c r="I1433" s="5"/>
      <c r="J1433" s="5"/>
      <c r="K1433" s="5"/>
      <c r="L1433" s="5"/>
      <c r="M1433" s="5"/>
      <c r="N1433" s="5"/>
      <c r="O1433" s="5"/>
      <c r="P1433" s="5"/>
      <c r="Q1433" s="5"/>
      <c r="R1433" s="5"/>
      <c r="S1433" s="5"/>
      <c r="T1433" s="5"/>
      <c r="U1433" s="5"/>
      <c r="V1433" s="5"/>
      <c r="W1433" s="5"/>
      <c r="X1433" s="5"/>
      <c r="Y1433" s="5"/>
      <c r="Z1433" s="5"/>
      <c r="AA1433" s="5"/>
      <c r="AB1433" s="6"/>
      <c r="AC1433" s="6"/>
      <c r="AD1433" s="6"/>
      <c r="AE1433" s="6"/>
      <c r="AF1433" s="6"/>
      <c r="AG1433" s="6"/>
      <c r="AH1433" s="6"/>
      <c r="AI1433" s="6"/>
      <c r="AJ1433" s="6"/>
      <c r="AK1433" s="6"/>
      <c r="AL1433" s="6"/>
      <c r="AM1433" s="6"/>
      <c r="AN1433" s="6"/>
      <c r="AO1433" s="6"/>
      <c r="AP1433" s="6"/>
      <c r="AQ1433" s="6"/>
      <c r="AR1433" s="6"/>
      <c r="AS1433" s="6"/>
      <c r="AT1433" s="6"/>
      <c r="AU1433" s="6"/>
      <c r="AV1433" s="6"/>
      <c r="AW1433" s="6"/>
      <c r="AX1433" s="6"/>
      <c r="AY1433" s="6"/>
      <c r="AZ1433" s="6"/>
      <c r="BA1433" s="6"/>
      <c r="BB1433" s="6"/>
      <c r="BC1433" s="6"/>
      <c r="BD1433" s="6"/>
      <c r="BE1433" s="6"/>
      <c r="BF1433" s="6"/>
      <c r="BG1433" s="6"/>
      <c r="BH1433" s="6"/>
      <c r="BI1433" s="6"/>
      <c r="BJ1433" s="6"/>
      <c r="BK1433" s="6"/>
      <c r="BL1433" s="6"/>
      <c r="BM1433" s="5"/>
      <c r="BN1433" s="7"/>
      <c r="BO1433" s="7"/>
      <c r="BP1433" s="7"/>
    </row>
    <row r="1434" spans="1:68" s="400" customFormat="1" ht="14.25" customHeight="1" x14ac:dyDescent="0.25">
      <c r="A1434" s="5"/>
      <c r="B1434" s="5"/>
      <c r="C1434" s="5"/>
      <c r="D1434" s="5"/>
      <c r="E1434" s="5"/>
      <c r="F1434" s="5"/>
      <c r="G1434" s="5"/>
      <c r="H1434" s="5"/>
      <c r="I1434" s="5"/>
      <c r="J1434" s="5"/>
      <c r="K1434" s="5"/>
      <c r="L1434" s="5"/>
      <c r="M1434" s="5"/>
      <c r="N1434" s="5"/>
      <c r="O1434" s="5"/>
      <c r="P1434" s="5"/>
      <c r="Q1434" s="5"/>
      <c r="R1434" s="5"/>
      <c r="S1434" s="5"/>
      <c r="T1434" s="5"/>
      <c r="U1434" s="5"/>
      <c r="V1434" s="5"/>
      <c r="W1434" s="5"/>
      <c r="X1434" s="5"/>
      <c r="Y1434" s="5"/>
      <c r="Z1434" s="5"/>
      <c r="AA1434" s="5"/>
      <c r="AB1434" s="6"/>
      <c r="AC1434" s="6"/>
      <c r="AD1434" s="6"/>
      <c r="AE1434" s="6"/>
      <c r="AF1434" s="6"/>
      <c r="AG1434" s="6"/>
      <c r="AH1434" s="6"/>
      <c r="AI1434" s="6"/>
      <c r="AJ1434" s="6"/>
      <c r="AK1434" s="6"/>
      <c r="AL1434" s="6"/>
      <c r="AM1434" s="6"/>
      <c r="AN1434" s="6"/>
      <c r="AO1434" s="6"/>
      <c r="AP1434" s="6"/>
      <c r="AQ1434" s="6"/>
      <c r="AR1434" s="6"/>
      <c r="AS1434" s="6"/>
      <c r="AT1434" s="6"/>
      <c r="AU1434" s="6"/>
      <c r="AV1434" s="6"/>
      <c r="AW1434" s="6"/>
      <c r="AX1434" s="6"/>
      <c r="AY1434" s="6"/>
      <c r="AZ1434" s="6"/>
      <c r="BA1434" s="6"/>
      <c r="BB1434" s="6"/>
      <c r="BC1434" s="6"/>
      <c r="BD1434" s="6"/>
      <c r="BE1434" s="6"/>
      <c r="BF1434" s="6"/>
      <c r="BG1434" s="6"/>
      <c r="BH1434" s="6"/>
      <c r="BI1434" s="6"/>
      <c r="BJ1434" s="6"/>
      <c r="BK1434" s="6"/>
      <c r="BL1434" s="6"/>
      <c r="BM1434" s="5"/>
      <c r="BN1434" s="7"/>
      <c r="BO1434" s="7"/>
      <c r="BP1434" s="7"/>
    </row>
    <row r="1435" spans="1:68" s="400" customFormat="1" ht="14.25" customHeight="1" x14ac:dyDescent="0.25">
      <c r="A1435" s="5"/>
      <c r="B1435" s="5"/>
      <c r="C1435" s="5"/>
      <c r="D1435" s="5"/>
      <c r="E1435" s="5"/>
      <c r="F1435" s="5"/>
      <c r="G1435" s="5"/>
      <c r="H1435" s="5"/>
      <c r="I1435" s="5"/>
      <c r="J1435" s="5"/>
      <c r="K1435" s="5"/>
      <c r="L1435" s="5"/>
      <c r="M1435" s="5"/>
      <c r="N1435" s="5"/>
      <c r="O1435" s="5"/>
      <c r="P1435" s="5"/>
      <c r="Q1435" s="5"/>
      <c r="R1435" s="5"/>
      <c r="S1435" s="5"/>
      <c r="T1435" s="5"/>
      <c r="U1435" s="5"/>
      <c r="V1435" s="5"/>
      <c r="W1435" s="5"/>
      <c r="X1435" s="5"/>
      <c r="Y1435" s="5"/>
      <c r="Z1435" s="5"/>
      <c r="AA1435" s="5"/>
      <c r="AB1435" s="6"/>
      <c r="AC1435" s="6"/>
      <c r="AD1435" s="6"/>
      <c r="AE1435" s="6"/>
      <c r="AF1435" s="6"/>
      <c r="AG1435" s="6"/>
      <c r="AH1435" s="6"/>
      <c r="AI1435" s="6"/>
      <c r="AJ1435" s="6"/>
      <c r="AK1435" s="6"/>
      <c r="AL1435" s="6"/>
      <c r="AM1435" s="6"/>
      <c r="AN1435" s="6"/>
      <c r="AO1435" s="6"/>
      <c r="AP1435" s="6"/>
      <c r="AQ1435" s="6"/>
      <c r="AR1435" s="6"/>
      <c r="AS1435" s="6"/>
      <c r="AT1435" s="6"/>
      <c r="AU1435" s="6"/>
      <c r="AV1435" s="6"/>
      <c r="AW1435" s="6"/>
      <c r="AX1435" s="6"/>
      <c r="AY1435" s="6"/>
      <c r="AZ1435" s="6"/>
      <c r="BA1435" s="6"/>
      <c r="BB1435" s="6"/>
      <c r="BC1435" s="6"/>
      <c r="BD1435" s="6"/>
      <c r="BE1435" s="6"/>
      <c r="BF1435" s="6"/>
      <c r="BG1435" s="6"/>
      <c r="BH1435" s="6"/>
      <c r="BI1435" s="6"/>
      <c r="BJ1435" s="6"/>
      <c r="BK1435" s="6"/>
      <c r="BL1435" s="6"/>
      <c r="BM1435" s="5"/>
      <c r="BN1435" s="7"/>
      <c r="BO1435" s="7"/>
      <c r="BP1435" s="7"/>
    </row>
    <row r="1436" spans="1:68" s="400" customFormat="1" ht="14.25" customHeight="1" x14ac:dyDescent="0.25">
      <c r="A1436" s="5"/>
      <c r="B1436" s="5"/>
      <c r="C1436" s="5"/>
      <c r="D1436" s="5"/>
      <c r="E1436" s="5"/>
      <c r="F1436" s="5"/>
      <c r="G1436" s="5"/>
      <c r="H1436" s="5"/>
      <c r="I1436" s="5"/>
      <c r="J1436" s="5"/>
      <c r="K1436" s="5"/>
      <c r="L1436" s="5"/>
      <c r="M1436" s="5"/>
      <c r="N1436" s="5"/>
      <c r="O1436" s="5"/>
      <c r="P1436" s="5"/>
      <c r="Q1436" s="5"/>
      <c r="R1436" s="5"/>
      <c r="S1436" s="5"/>
      <c r="T1436" s="5"/>
      <c r="U1436" s="5"/>
      <c r="V1436" s="5"/>
      <c r="W1436" s="5"/>
      <c r="X1436" s="5"/>
      <c r="Y1436" s="5"/>
      <c r="Z1436" s="5"/>
      <c r="AA1436" s="5"/>
      <c r="AB1436" s="6"/>
      <c r="AC1436" s="6"/>
      <c r="AD1436" s="6"/>
      <c r="AE1436" s="6"/>
      <c r="AF1436" s="6"/>
      <c r="AG1436" s="6"/>
      <c r="AH1436" s="6"/>
      <c r="AI1436" s="6"/>
      <c r="AJ1436" s="6"/>
      <c r="AK1436" s="6"/>
      <c r="AL1436" s="6"/>
      <c r="AM1436" s="6"/>
      <c r="AN1436" s="6"/>
      <c r="AO1436" s="6"/>
      <c r="AP1436" s="6"/>
      <c r="AQ1436" s="6"/>
      <c r="AR1436" s="6"/>
      <c r="AS1436" s="6"/>
      <c r="AT1436" s="6"/>
      <c r="AU1436" s="6"/>
      <c r="AV1436" s="6"/>
      <c r="AW1436" s="6"/>
      <c r="AX1436" s="6"/>
      <c r="AY1436" s="6"/>
      <c r="AZ1436" s="6"/>
      <c r="BA1436" s="6"/>
      <c r="BB1436" s="6"/>
      <c r="BC1436" s="6"/>
      <c r="BD1436" s="6"/>
      <c r="BE1436" s="6"/>
      <c r="BF1436" s="6"/>
      <c r="BG1436" s="6"/>
      <c r="BH1436" s="6"/>
      <c r="BI1436" s="6"/>
      <c r="BJ1436" s="6"/>
      <c r="BK1436" s="6"/>
      <c r="BL1436" s="6"/>
      <c r="BM1436" s="5"/>
      <c r="BN1436" s="7"/>
      <c r="BO1436" s="7"/>
      <c r="BP1436" s="7"/>
    </row>
    <row r="1437" spans="1:68" s="400" customFormat="1" ht="14.25" customHeight="1" x14ac:dyDescent="0.25">
      <c r="A1437" s="5"/>
      <c r="B1437" s="5"/>
      <c r="C1437" s="5"/>
      <c r="D1437" s="5"/>
      <c r="E1437" s="5"/>
      <c r="F1437" s="5"/>
      <c r="G1437" s="5"/>
      <c r="H1437" s="5"/>
      <c r="I1437" s="5"/>
      <c r="J1437" s="5"/>
      <c r="K1437" s="5"/>
      <c r="L1437" s="5"/>
      <c r="M1437" s="5"/>
      <c r="N1437" s="5"/>
      <c r="O1437" s="5"/>
      <c r="P1437" s="5"/>
      <c r="Q1437" s="5"/>
      <c r="R1437" s="5"/>
      <c r="S1437" s="5"/>
      <c r="T1437" s="5"/>
      <c r="U1437" s="5"/>
      <c r="V1437" s="5"/>
      <c r="W1437" s="5"/>
      <c r="X1437" s="5"/>
      <c r="Y1437" s="5"/>
      <c r="Z1437" s="5"/>
      <c r="AA1437" s="5"/>
      <c r="AB1437" s="6"/>
      <c r="AC1437" s="6"/>
      <c r="AD1437" s="6"/>
      <c r="AE1437" s="6"/>
      <c r="AF1437" s="6"/>
      <c r="AG1437" s="6"/>
      <c r="AH1437" s="6"/>
      <c r="AI1437" s="6"/>
      <c r="AJ1437" s="6"/>
      <c r="AK1437" s="6"/>
      <c r="AL1437" s="6"/>
      <c r="AM1437" s="6"/>
      <c r="AN1437" s="6"/>
      <c r="AO1437" s="6"/>
      <c r="AP1437" s="6"/>
      <c r="AQ1437" s="6"/>
      <c r="AR1437" s="6"/>
      <c r="AS1437" s="6"/>
      <c r="AT1437" s="6"/>
      <c r="AU1437" s="6"/>
      <c r="AV1437" s="6"/>
      <c r="AW1437" s="6"/>
      <c r="AX1437" s="6"/>
      <c r="AY1437" s="6"/>
      <c r="AZ1437" s="6"/>
      <c r="BA1437" s="6"/>
      <c r="BB1437" s="6"/>
      <c r="BC1437" s="6"/>
      <c r="BD1437" s="6"/>
      <c r="BE1437" s="6"/>
      <c r="BF1437" s="6"/>
      <c r="BG1437" s="6"/>
      <c r="BH1437" s="6"/>
      <c r="BI1437" s="6"/>
      <c r="BJ1437" s="6"/>
      <c r="BK1437" s="6"/>
      <c r="BL1437" s="6"/>
      <c r="BM1437" s="5"/>
      <c r="BN1437" s="7"/>
      <c r="BO1437" s="7"/>
      <c r="BP1437" s="7"/>
    </row>
    <row r="1438" spans="1:68" s="400" customFormat="1" ht="14.25" customHeight="1" x14ac:dyDescent="0.25">
      <c r="A1438" s="5"/>
      <c r="B1438" s="5"/>
      <c r="C1438" s="5"/>
      <c r="D1438" s="5"/>
      <c r="E1438" s="5"/>
      <c r="F1438" s="5"/>
      <c r="G1438" s="5"/>
      <c r="H1438" s="5"/>
      <c r="I1438" s="5"/>
      <c r="J1438" s="5"/>
      <c r="K1438" s="5"/>
      <c r="L1438" s="5"/>
      <c r="M1438" s="5"/>
      <c r="N1438" s="5"/>
      <c r="O1438" s="5"/>
      <c r="P1438" s="5"/>
      <c r="Q1438" s="5"/>
      <c r="R1438" s="5"/>
      <c r="S1438" s="5"/>
      <c r="T1438" s="5"/>
      <c r="U1438" s="5"/>
      <c r="V1438" s="5"/>
      <c r="W1438" s="5"/>
      <c r="X1438" s="5"/>
      <c r="Y1438" s="5"/>
      <c r="Z1438" s="5"/>
      <c r="AA1438" s="5"/>
      <c r="AB1438" s="6"/>
      <c r="AC1438" s="6"/>
      <c r="AD1438" s="6"/>
      <c r="AE1438" s="6"/>
      <c r="AF1438" s="6"/>
      <c r="AG1438" s="6"/>
      <c r="AH1438" s="6"/>
      <c r="AI1438" s="6"/>
      <c r="AJ1438" s="6"/>
      <c r="AK1438" s="6"/>
      <c r="AL1438" s="6"/>
      <c r="AM1438" s="6"/>
      <c r="AN1438" s="6"/>
      <c r="AO1438" s="6"/>
      <c r="AP1438" s="6"/>
      <c r="AQ1438" s="6"/>
      <c r="AR1438" s="6"/>
      <c r="AS1438" s="6"/>
      <c r="AT1438" s="6"/>
      <c r="AU1438" s="6"/>
      <c r="AV1438" s="6"/>
      <c r="AW1438" s="6"/>
      <c r="AX1438" s="6"/>
      <c r="AY1438" s="6"/>
      <c r="AZ1438" s="6"/>
      <c r="BA1438" s="6"/>
      <c r="BB1438" s="6"/>
      <c r="BC1438" s="6"/>
      <c r="BD1438" s="6"/>
      <c r="BE1438" s="6"/>
      <c r="BF1438" s="6"/>
      <c r="BG1438" s="6"/>
      <c r="BH1438" s="6"/>
      <c r="BI1438" s="6"/>
      <c r="BJ1438" s="6"/>
      <c r="BK1438" s="6"/>
      <c r="BL1438" s="6"/>
      <c r="BM1438" s="5"/>
      <c r="BN1438" s="7"/>
      <c r="BO1438" s="7"/>
      <c r="BP1438" s="7"/>
    </row>
    <row r="1439" spans="1:68" s="400" customFormat="1" ht="14.25" customHeight="1" x14ac:dyDescent="0.25">
      <c r="A1439" s="5"/>
      <c r="B1439" s="5"/>
      <c r="C1439" s="5"/>
      <c r="D1439" s="5"/>
      <c r="E1439" s="5"/>
      <c r="F1439" s="5"/>
      <c r="G1439" s="5"/>
      <c r="H1439" s="5"/>
      <c r="I1439" s="5"/>
      <c r="J1439" s="5"/>
      <c r="K1439" s="5"/>
      <c r="L1439" s="5"/>
      <c r="M1439" s="5"/>
      <c r="N1439" s="5"/>
      <c r="O1439" s="5"/>
      <c r="P1439" s="5"/>
      <c r="Q1439" s="5"/>
      <c r="R1439" s="5"/>
      <c r="S1439" s="5"/>
      <c r="T1439" s="5"/>
      <c r="U1439" s="5"/>
      <c r="V1439" s="5"/>
      <c r="W1439" s="5"/>
      <c r="X1439" s="5"/>
      <c r="Y1439" s="5"/>
      <c r="Z1439" s="5"/>
      <c r="AA1439" s="5"/>
      <c r="AB1439" s="6"/>
      <c r="AC1439" s="6"/>
      <c r="AD1439" s="6"/>
      <c r="AE1439" s="6"/>
      <c r="AF1439" s="6"/>
      <c r="AG1439" s="6"/>
      <c r="AH1439" s="6"/>
      <c r="AI1439" s="6"/>
      <c r="AJ1439" s="6"/>
      <c r="AK1439" s="6"/>
      <c r="AL1439" s="6"/>
      <c r="AM1439" s="6"/>
      <c r="AN1439" s="6"/>
      <c r="AO1439" s="6"/>
      <c r="AP1439" s="6"/>
      <c r="AQ1439" s="6"/>
      <c r="AR1439" s="6"/>
      <c r="AS1439" s="6"/>
      <c r="AT1439" s="6"/>
      <c r="AU1439" s="6"/>
      <c r="AV1439" s="6"/>
      <c r="AW1439" s="6"/>
      <c r="AX1439" s="6"/>
      <c r="AY1439" s="6"/>
      <c r="AZ1439" s="6"/>
      <c r="BA1439" s="6"/>
      <c r="BB1439" s="6"/>
      <c r="BC1439" s="6"/>
      <c r="BD1439" s="6"/>
      <c r="BE1439" s="6"/>
      <c r="BF1439" s="6"/>
      <c r="BG1439" s="6"/>
      <c r="BH1439" s="6"/>
      <c r="BI1439" s="6"/>
      <c r="BJ1439" s="6"/>
      <c r="BK1439" s="6"/>
      <c r="BL1439" s="6"/>
      <c r="BM1439" s="5"/>
      <c r="BN1439" s="7"/>
      <c r="BO1439" s="7"/>
      <c r="BP1439" s="7"/>
    </row>
    <row r="1440" spans="1:68" s="400" customFormat="1" ht="14.25" customHeight="1" x14ac:dyDescent="0.25">
      <c r="A1440" s="5"/>
      <c r="B1440" s="5"/>
      <c r="C1440" s="5"/>
      <c r="D1440" s="5"/>
      <c r="E1440" s="5"/>
      <c r="F1440" s="5"/>
      <c r="G1440" s="5"/>
      <c r="H1440" s="5"/>
      <c r="I1440" s="5"/>
      <c r="J1440" s="5"/>
      <c r="K1440" s="5"/>
      <c r="L1440" s="5"/>
      <c r="M1440" s="5"/>
      <c r="N1440" s="5"/>
      <c r="O1440" s="5"/>
      <c r="P1440" s="5"/>
      <c r="Q1440" s="5"/>
      <c r="R1440" s="5"/>
      <c r="S1440" s="5"/>
      <c r="T1440" s="5"/>
      <c r="U1440" s="5"/>
      <c r="V1440" s="5"/>
      <c r="W1440" s="5"/>
      <c r="X1440" s="5"/>
      <c r="Y1440" s="5"/>
      <c r="Z1440" s="5"/>
      <c r="AA1440" s="5"/>
      <c r="AB1440" s="6"/>
      <c r="AC1440" s="6"/>
      <c r="AD1440" s="6"/>
      <c r="AE1440" s="6"/>
      <c r="AF1440" s="6"/>
      <c r="AG1440" s="6"/>
      <c r="AH1440" s="6"/>
      <c r="AI1440" s="6"/>
      <c r="AJ1440" s="6"/>
      <c r="AK1440" s="6"/>
      <c r="AL1440" s="6"/>
      <c r="AM1440" s="6"/>
      <c r="AN1440" s="6"/>
      <c r="AO1440" s="6"/>
      <c r="AP1440" s="6"/>
      <c r="AQ1440" s="6"/>
      <c r="AR1440" s="6"/>
      <c r="AS1440" s="6"/>
      <c r="AT1440" s="6"/>
      <c r="AU1440" s="6"/>
      <c r="AV1440" s="6"/>
      <c r="AW1440" s="6"/>
      <c r="AX1440" s="6"/>
      <c r="AY1440" s="6"/>
      <c r="AZ1440" s="6"/>
      <c r="BA1440" s="6"/>
      <c r="BB1440" s="6"/>
      <c r="BC1440" s="6"/>
      <c r="BD1440" s="6"/>
      <c r="BE1440" s="6"/>
      <c r="BF1440" s="6"/>
      <c r="BG1440" s="6"/>
      <c r="BH1440" s="6"/>
      <c r="BI1440" s="6"/>
      <c r="BJ1440" s="6"/>
      <c r="BK1440" s="6"/>
      <c r="BL1440" s="6"/>
      <c r="BM1440" s="5"/>
      <c r="BN1440" s="7"/>
      <c r="BO1440" s="7"/>
      <c r="BP1440" s="7"/>
    </row>
    <row r="1441" spans="1:68" s="400" customFormat="1" ht="14.25" customHeight="1" x14ac:dyDescent="0.25">
      <c r="A1441" s="5"/>
      <c r="B1441" s="5"/>
      <c r="C1441" s="5"/>
      <c r="D1441" s="5"/>
      <c r="E1441" s="5"/>
      <c r="F1441" s="5"/>
      <c r="G1441" s="5"/>
      <c r="H1441" s="5"/>
      <c r="I1441" s="5"/>
      <c r="J1441" s="5"/>
      <c r="K1441" s="5"/>
      <c r="L1441" s="5"/>
      <c r="M1441" s="5"/>
      <c r="N1441" s="5"/>
      <c r="O1441" s="5"/>
      <c r="P1441" s="5"/>
      <c r="Q1441" s="5"/>
      <c r="R1441" s="5"/>
      <c r="S1441" s="5"/>
      <c r="T1441" s="5"/>
      <c r="U1441" s="5"/>
      <c r="V1441" s="5"/>
      <c r="W1441" s="5"/>
      <c r="X1441" s="5"/>
      <c r="Y1441" s="5"/>
      <c r="Z1441" s="5"/>
      <c r="AA1441" s="5"/>
      <c r="AB1441" s="6"/>
      <c r="AC1441" s="6"/>
      <c r="AD1441" s="6"/>
      <c r="AE1441" s="6"/>
      <c r="AF1441" s="6"/>
      <c r="AG1441" s="6"/>
      <c r="AH1441" s="6"/>
      <c r="AI1441" s="6"/>
      <c r="AJ1441" s="6"/>
      <c r="AK1441" s="6"/>
      <c r="AL1441" s="6"/>
      <c r="AM1441" s="6"/>
      <c r="AN1441" s="6"/>
      <c r="AO1441" s="6"/>
      <c r="AP1441" s="6"/>
      <c r="AQ1441" s="6"/>
      <c r="AR1441" s="6"/>
      <c r="AS1441" s="6"/>
      <c r="AT1441" s="6"/>
      <c r="AU1441" s="6"/>
      <c r="AV1441" s="6"/>
      <c r="AW1441" s="6"/>
      <c r="AX1441" s="6"/>
      <c r="AY1441" s="6"/>
      <c r="AZ1441" s="6"/>
      <c r="BA1441" s="6"/>
      <c r="BB1441" s="6"/>
      <c r="BC1441" s="6"/>
      <c r="BD1441" s="6"/>
      <c r="BE1441" s="6"/>
      <c r="BF1441" s="6"/>
      <c r="BG1441" s="6"/>
      <c r="BH1441" s="6"/>
      <c r="BI1441" s="6"/>
      <c r="BJ1441" s="6"/>
      <c r="BK1441" s="6"/>
      <c r="BL1441" s="6"/>
      <c r="BM1441" s="5"/>
      <c r="BN1441" s="7"/>
      <c r="BO1441" s="7"/>
      <c r="BP1441" s="7"/>
    </row>
    <row r="1442" spans="1:68" s="400" customFormat="1" ht="14.25" customHeight="1" x14ac:dyDescent="0.25">
      <c r="A1442" s="5"/>
      <c r="B1442" s="5"/>
      <c r="C1442" s="5"/>
      <c r="D1442" s="5"/>
      <c r="E1442" s="5"/>
      <c r="F1442" s="5"/>
      <c r="G1442" s="5"/>
      <c r="H1442" s="5"/>
      <c r="I1442" s="5"/>
      <c r="J1442" s="5"/>
      <c r="K1442" s="5"/>
      <c r="L1442" s="5"/>
      <c r="M1442" s="5"/>
      <c r="N1442" s="5"/>
      <c r="O1442" s="5"/>
      <c r="P1442" s="5"/>
      <c r="Q1442" s="5"/>
      <c r="R1442" s="5"/>
      <c r="S1442" s="5"/>
      <c r="T1442" s="5"/>
      <c r="U1442" s="5"/>
      <c r="V1442" s="5"/>
      <c r="W1442" s="5"/>
      <c r="X1442" s="5"/>
      <c r="Y1442" s="5"/>
      <c r="Z1442" s="5"/>
      <c r="AA1442" s="5"/>
      <c r="AB1442" s="6"/>
      <c r="AC1442" s="6"/>
      <c r="AD1442" s="6"/>
      <c r="AE1442" s="6"/>
      <c r="AF1442" s="6"/>
      <c r="AG1442" s="6"/>
      <c r="AH1442" s="6"/>
      <c r="AI1442" s="6"/>
      <c r="AJ1442" s="6"/>
      <c r="AK1442" s="6"/>
      <c r="AL1442" s="6"/>
      <c r="AM1442" s="6"/>
      <c r="AN1442" s="6"/>
      <c r="AO1442" s="6"/>
      <c r="AP1442" s="6"/>
      <c r="AQ1442" s="6"/>
      <c r="AR1442" s="6"/>
      <c r="AS1442" s="6"/>
      <c r="AT1442" s="6"/>
      <c r="AU1442" s="6"/>
      <c r="AV1442" s="6"/>
      <c r="AW1442" s="6"/>
      <c r="AX1442" s="6"/>
      <c r="AY1442" s="6"/>
      <c r="AZ1442" s="6"/>
      <c r="BA1442" s="6"/>
      <c r="BB1442" s="6"/>
      <c r="BC1442" s="6"/>
      <c r="BD1442" s="6"/>
      <c r="BE1442" s="6"/>
      <c r="BF1442" s="6"/>
      <c r="BG1442" s="6"/>
      <c r="BH1442" s="6"/>
      <c r="BI1442" s="6"/>
      <c r="BJ1442" s="6"/>
      <c r="BK1442" s="6"/>
      <c r="BL1442" s="6"/>
      <c r="BM1442" s="5"/>
      <c r="BN1442" s="7"/>
      <c r="BO1442" s="7"/>
      <c r="BP1442" s="7"/>
    </row>
    <row r="1443" spans="1:68" s="400" customFormat="1" ht="14.25" customHeight="1" x14ac:dyDescent="0.25">
      <c r="A1443" s="5"/>
      <c r="B1443" s="5"/>
      <c r="C1443" s="5"/>
      <c r="D1443" s="5"/>
      <c r="E1443" s="5"/>
      <c r="F1443" s="5"/>
      <c r="G1443" s="5"/>
      <c r="H1443" s="5"/>
      <c r="I1443" s="5"/>
      <c r="J1443" s="5"/>
      <c r="K1443" s="5"/>
      <c r="L1443" s="5"/>
      <c r="M1443" s="5"/>
      <c r="N1443" s="5"/>
      <c r="O1443" s="5"/>
      <c r="P1443" s="5"/>
      <c r="Q1443" s="5"/>
      <c r="R1443" s="5"/>
      <c r="S1443" s="5"/>
      <c r="T1443" s="5"/>
      <c r="U1443" s="5"/>
      <c r="V1443" s="5"/>
      <c r="W1443" s="5"/>
      <c r="X1443" s="5"/>
      <c r="Y1443" s="5"/>
      <c r="Z1443" s="5"/>
      <c r="AA1443" s="5"/>
      <c r="AB1443" s="6"/>
      <c r="AC1443" s="6"/>
      <c r="AD1443" s="6"/>
      <c r="AE1443" s="6"/>
      <c r="AF1443" s="6"/>
      <c r="AG1443" s="6"/>
      <c r="AH1443" s="6"/>
      <c r="AI1443" s="6"/>
      <c r="AJ1443" s="6"/>
      <c r="AK1443" s="6"/>
      <c r="AL1443" s="6"/>
      <c r="AM1443" s="6"/>
      <c r="AN1443" s="6"/>
      <c r="AO1443" s="6"/>
      <c r="AP1443" s="6"/>
      <c r="AQ1443" s="6"/>
      <c r="AR1443" s="6"/>
      <c r="AS1443" s="6"/>
      <c r="AT1443" s="6"/>
      <c r="AU1443" s="6"/>
      <c r="AV1443" s="6"/>
      <c r="AW1443" s="6"/>
      <c r="AX1443" s="6"/>
      <c r="AY1443" s="6"/>
      <c r="AZ1443" s="6"/>
      <c r="BA1443" s="6"/>
      <c r="BB1443" s="6"/>
      <c r="BC1443" s="6"/>
      <c r="BD1443" s="6"/>
      <c r="BE1443" s="6"/>
      <c r="BF1443" s="6"/>
      <c r="BG1443" s="6"/>
      <c r="BH1443" s="6"/>
      <c r="BI1443" s="6"/>
      <c r="BJ1443" s="6"/>
      <c r="BK1443" s="6"/>
      <c r="BL1443" s="6"/>
      <c r="BM1443" s="5"/>
      <c r="BN1443" s="7"/>
      <c r="BO1443" s="7"/>
      <c r="BP1443" s="7"/>
    </row>
    <row r="1444" spans="1:68" s="400" customFormat="1" ht="14.25" customHeight="1" x14ac:dyDescent="0.25">
      <c r="A1444" s="5"/>
      <c r="B1444" s="5"/>
      <c r="C1444" s="5"/>
      <c r="D1444" s="5"/>
      <c r="E1444" s="5"/>
      <c r="F1444" s="5"/>
      <c r="G1444" s="5"/>
      <c r="H1444" s="5"/>
      <c r="I1444" s="5"/>
      <c r="J1444" s="5"/>
      <c r="K1444" s="5"/>
      <c r="L1444" s="5"/>
      <c r="M1444" s="5"/>
      <c r="N1444" s="5"/>
      <c r="O1444" s="5"/>
      <c r="P1444" s="5"/>
      <c r="Q1444" s="5"/>
      <c r="R1444" s="5"/>
      <c r="S1444" s="5"/>
      <c r="T1444" s="5"/>
      <c r="U1444" s="5"/>
      <c r="V1444" s="5"/>
      <c r="W1444" s="5"/>
      <c r="X1444" s="5"/>
      <c r="Y1444" s="5"/>
      <c r="Z1444" s="5"/>
      <c r="AA1444" s="5"/>
      <c r="AB1444" s="6"/>
      <c r="AC1444" s="6"/>
      <c r="AD1444" s="6"/>
      <c r="AE1444" s="6"/>
      <c r="AF1444" s="6"/>
      <c r="AG1444" s="6"/>
      <c r="AH1444" s="6"/>
      <c r="AI1444" s="6"/>
      <c r="AJ1444" s="6"/>
      <c r="AK1444" s="6"/>
      <c r="AL1444" s="6"/>
      <c r="AM1444" s="6"/>
      <c r="AN1444" s="6"/>
      <c r="AO1444" s="6"/>
      <c r="AP1444" s="6"/>
      <c r="AQ1444" s="6"/>
      <c r="AR1444" s="6"/>
      <c r="AS1444" s="6"/>
      <c r="AT1444" s="6"/>
      <c r="AU1444" s="6"/>
      <c r="AV1444" s="6"/>
      <c r="AW1444" s="6"/>
      <c r="AX1444" s="6"/>
      <c r="AY1444" s="6"/>
      <c r="AZ1444" s="6"/>
      <c r="BA1444" s="6"/>
      <c r="BB1444" s="6"/>
      <c r="BC1444" s="6"/>
      <c r="BD1444" s="6"/>
      <c r="BE1444" s="6"/>
      <c r="BF1444" s="6"/>
      <c r="BG1444" s="6"/>
      <c r="BH1444" s="6"/>
      <c r="BI1444" s="6"/>
      <c r="BJ1444" s="6"/>
      <c r="BK1444" s="6"/>
      <c r="BL1444" s="6"/>
      <c r="BM1444" s="5"/>
      <c r="BN1444" s="7"/>
      <c r="BO1444" s="7"/>
      <c r="BP1444" s="7"/>
    </row>
    <row r="1445" spans="1:68" s="400" customFormat="1" ht="14.25" customHeight="1" x14ac:dyDescent="0.25">
      <c r="A1445" s="5"/>
      <c r="B1445" s="5"/>
      <c r="C1445" s="5"/>
      <c r="D1445" s="5"/>
      <c r="E1445" s="5"/>
      <c r="F1445" s="5"/>
      <c r="G1445" s="5"/>
      <c r="H1445" s="5"/>
      <c r="I1445" s="5"/>
      <c r="J1445" s="5"/>
      <c r="K1445" s="5"/>
      <c r="L1445" s="5"/>
      <c r="M1445" s="5"/>
      <c r="N1445" s="5"/>
      <c r="O1445" s="5"/>
      <c r="P1445" s="5"/>
      <c r="Q1445" s="5"/>
      <c r="R1445" s="5"/>
      <c r="S1445" s="5"/>
      <c r="T1445" s="5"/>
      <c r="U1445" s="5"/>
      <c r="V1445" s="5"/>
      <c r="W1445" s="5"/>
      <c r="X1445" s="5"/>
      <c r="Y1445" s="5"/>
      <c r="Z1445" s="5"/>
      <c r="AA1445" s="5"/>
      <c r="AB1445" s="6"/>
      <c r="AC1445" s="6"/>
      <c r="AD1445" s="6"/>
      <c r="AE1445" s="6"/>
      <c r="AF1445" s="6"/>
      <c r="AG1445" s="6"/>
      <c r="AH1445" s="6"/>
      <c r="AI1445" s="6"/>
      <c r="AJ1445" s="6"/>
      <c r="AK1445" s="6"/>
      <c r="AL1445" s="6"/>
      <c r="AM1445" s="6"/>
      <c r="AN1445" s="6"/>
      <c r="AO1445" s="6"/>
      <c r="AP1445" s="6"/>
      <c r="AQ1445" s="6"/>
      <c r="AR1445" s="6"/>
      <c r="AS1445" s="6"/>
      <c r="AT1445" s="6"/>
      <c r="AU1445" s="6"/>
      <c r="AV1445" s="6"/>
      <c r="AW1445" s="6"/>
      <c r="AX1445" s="6"/>
      <c r="AY1445" s="6"/>
      <c r="AZ1445" s="6"/>
      <c r="BA1445" s="6"/>
      <c r="BB1445" s="6"/>
      <c r="BC1445" s="6"/>
      <c r="BD1445" s="6"/>
      <c r="BE1445" s="6"/>
      <c r="BF1445" s="6"/>
      <c r="BG1445" s="6"/>
      <c r="BH1445" s="6"/>
      <c r="BI1445" s="6"/>
      <c r="BJ1445" s="6"/>
      <c r="BK1445" s="6"/>
      <c r="BL1445" s="6"/>
      <c r="BM1445" s="5"/>
      <c r="BN1445" s="7"/>
      <c r="BO1445" s="7"/>
      <c r="BP1445" s="7"/>
    </row>
    <row r="1446" spans="1:68" s="400" customFormat="1" ht="14.25" customHeight="1" x14ac:dyDescent="0.25">
      <c r="A1446" s="5"/>
      <c r="B1446" s="5"/>
      <c r="C1446" s="5"/>
      <c r="D1446" s="5"/>
      <c r="E1446" s="5"/>
      <c r="F1446" s="5"/>
      <c r="G1446" s="5"/>
      <c r="H1446" s="5"/>
      <c r="I1446" s="5"/>
      <c r="J1446" s="5"/>
      <c r="K1446" s="5"/>
      <c r="L1446" s="5"/>
      <c r="M1446" s="5"/>
      <c r="N1446" s="5"/>
      <c r="O1446" s="5"/>
      <c r="P1446" s="5"/>
      <c r="Q1446" s="5"/>
      <c r="R1446" s="5"/>
      <c r="S1446" s="5"/>
      <c r="T1446" s="5"/>
      <c r="U1446" s="5"/>
      <c r="V1446" s="5"/>
      <c r="W1446" s="5"/>
      <c r="X1446" s="5"/>
      <c r="Y1446" s="5"/>
      <c r="Z1446" s="5"/>
      <c r="AA1446" s="5"/>
      <c r="AB1446" s="6"/>
      <c r="AC1446" s="6"/>
      <c r="AD1446" s="6"/>
      <c r="AE1446" s="6"/>
      <c r="AF1446" s="6"/>
      <c r="AG1446" s="6"/>
      <c r="AH1446" s="6"/>
      <c r="AI1446" s="6"/>
      <c r="AJ1446" s="6"/>
      <c r="AK1446" s="6"/>
      <c r="AL1446" s="6"/>
      <c r="AM1446" s="6"/>
      <c r="AN1446" s="6"/>
      <c r="AO1446" s="6"/>
      <c r="AP1446" s="6"/>
      <c r="AQ1446" s="6"/>
      <c r="AR1446" s="6"/>
      <c r="AS1446" s="6"/>
      <c r="AT1446" s="6"/>
      <c r="AU1446" s="6"/>
      <c r="AV1446" s="6"/>
      <c r="AW1446" s="6"/>
      <c r="AX1446" s="6"/>
      <c r="AY1446" s="6"/>
      <c r="AZ1446" s="6"/>
      <c r="BA1446" s="6"/>
      <c r="BB1446" s="6"/>
      <c r="BC1446" s="6"/>
      <c r="BD1446" s="6"/>
      <c r="BE1446" s="6"/>
      <c r="BF1446" s="6"/>
      <c r="BG1446" s="6"/>
      <c r="BH1446" s="6"/>
      <c r="BI1446" s="6"/>
      <c r="BJ1446" s="6"/>
      <c r="BK1446" s="6"/>
      <c r="BL1446" s="6"/>
      <c r="BM1446" s="5"/>
      <c r="BN1446" s="7"/>
      <c r="BO1446" s="7"/>
      <c r="BP1446" s="7"/>
    </row>
    <row r="1447" spans="1:68" s="400" customFormat="1" ht="14.25" customHeight="1" x14ac:dyDescent="0.25">
      <c r="A1447" s="5"/>
      <c r="B1447" s="5"/>
      <c r="C1447" s="5"/>
      <c r="D1447" s="5"/>
      <c r="E1447" s="5"/>
      <c r="F1447" s="5"/>
      <c r="G1447" s="5"/>
      <c r="H1447" s="5"/>
      <c r="I1447" s="5"/>
      <c r="J1447" s="5"/>
      <c r="K1447" s="5"/>
      <c r="L1447" s="5"/>
      <c r="M1447" s="5"/>
      <c r="N1447" s="5"/>
      <c r="O1447" s="5"/>
      <c r="P1447" s="5"/>
      <c r="Q1447" s="5"/>
      <c r="R1447" s="5"/>
      <c r="S1447" s="5"/>
      <c r="T1447" s="5"/>
      <c r="U1447" s="5"/>
      <c r="V1447" s="5"/>
      <c r="W1447" s="5"/>
      <c r="X1447" s="5"/>
      <c r="Y1447" s="5"/>
      <c r="Z1447" s="5"/>
      <c r="AA1447" s="5"/>
      <c r="AB1447" s="6"/>
      <c r="AC1447" s="6"/>
      <c r="AD1447" s="6"/>
      <c r="AE1447" s="6"/>
      <c r="AF1447" s="6"/>
      <c r="AG1447" s="6"/>
      <c r="AH1447" s="6"/>
      <c r="AI1447" s="6"/>
      <c r="AJ1447" s="6"/>
      <c r="AK1447" s="6"/>
      <c r="AL1447" s="6"/>
      <c r="AM1447" s="6"/>
      <c r="AN1447" s="6"/>
      <c r="AO1447" s="6"/>
      <c r="AP1447" s="6"/>
      <c r="AQ1447" s="6"/>
      <c r="AR1447" s="6"/>
      <c r="AS1447" s="6"/>
      <c r="AT1447" s="6"/>
      <c r="AU1447" s="6"/>
      <c r="AV1447" s="6"/>
      <c r="AW1447" s="6"/>
      <c r="AX1447" s="6"/>
      <c r="AY1447" s="6"/>
      <c r="AZ1447" s="6"/>
      <c r="BA1447" s="6"/>
      <c r="BB1447" s="6"/>
      <c r="BC1447" s="6"/>
      <c r="BD1447" s="6"/>
      <c r="BE1447" s="6"/>
      <c r="BF1447" s="6"/>
      <c r="BG1447" s="6"/>
      <c r="BH1447" s="6"/>
      <c r="BI1447" s="6"/>
      <c r="BJ1447" s="6"/>
      <c r="BK1447" s="6"/>
      <c r="BL1447" s="6"/>
      <c r="BM1447" s="5"/>
      <c r="BN1447" s="7"/>
      <c r="BO1447" s="7"/>
      <c r="BP1447" s="7"/>
    </row>
    <row r="1448" spans="1:68" s="400" customFormat="1" ht="14.25" customHeight="1" x14ac:dyDescent="0.25">
      <c r="A1448" s="5"/>
      <c r="B1448" s="5"/>
      <c r="C1448" s="5"/>
      <c r="D1448" s="5"/>
      <c r="E1448" s="5"/>
      <c r="F1448" s="5"/>
      <c r="G1448" s="5"/>
      <c r="H1448" s="5"/>
      <c r="I1448" s="5"/>
      <c r="J1448" s="5"/>
      <c r="K1448" s="5"/>
      <c r="L1448" s="5"/>
      <c r="M1448" s="5"/>
      <c r="N1448" s="5"/>
      <c r="O1448" s="5"/>
      <c r="P1448" s="5"/>
      <c r="Q1448" s="5"/>
      <c r="R1448" s="5"/>
      <c r="S1448" s="5"/>
      <c r="T1448" s="5"/>
      <c r="U1448" s="5"/>
      <c r="V1448" s="5"/>
      <c r="W1448" s="5"/>
      <c r="X1448" s="5"/>
      <c r="Y1448" s="5"/>
      <c r="Z1448" s="5"/>
      <c r="AA1448" s="5"/>
      <c r="AB1448" s="6"/>
      <c r="AC1448" s="6"/>
      <c r="AD1448" s="6"/>
      <c r="AE1448" s="6"/>
      <c r="AF1448" s="6"/>
      <c r="AG1448" s="6"/>
      <c r="AH1448" s="6"/>
      <c r="AI1448" s="6"/>
      <c r="AJ1448" s="6"/>
      <c r="AK1448" s="6"/>
      <c r="AL1448" s="6"/>
      <c r="AM1448" s="6"/>
      <c r="AN1448" s="6"/>
      <c r="AO1448" s="6"/>
      <c r="AP1448" s="6"/>
      <c r="AQ1448" s="6"/>
      <c r="AR1448" s="6"/>
      <c r="AS1448" s="6"/>
      <c r="AT1448" s="6"/>
      <c r="AU1448" s="6"/>
      <c r="AV1448" s="6"/>
      <c r="AW1448" s="6"/>
      <c r="AX1448" s="6"/>
      <c r="AY1448" s="6"/>
      <c r="AZ1448" s="6"/>
      <c r="BA1448" s="6"/>
      <c r="BB1448" s="6"/>
      <c r="BC1448" s="6"/>
      <c r="BD1448" s="6"/>
      <c r="BE1448" s="6"/>
      <c r="BF1448" s="6"/>
      <c r="BG1448" s="6"/>
      <c r="BH1448" s="6"/>
      <c r="BI1448" s="6"/>
      <c r="BJ1448" s="6"/>
      <c r="BK1448" s="6"/>
      <c r="BL1448" s="6"/>
      <c r="BM1448" s="5"/>
      <c r="BN1448" s="7"/>
      <c r="BO1448" s="7"/>
      <c r="BP1448" s="7"/>
    </row>
    <row r="1449" spans="1:68" s="400" customFormat="1" ht="14.25" customHeight="1" x14ac:dyDescent="0.25">
      <c r="A1449" s="5"/>
      <c r="B1449" s="5"/>
      <c r="C1449" s="5"/>
      <c r="D1449" s="5"/>
      <c r="E1449" s="5"/>
      <c r="F1449" s="5"/>
      <c r="G1449" s="5"/>
      <c r="H1449" s="5"/>
      <c r="I1449" s="5"/>
      <c r="J1449" s="5"/>
      <c r="K1449" s="5"/>
      <c r="L1449" s="5"/>
      <c r="M1449" s="5"/>
      <c r="N1449" s="5"/>
      <c r="O1449" s="5"/>
      <c r="P1449" s="5"/>
      <c r="Q1449" s="5"/>
      <c r="R1449" s="5"/>
      <c r="S1449" s="5"/>
      <c r="T1449" s="5"/>
      <c r="U1449" s="5"/>
      <c r="V1449" s="5"/>
      <c r="W1449" s="5"/>
      <c r="X1449" s="5"/>
      <c r="Y1449" s="5"/>
      <c r="Z1449" s="5"/>
      <c r="AA1449" s="5"/>
      <c r="AB1449" s="6"/>
      <c r="AC1449" s="6"/>
      <c r="AD1449" s="6"/>
      <c r="AE1449" s="6"/>
      <c r="AF1449" s="6"/>
      <c r="AG1449" s="6"/>
      <c r="AH1449" s="6"/>
      <c r="AI1449" s="6"/>
      <c r="AJ1449" s="6"/>
      <c r="AK1449" s="6"/>
      <c r="AL1449" s="6"/>
      <c r="AM1449" s="6"/>
      <c r="AN1449" s="6"/>
      <c r="AO1449" s="6"/>
      <c r="AP1449" s="6"/>
      <c r="AQ1449" s="6"/>
      <c r="AR1449" s="6"/>
      <c r="AS1449" s="6"/>
      <c r="AT1449" s="6"/>
      <c r="AU1449" s="6"/>
      <c r="AV1449" s="6"/>
      <c r="AW1449" s="6"/>
      <c r="AX1449" s="6"/>
      <c r="AY1449" s="6"/>
      <c r="AZ1449" s="6"/>
      <c r="BA1449" s="6"/>
      <c r="BB1449" s="6"/>
      <c r="BC1449" s="6"/>
      <c r="BD1449" s="6"/>
      <c r="BE1449" s="6"/>
      <c r="BF1449" s="6"/>
      <c r="BG1449" s="6"/>
      <c r="BH1449" s="6"/>
      <c r="BI1449" s="6"/>
      <c r="BJ1449" s="6"/>
      <c r="BK1449" s="6"/>
      <c r="BL1449" s="6"/>
      <c r="BM1449" s="5"/>
      <c r="BN1449" s="7"/>
      <c r="BO1449" s="7"/>
      <c r="BP1449" s="7"/>
    </row>
    <row r="1450" spans="1:68" s="400" customFormat="1" ht="14.25" customHeight="1" x14ac:dyDescent="0.25">
      <c r="A1450" s="5"/>
      <c r="B1450" s="5"/>
      <c r="C1450" s="5"/>
      <c r="D1450" s="5"/>
      <c r="E1450" s="5"/>
      <c r="F1450" s="5"/>
      <c r="G1450" s="5"/>
      <c r="H1450" s="5"/>
      <c r="I1450" s="5"/>
      <c r="J1450" s="5"/>
      <c r="K1450" s="5"/>
      <c r="L1450" s="5"/>
      <c r="M1450" s="5"/>
      <c r="N1450" s="5"/>
      <c r="O1450" s="5"/>
      <c r="P1450" s="5"/>
      <c r="Q1450" s="5"/>
      <c r="R1450" s="5"/>
      <c r="S1450" s="5"/>
      <c r="T1450" s="5"/>
      <c r="U1450" s="5"/>
      <c r="V1450" s="5"/>
      <c r="W1450" s="5"/>
      <c r="X1450" s="5"/>
      <c r="Y1450" s="5"/>
      <c r="Z1450" s="5"/>
      <c r="AA1450" s="5"/>
      <c r="AB1450" s="6"/>
      <c r="AC1450" s="6"/>
      <c r="AD1450" s="6"/>
      <c r="AE1450" s="6"/>
      <c r="AF1450" s="6"/>
      <c r="AG1450" s="6"/>
      <c r="AH1450" s="6"/>
      <c r="AI1450" s="6"/>
      <c r="AJ1450" s="6"/>
      <c r="AK1450" s="6"/>
      <c r="AL1450" s="6"/>
      <c r="AM1450" s="6"/>
      <c r="AN1450" s="6"/>
      <c r="AO1450" s="6"/>
      <c r="AP1450" s="6"/>
      <c r="AQ1450" s="6"/>
      <c r="AR1450" s="6"/>
      <c r="AS1450" s="6"/>
      <c r="AT1450" s="6"/>
      <c r="AU1450" s="6"/>
      <c r="AV1450" s="6"/>
      <c r="AW1450" s="6"/>
      <c r="AX1450" s="6"/>
      <c r="AY1450" s="6"/>
      <c r="AZ1450" s="6"/>
      <c r="BA1450" s="6"/>
      <c r="BB1450" s="6"/>
      <c r="BC1450" s="6"/>
      <c r="BD1450" s="6"/>
      <c r="BE1450" s="6"/>
      <c r="BF1450" s="6"/>
      <c r="BG1450" s="6"/>
      <c r="BH1450" s="6"/>
      <c r="BI1450" s="6"/>
      <c r="BJ1450" s="6"/>
      <c r="BK1450" s="6"/>
      <c r="BL1450" s="6"/>
      <c r="BM1450" s="5"/>
      <c r="BN1450" s="7"/>
      <c r="BO1450" s="7"/>
      <c r="BP1450" s="7"/>
    </row>
    <row r="1451" spans="1:68" s="400" customFormat="1" ht="14.25" customHeight="1" x14ac:dyDescent="0.25">
      <c r="A1451" s="5"/>
      <c r="B1451" s="5"/>
      <c r="C1451" s="5"/>
      <c r="D1451" s="5"/>
      <c r="E1451" s="5"/>
      <c r="F1451" s="5"/>
      <c r="G1451" s="5"/>
      <c r="H1451" s="5"/>
      <c r="I1451" s="5"/>
      <c r="J1451" s="5"/>
      <c r="K1451" s="5"/>
      <c r="L1451" s="5"/>
      <c r="M1451" s="5"/>
      <c r="N1451" s="5"/>
      <c r="O1451" s="5"/>
      <c r="P1451" s="5"/>
      <c r="Q1451" s="5"/>
      <c r="R1451" s="5"/>
      <c r="S1451" s="5"/>
      <c r="T1451" s="5"/>
      <c r="U1451" s="5"/>
      <c r="V1451" s="5"/>
      <c r="W1451" s="5"/>
      <c r="X1451" s="5"/>
      <c r="Y1451" s="5"/>
      <c r="Z1451" s="5"/>
      <c r="AA1451" s="5"/>
      <c r="AB1451" s="6"/>
      <c r="AC1451" s="6"/>
      <c r="AD1451" s="6"/>
      <c r="AE1451" s="6"/>
      <c r="AF1451" s="6"/>
      <c r="AG1451" s="6"/>
      <c r="AH1451" s="6"/>
      <c r="AI1451" s="6"/>
      <c r="AJ1451" s="6"/>
      <c r="AK1451" s="6"/>
      <c r="AL1451" s="6"/>
      <c r="AM1451" s="6"/>
      <c r="AN1451" s="6"/>
      <c r="AO1451" s="6"/>
      <c r="AP1451" s="6"/>
      <c r="AQ1451" s="6"/>
      <c r="AR1451" s="6"/>
      <c r="AS1451" s="6"/>
      <c r="AT1451" s="6"/>
      <c r="AU1451" s="6"/>
      <c r="AV1451" s="6"/>
      <c r="AW1451" s="6"/>
      <c r="AX1451" s="6"/>
      <c r="AY1451" s="6"/>
      <c r="AZ1451" s="6"/>
      <c r="BA1451" s="6"/>
      <c r="BB1451" s="6"/>
      <c r="BC1451" s="6"/>
      <c r="BD1451" s="6"/>
      <c r="BE1451" s="6"/>
      <c r="BF1451" s="6"/>
      <c r="BG1451" s="6"/>
      <c r="BH1451" s="6"/>
      <c r="BI1451" s="6"/>
      <c r="BJ1451" s="6"/>
      <c r="BK1451" s="6"/>
      <c r="BL1451" s="6"/>
      <c r="BM1451" s="5"/>
      <c r="BN1451" s="7"/>
      <c r="BO1451" s="7"/>
      <c r="BP1451" s="7"/>
    </row>
    <row r="1452" spans="1:68" s="400" customFormat="1" ht="14.25" customHeight="1" x14ac:dyDescent="0.25">
      <c r="A1452" s="5"/>
      <c r="B1452" s="5"/>
      <c r="C1452" s="5"/>
      <c r="D1452" s="5"/>
      <c r="E1452" s="5"/>
      <c r="F1452" s="5"/>
      <c r="G1452" s="5"/>
      <c r="H1452" s="5"/>
      <c r="I1452" s="5"/>
      <c r="J1452" s="5"/>
      <c r="K1452" s="5"/>
      <c r="L1452" s="5"/>
      <c r="M1452" s="5"/>
      <c r="N1452" s="5"/>
      <c r="O1452" s="5"/>
      <c r="P1452" s="5"/>
      <c r="Q1452" s="5"/>
      <c r="R1452" s="5"/>
      <c r="S1452" s="5"/>
      <c r="T1452" s="5"/>
      <c r="U1452" s="5"/>
      <c r="V1452" s="5"/>
      <c r="W1452" s="5"/>
      <c r="X1452" s="5"/>
      <c r="Y1452" s="5"/>
      <c r="Z1452" s="5"/>
      <c r="AA1452" s="5"/>
      <c r="AB1452" s="6"/>
      <c r="AC1452" s="6"/>
      <c r="AD1452" s="6"/>
      <c r="AE1452" s="6"/>
      <c r="AF1452" s="6"/>
      <c r="AG1452" s="6"/>
      <c r="AH1452" s="6"/>
      <c r="AI1452" s="6"/>
      <c r="AJ1452" s="6"/>
      <c r="AK1452" s="6"/>
      <c r="AL1452" s="6"/>
      <c r="AM1452" s="6"/>
      <c r="AN1452" s="6"/>
      <c r="AO1452" s="6"/>
      <c r="AP1452" s="6"/>
      <c r="AQ1452" s="6"/>
      <c r="AR1452" s="6"/>
      <c r="AS1452" s="6"/>
      <c r="AT1452" s="6"/>
      <c r="AU1452" s="6"/>
      <c r="AV1452" s="6"/>
      <c r="AW1452" s="6"/>
      <c r="AX1452" s="6"/>
      <c r="AY1452" s="6"/>
      <c r="AZ1452" s="6"/>
      <c r="BA1452" s="6"/>
      <c r="BB1452" s="6"/>
      <c r="BC1452" s="6"/>
      <c r="BD1452" s="6"/>
      <c r="BE1452" s="6"/>
      <c r="BF1452" s="6"/>
      <c r="BG1452" s="6"/>
      <c r="BH1452" s="6"/>
      <c r="BI1452" s="6"/>
      <c r="BJ1452" s="6"/>
      <c r="BK1452" s="6"/>
      <c r="BL1452" s="6"/>
      <c r="BM1452" s="5"/>
      <c r="BN1452" s="7"/>
      <c r="BO1452" s="7"/>
      <c r="BP1452" s="7"/>
    </row>
    <row r="1453" spans="1:68" s="400" customFormat="1" ht="14.25" customHeight="1" x14ac:dyDescent="0.25">
      <c r="A1453" s="5"/>
      <c r="B1453" s="5"/>
      <c r="C1453" s="5"/>
      <c r="D1453" s="5"/>
      <c r="E1453" s="5"/>
      <c r="F1453" s="5"/>
      <c r="G1453" s="5"/>
      <c r="H1453" s="5"/>
      <c r="I1453" s="5"/>
      <c r="J1453" s="5"/>
      <c r="K1453" s="5"/>
      <c r="L1453" s="5"/>
      <c r="M1453" s="5"/>
      <c r="N1453" s="5"/>
      <c r="O1453" s="5"/>
      <c r="P1453" s="5"/>
      <c r="Q1453" s="5"/>
      <c r="R1453" s="5"/>
      <c r="S1453" s="5"/>
      <c r="T1453" s="5"/>
      <c r="U1453" s="5"/>
      <c r="V1453" s="5"/>
      <c r="W1453" s="5"/>
      <c r="X1453" s="5"/>
      <c r="Y1453" s="5"/>
      <c r="Z1453" s="5"/>
      <c r="AA1453" s="5"/>
      <c r="AB1453" s="6"/>
      <c r="AC1453" s="6"/>
      <c r="AD1453" s="6"/>
      <c r="AE1453" s="6"/>
      <c r="AF1453" s="6"/>
      <c r="AG1453" s="6"/>
      <c r="AH1453" s="6"/>
      <c r="AI1453" s="6"/>
      <c r="AJ1453" s="6"/>
      <c r="AK1453" s="6"/>
      <c r="AL1453" s="6"/>
      <c r="AM1453" s="6"/>
      <c r="AN1453" s="6"/>
      <c r="AO1453" s="6"/>
      <c r="AP1453" s="6"/>
      <c r="AQ1453" s="6"/>
      <c r="AR1453" s="6"/>
      <c r="AS1453" s="6"/>
      <c r="AT1453" s="6"/>
      <c r="AU1453" s="6"/>
      <c r="AV1453" s="6"/>
      <c r="AW1453" s="6"/>
      <c r="AX1453" s="6"/>
      <c r="AY1453" s="6"/>
      <c r="AZ1453" s="6"/>
      <c r="BA1453" s="6"/>
      <c r="BB1453" s="6"/>
      <c r="BC1453" s="6"/>
      <c r="BD1453" s="6"/>
      <c r="BE1453" s="6"/>
      <c r="BF1453" s="6"/>
      <c r="BG1453" s="6"/>
      <c r="BH1453" s="6"/>
      <c r="BI1453" s="6"/>
      <c r="BJ1453" s="6"/>
      <c r="BK1453" s="6"/>
      <c r="BL1453" s="6"/>
      <c r="BM1453" s="5"/>
      <c r="BN1453" s="7"/>
      <c r="BO1453" s="7"/>
      <c r="BP1453" s="7"/>
    </row>
    <row r="1454" spans="1:68" s="400" customFormat="1" ht="14.25" customHeight="1" x14ac:dyDescent="0.25">
      <c r="A1454" s="5"/>
      <c r="B1454" s="5"/>
      <c r="C1454" s="5"/>
      <c r="D1454" s="5"/>
      <c r="E1454" s="5"/>
      <c r="F1454" s="5"/>
      <c r="G1454" s="5"/>
      <c r="H1454" s="5"/>
      <c r="I1454" s="5"/>
      <c r="J1454" s="5"/>
      <c r="K1454" s="5"/>
      <c r="L1454" s="5"/>
      <c r="M1454" s="5"/>
      <c r="N1454" s="5"/>
      <c r="O1454" s="5"/>
      <c r="P1454" s="5"/>
      <c r="Q1454" s="5"/>
      <c r="R1454" s="5"/>
      <c r="S1454" s="5"/>
      <c r="T1454" s="5"/>
      <c r="U1454" s="5"/>
      <c r="V1454" s="5"/>
      <c r="W1454" s="5"/>
      <c r="X1454" s="5"/>
      <c r="Y1454" s="5"/>
      <c r="Z1454" s="5"/>
      <c r="AA1454" s="5"/>
      <c r="AB1454" s="6"/>
      <c r="AC1454" s="6"/>
      <c r="AD1454" s="6"/>
      <c r="AE1454" s="6"/>
      <c r="AF1454" s="6"/>
      <c r="AG1454" s="6"/>
      <c r="AH1454" s="6"/>
      <c r="AI1454" s="6"/>
      <c r="AJ1454" s="6"/>
      <c r="AK1454" s="6"/>
      <c r="AL1454" s="6"/>
      <c r="AM1454" s="6"/>
      <c r="AN1454" s="6"/>
      <c r="AO1454" s="6"/>
      <c r="AP1454" s="6"/>
      <c r="AQ1454" s="6"/>
      <c r="AR1454" s="6"/>
      <c r="AS1454" s="6"/>
      <c r="AT1454" s="6"/>
      <c r="AU1454" s="6"/>
      <c r="AV1454" s="6"/>
      <c r="AW1454" s="6"/>
      <c r="AX1454" s="6"/>
      <c r="AY1454" s="6"/>
      <c r="AZ1454" s="6"/>
      <c r="BA1454" s="6"/>
      <c r="BB1454" s="6"/>
      <c r="BC1454" s="6"/>
      <c r="BD1454" s="6"/>
      <c r="BE1454" s="6"/>
      <c r="BF1454" s="6"/>
      <c r="BG1454" s="6"/>
      <c r="BH1454" s="6"/>
      <c r="BI1454" s="6"/>
      <c r="BJ1454" s="6"/>
      <c r="BK1454" s="6"/>
      <c r="BL1454" s="6"/>
      <c r="BM1454" s="5"/>
      <c r="BN1454" s="7"/>
      <c r="BO1454" s="7"/>
      <c r="BP1454" s="7"/>
    </row>
    <row r="1455" spans="1:68" s="400" customFormat="1" ht="14.25" customHeight="1" x14ac:dyDescent="0.25">
      <c r="A1455" s="5"/>
      <c r="B1455" s="5"/>
      <c r="C1455" s="5"/>
      <c r="D1455" s="5"/>
      <c r="E1455" s="5"/>
      <c r="F1455" s="5"/>
      <c r="G1455" s="5"/>
      <c r="H1455" s="5"/>
      <c r="I1455" s="5"/>
      <c r="J1455" s="5"/>
      <c r="K1455" s="5"/>
      <c r="L1455" s="5"/>
      <c r="M1455" s="5"/>
      <c r="N1455" s="5"/>
      <c r="O1455" s="5"/>
      <c r="P1455" s="5"/>
      <c r="Q1455" s="5"/>
      <c r="R1455" s="5"/>
      <c r="S1455" s="5"/>
      <c r="T1455" s="5"/>
      <c r="U1455" s="5"/>
      <c r="V1455" s="5"/>
      <c r="W1455" s="5"/>
      <c r="X1455" s="5"/>
      <c r="Y1455" s="5"/>
      <c r="Z1455" s="5"/>
      <c r="AA1455" s="5"/>
      <c r="AB1455" s="6"/>
      <c r="AC1455" s="6"/>
      <c r="AD1455" s="6"/>
      <c r="AE1455" s="6"/>
      <c r="AF1455" s="6"/>
      <c r="AG1455" s="6"/>
      <c r="AH1455" s="6"/>
      <c r="AI1455" s="6"/>
      <c r="AJ1455" s="6"/>
      <c r="AK1455" s="6"/>
      <c r="AL1455" s="6"/>
      <c r="AM1455" s="6"/>
      <c r="AN1455" s="6"/>
      <c r="AO1455" s="6"/>
      <c r="AP1455" s="6"/>
      <c r="AQ1455" s="6"/>
      <c r="AR1455" s="6"/>
      <c r="AS1455" s="6"/>
      <c r="AT1455" s="6"/>
      <c r="AU1455" s="6"/>
      <c r="AV1455" s="6"/>
      <c r="AW1455" s="6"/>
      <c r="AX1455" s="6"/>
      <c r="AY1455" s="6"/>
      <c r="AZ1455" s="6"/>
      <c r="BA1455" s="6"/>
      <c r="BB1455" s="6"/>
      <c r="BC1455" s="6"/>
      <c r="BD1455" s="6"/>
      <c r="BE1455" s="6"/>
      <c r="BF1455" s="6"/>
      <c r="BG1455" s="6"/>
      <c r="BH1455" s="6"/>
      <c r="BI1455" s="6"/>
      <c r="BJ1455" s="6"/>
      <c r="BK1455" s="6"/>
      <c r="BL1455" s="6"/>
      <c r="BM1455" s="5"/>
      <c r="BN1455" s="7"/>
      <c r="BO1455" s="7"/>
      <c r="BP1455" s="7"/>
    </row>
    <row r="1456" spans="1:68" s="400" customFormat="1" ht="14.25" customHeight="1" x14ac:dyDescent="0.25">
      <c r="A1456" s="5"/>
      <c r="B1456" s="5"/>
      <c r="C1456" s="5"/>
      <c r="D1456" s="5"/>
      <c r="E1456" s="5"/>
      <c r="F1456" s="5"/>
      <c r="G1456" s="5"/>
      <c r="H1456" s="5"/>
      <c r="I1456" s="5"/>
      <c r="J1456" s="5"/>
      <c r="K1456" s="5"/>
      <c r="L1456" s="5"/>
      <c r="M1456" s="5"/>
      <c r="N1456" s="5"/>
      <c r="O1456" s="5"/>
      <c r="P1456" s="5"/>
      <c r="Q1456" s="5"/>
      <c r="R1456" s="5"/>
      <c r="S1456" s="5"/>
      <c r="T1456" s="5"/>
      <c r="U1456" s="5"/>
      <c r="V1456" s="5"/>
      <c r="W1456" s="5"/>
      <c r="X1456" s="5"/>
      <c r="Y1456" s="5"/>
      <c r="Z1456" s="5"/>
      <c r="AA1456" s="5"/>
      <c r="AB1456" s="6"/>
      <c r="AC1456" s="6"/>
      <c r="AD1456" s="6"/>
      <c r="AE1456" s="6"/>
      <c r="AF1456" s="6"/>
      <c r="AG1456" s="6"/>
      <c r="AH1456" s="6"/>
      <c r="AI1456" s="6"/>
      <c r="AJ1456" s="6"/>
      <c r="AK1456" s="6"/>
      <c r="AL1456" s="6"/>
      <c r="AM1456" s="6"/>
      <c r="AN1456" s="6"/>
      <c r="AO1456" s="6"/>
      <c r="AP1456" s="6"/>
      <c r="AQ1456" s="6"/>
      <c r="AR1456" s="6"/>
      <c r="AS1456" s="6"/>
      <c r="AT1456" s="6"/>
      <c r="AU1456" s="6"/>
      <c r="AV1456" s="6"/>
      <c r="AW1456" s="6"/>
      <c r="AX1456" s="6"/>
      <c r="AY1456" s="6"/>
      <c r="AZ1456" s="6"/>
      <c r="BA1456" s="6"/>
      <c r="BB1456" s="6"/>
      <c r="BC1456" s="6"/>
      <c r="BD1456" s="6"/>
      <c r="BE1456" s="6"/>
      <c r="BF1456" s="6"/>
      <c r="BG1456" s="6"/>
      <c r="BH1456" s="6"/>
      <c r="BI1456" s="6"/>
      <c r="BJ1456" s="6"/>
      <c r="BK1456" s="6"/>
      <c r="BL1456" s="6"/>
      <c r="BM1456" s="5"/>
      <c r="BN1456" s="7"/>
      <c r="BO1456" s="7"/>
      <c r="BP1456" s="7"/>
    </row>
    <row r="1457" spans="1:68" s="400" customFormat="1" ht="14.25" customHeight="1" x14ac:dyDescent="0.25">
      <c r="A1457" s="5"/>
      <c r="B1457" s="5"/>
      <c r="C1457" s="5"/>
      <c r="D1457" s="5"/>
      <c r="E1457" s="5"/>
      <c r="F1457" s="5"/>
      <c r="G1457" s="5"/>
      <c r="H1457" s="5"/>
      <c r="I1457" s="5"/>
      <c r="J1457" s="5"/>
      <c r="K1457" s="5"/>
      <c r="L1457" s="5"/>
      <c r="M1457" s="5"/>
      <c r="N1457" s="5"/>
      <c r="O1457" s="5"/>
      <c r="P1457" s="5"/>
      <c r="Q1457" s="5"/>
      <c r="R1457" s="5"/>
      <c r="S1457" s="5"/>
      <c r="T1457" s="5"/>
      <c r="U1457" s="5"/>
      <c r="V1457" s="5"/>
      <c r="W1457" s="5"/>
      <c r="X1457" s="5"/>
      <c r="Y1457" s="5"/>
      <c r="Z1457" s="5"/>
      <c r="AA1457" s="5"/>
      <c r="AB1457" s="6"/>
      <c r="AC1457" s="6"/>
      <c r="AD1457" s="6"/>
      <c r="AE1457" s="6"/>
      <c r="AF1457" s="6"/>
      <c r="AG1457" s="6"/>
      <c r="AH1457" s="6"/>
      <c r="AI1457" s="6"/>
      <c r="AJ1457" s="6"/>
      <c r="AK1457" s="6"/>
      <c r="AL1457" s="6"/>
      <c r="AM1457" s="6"/>
      <c r="AN1457" s="6"/>
      <c r="AO1457" s="6"/>
      <c r="AP1457" s="6"/>
      <c r="AQ1457" s="6"/>
      <c r="AR1457" s="6"/>
      <c r="AS1457" s="6"/>
      <c r="AT1457" s="6"/>
      <c r="AU1457" s="6"/>
      <c r="AV1457" s="6"/>
      <c r="AW1457" s="6"/>
      <c r="AX1457" s="6"/>
      <c r="AY1457" s="6"/>
      <c r="AZ1457" s="6"/>
      <c r="BA1457" s="6"/>
      <c r="BB1457" s="6"/>
      <c r="BC1457" s="6"/>
      <c r="BD1457" s="6"/>
      <c r="BE1457" s="6"/>
      <c r="BF1457" s="6"/>
      <c r="BG1457" s="6"/>
      <c r="BH1457" s="6"/>
      <c r="BI1457" s="6"/>
      <c r="BJ1457" s="6"/>
      <c r="BK1457" s="6"/>
      <c r="BL1457" s="6"/>
      <c r="BM1457" s="5"/>
      <c r="BN1457" s="7"/>
      <c r="BO1457" s="7"/>
      <c r="BP1457" s="7"/>
    </row>
    <row r="1458" spans="1:68" s="400" customFormat="1" ht="14.25" customHeight="1" x14ac:dyDescent="0.25">
      <c r="A1458" s="5"/>
      <c r="B1458" s="5"/>
      <c r="C1458" s="5"/>
      <c r="D1458" s="5"/>
      <c r="E1458" s="5"/>
      <c r="F1458" s="5"/>
      <c r="G1458" s="5"/>
      <c r="H1458" s="5"/>
      <c r="I1458" s="5"/>
      <c r="J1458" s="5"/>
      <c r="K1458" s="5"/>
      <c r="L1458" s="5"/>
      <c r="M1458" s="5"/>
      <c r="N1458" s="5"/>
      <c r="O1458" s="5"/>
      <c r="P1458" s="5"/>
      <c r="Q1458" s="5"/>
      <c r="R1458" s="5"/>
      <c r="S1458" s="5"/>
      <c r="T1458" s="5"/>
      <c r="U1458" s="5"/>
      <c r="V1458" s="5"/>
      <c r="W1458" s="5"/>
      <c r="X1458" s="5"/>
      <c r="Y1458" s="5"/>
      <c r="Z1458" s="5"/>
      <c r="AA1458" s="5"/>
      <c r="AB1458" s="6"/>
      <c r="AC1458" s="6"/>
      <c r="AD1458" s="6"/>
      <c r="AE1458" s="6"/>
      <c r="AF1458" s="6"/>
      <c r="AG1458" s="6"/>
      <c r="AH1458" s="6"/>
      <c r="AI1458" s="6"/>
      <c r="AJ1458" s="6"/>
      <c r="AK1458" s="6"/>
      <c r="AL1458" s="6"/>
      <c r="AM1458" s="6"/>
      <c r="AN1458" s="6"/>
      <c r="AO1458" s="6"/>
      <c r="AP1458" s="6"/>
      <c r="AQ1458" s="6"/>
      <c r="AR1458" s="6"/>
      <c r="AS1458" s="6"/>
      <c r="AT1458" s="6"/>
      <c r="AU1458" s="6"/>
      <c r="AV1458" s="6"/>
      <c r="AW1458" s="6"/>
      <c r="AX1458" s="6"/>
      <c r="AY1458" s="6"/>
      <c r="AZ1458" s="6"/>
      <c r="BA1458" s="6"/>
      <c r="BB1458" s="6"/>
      <c r="BC1458" s="6"/>
      <c r="BD1458" s="6"/>
      <c r="BE1458" s="6"/>
      <c r="BF1458" s="6"/>
      <c r="BG1458" s="6"/>
      <c r="BH1458" s="6"/>
      <c r="BI1458" s="6"/>
      <c r="BJ1458" s="6"/>
      <c r="BK1458" s="6"/>
      <c r="BL1458" s="6"/>
      <c r="BM1458" s="5"/>
      <c r="BN1458" s="7"/>
      <c r="BO1458" s="7"/>
      <c r="BP1458" s="7"/>
    </row>
    <row r="1459" spans="1:68" s="400" customFormat="1" ht="14.25" customHeight="1" x14ac:dyDescent="0.25">
      <c r="A1459" s="5"/>
      <c r="B1459" s="5"/>
      <c r="C1459" s="5"/>
      <c r="D1459" s="5"/>
      <c r="E1459" s="5"/>
      <c r="F1459" s="5"/>
      <c r="G1459" s="5"/>
      <c r="H1459" s="5"/>
      <c r="I1459" s="5"/>
      <c r="J1459" s="5"/>
      <c r="K1459" s="5"/>
      <c r="L1459" s="5"/>
      <c r="M1459" s="5"/>
      <c r="N1459" s="5"/>
      <c r="O1459" s="5"/>
      <c r="P1459" s="5"/>
      <c r="Q1459" s="5"/>
      <c r="R1459" s="5"/>
      <c r="S1459" s="5"/>
      <c r="T1459" s="5"/>
      <c r="U1459" s="5"/>
      <c r="V1459" s="5"/>
      <c r="W1459" s="5"/>
      <c r="X1459" s="5"/>
      <c r="Y1459" s="5"/>
      <c r="Z1459" s="5"/>
      <c r="AA1459" s="5"/>
      <c r="AB1459" s="6"/>
      <c r="AC1459" s="6"/>
      <c r="AD1459" s="6"/>
      <c r="AE1459" s="6"/>
      <c r="AF1459" s="6"/>
      <c r="AG1459" s="6"/>
      <c r="AH1459" s="6"/>
      <c r="AI1459" s="6"/>
      <c r="AJ1459" s="6"/>
      <c r="AK1459" s="6"/>
      <c r="AL1459" s="6"/>
      <c r="AM1459" s="6"/>
      <c r="AN1459" s="6"/>
      <c r="AO1459" s="6"/>
      <c r="AP1459" s="6"/>
      <c r="AQ1459" s="6"/>
      <c r="AR1459" s="6"/>
      <c r="AS1459" s="6"/>
      <c r="AT1459" s="6"/>
      <c r="AU1459" s="6"/>
      <c r="AV1459" s="6"/>
      <c r="AW1459" s="6"/>
      <c r="AX1459" s="6"/>
      <c r="AY1459" s="6"/>
      <c r="AZ1459" s="6"/>
      <c r="BA1459" s="6"/>
      <c r="BB1459" s="6"/>
      <c r="BC1459" s="6"/>
      <c r="BD1459" s="6"/>
      <c r="BE1459" s="6"/>
      <c r="BF1459" s="6"/>
      <c r="BG1459" s="6"/>
      <c r="BH1459" s="6"/>
      <c r="BI1459" s="6"/>
      <c r="BJ1459" s="6"/>
      <c r="BK1459" s="6"/>
      <c r="BL1459" s="6"/>
      <c r="BM1459" s="5"/>
      <c r="BN1459" s="7"/>
      <c r="BO1459" s="7"/>
      <c r="BP1459" s="7"/>
    </row>
    <row r="1460" spans="1:68" s="400" customFormat="1" ht="14.25" customHeight="1" x14ac:dyDescent="0.25">
      <c r="A1460" s="5"/>
      <c r="B1460" s="5"/>
      <c r="C1460" s="5"/>
      <c r="D1460" s="5"/>
      <c r="E1460" s="5"/>
      <c r="F1460" s="5"/>
      <c r="G1460" s="5"/>
      <c r="H1460" s="5"/>
      <c r="I1460" s="5"/>
      <c r="J1460" s="5"/>
      <c r="K1460" s="5"/>
      <c r="L1460" s="5"/>
      <c r="M1460" s="5"/>
      <c r="N1460" s="5"/>
      <c r="O1460" s="5"/>
      <c r="P1460" s="5"/>
      <c r="Q1460" s="5"/>
      <c r="R1460" s="5"/>
      <c r="S1460" s="5"/>
      <c r="T1460" s="5"/>
      <c r="U1460" s="5"/>
      <c r="V1460" s="5"/>
      <c r="W1460" s="5"/>
      <c r="X1460" s="5"/>
      <c r="Y1460" s="5"/>
      <c r="Z1460" s="5"/>
      <c r="AA1460" s="5"/>
      <c r="AB1460" s="6"/>
      <c r="AC1460" s="6"/>
      <c r="AD1460" s="6"/>
      <c r="AE1460" s="6"/>
      <c r="AF1460" s="6"/>
      <c r="AG1460" s="6"/>
      <c r="AH1460" s="6"/>
      <c r="AI1460" s="6"/>
      <c r="AJ1460" s="6"/>
      <c r="AK1460" s="6"/>
      <c r="AL1460" s="6"/>
      <c r="AM1460" s="6"/>
      <c r="AN1460" s="6"/>
      <c r="AO1460" s="6"/>
      <c r="AP1460" s="6"/>
      <c r="AQ1460" s="6"/>
      <c r="AR1460" s="6"/>
      <c r="AS1460" s="6"/>
      <c r="AT1460" s="6"/>
      <c r="AU1460" s="6"/>
      <c r="AV1460" s="6"/>
      <c r="AW1460" s="6"/>
      <c r="AX1460" s="6"/>
      <c r="AY1460" s="6"/>
      <c r="AZ1460" s="6"/>
      <c r="BA1460" s="6"/>
      <c r="BB1460" s="6"/>
      <c r="BC1460" s="6"/>
      <c r="BD1460" s="6"/>
      <c r="BE1460" s="6"/>
      <c r="BF1460" s="6"/>
      <c r="BG1460" s="6"/>
      <c r="BH1460" s="6"/>
      <c r="BI1460" s="6"/>
      <c r="BJ1460" s="6"/>
      <c r="BK1460" s="6"/>
      <c r="BL1460" s="6"/>
      <c r="BM1460" s="5"/>
      <c r="BN1460" s="7"/>
      <c r="BO1460" s="7"/>
      <c r="BP1460" s="7"/>
    </row>
    <row r="1461" spans="1:68" s="400" customFormat="1" ht="14.25" customHeight="1" x14ac:dyDescent="0.25">
      <c r="A1461" s="5"/>
      <c r="B1461" s="5"/>
      <c r="C1461" s="5"/>
      <c r="D1461" s="5"/>
      <c r="E1461" s="5"/>
      <c r="F1461" s="5"/>
      <c r="G1461" s="5"/>
      <c r="H1461" s="5"/>
      <c r="I1461" s="5"/>
      <c r="J1461" s="5"/>
      <c r="K1461" s="5"/>
      <c r="L1461" s="5"/>
      <c r="M1461" s="5"/>
      <c r="N1461" s="5"/>
      <c r="O1461" s="5"/>
      <c r="P1461" s="5"/>
      <c r="Q1461" s="5"/>
      <c r="R1461" s="5"/>
      <c r="S1461" s="5"/>
      <c r="T1461" s="5"/>
      <c r="U1461" s="5"/>
      <c r="V1461" s="5"/>
      <c r="W1461" s="5"/>
      <c r="X1461" s="5"/>
      <c r="Y1461" s="5"/>
      <c r="Z1461" s="5"/>
      <c r="AA1461" s="5"/>
      <c r="AB1461" s="6"/>
      <c r="AC1461" s="6"/>
      <c r="AD1461" s="6"/>
      <c r="AE1461" s="6"/>
      <c r="AF1461" s="6"/>
      <c r="AG1461" s="6"/>
      <c r="AH1461" s="6"/>
      <c r="AI1461" s="6"/>
      <c r="AJ1461" s="6"/>
      <c r="AK1461" s="6"/>
      <c r="AL1461" s="6"/>
      <c r="AM1461" s="6"/>
      <c r="AN1461" s="6"/>
      <c r="AO1461" s="6"/>
      <c r="AP1461" s="6"/>
      <c r="AQ1461" s="6"/>
      <c r="AR1461" s="6"/>
      <c r="AS1461" s="6"/>
      <c r="AT1461" s="6"/>
      <c r="AU1461" s="6"/>
      <c r="AV1461" s="6"/>
      <c r="AW1461" s="6"/>
      <c r="AX1461" s="6"/>
      <c r="AY1461" s="6"/>
      <c r="AZ1461" s="6"/>
      <c r="BA1461" s="6"/>
      <c r="BB1461" s="6"/>
      <c r="BC1461" s="6"/>
      <c r="BD1461" s="6"/>
      <c r="BE1461" s="6"/>
      <c r="BF1461" s="6"/>
      <c r="BG1461" s="6"/>
      <c r="BH1461" s="6"/>
      <c r="BI1461" s="6"/>
      <c r="BJ1461" s="6"/>
      <c r="BK1461" s="6"/>
      <c r="BL1461" s="6"/>
      <c r="BM1461" s="5"/>
      <c r="BN1461" s="7"/>
      <c r="BO1461" s="7"/>
      <c r="BP1461" s="7"/>
    </row>
    <row r="1462" spans="1:68" s="400" customFormat="1" ht="14.25" customHeight="1" x14ac:dyDescent="0.25">
      <c r="A1462" s="5"/>
      <c r="B1462" s="5"/>
      <c r="C1462" s="5"/>
      <c r="D1462" s="5"/>
      <c r="E1462" s="5"/>
      <c r="F1462" s="5"/>
      <c r="G1462" s="5"/>
      <c r="H1462" s="5"/>
      <c r="I1462" s="5"/>
      <c r="J1462" s="5"/>
      <c r="K1462" s="5"/>
      <c r="L1462" s="5"/>
      <c r="M1462" s="5"/>
      <c r="N1462" s="5"/>
      <c r="O1462" s="5"/>
      <c r="P1462" s="5"/>
      <c r="Q1462" s="5"/>
      <c r="R1462" s="5"/>
      <c r="S1462" s="5"/>
      <c r="T1462" s="5"/>
      <c r="U1462" s="5"/>
      <c r="V1462" s="5"/>
      <c r="W1462" s="5"/>
      <c r="X1462" s="5"/>
      <c r="Y1462" s="5"/>
      <c r="Z1462" s="5"/>
      <c r="AA1462" s="5"/>
      <c r="AB1462" s="6"/>
      <c r="AC1462" s="6"/>
      <c r="AD1462" s="6"/>
      <c r="AE1462" s="6"/>
      <c r="AF1462" s="6"/>
      <c r="AG1462" s="6"/>
      <c r="AH1462" s="6"/>
      <c r="AI1462" s="6"/>
      <c r="AJ1462" s="6"/>
      <c r="AK1462" s="6"/>
      <c r="AL1462" s="6"/>
      <c r="AM1462" s="6"/>
      <c r="AN1462" s="6"/>
      <c r="AO1462" s="6"/>
      <c r="AP1462" s="6"/>
      <c r="AQ1462" s="6"/>
      <c r="AR1462" s="6"/>
      <c r="AS1462" s="6"/>
      <c r="AT1462" s="6"/>
      <c r="AU1462" s="6"/>
      <c r="AV1462" s="6"/>
      <c r="AW1462" s="6"/>
      <c r="AX1462" s="6"/>
      <c r="AY1462" s="6"/>
      <c r="AZ1462" s="6"/>
      <c r="BA1462" s="6"/>
      <c r="BB1462" s="6"/>
      <c r="BC1462" s="6"/>
      <c r="BD1462" s="6"/>
      <c r="BE1462" s="6"/>
      <c r="BF1462" s="6"/>
      <c r="BG1462" s="6"/>
      <c r="BH1462" s="6"/>
      <c r="BI1462" s="6"/>
      <c r="BJ1462" s="6"/>
      <c r="BK1462" s="6"/>
      <c r="BL1462" s="6"/>
      <c r="BM1462" s="5"/>
      <c r="BN1462" s="7"/>
      <c r="BO1462" s="7"/>
      <c r="BP1462" s="7"/>
    </row>
    <row r="1463" spans="1:68" s="400" customFormat="1" ht="14.25" customHeight="1" x14ac:dyDescent="0.25">
      <c r="A1463" s="5"/>
      <c r="B1463" s="5"/>
      <c r="C1463" s="5"/>
      <c r="D1463" s="5"/>
      <c r="E1463" s="5"/>
      <c r="F1463" s="5"/>
      <c r="G1463" s="5"/>
      <c r="H1463" s="5"/>
      <c r="I1463" s="5"/>
      <c r="J1463" s="5"/>
      <c r="K1463" s="5"/>
      <c r="L1463" s="5"/>
      <c r="M1463" s="5"/>
      <c r="N1463" s="5"/>
      <c r="O1463" s="5"/>
      <c r="P1463" s="5"/>
      <c r="Q1463" s="5"/>
      <c r="R1463" s="5"/>
      <c r="S1463" s="5"/>
      <c r="T1463" s="5"/>
      <c r="U1463" s="5"/>
      <c r="V1463" s="5"/>
      <c r="W1463" s="5"/>
      <c r="X1463" s="5"/>
      <c r="Y1463" s="5"/>
      <c r="Z1463" s="5"/>
      <c r="AA1463" s="5"/>
      <c r="AB1463" s="6"/>
      <c r="AC1463" s="6"/>
      <c r="AD1463" s="6"/>
      <c r="AE1463" s="6"/>
      <c r="AF1463" s="6"/>
      <c r="AG1463" s="6"/>
      <c r="AH1463" s="6"/>
      <c r="AI1463" s="6"/>
      <c r="AJ1463" s="6"/>
      <c r="AK1463" s="6"/>
      <c r="AL1463" s="6"/>
      <c r="AM1463" s="6"/>
      <c r="AN1463" s="6"/>
      <c r="AO1463" s="6"/>
      <c r="AP1463" s="6"/>
      <c r="AQ1463" s="6"/>
      <c r="AR1463" s="6"/>
      <c r="AS1463" s="6"/>
      <c r="AT1463" s="6"/>
      <c r="AU1463" s="6"/>
      <c r="AV1463" s="6"/>
      <c r="AW1463" s="6"/>
      <c r="AX1463" s="6"/>
      <c r="AY1463" s="6"/>
      <c r="AZ1463" s="6"/>
      <c r="BA1463" s="6"/>
      <c r="BB1463" s="6"/>
      <c r="BC1463" s="6"/>
      <c r="BD1463" s="6"/>
      <c r="BE1463" s="6"/>
      <c r="BF1463" s="6"/>
      <c r="BG1463" s="6"/>
      <c r="BH1463" s="6"/>
      <c r="BI1463" s="6"/>
      <c r="BJ1463" s="6"/>
      <c r="BK1463" s="6"/>
      <c r="BL1463" s="6"/>
      <c r="BM1463" s="5"/>
      <c r="BN1463" s="7"/>
      <c r="BO1463" s="7"/>
      <c r="BP1463" s="7"/>
    </row>
    <row r="1464" spans="1:68" s="400" customFormat="1" ht="14.25" customHeight="1" x14ac:dyDescent="0.25">
      <c r="A1464" s="5"/>
      <c r="B1464" s="5"/>
      <c r="C1464" s="5"/>
      <c r="D1464" s="5"/>
      <c r="E1464" s="5"/>
      <c r="F1464" s="5"/>
      <c r="G1464" s="5"/>
      <c r="H1464" s="5"/>
      <c r="I1464" s="5"/>
      <c r="J1464" s="5"/>
      <c r="K1464" s="5"/>
      <c r="L1464" s="5"/>
      <c r="M1464" s="5"/>
      <c r="N1464" s="5"/>
      <c r="O1464" s="5"/>
      <c r="P1464" s="5"/>
      <c r="Q1464" s="5"/>
      <c r="R1464" s="5"/>
      <c r="S1464" s="5"/>
      <c r="T1464" s="5"/>
      <c r="U1464" s="5"/>
      <c r="V1464" s="5"/>
      <c r="W1464" s="5"/>
      <c r="X1464" s="5"/>
      <c r="Y1464" s="5"/>
      <c r="Z1464" s="5"/>
      <c r="AA1464" s="5"/>
      <c r="AB1464" s="6"/>
      <c r="AC1464" s="6"/>
      <c r="AD1464" s="6"/>
      <c r="AE1464" s="6"/>
      <c r="AF1464" s="6"/>
      <c r="AG1464" s="6"/>
      <c r="AH1464" s="6"/>
      <c r="AI1464" s="6"/>
      <c r="AJ1464" s="6"/>
      <c r="AK1464" s="6"/>
      <c r="AL1464" s="6"/>
      <c r="AM1464" s="6"/>
      <c r="AN1464" s="6"/>
      <c r="AO1464" s="6"/>
      <c r="AP1464" s="6"/>
      <c r="AQ1464" s="6"/>
      <c r="AR1464" s="6"/>
      <c r="AS1464" s="6"/>
      <c r="AT1464" s="6"/>
      <c r="AU1464" s="6"/>
      <c r="AV1464" s="6"/>
      <c r="AW1464" s="6"/>
      <c r="AX1464" s="6"/>
      <c r="AY1464" s="6"/>
      <c r="AZ1464" s="6"/>
      <c r="BA1464" s="6"/>
      <c r="BB1464" s="6"/>
      <c r="BC1464" s="6"/>
      <c r="BD1464" s="6"/>
      <c r="BE1464" s="6"/>
      <c r="BF1464" s="6"/>
      <c r="BG1464" s="6"/>
      <c r="BH1464" s="6"/>
      <c r="BI1464" s="6"/>
      <c r="BJ1464" s="6"/>
      <c r="BK1464" s="6"/>
      <c r="BL1464" s="6"/>
      <c r="BM1464" s="5"/>
      <c r="BN1464" s="7"/>
      <c r="BO1464" s="7"/>
      <c r="BP1464" s="7"/>
    </row>
    <row r="1465" spans="1:68" s="400" customFormat="1" ht="14.25" customHeight="1" x14ac:dyDescent="0.25">
      <c r="A1465" s="5"/>
      <c r="B1465" s="5"/>
      <c r="C1465" s="5"/>
      <c r="D1465" s="5"/>
      <c r="E1465" s="5"/>
      <c r="F1465" s="5"/>
      <c r="G1465" s="5"/>
      <c r="H1465" s="5"/>
      <c r="I1465" s="5"/>
      <c r="J1465" s="5"/>
      <c r="K1465" s="5"/>
      <c r="L1465" s="5"/>
      <c r="M1465" s="5"/>
      <c r="N1465" s="5"/>
      <c r="O1465" s="5"/>
      <c r="P1465" s="5"/>
      <c r="Q1465" s="5"/>
      <c r="R1465" s="5"/>
      <c r="S1465" s="5"/>
      <c r="T1465" s="5"/>
      <c r="U1465" s="5"/>
      <c r="V1465" s="5"/>
      <c r="W1465" s="5"/>
      <c r="X1465" s="5"/>
      <c r="Y1465" s="5"/>
      <c r="Z1465" s="5"/>
      <c r="AA1465" s="5"/>
      <c r="AB1465" s="6"/>
      <c r="AC1465" s="6"/>
      <c r="AD1465" s="6"/>
      <c r="AE1465" s="6"/>
      <c r="AF1465" s="6"/>
      <c r="AG1465" s="6"/>
      <c r="AH1465" s="6"/>
      <c r="AI1465" s="6"/>
      <c r="AJ1465" s="6"/>
      <c r="AK1465" s="6"/>
      <c r="AL1465" s="6"/>
      <c r="AM1465" s="6"/>
      <c r="AN1465" s="6"/>
      <c r="AO1465" s="6"/>
      <c r="AP1465" s="6"/>
      <c r="AQ1465" s="6"/>
      <c r="AR1465" s="6"/>
      <c r="AS1465" s="6"/>
      <c r="AT1465" s="6"/>
      <c r="AU1465" s="6"/>
      <c r="AV1465" s="6"/>
      <c r="AW1465" s="6"/>
      <c r="AX1465" s="6"/>
      <c r="AY1465" s="6"/>
      <c r="AZ1465" s="6"/>
      <c r="BA1465" s="6"/>
      <c r="BB1465" s="6"/>
      <c r="BC1465" s="6"/>
      <c r="BD1465" s="6"/>
      <c r="BE1465" s="6"/>
      <c r="BF1465" s="6"/>
      <c r="BG1465" s="6"/>
      <c r="BH1465" s="6"/>
      <c r="BI1465" s="6"/>
      <c r="BJ1465" s="6"/>
      <c r="BK1465" s="6"/>
      <c r="BL1465" s="6"/>
      <c r="BM1465" s="5"/>
      <c r="BN1465" s="7"/>
      <c r="BO1465" s="7"/>
      <c r="BP1465" s="7"/>
    </row>
    <row r="1466" spans="1:68" s="400" customFormat="1" ht="14.25" customHeight="1" x14ac:dyDescent="0.25">
      <c r="A1466" s="5"/>
      <c r="B1466" s="5"/>
      <c r="C1466" s="5"/>
      <c r="D1466" s="5"/>
      <c r="E1466" s="5"/>
      <c r="F1466" s="5"/>
      <c r="G1466" s="5"/>
      <c r="H1466" s="5"/>
      <c r="I1466" s="5"/>
      <c r="J1466" s="5"/>
      <c r="K1466" s="5"/>
      <c r="L1466" s="5"/>
      <c r="M1466" s="5"/>
      <c r="N1466" s="5"/>
      <c r="O1466" s="5"/>
      <c r="P1466" s="5"/>
      <c r="Q1466" s="5"/>
      <c r="R1466" s="5"/>
      <c r="S1466" s="5"/>
      <c r="T1466" s="5"/>
      <c r="U1466" s="5"/>
      <c r="V1466" s="5"/>
      <c r="W1466" s="5"/>
      <c r="X1466" s="5"/>
      <c r="Y1466" s="5"/>
      <c r="Z1466" s="5"/>
      <c r="AA1466" s="5"/>
      <c r="AB1466" s="6"/>
      <c r="AC1466" s="6"/>
      <c r="AD1466" s="6"/>
      <c r="AE1466" s="6"/>
      <c r="AF1466" s="6"/>
      <c r="AG1466" s="6"/>
      <c r="AH1466" s="6"/>
      <c r="AI1466" s="6"/>
      <c r="AJ1466" s="6"/>
      <c r="AK1466" s="6"/>
      <c r="AL1466" s="6"/>
      <c r="AM1466" s="6"/>
      <c r="AN1466" s="6"/>
      <c r="AO1466" s="6"/>
      <c r="AP1466" s="6"/>
      <c r="AQ1466" s="6"/>
      <c r="AR1466" s="6"/>
      <c r="AS1466" s="6"/>
      <c r="AT1466" s="6"/>
      <c r="AU1466" s="6"/>
      <c r="AV1466" s="6"/>
      <c r="AW1466" s="6"/>
      <c r="AX1466" s="6"/>
      <c r="AY1466" s="6"/>
      <c r="AZ1466" s="6"/>
      <c r="BA1466" s="6"/>
      <c r="BB1466" s="6"/>
      <c r="BC1466" s="6"/>
      <c r="BD1466" s="6"/>
      <c r="BE1466" s="6"/>
      <c r="BF1466" s="6"/>
      <c r="BG1466" s="6"/>
      <c r="BH1466" s="6"/>
      <c r="BI1466" s="6"/>
      <c r="BJ1466" s="6"/>
      <c r="BK1466" s="6"/>
      <c r="BL1466" s="6"/>
      <c r="BM1466" s="5"/>
      <c r="BN1466" s="7"/>
      <c r="BO1466" s="7"/>
      <c r="BP1466" s="7"/>
    </row>
    <row r="1467" spans="1:68" s="400" customFormat="1" ht="14.25" customHeight="1" x14ac:dyDescent="0.25">
      <c r="A1467" s="5"/>
      <c r="B1467" s="5"/>
      <c r="C1467" s="5"/>
      <c r="D1467" s="5"/>
      <c r="E1467" s="5"/>
      <c r="F1467" s="5"/>
      <c r="G1467" s="5"/>
      <c r="H1467" s="5"/>
      <c r="I1467" s="5"/>
      <c r="J1467" s="5"/>
      <c r="K1467" s="5"/>
      <c r="L1467" s="5"/>
      <c r="M1467" s="5"/>
      <c r="N1467" s="5"/>
      <c r="O1467" s="5"/>
      <c r="P1467" s="5"/>
      <c r="Q1467" s="5"/>
      <c r="R1467" s="5"/>
      <c r="S1467" s="5"/>
      <c r="T1467" s="5"/>
      <c r="U1467" s="5"/>
      <c r="V1467" s="5"/>
      <c r="W1467" s="5"/>
      <c r="X1467" s="5"/>
      <c r="Y1467" s="5"/>
      <c r="Z1467" s="5"/>
      <c r="AA1467" s="5"/>
      <c r="AB1467" s="6"/>
      <c r="AC1467" s="6"/>
      <c r="AD1467" s="6"/>
      <c r="AE1467" s="6"/>
      <c r="AF1467" s="6"/>
      <c r="AG1467" s="6"/>
      <c r="AH1467" s="6"/>
      <c r="AI1467" s="6"/>
      <c r="AJ1467" s="6"/>
      <c r="AK1467" s="6"/>
      <c r="AL1467" s="6"/>
      <c r="AM1467" s="6"/>
      <c r="AN1467" s="6"/>
      <c r="AO1467" s="6"/>
      <c r="AP1467" s="6"/>
      <c r="AQ1467" s="6"/>
      <c r="AR1467" s="6"/>
      <c r="AS1467" s="6"/>
      <c r="AT1467" s="6"/>
      <c r="AU1467" s="6"/>
      <c r="AV1467" s="6"/>
      <c r="AW1467" s="6"/>
      <c r="AX1467" s="6"/>
      <c r="AY1467" s="6"/>
      <c r="AZ1467" s="6"/>
      <c r="BA1467" s="6"/>
      <c r="BB1467" s="6"/>
      <c r="BC1467" s="6"/>
      <c r="BD1467" s="6"/>
      <c r="BE1467" s="6"/>
      <c r="BF1467" s="6"/>
      <c r="BG1467" s="6"/>
      <c r="BH1467" s="6"/>
      <c r="BI1467" s="6"/>
      <c r="BJ1467" s="6"/>
      <c r="BK1467" s="6"/>
      <c r="BL1467" s="6"/>
      <c r="BM1467" s="5"/>
      <c r="BN1467" s="7"/>
      <c r="BO1467" s="7"/>
      <c r="BP1467" s="7"/>
    </row>
    <row r="1468" spans="1:68" s="400" customFormat="1" ht="14.25" customHeight="1" x14ac:dyDescent="0.25">
      <c r="A1468" s="5"/>
      <c r="B1468" s="5"/>
      <c r="C1468" s="5"/>
      <c r="D1468" s="5"/>
      <c r="E1468" s="5"/>
      <c r="F1468" s="5"/>
      <c r="G1468" s="5"/>
      <c r="H1468" s="5"/>
      <c r="I1468" s="5"/>
      <c r="J1468" s="5"/>
      <c r="K1468" s="5"/>
      <c r="L1468" s="5"/>
      <c r="M1468" s="5"/>
      <c r="N1468" s="5"/>
      <c r="O1468" s="5"/>
      <c r="P1468" s="5"/>
      <c r="Q1468" s="5"/>
      <c r="R1468" s="5"/>
      <c r="S1468" s="5"/>
      <c r="T1468" s="5"/>
      <c r="U1468" s="5"/>
      <c r="V1468" s="5"/>
      <c r="W1468" s="5"/>
      <c r="X1468" s="5"/>
      <c r="Y1468" s="5"/>
      <c r="Z1468" s="5"/>
      <c r="AA1468" s="5"/>
      <c r="AB1468" s="6"/>
      <c r="AC1468" s="6"/>
      <c r="AD1468" s="6"/>
      <c r="AE1468" s="6"/>
      <c r="AF1468" s="6"/>
      <c r="AG1468" s="6"/>
      <c r="AH1468" s="6"/>
      <c r="AI1468" s="6"/>
      <c r="AJ1468" s="6"/>
      <c r="AK1468" s="6"/>
      <c r="AL1468" s="6"/>
      <c r="AM1468" s="6"/>
      <c r="AN1468" s="6"/>
      <c r="AO1468" s="6"/>
      <c r="AP1468" s="6"/>
      <c r="AQ1468" s="6"/>
      <c r="AR1468" s="6"/>
      <c r="AS1468" s="6"/>
      <c r="AT1468" s="6"/>
      <c r="AU1468" s="6"/>
      <c r="AV1468" s="6"/>
      <c r="AW1468" s="6"/>
      <c r="AX1468" s="6"/>
      <c r="AY1468" s="6"/>
      <c r="AZ1468" s="6"/>
      <c r="BA1468" s="6"/>
      <c r="BB1468" s="6"/>
      <c r="BC1468" s="6"/>
      <c r="BD1468" s="6"/>
      <c r="BE1468" s="6"/>
      <c r="BF1468" s="6"/>
      <c r="BG1468" s="6"/>
      <c r="BH1468" s="6"/>
      <c r="BI1468" s="6"/>
      <c r="BJ1468" s="6"/>
      <c r="BK1468" s="6"/>
      <c r="BL1468" s="6"/>
      <c r="BM1468" s="5"/>
      <c r="BN1468" s="7"/>
      <c r="BO1468" s="7"/>
      <c r="BP1468" s="7"/>
    </row>
    <row r="1469" spans="1:68" s="400" customFormat="1" ht="14.25" customHeight="1" x14ac:dyDescent="0.25">
      <c r="A1469" s="5"/>
      <c r="B1469" s="5"/>
      <c r="C1469" s="5"/>
      <c r="D1469" s="5"/>
      <c r="E1469" s="5"/>
      <c r="F1469" s="5"/>
      <c r="G1469" s="5"/>
      <c r="H1469" s="5"/>
      <c r="I1469" s="5"/>
      <c r="J1469" s="5"/>
      <c r="K1469" s="5"/>
      <c r="L1469" s="5"/>
      <c r="M1469" s="5"/>
      <c r="N1469" s="5"/>
      <c r="O1469" s="5"/>
      <c r="P1469" s="5"/>
      <c r="Q1469" s="5"/>
      <c r="R1469" s="5"/>
      <c r="S1469" s="5"/>
      <c r="T1469" s="5"/>
      <c r="U1469" s="5"/>
      <c r="V1469" s="5"/>
      <c r="W1469" s="5"/>
      <c r="X1469" s="5"/>
      <c r="Y1469" s="5"/>
      <c r="Z1469" s="5"/>
      <c r="AA1469" s="5"/>
      <c r="AB1469" s="6"/>
      <c r="AC1469" s="6"/>
      <c r="AD1469" s="6"/>
      <c r="AE1469" s="6"/>
      <c r="AF1469" s="6"/>
      <c r="AG1469" s="6"/>
      <c r="AH1469" s="6"/>
      <c r="AI1469" s="6"/>
      <c r="AJ1469" s="6"/>
      <c r="AK1469" s="6"/>
      <c r="AL1469" s="6"/>
      <c r="AM1469" s="6"/>
      <c r="AN1469" s="6"/>
      <c r="AO1469" s="6"/>
      <c r="AP1469" s="6"/>
      <c r="AQ1469" s="6"/>
      <c r="AR1469" s="6"/>
      <c r="AS1469" s="6"/>
      <c r="AT1469" s="6"/>
      <c r="AU1469" s="6"/>
      <c r="AV1469" s="6"/>
      <c r="AW1469" s="6"/>
      <c r="AX1469" s="6"/>
      <c r="AY1469" s="6"/>
      <c r="AZ1469" s="6"/>
      <c r="BA1469" s="6"/>
      <c r="BB1469" s="6"/>
      <c r="BC1469" s="6"/>
      <c r="BD1469" s="6"/>
      <c r="BE1469" s="6"/>
      <c r="BF1469" s="6"/>
      <c r="BG1469" s="6"/>
      <c r="BH1469" s="6"/>
      <c r="BI1469" s="6"/>
      <c r="BJ1469" s="6"/>
      <c r="BK1469" s="6"/>
      <c r="BL1469" s="6"/>
      <c r="BM1469" s="5"/>
      <c r="BN1469" s="7"/>
      <c r="BO1469" s="7"/>
      <c r="BP1469" s="7"/>
    </row>
    <row r="1470" spans="1:68" s="400" customFormat="1" ht="14.25" customHeight="1" x14ac:dyDescent="0.25">
      <c r="A1470" s="5"/>
      <c r="B1470" s="5"/>
      <c r="C1470" s="5"/>
      <c r="D1470" s="5"/>
      <c r="E1470" s="5"/>
      <c r="F1470" s="5"/>
      <c r="G1470" s="5"/>
      <c r="H1470" s="5"/>
      <c r="I1470" s="5"/>
      <c r="J1470" s="5"/>
      <c r="K1470" s="5"/>
      <c r="L1470" s="5"/>
      <c r="M1470" s="5"/>
      <c r="N1470" s="5"/>
      <c r="O1470" s="5"/>
      <c r="P1470" s="5"/>
      <c r="Q1470" s="5"/>
      <c r="R1470" s="5"/>
      <c r="S1470" s="5"/>
      <c r="T1470" s="5"/>
      <c r="U1470" s="5"/>
      <c r="V1470" s="5"/>
      <c r="W1470" s="5"/>
      <c r="X1470" s="5"/>
      <c r="Y1470" s="5"/>
      <c r="Z1470" s="5"/>
      <c r="AA1470" s="5"/>
      <c r="AB1470" s="6"/>
      <c r="AC1470" s="6"/>
      <c r="AD1470" s="6"/>
      <c r="AE1470" s="6"/>
      <c r="AF1470" s="6"/>
      <c r="AG1470" s="6"/>
      <c r="AH1470" s="6"/>
      <c r="AI1470" s="6"/>
      <c r="AJ1470" s="6"/>
      <c r="AK1470" s="6"/>
      <c r="AL1470" s="6"/>
      <c r="AM1470" s="6"/>
      <c r="AN1470" s="6"/>
      <c r="AO1470" s="6"/>
      <c r="AP1470" s="6"/>
      <c r="AQ1470" s="6"/>
      <c r="AR1470" s="6"/>
      <c r="AS1470" s="6"/>
      <c r="AT1470" s="6"/>
      <c r="AU1470" s="6"/>
      <c r="AV1470" s="6"/>
      <c r="AW1470" s="6"/>
      <c r="AX1470" s="6"/>
      <c r="AY1470" s="6"/>
      <c r="AZ1470" s="6"/>
      <c r="BA1470" s="6"/>
      <c r="BB1470" s="6"/>
      <c r="BC1470" s="6"/>
      <c r="BD1470" s="6"/>
      <c r="BE1470" s="6"/>
      <c r="BF1470" s="6"/>
      <c r="BG1470" s="6"/>
      <c r="BH1470" s="6"/>
      <c r="BI1470" s="6"/>
      <c r="BJ1470" s="6"/>
      <c r="BK1470" s="6"/>
      <c r="BL1470" s="6"/>
      <c r="BM1470" s="5"/>
      <c r="BN1470" s="7"/>
      <c r="BO1470" s="7"/>
      <c r="BP1470" s="7"/>
    </row>
    <row r="1471" spans="1:68" s="400" customFormat="1" ht="14.25" customHeight="1" x14ac:dyDescent="0.25">
      <c r="A1471" s="5"/>
      <c r="B1471" s="5"/>
      <c r="C1471" s="5"/>
      <c r="D1471" s="5"/>
      <c r="E1471" s="5"/>
      <c r="F1471" s="5"/>
      <c r="G1471" s="5"/>
      <c r="H1471" s="5"/>
      <c r="I1471" s="5"/>
      <c r="J1471" s="5"/>
      <c r="K1471" s="5"/>
      <c r="L1471" s="5"/>
      <c r="M1471" s="5"/>
      <c r="N1471" s="5"/>
      <c r="O1471" s="5"/>
      <c r="P1471" s="5"/>
      <c r="Q1471" s="5"/>
      <c r="R1471" s="5"/>
      <c r="S1471" s="5"/>
      <c r="T1471" s="5"/>
      <c r="U1471" s="5"/>
      <c r="V1471" s="5"/>
      <c r="W1471" s="5"/>
      <c r="X1471" s="5"/>
      <c r="Y1471" s="5"/>
      <c r="Z1471" s="5"/>
      <c r="AA1471" s="5"/>
      <c r="AB1471" s="6"/>
      <c r="AC1471" s="6"/>
      <c r="AD1471" s="6"/>
      <c r="AE1471" s="6"/>
      <c r="AF1471" s="6"/>
      <c r="AG1471" s="6"/>
      <c r="AH1471" s="6"/>
      <c r="AI1471" s="6"/>
      <c r="AJ1471" s="6"/>
      <c r="AK1471" s="6"/>
      <c r="AL1471" s="6"/>
      <c r="AM1471" s="6"/>
      <c r="AN1471" s="6"/>
      <c r="AO1471" s="6"/>
      <c r="AP1471" s="6"/>
      <c r="AQ1471" s="6"/>
      <c r="AR1471" s="6"/>
      <c r="AS1471" s="6"/>
      <c r="AT1471" s="6"/>
      <c r="AU1471" s="6"/>
      <c r="AV1471" s="6"/>
      <c r="AW1471" s="6"/>
      <c r="AX1471" s="6"/>
      <c r="AY1471" s="6"/>
      <c r="AZ1471" s="6"/>
      <c r="BA1471" s="6"/>
      <c r="BB1471" s="6"/>
      <c r="BC1471" s="6"/>
      <c r="BD1471" s="6"/>
      <c r="BE1471" s="6"/>
      <c r="BF1471" s="6"/>
      <c r="BG1471" s="6"/>
      <c r="BH1471" s="6"/>
      <c r="BI1471" s="6"/>
      <c r="BJ1471" s="6"/>
      <c r="BK1471" s="6"/>
      <c r="BL1471" s="6"/>
      <c r="BM1471" s="5"/>
      <c r="BN1471" s="7"/>
      <c r="BO1471" s="7"/>
      <c r="BP1471" s="7"/>
    </row>
    <row r="1472" spans="1:68" s="400" customFormat="1" ht="14.25" customHeight="1" x14ac:dyDescent="0.25">
      <c r="A1472" s="5"/>
      <c r="B1472" s="5"/>
      <c r="C1472" s="5"/>
      <c r="D1472" s="5"/>
      <c r="E1472" s="5"/>
      <c r="F1472" s="5"/>
      <c r="G1472" s="5"/>
      <c r="H1472" s="5"/>
      <c r="I1472" s="5"/>
      <c r="J1472" s="5"/>
      <c r="K1472" s="5"/>
      <c r="L1472" s="5"/>
      <c r="M1472" s="5"/>
      <c r="N1472" s="5"/>
      <c r="O1472" s="5"/>
      <c r="P1472" s="5"/>
      <c r="Q1472" s="5"/>
      <c r="R1472" s="5"/>
      <c r="S1472" s="5"/>
      <c r="T1472" s="5"/>
      <c r="U1472" s="5"/>
      <c r="V1472" s="5"/>
      <c r="W1472" s="5"/>
      <c r="X1472" s="5"/>
      <c r="Y1472" s="5"/>
      <c r="Z1472" s="5"/>
      <c r="AA1472" s="5"/>
      <c r="AB1472" s="6"/>
      <c r="AC1472" s="6"/>
      <c r="AD1472" s="6"/>
      <c r="AE1472" s="6"/>
      <c r="AF1472" s="6"/>
      <c r="AG1472" s="6"/>
      <c r="AH1472" s="6"/>
      <c r="AI1472" s="6"/>
      <c r="AJ1472" s="6"/>
      <c r="AK1472" s="6"/>
      <c r="AL1472" s="6"/>
      <c r="AM1472" s="6"/>
      <c r="AN1472" s="6"/>
      <c r="AO1472" s="6"/>
      <c r="AP1472" s="6"/>
      <c r="AQ1472" s="6"/>
      <c r="AR1472" s="6"/>
      <c r="AS1472" s="6"/>
      <c r="AT1472" s="6"/>
      <c r="AU1472" s="6"/>
      <c r="AV1472" s="6"/>
      <c r="AW1472" s="6"/>
      <c r="AX1472" s="6"/>
      <c r="AY1472" s="6"/>
      <c r="AZ1472" s="6"/>
      <c r="BA1472" s="6"/>
      <c r="BB1472" s="6"/>
      <c r="BC1472" s="6"/>
      <c r="BD1472" s="6"/>
      <c r="BE1472" s="6"/>
      <c r="BF1472" s="6"/>
      <c r="BG1472" s="6"/>
      <c r="BH1472" s="6"/>
      <c r="BI1472" s="6"/>
      <c r="BJ1472" s="6"/>
      <c r="BK1472" s="6"/>
      <c r="BL1472" s="6"/>
      <c r="BM1472" s="5"/>
      <c r="BN1472" s="7"/>
      <c r="BO1472" s="7"/>
      <c r="BP1472" s="7"/>
    </row>
    <row r="1473" spans="1:68" s="400" customFormat="1" ht="14.25" customHeight="1" x14ac:dyDescent="0.25">
      <c r="A1473" s="5"/>
      <c r="B1473" s="5"/>
      <c r="C1473" s="5"/>
      <c r="D1473" s="5"/>
      <c r="E1473" s="5"/>
      <c r="F1473" s="5"/>
      <c r="G1473" s="5"/>
      <c r="H1473" s="5"/>
      <c r="I1473" s="5"/>
      <c r="J1473" s="5"/>
      <c r="K1473" s="5"/>
      <c r="L1473" s="5"/>
      <c r="M1473" s="5"/>
      <c r="N1473" s="5"/>
      <c r="O1473" s="5"/>
      <c r="P1473" s="5"/>
      <c r="Q1473" s="5"/>
      <c r="R1473" s="5"/>
      <c r="S1473" s="5"/>
      <c r="T1473" s="5"/>
      <c r="U1473" s="5"/>
      <c r="V1473" s="5"/>
      <c r="W1473" s="5"/>
      <c r="X1473" s="5"/>
      <c r="Y1473" s="5"/>
      <c r="Z1473" s="5"/>
      <c r="AA1473" s="5"/>
      <c r="AB1473" s="6"/>
      <c r="AC1473" s="6"/>
      <c r="AD1473" s="6"/>
      <c r="AE1473" s="6"/>
      <c r="AF1473" s="6"/>
      <c r="AG1473" s="6"/>
      <c r="AH1473" s="6"/>
      <c r="AI1473" s="6"/>
      <c r="AJ1473" s="6"/>
      <c r="AK1473" s="6"/>
      <c r="AL1473" s="6"/>
      <c r="AM1473" s="6"/>
      <c r="AN1473" s="6"/>
      <c r="AO1473" s="6"/>
      <c r="AP1473" s="6"/>
      <c r="AQ1473" s="6"/>
      <c r="AR1473" s="6"/>
      <c r="AS1473" s="6"/>
      <c r="AT1473" s="6"/>
      <c r="AU1473" s="6"/>
      <c r="AV1473" s="6"/>
      <c r="AW1473" s="6"/>
      <c r="AX1473" s="6"/>
      <c r="AY1473" s="6"/>
      <c r="AZ1473" s="6"/>
      <c r="BA1473" s="6"/>
      <c r="BB1473" s="6"/>
      <c r="BC1473" s="6"/>
      <c r="BD1473" s="6"/>
      <c r="BE1473" s="6"/>
      <c r="BF1473" s="6"/>
      <c r="BG1473" s="6"/>
      <c r="BH1473" s="6"/>
      <c r="BI1473" s="6"/>
      <c r="BJ1473" s="6"/>
      <c r="BK1473" s="6"/>
      <c r="BL1473" s="6"/>
      <c r="BM1473" s="5"/>
      <c r="BN1473" s="7"/>
      <c r="BO1473" s="7"/>
      <c r="BP1473" s="7"/>
    </row>
    <row r="1474" spans="1:68" s="400" customFormat="1" ht="14.25" customHeight="1" x14ac:dyDescent="0.25">
      <c r="A1474" s="5"/>
      <c r="B1474" s="5"/>
      <c r="C1474" s="5"/>
      <c r="D1474" s="5"/>
      <c r="E1474" s="5"/>
      <c r="F1474" s="5"/>
      <c r="G1474" s="5"/>
      <c r="H1474" s="5"/>
      <c r="I1474" s="5"/>
      <c r="J1474" s="5"/>
      <c r="K1474" s="5"/>
      <c r="L1474" s="5"/>
      <c r="M1474" s="5"/>
      <c r="N1474" s="5"/>
      <c r="O1474" s="5"/>
      <c r="P1474" s="5"/>
      <c r="Q1474" s="5"/>
      <c r="R1474" s="5"/>
      <c r="S1474" s="5"/>
      <c r="T1474" s="5"/>
      <c r="U1474" s="5"/>
      <c r="V1474" s="5"/>
      <c r="W1474" s="5"/>
      <c r="X1474" s="5"/>
      <c r="Y1474" s="5"/>
      <c r="Z1474" s="5"/>
      <c r="AA1474" s="5"/>
      <c r="AB1474" s="6"/>
      <c r="AC1474" s="6"/>
      <c r="AD1474" s="6"/>
      <c r="AE1474" s="6"/>
      <c r="AF1474" s="6"/>
      <c r="AG1474" s="6"/>
      <c r="AH1474" s="6"/>
      <c r="AI1474" s="6"/>
      <c r="AJ1474" s="6"/>
      <c r="AK1474" s="6"/>
      <c r="AL1474" s="6"/>
      <c r="AM1474" s="6"/>
      <c r="AN1474" s="6"/>
      <c r="AO1474" s="6"/>
      <c r="AP1474" s="6"/>
      <c r="AQ1474" s="6"/>
      <c r="AR1474" s="6"/>
      <c r="AS1474" s="6"/>
      <c r="AT1474" s="6"/>
      <c r="AU1474" s="6"/>
      <c r="AV1474" s="6"/>
      <c r="AW1474" s="6"/>
      <c r="AX1474" s="6"/>
      <c r="AY1474" s="6"/>
      <c r="AZ1474" s="6"/>
      <c r="BA1474" s="6"/>
      <c r="BB1474" s="6"/>
      <c r="BC1474" s="6"/>
      <c r="BD1474" s="6"/>
      <c r="BE1474" s="6"/>
      <c r="BF1474" s="6"/>
      <c r="BG1474" s="6"/>
      <c r="BH1474" s="6"/>
      <c r="BI1474" s="6"/>
      <c r="BJ1474" s="6"/>
      <c r="BK1474" s="6"/>
      <c r="BL1474" s="6"/>
      <c r="BM1474" s="5"/>
      <c r="BN1474" s="7"/>
      <c r="BO1474" s="7"/>
      <c r="BP1474" s="7"/>
    </row>
    <row r="1475" spans="1:68" s="400" customFormat="1" ht="14.25" customHeight="1" x14ac:dyDescent="0.25">
      <c r="A1475" s="5"/>
      <c r="B1475" s="5"/>
      <c r="C1475" s="5"/>
      <c r="D1475" s="5"/>
      <c r="E1475" s="5"/>
      <c r="F1475" s="5"/>
      <c r="G1475" s="5"/>
      <c r="H1475" s="5"/>
      <c r="I1475" s="5"/>
      <c r="J1475" s="5"/>
      <c r="K1475" s="5"/>
      <c r="L1475" s="5"/>
      <c r="M1475" s="5"/>
      <c r="N1475" s="5"/>
      <c r="O1475" s="5"/>
      <c r="P1475" s="5"/>
      <c r="Q1475" s="5"/>
      <c r="R1475" s="5"/>
      <c r="S1475" s="5"/>
      <c r="T1475" s="5"/>
      <c r="U1475" s="5"/>
      <c r="V1475" s="5"/>
      <c r="W1475" s="5"/>
      <c r="X1475" s="5"/>
      <c r="Y1475" s="5"/>
      <c r="Z1475" s="5"/>
      <c r="AA1475" s="5"/>
      <c r="AB1475" s="6"/>
      <c r="AC1475" s="6"/>
      <c r="AD1475" s="6"/>
      <c r="AE1475" s="6"/>
      <c r="AF1475" s="6"/>
      <c r="AG1475" s="6"/>
      <c r="AH1475" s="6"/>
      <c r="AI1475" s="6"/>
      <c r="AJ1475" s="6"/>
      <c r="AK1475" s="6"/>
      <c r="AL1475" s="6"/>
      <c r="AM1475" s="6"/>
      <c r="AN1475" s="6"/>
      <c r="AO1475" s="6"/>
      <c r="AP1475" s="6"/>
      <c r="AQ1475" s="6"/>
      <c r="AR1475" s="6"/>
      <c r="AS1475" s="6"/>
      <c r="AT1475" s="6"/>
      <c r="AU1475" s="6"/>
      <c r="AV1475" s="6"/>
      <c r="AW1475" s="6"/>
      <c r="AX1475" s="6"/>
      <c r="AY1475" s="6"/>
      <c r="AZ1475" s="6"/>
      <c r="BA1475" s="6"/>
      <c r="BB1475" s="6"/>
      <c r="BC1475" s="6"/>
      <c r="BD1475" s="6"/>
      <c r="BE1475" s="6"/>
      <c r="BF1475" s="6"/>
      <c r="BG1475" s="6"/>
      <c r="BH1475" s="6"/>
      <c r="BI1475" s="6"/>
      <c r="BJ1475" s="6"/>
      <c r="BK1475" s="6"/>
      <c r="BL1475" s="6"/>
      <c r="BM1475" s="5"/>
      <c r="BN1475" s="7"/>
      <c r="BO1475" s="7"/>
      <c r="BP1475" s="7"/>
    </row>
    <row r="1476" spans="1:68" s="400" customFormat="1" ht="14.25" customHeight="1" x14ac:dyDescent="0.25">
      <c r="A1476" s="5"/>
      <c r="B1476" s="5"/>
      <c r="C1476" s="5"/>
      <c r="D1476" s="5"/>
      <c r="E1476" s="5"/>
      <c r="F1476" s="5"/>
      <c r="G1476" s="5"/>
      <c r="H1476" s="5"/>
      <c r="I1476" s="5"/>
      <c r="J1476" s="5"/>
      <c r="K1476" s="5"/>
      <c r="L1476" s="5"/>
      <c r="M1476" s="5"/>
      <c r="N1476" s="5"/>
      <c r="O1476" s="5"/>
      <c r="P1476" s="5"/>
      <c r="Q1476" s="5"/>
      <c r="R1476" s="5"/>
      <c r="S1476" s="5"/>
      <c r="T1476" s="5"/>
      <c r="U1476" s="5"/>
      <c r="V1476" s="5"/>
      <c r="W1476" s="5"/>
      <c r="X1476" s="5"/>
      <c r="Y1476" s="5"/>
      <c r="Z1476" s="5"/>
      <c r="AA1476" s="5"/>
      <c r="AB1476" s="6"/>
      <c r="AC1476" s="6"/>
      <c r="AD1476" s="6"/>
      <c r="AE1476" s="6"/>
      <c r="AF1476" s="6"/>
      <c r="AG1476" s="6"/>
      <c r="AH1476" s="6"/>
      <c r="AI1476" s="6"/>
      <c r="AJ1476" s="6"/>
      <c r="AK1476" s="6"/>
      <c r="AL1476" s="6"/>
      <c r="AM1476" s="6"/>
      <c r="AN1476" s="6"/>
      <c r="AO1476" s="6"/>
      <c r="AP1476" s="6"/>
      <c r="AQ1476" s="6"/>
      <c r="AR1476" s="6"/>
      <c r="AS1476" s="6"/>
      <c r="AT1476" s="6"/>
      <c r="AU1476" s="6"/>
      <c r="AV1476" s="6"/>
      <c r="AW1476" s="6"/>
      <c r="AX1476" s="6"/>
      <c r="AY1476" s="6"/>
      <c r="AZ1476" s="6"/>
      <c r="BA1476" s="6"/>
      <c r="BB1476" s="6"/>
      <c r="BC1476" s="6"/>
      <c r="BD1476" s="6"/>
      <c r="BE1476" s="6"/>
      <c r="BF1476" s="6"/>
      <c r="BG1476" s="6"/>
      <c r="BH1476" s="6"/>
      <c r="BI1476" s="6"/>
      <c r="BJ1476" s="6"/>
      <c r="BK1476" s="6"/>
      <c r="BL1476" s="6"/>
      <c r="BM1476" s="5"/>
      <c r="BN1476" s="7"/>
      <c r="BO1476" s="7"/>
      <c r="BP1476" s="7"/>
    </row>
    <row r="1477" spans="1:68" s="400" customFormat="1" ht="14.25" customHeight="1" x14ac:dyDescent="0.25">
      <c r="A1477" s="5"/>
      <c r="B1477" s="5"/>
      <c r="C1477" s="5"/>
      <c r="D1477" s="5"/>
      <c r="E1477" s="5"/>
      <c r="F1477" s="5"/>
      <c r="G1477" s="5"/>
      <c r="H1477" s="5"/>
      <c r="I1477" s="5"/>
      <c r="J1477" s="5"/>
      <c r="K1477" s="5"/>
      <c r="L1477" s="5"/>
      <c r="M1477" s="5"/>
      <c r="N1477" s="5"/>
      <c r="O1477" s="5"/>
      <c r="P1477" s="5"/>
      <c r="Q1477" s="5"/>
      <c r="R1477" s="5"/>
      <c r="S1477" s="5"/>
      <c r="T1477" s="5"/>
      <c r="U1477" s="5"/>
      <c r="V1477" s="5"/>
      <c r="W1477" s="5"/>
      <c r="X1477" s="5"/>
      <c r="Y1477" s="5"/>
      <c r="Z1477" s="5"/>
      <c r="AA1477" s="5"/>
      <c r="AB1477" s="6"/>
      <c r="AC1477" s="6"/>
      <c r="AD1477" s="6"/>
      <c r="AE1477" s="6"/>
      <c r="AF1477" s="6"/>
      <c r="AG1477" s="6"/>
      <c r="AH1477" s="6"/>
      <c r="AI1477" s="6"/>
      <c r="AJ1477" s="6"/>
      <c r="AK1477" s="6"/>
      <c r="AL1477" s="6"/>
      <c r="AM1477" s="6"/>
      <c r="AN1477" s="6"/>
      <c r="AO1477" s="6"/>
      <c r="AP1477" s="6"/>
      <c r="AQ1477" s="6"/>
      <c r="AR1477" s="6"/>
      <c r="AS1477" s="6"/>
      <c r="AT1477" s="6"/>
      <c r="AU1477" s="6"/>
      <c r="AV1477" s="6"/>
      <c r="AW1477" s="6"/>
      <c r="AX1477" s="6"/>
      <c r="AY1477" s="6"/>
      <c r="AZ1477" s="6"/>
      <c r="BA1477" s="6"/>
      <c r="BB1477" s="6"/>
      <c r="BC1477" s="6"/>
      <c r="BD1477" s="6"/>
      <c r="BE1477" s="6"/>
      <c r="BF1477" s="6"/>
      <c r="BG1477" s="6"/>
      <c r="BH1477" s="6"/>
      <c r="BI1477" s="6"/>
      <c r="BJ1477" s="6"/>
      <c r="BK1477" s="6"/>
      <c r="BL1477" s="6"/>
      <c r="BM1477" s="5"/>
      <c r="BN1477" s="7"/>
      <c r="BO1477" s="7"/>
      <c r="BP1477" s="7"/>
    </row>
    <row r="1478" spans="1:68" s="400" customFormat="1" ht="14.25" customHeight="1" x14ac:dyDescent="0.25">
      <c r="A1478" s="5"/>
      <c r="B1478" s="5"/>
      <c r="C1478" s="5"/>
      <c r="D1478" s="5"/>
      <c r="E1478" s="5"/>
      <c r="F1478" s="5"/>
      <c r="G1478" s="5"/>
      <c r="H1478" s="5"/>
      <c r="I1478" s="5"/>
      <c r="J1478" s="5"/>
      <c r="K1478" s="5"/>
      <c r="L1478" s="5"/>
      <c r="M1478" s="5"/>
      <c r="N1478" s="5"/>
      <c r="O1478" s="5"/>
      <c r="P1478" s="5"/>
      <c r="Q1478" s="5"/>
      <c r="R1478" s="5"/>
      <c r="S1478" s="5"/>
      <c r="T1478" s="5"/>
      <c r="U1478" s="5"/>
      <c r="V1478" s="5"/>
      <c r="W1478" s="5"/>
      <c r="X1478" s="5"/>
      <c r="Y1478" s="5"/>
      <c r="Z1478" s="5"/>
      <c r="AA1478" s="5"/>
      <c r="AB1478" s="6"/>
      <c r="AC1478" s="6"/>
      <c r="AD1478" s="6"/>
      <c r="AE1478" s="6"/>
      <c r="AF1478" s="6"/>
      <c r="AG1478" s="6"/>
      <c r="AH1478" s="6"/>
      <c r="AI1478" s="6"/>
      <c r="AJ1478" s="6"/>
      <c r="AK1478" s="6"/>
      <c r="AL1478" s="6"/>
      <c r="AM1478" s="6"/>
      <c r="AN1478" s="6"/>
      <c r="AO1478" s="6"/>
      <c r="AP1478" s="6"/>
      <c r="AQ1478" s="6"/>
      <c r="AR1478" s="6"/>
      <c r="AS1478" s="6"/>
      <c r="AT1478" s="6"/>
      <c r="AU1478" s="6"/>
      <c r="AV1478" s="6"/>
      <c r="AW1478" s="6"/>
      <c r="AX1478" s="6"/>
      <c r="AY1478" s="6"/>
      <c r="AZ1478" s="6"/>
      <c r="BA1478" s="6"/>
      <c r="BB1478" s="6"/>
      <c r="BC1478" s="6"/>
      <c r="BD1478" s="6"/>
      <c r="BE1478" s="6"/>
      <c r="BF1478" s="6"/>
      <c r="BG1478" s="6"/>
      <c r="BH1478" s="6"/>
      <c r="BI1478" s="6"/>
      <c r="BJ1478" s="6"/>
      <c r="BK1478" s="6"/>
      <c r="BL1478" s="6"/>
      <c r="BM1478" s="5"/>
      <c r="BN1478" s="7"/>
      <c r="BO1478" s="7"/>
      <c r="BP1478" s="7"/>
    </row>
    <row r="1479" spans="1:68" s="400" customFormat="1" ht="14.25" customHeight="1" x14ac:dyDescent="0.25">
      <c r="A1479" s="5"/>
      <c r="B1479" s="5"/>
      <c r="C1479" s="5"/>
      <c r="D1479" s="5"/>
      <c r="E1479" s="5"/>
      <c r="F1479" s="5"/>
      <c r="G1479" s="5"/>
      <c r="H1479" s="5"/>
      <c r="I1479" s="5"/>
      <c r="J1479" s="5"/>
      <c r="K1479" s="5"/>
      <c r="L1479" s="5"/>
      <c r="M1479" s="5"/>
      <c r="N1479" s="5"/>
      <c r="O1479" s="5"/>
      <c r="P1479" s="5"/>
      <c r="Q1479" s="5"/>
      <c r="R1479" s="5"/>
      <c r="S1479" s="5"/>
      <c r="T1479" s="5"/>
      <c r="U1479" s="5"/>
      <c r="V1479" s="5"/>
      <c r="W1479" s="5"/>
      <c r="X1479" s="5"/>
      <c r="Y1479" s="5"/>
      <c r="Z1479" s="5"/>
      <c r="AA1479" s="5"/>
      <c r="AB1479" s="6"/>
      <c r="AC1479" s="6"/>
      <c r="AD1479" s="6"/>
      <c r="AE1479" s="6"/>
      <c r="AF1479" s="6"/>
      <c r="AG1479" s="6"/>
      <c r="AH1479" s="6"/>
      <c r="AI1479" s="6"/>
      <c r="AJ1479" s="6"/>
      <c r="AK1479" s="6"/>
      <c r="AL1479" s="6"/>
      <c r="AM1479" s="6"/>
      <c r="AN1479" s="6"/>
      <c r="AO1479" s="6"/>
      <c r="AP1479" s="6"/>
      <c r="AQ1479" s="6"/>
      <c r="AR1479" s="6"/>
      <c r="AS1479" s="6"/>
      <c r="AT1479" s="6"/>
      <c r="AU1479" s="6"/>
      <c r="AV1479" s="6"/>
      <c r="AW1479" s="6"/>
      <c r="AX1479" s="6"/>
      <c r="AY1479" s="6"/>
      <c r="AZ1479" s="6"/>
      <c r="BA1479" s="6"/>
      <c r="BB1479" s="6"/>
      <c r="BC1479" s="6"/>
      <c r="BD1479" s="6"/>
      <c r="BE1479" s="6"/>
      <c r="BF1479" s="6"/>
      <c r="BG1479" s="6"/>
      <c r="BH1479" s="6"/>
      <c r="BI1479" s="6"/>
      <c r="BJ1479" s="6"/>
      <c r="BK1479" s="6"/>
      <c r="BL1479" s="6"/>
      <c r="BM1479" s="5"/>
      <c r="BN1479" s="7"/>
      <c r="BO1479" s="7"/>
      <c r="BP1479" s="7"/>
    </row>
    <row r="1480" spans="1:68" s="400" customFormat="1" ht="14.25" customHeight="1" x14ac:dyDescent="0.25">
      <c r="A1480" s="5"/>
      <c r="B1480" s="5"/>
      <c r="C1480" s="5"/>
      <c r="D1480" s="5"/>
      <c r="E1480" s="5"/>
      <c r="F1480" s="5"/>
      <c r="G1480" s="5"/>
      <c r="H1480" s="5"/>
      <c r="I1480" s="5"/>
      <c r="J1480" s="5"/>
      <c r="K1480" s="5"/>
      <c r="L1480" s="5"/>
      <c r="M1480" s="5"/>
      <c r="N1480" s="5"/>
      <c r="O1480" s="5"/>
      <c r="P1480" s="5"/>
      <c r="Q1480" s="5"/>
      <c r="R1480" s="5"/>
      <c r="S1480" s="5"/>
      <c r="T1480" s="5"/>
      <c r="U1480" s="5"/>
      <c r="V1480" s="5"/>
      <c r="W1480" s="5"/>
      <c r="X1480" s="5"/>
      <c r="Y1480" s="5"/>
      <c r="Z1480" s="5"/>
      <c r="AA1480" s="5"/>
      <c r="AB1480" s="6"/>
      <c r="AC1480" s="6"/>
      <c r="AD1480" s="6"/>
      <c r="AE1480" s="6"/>
      <c r="AF1480" s="6"/>
      <c r="AG1480" s="6"/>
      <c r="AH1480" s="6"/>
      <c r="AI1480" s="6"/>
      <c r="AJ1480" s="6"/>
      <c r="AK1480" s="6"/>
      <c r="AL1480" s="6"/>
      <c r="AM1480" s="6"/>
      <c r="AN1480" s="6"/>
      <c r="AO1480" s="6"/>
      <c r="AP1480" s="6"/>
      <c r="AQ1480" s="6"/>
      <c r="AR1480" s="6"/>
      <c r="AS1480" s="6"/>
      <c r="AT1480" s="6"/>
      <c r="AU1480" s="6"/>
      <c r="AV1480" s="6"/>
      <c r="AW1480" s="6"/>
      <c r="AX1480" s="6"/>
      <c r="AY1480" s="6"/>
      <c r="AZ1480" s="6"/>
      <c r="BA1480" s="6"/>
      <c r="BB1480" s="6"/>
      <c r="BC1480" s="6"/>
      <c r="BD1480" s="6"/>
      <c r="BE1480" s="6"/>
      <c r="BF1480" s="6"/>
      <c r="BG1480" s="6"/>
      <c r="BH1480" s="6"/>
      <c r="BI1480" s="6"/>
      <c r="BJ1480" s="6"/>
      <c r="BK1480" s="6"/>
      <c r="BL1480" s="6"/>
      <c r="BM1480" s="5"/>
      <c r="BN1480" s="7"/>
      <c r="BO1480" s="7"/>
      <c r="BP1480" s="7"/>
    </row>
    <row r="1481" spans="1:68" s="400" customFormat="1" ht="14.25" customHeight="1" x14ac:dyDescent="0.25">
      <c r="A1481" s="5"/>
      <c r="B1481" s="5"/>
      <c r="C1481" s="5"/>
      <c r="D1481" s="5"/>
      <c r="E1481" s="5"/>
      <c r="F1481" s="5"/>
      <c r="G1481" s="5"/>
      <c r="H1481" s="5"/>
      <c r="I1481" s="5"/>
      <c r="J1481" s="5"/>
      <c r="K1481" s="5"/>
      <c r="L1481" s="5"/>
      <c r="M1481" s="5"/>
      <c r="N1481" s="5"/>
      <c r="O1481" s="5"/>
      <c r="P1481" s="5"/>
      <c r="Q1481" s="5"/>
      <c r="R1481" s="5"/>
      <c r="S1481" s="5"/>
      <c r="T1481" s="5"/>
      <c r="U1481" s="5"/>
      <c r="V1481" s="5"/>
      <c r="W1481" s="5"/>
      <c r="X1481" s="5"/>
      <c r="Y1481" s="5"/>
      <c r="Z1481" s="5"/>
      <c r="AA1481" s="5"/>
      <c r="AB1481" s="6"/>
      <c r="AC1481" s="6"/>
      <c r="AD1481" s="6"/>
      <c r="AE1481" s="6"/>
      <c r="AF1481" s="6"/>
      <c r="AG1481" s="6"/>
      <c r="AH1481" s="6"/>
      <c r="AI1481" s="6"/>
      <c r="AJ1481" s="6"/>
      <c r="AK1481" s="6"/>
      <c r="AL1481" s="6"/>
      <c r="AM1481" s="6"/>
      <c r="AN1481" s="6"/>
      <c r="AO1481" s="6"/>
      <c r="AP1481" s="6"/>
      <c r="AQ1481" s="6"/>
      <c r="AR1481" s="6"/>
      <c r="AS1481" s="6"/>
      <c r="AT1481" s="6"/>
      <c r="AU1481" s="6"/>
      <c r="AV1481" s="6"/>
      <c r="AW1481" s="6"/>
      <c r="AX1481" s="6"/>
      <c r="AY1481" s="6"/>
      <c r="AZ1481" s="6"/>
      <c r="BA1481" s="6"/>
      <c r="BB1481" s="6"/>
      <c r="BC1481" s="6"/>
      <c r="BD1481" s="6"/>
      <c r="BE1481" s="6"/>
      <c r="BF1481" s="6"/>
      <c r="BG1481" s="6"/>
      <c r="BH1481" s="6"/>
      <c r="BI1481" s="6"/>
      <c r="BJ1481" s="6"/>
      <c r="BK1481" s="6"/>
      <c r="BL1481" s="6"/>
      <c r="BM1481" s="5"/>
      <c r="BN1481" s="7"/>
      <c r="BO1481" s="7"/>
      <c r="BP1481" s="7"/>
    </row>
    <row r="1482" spans="1:68" s="400" customFormat="1" ht="14.25" customHeight="1" x14ac:dyDescent="0.25">
      <c r="A1482" s="5"/>
      <c r="B1482" s="5"/>
      <c r="C1482" s="5"/>
      <c r="D1482" s="5"/>
      <c r="E1482" s="5"/>
      <c r="F1482" s="5"/>
      <c r="G1482" s="5"/>
      <c r="H1482" s="5"/>
      <c r="I1482" s="5"/>
      <c r="J1482" s="5"/>
      <c r="K1482" s="5"/>
      <c r="L1482" s="5"/>
      <c r="M1482" s="5"/>
      <c r="N1482" s="5"/>
      <c r="O1482" s="5"/>
      <c r="P1482" s="5"/>
      <c r="Q1482" s="5"/>
      <c r="R1482" s="5"/>
      <c r="S1482" s="5"/>
      <c r="T1482" s="5"/>
      <c r="U1482" s="5"/>
      <c r="V1482" s="5"/>
      <c r="W1482" s="5"/>
      <c r="X1482" s="5"/>
      <c r="Y1482" s="5"/>
      <c r="Z1482" s="5"/>
      <c r="AA1482" s="5"/>
      <c r="AB1482" s="6"/>
      <c r="AC1482" s="6"/>
      <c r="AD1482" s="6"/>
      <c r="AE1482" s="6"/>
      <c r="AF1482" s="6"/>
      <c r="AG1482" s="6"/>
      <c r="AH1482" s="6"/>
      <c r="AI1482" s="6"/>
      <c r="AJ1482" s="6"/>
      <c r="AK1482" s="6"/>
      <c r="AL1482" s="6"/>
      <c r="AM1482" s="6"/>
      <c r="AN1482" s="6"/>
      <c r="AO1482" s="6"/>
      <c r="AP1482" s="6"/>
      <c r="AQ1482" s="6"/>
      <c r="AR1482" s="6"/>
      <c r="AS1482" s="6"/>
      <c r="AT1482" s="6"/>
      <c r="AU1482" s="6"/>
      <c r="AV1482" s="6"/>
      <c r="AW1482" s="6"/>
      <c r="AX1482" s="6"/>
      <c r="AY1482" s="6"/>
      <c r="AZ1482" s="6"/>
      <c r="BA1482" s="6"/>
      <c r="BB1482" s="6"/>
      <c r="BC1482" s="6"/>
      <c r="BD1482" s="6"/>
      <c r="BE1482" s="6"/>
      <c r="BF1482" s="6"/>
      <c r="BG1482" s="6"/>
      <c r="BH1482" s="6"/>
      <c r="BI1482" s="6"/>
      <c r="BJ1482" s="6"/>
      <c r="BK1482" s="6"/>
      <c r="BL1482" s="6"/>
      <c r="BM1482" s="5"/>
      <c r="BN1482" s="7"/>
      <c r="BO1482" s="7"/>
      <c r="BP1482" s="7"/>
    </row>
    <row r="1483" spans="1:68" s="400" customFormat="1" ht="14.25" customHeight="1" x14ac:dyDescent="0.25">
      <c r="A1483" s="5"/>
      <c r="B1483" s="5"/>
      <c r="C1483" s="5"/>
      <c r="D1483" s="5"/>
      <c r="E1483" s="5"/>
      <c r="F1483" s="5"/>
      <c r="G1483" s="5"/>
      <c r="H1483" s="5"/>
      <c r="I1483" s="5"/>
      <c r="J1483" s="5"/>
      <c r="K1483" s="5"/>
      <c r="L1483" s="5"/>
      <c r="M1483" s="5"/>
      <c r="N1483" s="5"/>
      <c r="O1483" s="5"/>
      <c r="P1483" s="5"/>
      <c r="Q1483" s="5"/>
      <c r="R1483" s="5"/>
      <c r="S1483" s="5"/>
      <c r="T1483" s="5"/>
      <c r="U1483" s="5"/>
      <c r="V1483" s="5"/>
      <c r="W1483" s="5"/>
      <c r="X1483" s="5"/>
      <c r="Y1483" s="5"/>
      <c r="Z1483" s="5"/>
      <c r="AA1483" s="5"/>
      <c r="AB1483" s="6"/>
      <c r="AC1483" s="6"/>
      <c r="AD1483" s="6"/>
      <c r="AE1483" s="6"/>
      <c r="AF1483" s="6"/>
      <c r="AG1483" s="6"/>
      <c r="AH1483" s="6"/>
      <c r="AI1483" s="6"/>
      <c r="AJ1483" s="6"/>
      <c r="AK1483" s="6"/>
      <c r="AL1483" s="6"/>
      <c r="AM1483" s="6"/>
      <c r="AN1483" s="6"/>
      <c r="AO1483" s="6"/>
      <c r="AP1483" s="6"/>
      <c r="AQ1483" s="6"/>
      <c r="AR1483" s="6"/>
      <c r="AS1483" s="6"/>
      <c r="AT1483" s="6"/>
      <c r="AU1483" s="6"/>
      <c r="AV1483" s="6"/>
      <c r="AW1483" s="6"/>
      <c r="AX1483" s="6"/>
      <c r="AY1483" s="6"/>
      <c r="AZ1483" s="6"/>
      <c r="BA1483" s="6"/>
      <c r="BB1483" s="6"/>
      <c r="BC1483" s="6"/>
      <c r="BD1483" s="6"/>
      <c r="BE1483" s="6"/>
      <c r="BF1483" s="6"/>
      <c r="BG1483" s="6"/>
      <c r="BH1483" s="6"/>
      <c r="BI1483" s="6"/>
      <c r="BJ1483" s="6"/>
      <c r="BK1483" s="6"/>
      <c r="BL1483" s="6"/>
      <c r="BM1483" s="5"/>
      <c r="BN1483" s="7"/>
      <c r="BO1483" s="7"/>
      <c r="BP1483" s="7"/>
    </row>
    <row r="1484" spans="1:68" s="400" customFormat="1" ht="14.25" customHeight="1" x14ac:dyDescent="0.25">
      <c r="A1484" s="5"/>
      <c r="B1484" s="5"/>
      <c r="C1484" s="5"/>
      <c r="D1484" s="5"/>
      <c r="E1484" s="5"/>
      <c r="F1484" s="5"/>
      <c r="G1484" s="5"/>
      <c r="H1484" s="5"/>
      <c r="I1484" s="5"/>
      <c r="J1484" s="5"/>
      <c r="K1484" s="5"/>
      <c r="L1484" s="5"/>
      <c r="M1484" s="5"/>
      <c r="N1484" s="5"/>
      <c r="O1484" s="5"/>
      <c r="P1484" s="5"/>
      <c r="Q1484" s="5"/>
      <c r="R1484" s="5"/>
      <c r="S1484" s="5"/>
      <c r="T1484" s="5"/>
      <c r="U1484" s="5"/>
      <c r="V1484" s="5"/>
      <c r="W1484" s="5"/>
      <c r="X1484" s="5"/>
      <c r="Y1484" s="5"/>
      <c r="Z1484" s="5"/>
      <c r="AA1484" s="5"/>
      <c r="AB1484" s="6"/>
      <c r="AC1484" s="6"/>
      <c r="AD1484" s="6"/>
      <c r="AE1484" s="6"/>
      <c r="AF1484" s="6"/>
      <c r="AG1484" s="6"/>
      <c r="AH1484" s="6"/>
      <c r="AI1484" s="6"/>
      <c r="AJ1484" s="6"/>
      <c r="AK1484" s="6"/>
      <c r="AL1484" s="6"/>
      <c r="AM1484" s="6"/>
      <c r="AN1484" s="6"/>
      <c r="AO1484" s="6"/>
      <c r="AP1484" s="6"/>
      <c r="AQ1484" s="6"/>
      <c r="AR1484" s="6"/>
      <c r="AS1484" s="6"/>
      <c r="AT1484" s="6"/>
      <c r="AU1484" s="6"/>
      <c r="AV1484" s="6"/>
      <c r="AW1484" s="6"/>
      <c r="AX1484" s="6"/>
      <c r="AY1484" s="6"/>
      <c r="AZ1484" s="6"/>
      <c r="BA1484" s="6"/>
      <c r="BB1484" s="6"/>
      <c r="BC1484" s="6"/>
      <c r="BD1484" s="6"/>
      <c r="BE1484" s="6"/>
      <c r="BF1484" s="6"/>
      <c r="BG1484" s="6"/>
      <c r="BH1484" s="6"/>
      <c r="BI1484" s="6"/>
      <c r="BJ1484" s="6"/>
      <c r="BK1484" s="6"/>
      <c r="BL1484" s="6"/>
      <c r="BM1484" s="5"/>
      <c r="BN1484" s="7"/>
      <c r="BO1484" s="7"/>
      <c r="BP1484" s="7"/>
    </row>
    <row r="1485" spans="1:68" s="400" customFormat="1" ht="14.25" customHeight="1" x14ac:dyDescent="0.25">
      <c r="A1485" s="5"/>
      <c r="B1485" s="5"/>
      <c r="C1485" s="5"/>
      <c r="D1485" s="5"/>
      <c r="E1485" s="5"/>
      <c r="F1485" s="5"/>
      <c r="G1485" s="5"/>
      <c r="H1485" s="5"/>
      <c r="I1485" s="5"/>
      <c r="J1485" s="5"/>
      <c r="K1485" s="5"/>
      <c r="L1485" s="5"/>
      <c r="M1485" s="5"/>
      <c r="N1485" s="5"/>
      <c r="O1485" s="5"/>
      <c r="P1485" s="5"/>
      <c r="Q1485" s="5"/>
      <c r="R1485" s="5"/>
      <c r="S1485" s="5"/>
      <c r="T1485" s="5"/>
      <c r="U1485" s="5"/>
      <c r="V1485" s="5"/>
      <c r="W1485" s="5"/>
      <c r="X1485" s="5"/>
      <c r="Y1485" s="5"/>
      <c r="Z1485" s="5"/>
      <c r="AA1485" s="5"/>
      <c r="AB1485" s="6"/>
      <c r="AC1485" s="6"/>
      <c r="AD1485" s="6"/>
      <c r="AE1485" s="6"/>
      <c r="AF1485" s="6"/>
      <c r="AG1485" s="6"/>
      <c r="AH1485" s="6"/>
      <c r="AI1485" s="6"/>
      <c r="AJ1485" s="6"/>
      <c r="AK1485" s="6"/>
      <c r="AL1485" s="6"/>
      <c r="AM1485" s="6"/>
      <c r="AN1485" s="6"/>
      <c r="AO1485" s="6"/>
      <c r="AP1485" s="6"/>
      <c r="AQ1485" s="6"/>
      <c r="AR1485" s="6"/>
      <c r="AS1485" s="6"/>
      <c r="AT1485" s="6"/>
      <c r="AU1485" s="6"/>
      <c r="AV1485" s="6"/>
      <c r="AW1485" s="6"/>
      <c r="AX1485" s="6"/>
      <c r="AY1485" s="6"/>
      <c r="AZ1485" s="6"/>
      <c r="BA1485" s="6"/>
      <c r="BB1485" s="6"/>
      <c r="BC1485" s="6"/>
      <c r="BD1485" s="6"/>
      <c r="BE1485" s="6"/>
      <c r="BF1485" s="6"/>
      <c r="BG1485" s="6"/>
      <c r="BH1485" s="6"/>
      <c r="BI1485" s="6"/>
      <c r="BJ1485" s="6"/>
      <c r="BK1485" s="6"/>
      <c r="BL1485" s="6"/>
      <c r="BM1485" s="5"/>
      <c r="BN1485" s="7"/>
      <c r="BO1485" s="7"/>
      <c r="BP1485" s="7"/>
    </row>
    <row r="1486" spans="1:68" s="400" customFormat="1" ht="14.25" customHeight="1" x14ac:dyDescent="0.25">
      <c r="A1486" s="5"/>
      <c r="B1486" s="5"/>
      <c r="C1486" s="5"/>
      <c r="D1486" s="5"/>
      <c r="E1486" s="5"/>
      <c r="F1486" s="5"/>
      <c r="G1486" s="5"/>
      <c r="H1486" s="5"/>
      <c r="I1486" s="5"/>
      <c r="J1486" s="5"/>
      <c r="K1486" s="5"/>
      <c r="L1486" s="5"/>
      <c r="M1486" s="5"/>
      <c r="N1486" s="5"/>
      <c r="O1486" s="5"/>
      <c r="P1486" s="5"/>
      <c r="Q1486" s="5"/>
      <c r="R1486" s="5"/>
      <c r="S1486" s="5"/>
      <c r="T1486" s="5"/>
      <c r="U1486" s="5"/>
      <c r="V1486" s="5"/>
      <c r="W1486" s="5"/>
      <c r="X1486" s="5"/>
      <c r="Y1486" s="5"/>
      <c r="Z1486" s="5"/>
      <c r="AA1486" s="5"/>
      <c r="AB1486" s="6"/>
      <c r="AC1486" s="6"/>
      <c r="AD1486" s="6"/>
      <c r="AE1486" s="6"/>
      <c r="AF1486" s="6"/>
      <c r="AG1486" s="6"/>
      <c r="AH1486" s="6"/>
      <c r="AI1486" s="6"/>
      <c r="AJ1486" s="6"/>
      <c r="AK1486" s="6"/>
      <c r="AL1486" s="6"/>
      <c r="AM1486" s="6"/>
      <c r="AN1486" s="6"/>
      <c r="AO1486" s="6"/>
      <c r="AP1486" s="6"/>
      <c r="AQ1486" s="6"/>
      <c r="AR1486" s="6"/>
      <c r="AS1486" s="6"/>
      <c r="AT1486" s="6"/>
      <c r="AU1486" s="6"/>
      <c r="AV1486" s="6"/>
      <c r="AW1486" s="6"/>
      <c r="AX1486" s="6"/>
      <c r="AY1486" s="6"/>
      <c r="AZ1486" s="6"/>
      <c r="BA1486" s="6"/>
      <c r="BB1486" s="6"/>
      <c r="BC1486" s="6"/>
      <c r="BD1486" s="6"/>
      <c r="BE1486" s="6"/>
      <c r="BF1486" s="6"/>
      <c r="BG1486" s="6"/>
      <c r="BH1486" s="6"/>
      <c r="BI1486" s="6"/>
      <c r="BJ1486" s="6"/>
      <c r="BK1486" s="6"/>
      <c r="BL1486" s="6"/>
      <c r="BM1486" s="5"/>
      <c r="BN1486" s="7"/>
      <c r="BO1486" s="7"/>
      <c r="BP1486" s="7"/>
    </row>
    <row r="1487" spans="1:68" s="400" customFormat="1" ht="14.25" customHeight="1" x14ac:dyDescent="0.25">
      <c r="A1487" s="5"/>
      <c r="B1487" s="5"/>
      <c r="C1487" s="5"/>
      <c r="D1487" s="5"/>
      <c r="E1487" s="5"/>
      <c r="F1487" s="5"/>
      <c r="G1487" s="5"/>
      <c r="H1487" s="5"/>
      <c r="I1487" s="5"/>
      <c r="J1487" s="5"/>
      <c r="K1487" s="5"/>
      <c r="L1487" s="5"/>
      <c r="M1487" s="5"/>
      <c r="N1487" s="5"/>
      <c r="O1487" s="5"/>
      <c r="P1487" s="5"/>
      <c r="Q1487" s="5"/>
      <c r="R1487" s="5"/>
      <c r="S1487" s="5"/>
      <c r="T1487" s="5"/>
      <c r="U1487" s="5"/>
      <c r="V1487" s="5"/>
      <c r="W1487" s="5"/>
      <c r="X1487" s="5"/>
      <c r="Y1487" s="5"/>
      <c r="Z1487" s="5"/>
      <c r="AA1487" s="5"/>
      <c r="AB1487" s="6"/>
      <c r="AC1487" s="6"/>
      <c r="AD1487" s="6"/>
      <c r="AE1487" s="6"/>
      <c r="AF1487" s="6"/>
      <c r="AG1487" s="6"/>
      <c r="AH1487" s="6"/>
      <c r="AI1487" s="6"/>
      <c r="AJ1487" s="6"/>
      <c r="AK1487" s="6"/>
      <c r="AL1487" s="6"/>
      <c r="AM1487" s="6"/>
      <c r="AN1487" s="6"/>
      <c r="AO1487" s="6"/>
      <c r="AP1487" s="6"/>
      <c r="AQ1487" s="6"/>
      <c r="AR1487" s="6"/>
      <c r="AS1487" s="6"/>
      <c r="AT1487" s="6"/>
      <c r="AU1487" s="6"/>
      <c r="AV1487" s="6"/>
      <c r="AW1487" s="6"/>
      <c r="AX1487" s="6"/>
      <c r="AY1487" s="6"/>
      <c r="AZ1487" s="6"/>
      <c r="BA1487" s="6"/>
      <c r="BB1487" s="6"/>
      <c r="BC1487" s="6"/>
      <c r="BD1487" s="6"/>
      <c r="BE1487" s="6"/>
      <c r="BF1487" s="6"/>
      <c r="BG1487" s="6"/>
      <c r="BH1487" s="6"/>
      <c r="BI1487" s="6"/>
      <c r="BJ1487" s="6"/>
      <c r="BK1487" s="6"/>
      <c r="BL1487" s="6"/>
      <c r="BM1487" s="5"/>
      <c r="BN1487" s="7"/>
      <c r="BO1487" s="7"/>
      <c r="BP1487" s="7"/>
    </row>
    <row r="1488" spans="1:68" s="400" customFormat="1" ht="14.25" customHeight="1" x14ac:dyDescent="0.25">
      <c r="A1488" s="5"/>
      <c r="B1488" s="5"/>
      <c r="C1488" s="5"/>
      <c r="D1488" s="5"/>
      <c r="E1488" s="5"/>
      <c r="F1488" s="5"/>
      <c r="G1488" s="5"/>
      <c r="H1488" s="5"/>
      <c r="I1488" s="5"/>
      <c r="J1488" s="5"/>
      <c r="K1488" s="5"/>
      <c r="L1488" s="5"/>
      <c r="M1488" s="5"/>
      <c r="N1488" s="5"/>
      <c r="O1488" s="5"/>
      <c r="P1488" s="5"/>
      <c r="Q1488" s="5"/>
      <c r="R1488" s="5"/>
      <c r="S1488" s="5"/>
      <c r="T1488" s="5"/>
      <c r="U1488" s="5"/>
      <c r="V1488" s="5"/>
      <c r="W1488" s="5"/>
      <c r="X1488" s="5"/>
      <c r="Y1488" s="5"/>
      <c r="Z1488" s="5"/>
      <c r="AA1488" s="5"/>
      <c r="AB1488" s="6"/>
      <c r="AC1488" s="6"/>
      <c r="AD1488" s="6"/>
      <c r="AE1488" s="6"/>
      <c r="AF1488" s="6"/>
      <c r="AG1488" s="6"/>
      <c r="AH1488" s="6"/>
      <c r="AI1488" s="6"/>
      <c r="AJ1488" s="6"/>
      <c r="AK1488" s="6"/>
      <c r="AL1488" s="6"/>
      <c r="AM1488" s="6"/>
      <c r="AN1488" s="6"/>
      <c r="AO1488" s="6"/>
      <c r="AP1488" s="6"/>
      <c r="AQ1488" s="6"/>
      <c r="AR1488" s="6"/>
      <c r="AS1488" s="6"/>
      <c r="AT1488" s="6"/>
      <c r="AU1488" s="6"/>
      <c r="AV1488" s="6"/>
      <c r="AW1488" s="6"/>
      <c r="AX1488" s="6"/>
      <c r="AY1488" s="6"/>
      <c r="AZ1488" s="6"/>
      <c r="BA1488" s="6"/>
      <c r="BB1488" s="6"/>
      <c r="BC1488" s="6"/>
      <c r="BD1488" s="6"/>
      <c r="BE1488" s="6"/>
      <c r="BF1488" s="6"/>
      <c r="BG1488" s="6"/>
      <c r="BH1488" s="6"/>
      <c r="BI1488" s="6"/>
      <c r="BJ1488" s="6"/>
      <c r="BK1488" s="6"/>
      <c r="BL1488" s="6"/>
      <c r="BM1488" s="5"/>
      <c r="BN1488" s="7"/>
      <c r="BO1488" s="7"/>
      <c r="BP1488" s="7"/>
    </row>
    <row r="1489" spans="1:68" s="400" customFormat="1" ht="14.25" customHeight="1" x14ac:dyDescent="0.25">
      <c r="A1489" s="5"/>
      <c r="B1489" s="5"/>
      <c r="C1489" s="5"/>
      <c r="D1489" s="5"/>
      <c r="E1489" s="5"/>
      <c r="F1489" s="5"/>
      <c r="G1489" s="5"/>
      <c r="H1489" s="5"/>
      <c r="I1489" s="5"/>
      <c r="J1489" s="5"/>
      <c r="K1489" s="5"/>
      <c r="L1489" s="5"/>
      <c r="M1489" s="5"/>
      <c r="N1489" s="5"/>
      <c r="O1489" s="5"/>
      <c r="P1489" s="5"/>
      <c r="Q1489" s="5"/>
      <c r="R1489" s="5"/>
      <c r="S1489" s="5"/>
      <c r="T1489" s="5"/>
      <c r="U1489" s="5"/>
      <c r="V1489" s="5"/>
      <c r="W1489" s="5"/>
      <c r="X1489" s="5"/>
      <c r="Y1489" s="5"/>
      <c r="Z1489" s="5"/>
      <c r="AA1489" s="5"/>
      <c r="AB1489" s="6"/>
      <c r="AC1489" s="6"/>
      <c r="AD1489" s="6"/>
      <c r="AE1489" s="6"/>
      <c r="AF1489" s="6"/>
      <c r="AG1489" s="6"/>
      <c r="AH1489" s="6"/>
      <c r="AI1489" s="6"/>
      <c r="AJ1489" s="6"/>
      <c r="AK1489" s="6"/>
      <c r="AL1489" s="6"/>
      <c r="AM1489" s="6"/>
      <c r="AN1489" s="6"/>
      <c r="AO1489" s="6"/>
      <c r="AP1489" s="6"/>
      <c r="AQ1489" s="6"/>
      <c r="AR1489" s="6"/>
      <c r="AS1489" s="6"/>
      <c r="AT1489" s="6"/>
      <c r="AU1489" s="6"/>
      <c r="AV1489" s="6"/>
      <c r="AW1489" s="6"/>
      <c r="AX1489" s="6"/>
      <c r="AY1489" s="6"/>
      <c r="AZ1489" s="6"/>
      <c r="BA1489" s="6"/>
      <c r="BB1489" s="6"/>
      <c r="BC1489" s="6"/>
      <c r="BD1489" s="6"/>
      <c r="BE1489" s="6"/>
      <c r="BF1489" s="6"/>
      <c r="BG1489" s="6"/>
      <c r="BH1489" s="6"/>
      <c r="BI1489" s="6"/>
      <c r="BJ1489" s="6"/>
      <c r="BK1489" s="6"/>
      <c r="BL1489" s="6"/>
      <c r="BM1489" s="5"/>
      <c r="BN1489" s="7"/>
      <c r="BO1489" s="7"/>
      <c r="BP1489" s="7"/>
    </row>
    <row r="1490" spans="1:68" s="400" customFormat="1" ht="14.25" customHeight="1" x14ac:dyDescent="0.25">
      <c r="A1490" s="5"/>
      <c r="B1490" s="5"/>
      <c r="C1490" s="5"/>
      <c r="D1490" s="5"/>
      <c r="E1490" s="5"/>
      <c r="F1490" s="5"/>
      <c r="G1490" s="5"/>
      <c r="H1490" s="5"/>
      <c r="I1490" s="5"/>
      <c r="J1490" s="5"/>
      <c r="K1490" s="5"/>
      <c r="L1490" s="5"/>
      <c r="M1490" s="5"/>
      <c r="N1490" s="5"/>
      <c r="O1490" s="5"/>
      <c r="P1490" s="5"/>
      <c r="Q1490" s="5"/>
      <c r="R1490" s="5"/>
      <c r="S1490" s="5"/>
      <c r="T1490" s="5"/>
      <c r="U1490" s="5"/>
      <c r="V1490" s="5"/>
      <c r="W1490" s="5"/>
      <c r="X1490" s="5"/>
      <c r="Y1490" s="5"/>
      <c r="Z1490" s="5"/>
      <c r="AA1490" s="5"/>
      <c r="AB1490" s="6"/>
      <c r="AC1490" s="6"/>
      <c r="AD1490" s="6"/>
      <c r="AE1490" s="6"/>
      <c r="AF1490" s="6"/>
      <c r="AG1490" s="6"/>
      <c r="AH1490" s="6"/>
      <c r="AI1490" s="6"/>
      <c r="AJ1490" s="6"/>
      <c r="AK1490" s="6"/>
      <c r="AL1490" s="6"/>
      <c r="AM1490" s="6"/>
      <c r="AN1490" s="6"/>
      <c r="AO1490" s="6"/>
      <c r="AP1490" s="6"/>
      <c r="AQ1490" s="6"/>
      <c r="AR1490" s="6"/>
      <c r="AS1490" s="6"/>
      <c r="AT1490" s="6"/>
      <c r="AU1490" s="6"/>
      <c r="AV1490" s="6"/>
      <c r="AW1490" s="6"/>
      <c r="AX1490" s="6"/>
      <c r="AY1490" s="6"/>
      <c r="AZ1490" s="6"/>
      <c r="BA1490" s="6"/>
      <c r="BB1490" s="6"/>
      <c r="BC1490" s="6"/>
      <c r="BD1490" s="6"/>
      <c r="BE1490" s="6"/>
      <c r="BF1490" s="6"/>
      <c r="BG1490" s="6"/>
      <c r="BH1490" s="6"/>
      <c r="BI1490" s="6"/>
      <c r="BJ1490" s="6"/>
      <c r="BK1490" s="6"/>
      <c r="BL1490" s="6"/>
      <c r="BM1490" s="5"/>
      <c r="BN1490" s="7"/>
      <c r="BO1490" s="7"/>
      <c r="BP1490" s="7"/>
    </row>
    <row r="1491" spans="1:68" s="400" customFormat="1" ht="14.25" customHeight="1" x14ac:dyDescent="0.25">
      <c r="A1491" s="5"/>
      <c r="B1491" s="5"/>
      <c r="C1491" s="5"/>
      <c r="D1491" s="5"/>
      <c r="E1491" s="5"/>
      <c r="F1491" s="5"/>
      <c r="G1491" s="5"/>
      <c r="H1491" s="5"/>
      <c r="I1491" s="5"/>
      <c r="J1491" s="5"/>
      <c r="K1491" s="5"/>
      <c r="L1491" s="5"/>
      <c r="M1491" s="5"/>
      <c r="N1491" s="5"/>
      <c r="O1491" s="5"/>
      <c r="P1491" s="5"/>
      <c r="Q1491" s="5"/>
      <c r="R1491" s="5"/>
      <c r="S1491" s="5"/>
      <c r="T1491" s="5"/>
      <c r="U1491" s="5"/>
      <c r="V1491" s="5"/>
      <c r="W1491" s="5"/>
      <c r="X1491" s="5"/>
      <c r="Y1491" s="5"/>
      <c r="Z1491" s="5"/>
      <c r="AA1491" s="5"/>
      <c r="AB1491" s="6"/>
      <c r="AC1491" s="6"/>
      <c r="AD1491" s="6"/>
      <c r="AE1491" s="6"/>
      <c r="AF1491" s="6"/>
      <c r="AG1491" s="6"/>
      <c r="AH1491" s="6"/>
      <c r="AI1491" s="6"/>
      <c r="AJ1491" s="6"/>
      <c r="AK1491" s="6"/>
      <c r="AL1491" s="6"/>
      <c r="AM1491" s="6"/>
      <c r="AN1491" s="6"/>
      <c r="AO1491" s="6"/>
      <c r="AP1491" s="6"/>
      <c r="AQ1491" s="6"/>
      <c r="AR1491" s="6"/>
      <c r="AS1491" s="6"/>
      <c r="AT1491" s="6"/>
      <c r="AU1491" s="6"/>
      <c r="AV1491" s="6"/>
      <c r="AW1491" s="6"/>
      <c r="AX1491" s="6"/>
      <c r="AY1491" s="6"/>
      <c r="AZ1491" s="6"/>
      <c r="BA1491" s="6"/>
      <c r="BB1491" s="6"/>
      <c r="BC1491" s="6"/>
      <c r="BD1491" s="6"/>
      <c r="BE1491" s="6"/>
      <c r="BF1491" s="6"/>
      <c r="BG1491" s="6"/>
      <c r="BH1491" s="6"/>
      <c r="BI1491" s="6"/>
      <c r="BJ1491" s="6"/>
      <c r="BK1491" s="6"/>
      <c r="BL1491" s="6"/>
      <c r="BM1491" s="5"/>
      <c r="BN1491" s="7"/>
      <c r="BO1491" s="7"/>
      <c r="BP1491" s="7"/>
    </row>
    <row r="1492" spans="1:68" s="400" customFormat="1" ht="14.25" customHeight="1" x14ac:dyDescent="0.25">
      <c r="A1492" s="5"/>
      <c r="B1492" s="5"/>
      <c r="C1492" s="5"/>
      <c r="D1492" s="5"/>
      <c r="E1492" s="5"/>
      <c r="F1492" s="5"/>
      <c r="G1492" s="5"/>
      <c r="H1492" s="5"/>
      <c r="I1492" s="5"/>
      <c r="J1492" s="5"/>
      <c r="K1492" s="5"/>
      <c r="L1492" s="5"/>
      <c r="M1492" s="5"/>
      <c r="N1492" s="5"/>
      <c r="O1492" s="5"/>
      <c r="P1492" s="5"/>
      <c r="Q1492" s="5"/>
      <c r="R1492" s="5"/>
      <c r="S1492" s="5"/>
      <c r="T1492" s="5"/>
      <c r="U1492" s="5"/>
      <c r="V1492" s="5"/>
      <c r="W1492" s="5"/>
      <c r="X1492" s="5"/>
      <c r="Y1492" s="5"/>
      <c r="Z1492" s="5"/>
      <c r="AA1492" s="5"/>
      <c r="AB1492" s="6"/>
      <c r="AC1492" s="6"/>
      <c r="AD1492" s="6"/>
      <c r="AE1492" s="6"/>
      <c r="AF1492" s="6"/>
      <c r="AG1492" s="6"/>
      <c r="AH1492" s="6"/>
      <c r="AI1492" s="6"/>
      <c r="AJ1492" s="6"/>
      <c r="AK1492" s="6"/>
      <c r="AL1492" s="6"/>
      <c r="AM1492" s="6"/>
      <c r="AN1492" s="6"/>
      <c r="AO1492" s="6"/>
      <c r="AP1492" s="6"/>
      <c r="AQ1492" s="6"/>
      <c r="AR1492" s="6"/>
      <c r="AS1492" s="6"/>
      <c r="AT1492" s="6"/>
      <c r="AU1492" s="6"/>
      <c r="AV1492" s="6"/>
      <c r="AW1492" s="6"/>
      <c r="AX1492" s="6"/>
      <c r="AY1492" s="6"/>
      <c r="AZ1492" s="6"/>
      <c r="BA1492" s="6"/>
      <c r="BB1492" s="6"/>
      <c r="BC1492" s="6"/>
      <c r="BD1492" s="6"/>
      <c r="BE1492" s="6"/>
      <c r="BF1492" s="6"/>
      <c r="BG1492" s="6"/>
      <c r="BH1492" s="6"/>
      <c r="BI1492" s="6"/>
      <c r="BJ1492" s="6"/>
      <c r="BK1492" s="6"/>
      <c r="BL1492" s="6"/>
      <c r="BM1492" s="5"/>
      <c r="BN1492" s="7"/>
      <c r="BO1492" s="7"/>
      <c r="BP1492" s="7"/>
    </row>
    <row r="1493" spans="1:68" s="400" customFormat="1" ht="14.25" customHeight="1" x14ac:dyDescent="0.25">
      <c r="A1493" s="5"/>
      <c r="B1493" s="5"/>
      <c r="C1493" s="5"/>
      <c r="D1493" s="5"/>
      <c r="E1493" s="5"/>
      <c r="F1493" s="5"/>
      <c r="G1493" s="5"/>
      <c r="H1493" s="5"/>
      <c r="I1493" s="5"/>
      <c r="J1493" s="5"/>
      <c r="K1493" s="5"/>
      <c r="L1493" s="5"/>
      <c r="M1493" s="5"/>
      <c r="N1493" s="5"/>
      <c r="O1493" s="5"/>
      <c r="P1493" s="5"/>
      <c r="Q1493" s="5"/>
      <c r="R1493" s="5"/>
      <c r="S1493" s="5"/>
      <c r="T1493" s="5"/>
      <c r="U1493" s="5"/>
      <c r="V1493" s="5"/>
      <c r="W1493" s="5"/>
      <c r="X1493" s="5"/>
      <c r="Y1493" s="5"/>
      <c r="Z1493" s="5"/>
      <c r="AA1493" s="5"/>
      <c r="AB1493" s="6"/>
      <c r="AC1493" s="6"/>
      <c r="AD1493" s="6"/>
      <c r="AE1493" s="6"/>
      <c r="AF1493" s="6"/>
      <c r="AG1493" s="6"/>
      <c r="AH1493" s="6"/>
      <c r="AI1493" s="6"/>
      <c r="AJ1493" s="6"/>
      <c r="AK1493" s="6"/>
      <c r="AL1493" s="6"/>
      <c r="AM1493" s="6"/>
      <c r="AN1493" s="6"/>
      <c r="AO1493" s="6"/>
      <c r="AP1493" s="6"/>
      <c r="AQ1493" s="6"/>
      <c r="AR1493" s="6"/>
      <c r="AS1493" s="6"/>
      <c r="AT1493" s="6"/>
      <c r="AU1493" s="6"/>
      <c r="AV1493" s="6"/>
      <c r="AW1493" s="6"/>
      <c r="AX1493" s="6"/>
      <c r="AY1493" s="6"/>
      <c r="AZ1493" s="6"/>
      <c r="BA1493" s="6"/>
      <c r="BB1493" s="6"/>
      <c r="BC1493" s="6"/>
      <c r="BD1493" s="6"/>
      <c r="BE1493" s="6"/>
      <c r="BF1493" s="6"/>
      <c r="BG1493" s="6"/>
      <c r="BH1493" s="6"/>
      <c r="BI1493" s="6"/>
      <c r="BJ1493" s="6"/>
      <c r="BK1493" s="6"/>
      <c r="BL1493" s="6"/>
      <c r="BM1493" s="5"/>
      <c r="BN1493" s="7"/>
      <c r="BO1493" s="7"/>
      <c r="BP1493" s="7"/>
    </row>
    <row r="1494" spans="1:68" s="400" customFormat="1" ht="14.25" customHeight="1" x14ac:dyDescent="0.25">
      <c r="A1494" s="5"/>
      <c r="B1494" s="5"/>
      <c r="C1494" s="5"/>
      <c r="D1494" s="5"/>
      <c r="E1494" s="5"/>
      <c r="F1494" s="5"/>
      <c r="G1494" s="5"/>
      <c r="H1494" s="5"/>
      <c r="I1494" s="5"/>
      <c r="J1494" s="5"/>
      <c r="K1494" s="5"/>
      <c r="L1494" s="5"/>
      <c r="M1494" s="5"/>
      <c r="N1494" s="5"/>
      <c r="O1494" s="5"/>
      <c r="P1494" s="5"/>
      <c r="Q1494" s="5"/>
      <c r="R1494" s="5"/>
      <c r="S1494" s="5"/>
      <c r="T1494" s="5"/>
      <c r="U1494" s="5"/>
      <c r="V1494" s="5"/>
      <c r="W1494" s="5"/>
      <c r="X1494" s="5"/>
      <c r="Y1494" s="5"/>
      <c r="Z1494" s="5"/>
      <c r="AA1494" s="5"/>
      <c r="AB1494" s="6"/>
      <c r="AC1494" s="6"/>
      <c r="AD1494" s="6"/>
      <c r="AE1494" s="6"/>
      <c r="AF1494" s="6"/>
      <c r="AG1494" s="6"/>
      <c r="AH1494" s="6"/>
      <c r="AI1494" s="6"/>
      <c r="AJ1494" s="6"/>
      <c r="AK1494" s="6"/>
      <c r="AL1494" s="6"/>
      <c r="AM1494" s="6"/>
      <c r="AN1494" s="6"/>
      <c r="AO1494" s="6"/>
      <c r="AP1494" s="6"/>
      <c r="AQ1494" s="6"/>
      <c r="AR1494" s="6"/>
      <c r="AS1494" s="6"/>
      <c r="AT1494" s="6"/>
      <c r="AU1494" s="6"/>
      <c r="AV1494" s="6"/>
      <c r="AW1494" s="6"/>
      <c r="AX1494" s="6"/>
      <c r="AY1494" s="6"/>
      <c r="AZ1494" s="6"/>
      <c r="BA1494" s="6"/>
      <c r="BB1494" s="6"/>
      <c r="BC1494" s="6"/>
      <c r="BD1494" s="6"/>
      <c r="BE1494" s="6"/>
      <c r="BF1494" s="6"/>
      <c r="BG1494" s="6"/>
      <c r="BH1494" s="6"/>
      <c r="BI1494" s="6"/>
      <c r="BJ1494" s="6"/>
      <c r="BK1494" s="6"/>
      <c r="BL1494" s="6"/>
      <c r="BM1494" s="5"/>
      <c r="BN1494" s="7"/>
      <c r="BO1494" s="7"/>
      <c r="BP1494" s="7"/>
    </row>
    <row r="1495" spans="1:68" s="400" customFormat="1" ht="14.25" customHeight="1" x14ac:dyDescent="0.25">
      <c r="A1495" s="5"/>
      <c r="B1495" s="5"/>
      <c r="C1495" s="5"/>
      <c r="D1495" s="5"/>
      <c r="E1495" s="5"/>
      <c r="F1495" s="5"/>
      <c r="G1495" s="5"/>
      <c r="H1495" s="5"/>
      <c r="I1495" s="5"/>
      <c r="J1495" s="5"/>
      <c r="K1495" s="5"/>
      <c r="L1495" s="5"/>
      <c r="M1495" s="5"/>
      <c r="N1495" s="5"/>
      <c r="O1495" s="5"/>
      <c r="P1495" s="5"/>
      <c r="Q1495" s="5"/>
      <c r="R1495" s="5"/>
      <c r="S1495" s="5"/>
      <c r="T1495" s="5"/>
      <c r="U1495" s="5"/>
      <c r="V1495" s="5"/>
      <c r="W1495" s="5"/>
      <c r="X1495" s="5"/>
      <c r="Y1495" s="5"/>
      <c r="Z1495" s="5"/>
      <c r="AA1495" s="5"/>
      <c r="AB1495" s="6"/>
      <c r="AC1495" s="6"/>
      <c r="AD1495" s="6"/>
      <c r="AE1495" s="6"/>
      <c r="AF1495" s="6"/>
      <c r="AG1495" s="6"/>
      <c r="AH1495" s="6"/>
      <c r="AI1495" s="6"/>
      <c r="AJ1495" s="6"/>
      <c r="AK1495" s="6"/>
      <c r="AL1495" s="6"/>
      <c r="AM1495" s="6"/>
      <c r="AN1495" s="6"/>
      <c r="AO1495" s="6"/>
      <c r="AP1495" s="6"/>
      <c r="AQ1495" s="6"/>
      <c r="AR1495" s="6"/>
      <c r="AS1495" s="6"/>
      <c r="AT1495" s="6"/>
      <c r="AU1495" s="6"/>
      <c r="AV1495" s="6"/>
      <c r="AW1495" s="6"/>
      <c r="AX1495" s="6"/>
      <c r="AY1495" s="6"/>
      <c r="AZ1495" s="6"/>
      <c r="BA1495" s="6"/>
      <c r="BB1495" s="6"/>
      <c r="BC1495" s="6"/>
      <c r="BD1495" s="6"/>
      <c r="BE1495" s="6"/>
      <c r="BF1495" s="6"/>
      <c r="BG1495" s="6"/>
      <c r="BH1495" s="6"/>
      <c r="BI1495" s="6"/>
      <c r="BJ1495" s="6"/>
      <c r="BK1495" s="6"/>
      <c r="BL1495" s="6"/>
      <c r="BM1495" s="5"/>
      <c r="BN1495" s="7"/>
      <c r="BO1495" s="7"/>
      <c r="BP1495" s="7"/>
    </row>
    <row r="1496" spans="1:68" s="400" customFormat="1" ht="14.25" customHeight="1" x14ac:dyDescent="0.25">
      <c r="A1496" s="5"/>
      <c r="B1496" s="5"/>
      <c r="C1496" s="5"/>
      <c r="D1496" s="5"/>
      <c r="E1496" s="5"/>
      <c r="F1496" s="5"/>
      <c r="G1496" s="5"/>
      <c r="H1496" s="5"/>
      <c r="I1496" s="5"/>
      <c r="J1496" s="5"/>
      <c r="K1496" s="5"/>
      <c r="L1496" s="5"/>
      <c r="M1496" s="5"/>
      <c r="N1496" s="5"/>
      <c r="O1496" s="5"/>
      <c r="P1496" s="5"/>
      <c r="Q1496" s="5"/>
      <c r="R1496" s="5"/>
      <c r="S1496" s="5"/>
      <c r="T1496" s="5"/>
      <c r="U1496" s="5"/>
      <c r="V1496" s="5"/>
      <c r="W1496" s="5"/>
      <c r="X1496" s="5"/>
      <c r="Y1496" s="5"/>
      <c r="Z1496" s="5"/>
      <c r="AA1496" s="5"/>
      <c r="AB1496" s="6"/>
      <c r="AC1496" s="6"/>
      <c r="AD1496" s="6"/>
      <c r="AE1496" s="6"/>
      <c r="AF1496" s="6"/>
      <c r="AG1496" s="6"/>
      <c r="AH1496" s="6"/>
      <c r="AI1496" s="6"/>
      <c r="AJ1496" s="6"/>
      <c r="AK1496" s="6"/>
      <c r="AL1496" s="6"/>
      <c r="AM1496" s="6"/>
      <c r="AN1496" s="6"/>
      <c r="AO1496" s="6"/>
      <c r="AP1496" s="6"/>
      <c r="AQ1496" s="6"/>
      <c r="AR1496" s="6"/>
      <c r="AS1496" s="6"/>
      <c r="AT1496" s="6"/>
      <c r="AU1496" s="6"/>
      <c r="AV1496" s="6"/>
      <c r="AW1496" s="6"/>
      <c r="AX1496" s="6"/>
      <c r="AY1496" s="6"/>
      <c r="AZ1496" s="6"/>
      <c r="BA1496" s="6"/>
      <c r="BB1496" s="6"/>
      <c r="BC1496" s="6"/>
      <c r="BD1496" s="6"/>
      <c r="BE1496" s="6"/>
      <c r="BF1496" s="6"/>
      <c r="BG1496" s="6"/>
      <c r="BH1496" s="6"/>
      <c r="BI1496" s="6"/>
      <c r="BJ1496" s="6"/>
      <c r="BK1496" s="6"/>
      <c r="BL1496" s="6"/>
      <c r="BM1496" s="5"/>
      <c r="BN1496" s="7"/>
      <c r="BO1496" s="7"/>
      <c r="BP1496" s="7"/>
    </row>
    <row r="1497" spans="1:68" s="400" customFormat="1" ht="14.25" customHeight="1" x14ac:dyDescent="0.25">
      <c r="A1497" s="5"/>
      <c r="B1497" s="5"/>
      <c r="C1497" s="5"/>
      <c r="D1497" s="5"/>
      <c r="E1497" s="5"/>
      <c r="F1497" s="5"/>
      <c r="G1497" s="5"/>
      <c r="H1497" s="5"/>
      <c r="I1497" s="5"/>
      <c r="J1497" s="5"/>
      <c r="K1497" s="5"/>
      <c r="L1497" s="5"/>
      <c r="M1497" s="5"/>
      <c r="N1497" s="5"/>
      <c r="O1497" s="5"/>
      <c r="P1497" s="5"/>
      <c r="Q1497" s="5"/>
      <c r="R1497" s="5"/>
      <c r="S1497" s="5"/>
      <c r="T1497" s="5"/>
      <c r="U1497" s="5"/>
      <c r="V1497" s="5"/>
      <c r="W1497" s="5"/>
      <c r="X1497" s="5"/>
      <c r="Y1497" s="5"/>
      <c r="Z1497" s="5"/>
      <c r="AA1497" s="5"/>
      <c r="AB1497" s="6"/>
      <c r="AC1497" s="6"/>
      <c r="AD1497" s="6"/>
      <c r="AE1497" s="6"/>
      <c r="AF1497" s="6"/>
      <c r="AG1497" s="6"/>
      <c r="AH1497" s="6"/>
      <c r="AI1497" s="6"/>
      <c r="AJ1497" s="6"/>
      <c r="AK1497" s="6"/>
      <c r="AL1497" s="6"/>
      <c r="AM1497" s="6"/>
      <c r="AN1497" s="6"/>
      <c r="AO1497" s="6"/>
      <c r="AP1497" s="6"/>
      <c r="AQ1497" s="6"/>
      <c r="AR1497" s="6"/>
      <c r="AS1497" s="6"/>
      <c r="AT1497" s="6"/>
      <c r="AU1497" s="6"/>
      <c r="AV1497" s="6"/>
      <c r="AW1497" s="6"/>
      <c r="AX1497" s="6"/>
      <c r="AY1497" s="6"/>
      <c r="AZ1497" s="6"/>
      <c r="BA1497" s="6"/>
      <c r="BB1497" s="6"/>
      <c r="BC1497" s="6"/>
      <c r="BD1497" s="6"/>
      <c r="BE1497" s="6"/>
      <c r="BF1497" s="6"/>
      <c r="BG1497" s="6"/>
      <c r="BH1497" s="6"/>
      <c r="BI1497" s="6"/>
      <c r="BJ1497" s="6"/>
      <c r="BK1497" s="6"/>
      <c r="BL1497" s="6"/>
      <c r="BM1497" s="5"/>
      <c r="BN1497" s="7"/>
      <c r="BO1497" s="7"/>
      <c r="BP1497" s="7"/>
    </row>
    <row r="1498" spans="1:68" s="400" customFormat="1" ht="14.25" customHeight="1" x14ac:dyDescent="0.25">
      <c r="A1498" s="5"/>
      <c r="B1498" s="5"/>
      <c r="C1498" s="5"/>
      <c r="D1498" s="5"/>
      <c r="E1498" s="5"/>
      <c r="F1498" s="5"/>
      <c r="G1498" s="5"/>
      <c r="H1498" s="5"/>
      <c r="I1498" s="5"/>
      <c r="J1498" s="5"/>
      <c r="K1498" s="5"/>
      <c r="L1498" s="5"/>
      <c r="M1498" s="5"/>
      <c r="N1498" s="5"/>
      <c r="O1498" s="5"/>
      <c r="P1498" s="5"/>
      <c r="Q1498" s="5"/>
      <c r="R1498" s="5"/>
      <c r="S1498" s="5"/>
      <c r="T1498" s="5"/>
      <c r="U1498" s="5"/>
      <c r="V1498" s="5"/>
      <c r="W1498" s="5"/>
      <c r="X1498" s="5"/>
      <c r="Y1498" s="5"/>
      <c r="Z1498" s="5"/>
      <c r="AA1498" s="5"/>
      <c r="AB1498" s="6"/>
      <c r="AC1498" s="6"/>
      <c r="AD1498" s="6"/>
      <c r="AE1498" s="6"/>
      <c r="AF1498" s="6"/>
      <c r="AG1498" s="6"/>
      <c r="AH1498" s="6"/>
      <c r="AI1498" s="6"/>
      <c r="AJ1498" s="6"/>
      <c r="AK1498" s="6"/>
      <c r="AL1498" s="6"/>
      <c r="AM1498" s="6"/>
      <c r="AN1498" s="6"/>
      <c r="AO1498" s="6"/>
      <c r="AP1498" s="6"/>
      <c r="AQ1498" s="6"/>
      <c r="AR1498" s="6"/>
      <c r="AS1498" s="6"/>
      <c r="AT1498" s="6"/>
      <c r="AU1498" s="6"/>
      <c r="AV1498" s="6"/>
      <c r="AW1498" s="6"/>
      <c r="AX1498" s="6"/>
      <c r="AY1498" s="6"/>
      <c r="AZ1498" s="6"/>
      <c r="BA1498" s="6"/>
      <c r="BB1498" s="6"/>
      <c r="BC1498" s="6"/>
      <c r="BD1498" s="6"/>
      <c r="BE1498" s="6"/>
      <c r="BF1498" s="6"/>
      <c r="BG1498" s="6"/>
      <c r="BH1498" s="6"/>
      <c r="BI1498" s="6"/>
      <c r="BJ1498" s="6"/>
      <c r="BK1498" s="6"/>
      <c r="BL1498" s="6"/>
      <c r="BM1498" s="5"/>
      <c r="BN1498" s="7"/>
      <c r="BO1498" s="7"/>
      <c r="BP1498" s="7"/>
    </row>
    <row r="1499" spans="1:68" s="400" customFormat="1" ht="14.25" customHeight="1" x14ac:dyDescent="0.25">
      <c r="A1499" s="5"/>
      <c r="B1499" s="5"/>
      <c r="C1499" s="5"/>
      <c r="D1499" s="5"/>
      <c r="E1499" s="5"/>
      <c r="F1499" s="5"/>
      <c r="G1499" s="5"/>
      <c r="H1499" s="5"/>
      <c r="I1499" s="5"/>
      <c r="J1499" s="5"/>
      <c r="K1499" s="5"/>
      <c r="L1499" s="5"/>
      <c r="M1499" s="5"/>
      <c r="N1499" s="5"/>
      <c r="O1499" s="5"/>
      <c r="P1499" s="5"/>
      <c r="Q1499" s="5"/>
      <c r="R1499" s="5"/>
      <c r="S1499" s="5"/>
      <c r="T1499" s="5"/>
      <c r="U1499" s="5"/>
      <c r="V1499" s="5"/>
      <c r="W1499" s="5"/>
      <c r="X1499" s="5"/>
      <c r="Y1499" s="5"/>
      <c r="Z1499" s="5"/>
      <c r="AA1499" s="5"/>
      <c r="AB1499" s="6"/>
      <c r="AC1499" s="6"/>
      <c r="AD1499" s="6"/>
      <c r="AE1499" s="6"/>
      <c r="AF1499" s="6"/>
      <c r="AG1499" s="6"/>
      <c r="AH1499" s="6"/>
      <c r="AI1499" s="6"/>
      <c r="AJ1499" s="6"/>
      <c r="AK1499" s="6"/>
      <c r="AL1499" s="6"/>
      <c r="AM1499" s="6"/>
      <c r="AN1499" s="6"/>
      <c r="AO1499" s="6"/>
      <c r="AP1499" s="6"/>
      <c r="AQ1499" s="6"/>
      <c r="AR1499" s="6"/>
      <c r="AS1499" s="6"/>
      <c r="AT1499" s="6"/>
      <c r="AU1499" s="6"/>
      <c r="AV1499" s="6"/>
      <c r="AW1499" s="6"/>
      <c r="AX1499" s="6"/>
      <c r="AY1499" s="6"/>
      <c r="AZ1499" s="6"/>
      <c r="BA1499" s="6"/>
      <c r="BB1499" s="6"/>
      <c r="BC1499" s="6"/>
      <c r="BD1499" s="6"/>
      <c r="BE1499" s="6"/>
      <c r="BF1499" s="6"/>
      <c r="BG1499" s="6"/>
      <c r="BH1499" s="6"/>
      <c r="BI1499" s="6"/>
      <c r="BJ1499" s="6"/>
      <c r="BK1499" s="6"/>
      <c r="BL1499" s="6"/>
      <c r="BM1499" s="5"/>
      <c r="BN1499" s="7"/>
      <c r="BO1499" s="7"/>
      <c r="BP1499" s="7"/>
    </row>
    <row r="1500" spans="1:68" s="400" customFormat="1" ht="14.25" customHeight="1" x14ac:dyDescent="0.25">
      <c r="A1500" s="5"/>
      <c r="B1500" s="5"/>
      <c r="C1500" s="5"/>
      <c r="D1500" s="5"/>
      <c r="E1500" s="5"/>
      <c r="F1500" s="5"/>
      <c r="G1500" s="5"/>
      <c r="H1500" s="5"/>
      <c r="I1500" s="5"/>
      <c r="J1500" s="5"/>
      <c r="K1500" s="5"/>
      <c r="L1500" s="5"/>
      <c r="M1500" s="5"/>
      <c r="N1500" s="5"/>
      <c r="O1500" s="5"/>
      <c r="P1500" s="5"/>
      <c r="Q1500" s="5"/>
      <c r="R1500" s="5"/>
      <c r="S1500" s="5"/>
      <c r="T1500" s="5"/>
      <c r="U1500" s="5"/>
      <c r="V1500" s="5"/>
      <c r="W1500" s="5"/>
      <c r="X1500" s="5"/>
      <c r="Y1500" s="5"/>
      <c r="Z1500" s="5"/>
      <c r="AA1500" s="5"/>
      <c r="AB1500" s="6"/>
      <c r="AC1500" s="6"/>
      <c r="AD1500" s="6"/>
      <c r="AE1500" s="6"/>
      <c r="AF1500" s="6"/>
      <c r="AG1500" s="6"/>
      <c r="AH1500" s="6"/>
      <c r="AI1500" s="6"/>
      <c r="AJ1500" s="6"/>
      <c r="AK1500" s="6"/>
      <c r="AL1500" s="6"/>
      <c r="AM1500" s="6"/>
      <c r="AN1500" s="6"/>
      <c r="AO1500" s="6"/>
      <c r="AP1500" s="6"/>
      <c r="AQ1500" s="6"/>
      <c r="AR1500" s="6"/>
      <c r="AS1500" s="6"/>
      <c r="AT1500" s="6"/>
      <c r="AU1500" s="6"/>
      <c r="AV1500" s="6"/>
      <c r="AW1500" s="6"/>
      <c r="AX1500" s="6"/>
      <c r="AY1500" s="6"/>
      <c r="AZ1500" s="6"/>
      <c r="BA1500" s="6"/>
      <c r="BB1500" s="6"/>
      <c r="BC1500" s="6"/>
      <c r="BD1500" s="6"/>
      <c r="BE1500" s="6"/>
      <c r="BF1500" s="6"/>
      <c r="BG1500" s="6"/>
      <c r="BH1500" s="6"/>
      <c r="BI1500" s="6"/>
      <c r="BJ1500" s="6"/>
      <c r="BK1500" s="6"/>
      <c r="BL1500" s="6"/>
      <c r="BM1500" s="5"/>
      <c r="BN1500" s="7"/>
      <c r="BO1500" s="7"/>
      <c r="BP1500" s="7"/>
    </row>
    <row r="1501" spans="1:68" s="400" customFormat="1" ht="14.25" customHeight="1" x14ac:dyDescent="0.25">
      <c r="A1501" s="5"/>
      <c r="B1501" s="5"/>
      <c r="C1501" s="5"/>
      <c r="D1501" s="5"/>
      <c r="E1501" s="5"/>
      <c r="F1501" s="5"/>
      <c r="G1501" s="5"/>
      <c r="H1501" s="5"/>
      <c r="I1501" s="5"/>
      <c r="J1501" s="5"/>
      <c r="K1501" s="5"/>
      <c r="L1501" s="5"/>
      <c r="M1501" s="5"/>
      <c r="N1501" s="5"/>
      <c r="O1501" s="5"/>
      <c r="P1501" s="5"/>
      <c r="Q1501" s="5"/>
      <c r="R1501" s="5"/>
      <c r="S1501" s="5"/>
      <c r="T1501" s="5"/>
      <c r="U1501" s="5"/>
      <c r="V1501" s="5"/>
      <c r="W1501" s="5"/>
      <c r="X1501" s="5"/>
      <c r="Y1501" s="5"/>
      <c r="Z1501" s="5"/>
      <c r="AA1501" s="5"/>
      <c r="AB1501" s="6"/>
      <c r="AC1501" s="6"/>
      <c r="AD1501" s="6"/>
      <c r="AE1501" s="6"/>
      <c r="AF1501" s="6"/>
      <c r="AG1501" s="6"/>
      <c r="AH1501" s="6"/>
      <c r="AI1501" s="6"/>
      <c r="AJ1501" s="6"/>
      <c r="AK1501" s="6"/>
      <c r="AL1501" s="6"/>
      <c r="AM1501" s="6"/>
      <c r="AN1501" s="6"/>
      <c r="AO1501" s="6"/>
      <c r="AP1501" s="6"/>
      <c r="AQ1501" s="6"/>
      <c r="AR1501" s="6"/>
      <c r="AS1501" s="6"/>
      <c r="AT1501" s="6"/>
      <c r="AU1501" s="6"/>
      <c r="AV1501" s="6"/>
      <c r="AW1501" s="6"/>
      <c r="AX1501" s="6"/>
      <c r="AY1501" s="6"/>
      <c r="AZ1501" s="6"/>
      <c r="BA1501" s="6"/>
      <c r="BB1501" s="6"/>
      <c r="BC1501" s="6"/>
      <c r="BD1501" s="6"/>
      <c r="BE1501" s="6"/>
      <c r="BF1501" s="6"/>
      <c r="BG1501" s="6"/>
      <c r="BH1501" s="6"/>
      <c r="BI1501" s="6"/>
      <c r="BJ1501" s="6"/>
      <c r="BK1501" s="6"/>
      <c r="BL1501" s="6"/>
      <c r="BM1501" s="5"/>
      <c r="BN1501" s="7"/>
      <c r="BO1501" s="7"/>
      <c r="BP1501" s="7"/>
    </row>
    <row r="1502" spans="1:68" s="400" customFormat="1" ht="14.25" customHeight="1" x14ac:dyDescent="0.25">
      <c r="A1502" s="5"/>
      <c r="B1502" s="5"/>
      <c r="C1502" s="5"/>
      <c r="D1502" s="5"/>
      <c r="E1502" s="5"/>
      <c r="F1502" s="5"/>
      <c r="G1502" s="5"/>
      <c r="H1502" s="5"/>
      <c r="I1502" s="5"/>
      <c r="J1502" s="5"/>
      <c r="K1502" s="5"/>
      <c r="L1502" s="5"/>
      <c r="M1502" s="5"/>
      <c r="N1502" s="5"/>
      <c r="O1502" s="5"/>
      <c r="P1502" s="5"/>
      <c r="Q1502" s="5"/>
      <c r="R1502" s="5"/>
      <c r="S1502" s="5"/>
      <c r="T1502" s="5"/>
      <c r="U1502" s="5"/>
      <c r="V1502" s="5"/>
      <c r="W1502" s="5"/>
      <c r="X1502" s="5"/>
      <c r="Y1502" s="5"/>
      <c r="Z1502" s="5"/>
      <c r="AA1502" s="5"/>
      <c r="AB1502" s="6"/>
      <c r="AC1502" s="6"/>
      <c r="AD1502" s="6"/>
      <c r="AE1502" s="6"/>
      <c r="AF1502" s="6"/>
      <c r="AG1502" s="6"/>
      <c r="AH1502" s="6"/>
      <c r="AI1502" s="6"/>
      <c r="AJ1502" s="6"/>
      <c r="AK1502" s="6"/>
      <c r="AL1502" s="6"/>
      <c r="AM1502" s="6"/>
      <c r="AN1502" s="6"/>
      <c r="AO1502" s="6"/>
      <c r="AP1502" s="6"/>
      <c r="AQ1502" s="6"/>
      <c r="AR1502" s="6"/>
      <c r="AS1502" s="6"/>
      <c r="AT1502" s="6"/>
      <c r="AU1502" s="6"/>
      <c r="AV1502" s="6"/>
      <c r="AW1502" s="6"/>
      <c r="AX1502" s="6"/>
      <c r="AY1502" s="6"/>
      <c r="AZ1502" s="6"/>
      <c r="BA1502" s="6"/>
      <c r="BB1502" s="6"/>
      <c r="BC1502" s="6"/>
      <c r="BD1502" s="6"/>
      <c r="BE1502" s="6"/>
      <c r="BF1502" s="6"/>
      <c r="BG1502" s="6"/>
      <c r="BH1502" s="6"/>
      <c r="BI1502" s="6"/>
      <c r="BJ1502" s="6"/>
      <c r="BK1502" s="6"/>
      <c r="BL1502" s="6"/>
      <c r="BM1502" s="5"/>
      <c r="BN1502" s="7"/>
      <c r="BO1502" s="7"/>
      <c r="BP1502" s="7"/>
    </row>
    <row r="1503" spans="1:68" s="400" customFormat="1" ht="14.25" customHeight="1" x14ac:dyDescent="0.25">
      <c r="A1503" s="5"/>
      <c r="B1503" s="5"/>
      <c r="C1503" s="5"/>
      <c r="D1503" s="5"/>
      <c r="E1503" s="5"/>
      <c r="F1503" s="5"/>
      <c r="G1503" s="5"/>
      <c r="H1503" s="5"/>
      <c r="I1503" s="5"/>
      <c r="J1503" s="5"/>
      <c r="K1503" s="5"/>
      <c r="L1503" s="5"/>
      <c r="M1503" s="5"/>
      <c r="N1503" s="5"/>
      <c r="O1503" s="5"/>
      <c r="P1503" s="5"/>
      <c r="Q1503" s="5"/>
      <c r="R1503" s="5"/>
      <c r="S1503" s="5"/>
      <c r="T1503" s="5"/>
      <c r="U1503" s="5"/>
      <c r="V1503" s="5"/>
      <c r="W1503" s="5"/>
      <c r="X1503" s="5"/>
      <c r="Y1503" s="5"/>
      <c r="Z1503" s="5"/>
      <c r="AA1503" s="5"/>
      <c r="AB1503" s="6"/>
      <c r="AC1503" s="6"/>
      <c r="AD1503" s="6"/>
      <c r="AE1503" s="6"/>
      <c r="AF1503" s="6"/>
      <c r="AG1503" s="6"/>
      <c r="AH1503" s="6"/>
      <c r="AI1503" s="6"/>
      <c r="AJ1503" s="6"/>
      <c r="AK1503" s="6"/>
      <c r="AL1503" s="6"/>
      <c r="AM1503" s="6"/>
      <c r="AN1503" s="6"/>
      <c r="AO1503" s="6"/>
      <c r="AP1503" s="6"/>
      <c r="AQ1503" s="6"/>
      <c r="AR1503" s="6"/>
      <c r="AS1503" s="6"/>
      <c r="AT1503" s="6"/>
      <c r="AU1503" s="6"/>
      <c r="AV1503" s="6"/>
      <c r="AW1503" s="6"/>
      <c r="AX1503" s="6"/>
      <c r="AY1503" s="6"/>
      <c r="AZ1503" s="6"/>
      <c r="BA1503" s="6"/>
      <c r="BB1503" s="6"/>
      <c r="BC1503" s="6"/>
      <c r="BD1503" s="6"/>
      <c r="BE1503" s="6"/>
      <c r="BF1503" s="6"/>
      <c r="BG1503" s="6"/>
      <c r="BH1503" s="6"/>
      <c r="BI1503" s="6"/>
      <c r="BJ1503" s="6"/>
      <c r="BK1503" s="6"/>
      <c r="BL1503" s="6"/>
      <c r="BM1503" s="5"/>
      <c r="BN1503" s="7"/>
      <c r="BO1503" s="7"/>
      <c r="BP1503" s="7"/>
    </row>
    <row r="1504" spans="1:68" s="400" customFormat="1" ht="14.25" customHeight="1" x14ac:dyDescent="0.25">
      <c r="A1504" s="5"/>
      <c r="B1504" s="5"/>
      <c r="C1504" s="5"/>
      <c r="D1504" s="5"/>
      <c r="E1504" s="5"/>
      <c r="F1504" s="5"/>
      <c r="G1504" s="5"/>
      <c r="H1504" s="5"/>
      <c r="I1504" s="5"/>
      <c r="J1504" s="5"/>
      <c r="K1504" s="5"/>
      <c r="L1504" s="5"/>
      <c r="M1504" s="5"/>
      <c r="N1504" s="5"/>
      <c r="O1504" s="5"/>
      <c r="P1504" s="5"/>
      <c r="Q1504" s="5"/>
      <c r="R1504" s="5"/>
      <c r="S1504" s="5"/>
      <c r="T1504" s="5"/>
      <c r="U1504" s="5"/>
      <c r="V1504" s="5"/>
      <c r="W1504" s="5"/>
      <c r="X1504" s="5"/>
      <c r="Y1504" s="5"/>
      <c r="Z1504" s="5"/>
      <c r="AA1504" s="5"/>
      <c r="AB1504" s="6"/>
      <c r="AC1504" s="6"/>
      <c r="AD1504" s="6"/>
      <c r="AE1504" s="6"/>
      <c r="AF1504" s="6"/>
      <c r="AG1504" s="6"/>
      <c r="AH1504" s="6"/>
      <c r="AI1504" s="6"/>
      <c r="AJ1504" s="6"/>
      <c r="AK1504" s="6"/>
      <c r="AL1504" s="6"/>
      <c r="AM1504" s="6"/>
      <c r="AN1504" s="6"/>
      <c r="AO1504" s="6"/>
      <c r="AP1504" s="6"/>
      <c r="AQ1504" s="6"/>
      <c r="AR1504" s="6"/>
      <c r="AS1504" s="6"/>
      <c r="AT1504" s="6"/>
      <c r="AU1504" s="6"/>
      <c r="AV1504" s="6"/>
      <c r="AW1504" s="6"/>
      <c r="AX1504" s="6"/>
      <c r="AY1504" s="6"/>
      <c r="AZ1504" s="6"/>
      <c r="BA1504" s="6"/>
      <c r="BB1504" s="6"/>
      <c r="BC1504" s="6"/>
      <c r="BD1504" s="6"/>
      <c r="BE1504" s="6"/>
      <c r="BF1504" s="6"/>
      <c r="BG1504" s="6"/>
      <c r="BH1504" s="6"/>
      <c r="BI1504" s="6"/>
      <c r="BJ1504" s="6"/>
      <c r="BK1504" s="6"/>
      <c r="BL1504" s="6"/>
      <c r="BM1504" s="5"/>
      <c r="BN1504" s="7"/>
      <c r="BO1504" s="7"/>
      <c r="BP1504" s="7"/>
    </row>
    <row r="1505" spans="1:68" s="400" customFormat="1" ht="14.25" customHeight="1" x14ac:dyDescent="0.25">
      <c r="A1505" s="5"/>
      <c r="B1505" s="5"/>
      <c r="C1505" s="5"/>
      <c r="D1505" s="5"/>
      <c r="E1505" s="5"/>
      <c r="F1505" s="5"/>
      <c r="G1505" s="5"/>
      <c r="H1505" s="5"/>
      <c r="I1505" s="5"/>
      <c r="J1505" s="5"/>
      <c r="K1505" s="5"/>
      <c r="L1505" s="5"/>
      <c r="M1505" s="5"/>
      <c r="N1505" s="5"/>
      <c r="O1505" s="5"/>
      <c r="P1505" s="5"/>
      <c r="Q1505" s="5"/>
      <c r="R1505" s="5"/>
      <c r="S1505" s="5"/>
      <c r="T1505" s="5"/>
      <c r="U1505" s="5"/>
      <c r="V1505" s="5"/>
      <c r="W1505" s="5"/>
      <c r="X1505" s="5"/>
      <c r="Y1505" s="5"/>
      <c r="Z1505" s="5"/>
      <c r="AA1505" s="5"/>
      <c r="AB1505" s="6"/>
      <c r="AC1505" s="6"/>
      <c r="AD1505" s="6"/>
      <c r="AE1505" s="6"/>
      <c r="AF1505" s="6"/>
      <c r="AG1505" s="6"/>
      <c r="AH1505" s="6"/>
      <c r="AI1505" s="6"/>
      <c r="AJ1505" s="6"/>
      <c r="AK1505" s="6"/>
      <c r="AL1505" s="6"/>
      <c r="AM1505" s="6"/>
      <c r="AN1505" s="6"/>
      <c r="AO1505" s="6"/>
      <c r="AP1505" s="6"/>
      <c r="AQ1505" s="6"/>
      <c r="AR1505" s="6"/>
      <c r="AS1505" s="6"/>
      <c r="AT1505" s="6"/>
      <c r="AU1505" s="6"/>
      <c r="AV1505" s="6"/>
      <c r="AW1505" s="6"/>
      <c r="AX1505" s="6"/>
      <c r="AY1505" s="6"/>
      <c r="AZ1505" s="6"/>
      <c r="BA1505" s="6"/>
      <c r="BB1505" s="6"/>
      <c r="BC1505" s="6"/>
      <c r="BD1505" s="6"/>
      <c r="BE1505" s="6"/>
      <c r="BF1505" s="6"/>
      <c r="BG1505" s="6"/>
      <c r="BH1505" s="6"/>
      <c r="BI1505" s="6"/>
      <c r="BJ1505" s="6"/>
      <c r="BK1505" s="6"/>
      <c r="BL1505" s="6"/>
      <c r="BM1505" s="5"/>
      <c r="BN1505" s="7"/>
      <c r="BO1505" s="7"/>
      <c r="BP1505" s="7"/>
    </row>
    <row r="1506" spans="1:68" s="400" customFormat="1" ht="14.25" customHeight="1" x14ac:dyDescent="0.25">
      <c r="A1506" s="5"/>
      <c r="B1506" s="5"/>
      <c r="C1506" s="5"/>
      <c r="D1506" s="5"/>
      <c r="E1506" s="5"/>
      <c r="F1506" s="5"/>
      <c r="G1506" s="5"/>
      <c r="H1506" s="5"/>
      <c r="I1506" s="5"/>
      <c r="J1506" s="5"/>
      <c r="K1506" s="5"/>
      <c r="L1506" s="5"/>
      <c r="M1506" s="5"/>
      <c r="N1506" s="5"/>
      <c r="O1506" s="5"/>
      <c r="P1506" s="5"/>
      <c r="Q1506" s="5"/>
      <c r="R1506" s="5"/>
      <c r="S1506" s="5"/>
      <c r="T1506" s="5"/>
      <c r="U1506" s="5"/>
      <c r="V1506" s="5"/>
      <c r="W1506" s="5"/>
      <c r="X1506" s="5"/>
      <c r="Y1506" s="5"/>
      <c r="Z1506" s="5"/>
      <c r="AA1506" s="5"/>
      <c r="AB1506" s="6"/>
      <c r="AC1506" s="6"/>
      <c r="AD1506" s="6"/>
      <c r="AE1506" s="6"/>
      <c r="AF1506" s="6"/>
      <c r="AG1506" s="6"/>
      <c r="AH1506" s="6"/>
      <c r="AI1506" s="6"/>
      <c r="AJ1506" s="6"/>
      <c r="AK1506" s="6"/>
      <c r="AL1506" s="6"/>
      <c r="AM1506" s="6"/>
      <c r="AN1506" s="6"/>
      <c r="AO1506" s="6"/>
      <c r="AP1506" s="6"/>
      <c r="AQ1506" s="6"/>
      <c r="AR1506" s="6"/>
      <c r="AS1506" s="6"/>
      <c r="AT1506" s="6"/>
      <c r="AU1506" s="6"/>
      <c r="AV1506" s="6"/>
      <c r="AW1506" s="6"/>
      <c r="AX1506" s="6"/>
      <c r="AY1506" s="6"/>
      <c r="AZ1506" s="6"/>
      <c r="BA1506" s="6"/>
      <c r="BB1506" s="6"/>
      <c r="BC1506" s="6"/>
      <c r="BD1506" s="6"/>
      <c r="BE1506" s="6"/>
      <c r="BF1506" s="6"/>
      <c r="BG1506" s="6"/>
      <c r="BH1506" s="6"/>
      <c r="BI1506" s="6"/>
      <c r="BJ1506" s="6"/>
      <c r="BK1506" s="6"/>
      <c r="BL1506" s="6"/>
      <c r="BM1506" s="5"/>
      <c r="BN1506" s="7"/>
      <c r="BO1506" s="7"/>
      <c r="BP1506" s="7"/>
    </row>
    <row r="1507" spans="1:68" s="400" customFormat="1" ht="14.25" customHeight="1" x14ac:dyDescent="0.25">
      <c r="A1507" s="5"/>
      <c r="B1507" s="5"/>
      <c r="C1507" s="5"/>
      <c r="D1507" s="5"/>
      <c r="E1507" s="5"/>
      <c r="F1507" s="5"/>
      <c r="G1507" s="5"/>
      <c r="H1507" s="5"/>
      <c r="I1507" s="5"/>
      <c r="J1507" s="5"/>
      <c r="K1507" s="5"/>
      <c r="L1507" s="5"/>
      <c r="M1507" s="5"/>
      <c r="N1507" s="5"/>
      <c r="O1507" s="5"/>
      <c r="P1507" s="5"/>
      <c r="Q1507" s="5"/>
      <c r="R1507" s="5"/>
      <c r="S1507" s="5"/>
      <c r="T1507" s="5"/>
      <c r="U1507" s="5"/>
      <c r="V1507" s="5"/>
      <c r="W1507" s="5"/>
      <c r="X1507" s="5"/>
      <c r="Y1507" s="5"/>
      <c r="Z1507" s="5"/>
      <c r="AA1507" s="5"/>
      <c r="AB1507" s="6"/>
      <c r="AC1507" s="6"/>
      <c r="AD1507" s="6"/>
      <c r="AE1507" s="6"/>
      <c r="AF1507" s="6"/>
      <c r="AG1507" s="6"/>
      <c r="AH1507" s="6"/>
      <c r="AI1507" s="6"/>
      <c r="AJ1507" s="6"/>
      <c r="AK1507" s="6"/>
      <c r="AL1507" s="6"/>
      <c r="AM1507" s="6"/>
      <c r="AN1507" s="6"/>
      <c r="AO1507" s="6"/>
      <c r="AP1507" s="6"/>
      <c r="AQ1507" s="6"/>
      <c r="AR1507" s="6"/>
      <c r="AS1507" s="6"/>
      <c r="AT1507" s="6"/>
      <c r="AU1507" s="6"/>
      <c r="AV1507" s="6"/>
      <c r="AW1507" s="6"/>
      <c r="AX1507" s="6"/>
      <c r="AY1507" s="6"/>
      <c r="AZ1507" s="6"/>
      <c r="BA1507" s="6"/>
      <c r="BB1507" s="6"/>
      <c r="BC1507" s="6"/>
      <c r="BD1507" s="6"/>
      <c r="BE1507" s="6"/>
      <c r="BF1507" s="6"/>
      <c r="BG1507" s="6"/>
      <c r="BH1507" s="6"/>
      <c r="BI1507" s="6"/>
      <c r="BJ1507" s="6"/>
      <c r="BK1507" s="6"/>
      <c r="BL1507" s="6"/>
      <c r="BM1507" s="5"/>
      <c r="BN1507" s="7"/>
      <c r="BO1507" s="7"/>
      <c r="BP1507" s="7"/>
    </row>
    <row r="1508" spans="1:68" s="400" customFormat="1" ht="14.25" customHeight="1" x14ac:dyDescent="0.25">
      <c r="A1508" s="5"/>
      <c r="B1508" s="5"/>
      <c r="C1508" s="5"/>
      <c r="D1508" s="5"/>
      <c r="E1508" s="5"/>
      <c r="F1508" s="5"/>
      <c r="G1508" s="5"/>
      <c r="H1508" s="5"/>
      <c r="I1508" s="5"/>
      <c r="J1508" s="5"/>
      <c r="K1508" s="5"/>
      <c r="L1508" s="5"/>
      <c r="M1508" s="5"/>
      <c r="N1508" s="5"/>
      <c r="O1508" s="5"/>
      <c r="P1508" s="5"/>
      <c r="Q1508" s="5"/>
      <c r="R1508" s="5"/>
      <c r="S1508" s="5"/>
      <c r="T1508" s="5"/>
      <c r="U1508" s="5"/>
      <c r="V1508" s="5"/>
      <c r="W1508" s="5"/>
      <c r="X1508" s="5"/>
      <c r="Y1508" s="5"/>
      <c r="Z1508" s="5"/>
      <c r="AA1508" s="5"/>
      <c r="AB1508" s="6"/>
      <c r="AC1508" s="6"/>
      <c r="AD1508" s="6"/>
      <c r="AE1508" s="6"/>
      <c r="AF1508" s="6"/>
      <c r="AG1508" s="6"/>
      <c r="AH1508" s="6"/>
      <c r="AI1508" s="6"/>
      <c r="AJ1508" s="6"/>
      <c r="AK1508" s="6"/>
      <c r="AL1508" s="6"/>
      <c r="AM1508" s="6"/>
      <c r="AN1508" s="6"/>
      <c r="AO1508" s="6"/>
      <c r="AP1508" s="6"/>
      <c r="AQ1508" s="6"/>
      <c r="AR1508" s="6"/>
      <c r="AS1508" s="6"/>
      <c r="AT1508" s="6"/>
      <c r="AU1508" s="6"/>
      <c r="AV1508" s="6"/>
      <c r="AW1508" s="6"/>
      <c r="AX1508" s="6"/>
      <c r="AY1508" s="6"/>
      <c r="AZ1508" s="6"/>
      <c r="BA1508" s="6"/>
      <c r="BB1508" s="6"/>
      <c r="BC1508" s="6"/>
      <c r="BD1508" s="6"/>
      <c r="BE1508" s="6"/>
      <c r="BF1508" s="6"/>
      <c r="BG1508" s="6"/>
      <c r="BH1508" s="6"/>
      <c r="BI1508" s="6"/>
      <c r="BJ1508" s="6"/>
      <c r="BK1508" s="6"/>
      <c r="BL1508" s="6"/>
      <c r="BM1508" s="5"/>
      <c r="BN1508" s="7"/>
      <c r="BO1508" s="7"/>
      <c r="BP1508" s="7"/>
    </row>
    <row r="1509" spans="1:68" s="400" customFormat="1" ht="14.25" customHeight="1" x14ac:dyDescent="0.25">
      <c r="A1509" s="5"/>
      <c r="B1509" s="5"/>
      <c r="C1509" s="5"/>
      <c r="D1509" s="5"/>
      <c r="E1509" s="5"/>
      <c r="F1509" s="5"/>
      <c r="G1509" s="5"/>
      <c r="H1509" s="5"/>
      <c r="I1509" s="5"/>
      <c r="J1509" s="5"/>
      <c r="K1509" s="5"/>
      <c r="L1509" s="5"/>
      <c r="M1509" s="5"/>
      <c r="N1509" s="5"/>
      <c r="O1509" s="5"/>
      <c r="P1509" s="5"/>
      <c r="Q1509" s="5"/>
      <c r="R1509" s="5"/>
      <c r="S1509" s="5"/>
      <c r="T1509" s="5"/>
      <c r="U1509" s="5"/>
      <c r="V1509" s="5"/>
      <c r="W1509" s="5"/>
      <c r="X1509" s="5"/>
      <c r="Y1509" s="5"/>
      <c r="Z1509" s="5"/>
      <c r="AA1509" s="5"/>
      <c r="AB1509" s="6"/>
      <c r="AC1509" s="6"/>
      <c r="AD1509" s="6"/>
      <c r="AE1509" s="6"/>
      <c r="AF1509" s="6"/>
      <c r="AG1509" s="6"/>
      <c r="AH1509" s="6"/>
      <c r="AI1509" s="6"/>
      <c r="AJ1509" s="6"/>
      <c r="AK1509" s="6"/>
      <c r="AL1509" s="6"/>
      <c r="AM1509" s="6"/>
      <c r="AN1509" s="6"/>
      <c r="AO1509" s="6"/>
      <c r="AP1509" s="6"/>
      <c r="AQ1509" s="6"/>
      <c r="AR1509" s="6"/>
      <c r="AS1509" s="6"/>
      <c r="AT1509" s="6"/>
      <c r="AU1509" s="6"/>
      <c r="AV1509" s="6"/>
      <c r="AW1509" s="6"/>
      <c r="AX1509" s="6"/>
      <c r="AY1509" s="6"/>
      <c r="AZ1509" s="6"/>
      <c r="BA1509" s="6"/>
      <c r="BB1509" s="6"/>
      <c r="BC1509" s="6"/>
      <c r="BD1509" s="6"/>
      <c r="BE1509" s="6"/>
      <c r="BF1509" s="6"/>
      <c r="BG1509" s="6"/>
      <c r="BH1509" s="6"/>
      <c r="BI1509" s="6"/>
      <c r="BJ1509" s="6"/>
      <c r="BK1509" s="6"/>
      <c r="BL1509" s="6"/>
      <c r="BM1509" s="5"/>
      <c r="BN1509" s="7"/>
      <c r="BO1509" s="7"/>
      <c r="BP1509" s="7"/>
    </row>
    <row r="1510" spans="1:68" s="400" customFormat="1" ht="14.25" customHeight="1" x14ac:dyDescent="0.25">
      <c r="A1510" s="5"/>
      <c r="B1510" s="5"/>
      <c r="C1510" s="5"/>
      <c r="D1510" s="5"/>
      <c r="E1510" s="5"/>
      <c r="F1510" s="5"/>
      <c r="G1510" s="5"/>
      <c r="H1510" s="5"/>
      <c r="I1510" s="5"/>
      <c r="J1510" s="5"/>
      <c r="K1510" s="5"/>
      <c r="L1510" s="5"/>
      <c r="M1510" s="5"/>
      <c r="N1510" s="5"/>
      <c r="O1510" s="5"/>
      <c r="P1510" s="5"/>
      <c r="Q1510" s="5"/>
      <c r="R1510" s="5"/>
      <c r="S1510" s="5"/>
      <c r="T1510" s="5"/>
      <c r="U1510" s="5"/>
      <c r="V1510" s="5"/>
      <c r="W1510" s="5"/>
      <c r="X1510" s="5"/>
      <c r="Y1510" s="5"/>
      <c r="Z1510" s="5"/>
      <c r="AA1510" s="5"/>
      <c r="AB1510" s="6"/>
      <c r="AC1510" s="6"/>
      <c r="AD1510" s="6"/>
      <c r="AE1510" s="6"/>
      <c r="AF1510" s="6"/>
      <c r="AG1510" s="6"/>
      <c r="AH1510" s="6"/>
      <c r="AI1510" s="6"/>
      <c r="AJ1510" s="6"/>
      <c r="AK1510" s="6"/>
      <c r="AL1510" s="6"/>
      <c r="AM1510" s="6"/>
      <c r="AN1510" s="6"/>
      <c r="AO1510" s="6"/>
      <c r="AP1510" s="6"/>
      <c r="AQ1510" s="6"/>
      <c r="AR1510" s="6"/>
      <c r="AS1510" s="6"/>
      <c r="AT1510" s="6"/>
      <c r="AU1510" s="6"/>
      <c r="AV1510" s="6"/>
      <c r="AW1510" s="6"/>
      <c r="AX1510" s="6"/>
      <c r="AY1510" s="6"/>
      <c r="AZ1510" s="6"/>
      <c r="BA1510" s="6"/>
      <c r="BB1510" s="6"/>
      <c r="BC1510" s="6"/>
      <c r="BD1510" s="6"/>
      <c r="BE1510" s="6"/>
      <c r="BF1510" s="6"/>
      <c r="BG1510" s="6"/>
      <c r="BH1510" s="6"/>
      <c r="BI1510" s="6"/>
      <c r="BJ1510" s="6"/>
      <c r="BK1510" s="6"/>
      <c r="BL1510" s="6"/>
      <c r="BM1510" s="5"/>
      <c r="BN1510" s="7"/>
      <c r="BO1510" s="7"/>
      <c r="BP1510" s="7"/>
    </row>
    <row r="1511" spans="1:68" s="400" customFormat="1" ht="14.25" customHeight="1" x14ac:dyDescent="0.25">
      <c r="A1511" s="5"/>
      <c r="B1511" s="5"/>
      <c r="C1511" s="5"/>
      <c r="D1511" s="5"/>
      <c r="E1511" s="5"/>
      <c r="F1511" s="5"/>
      <c r="G1511" s="5"/>
      <c r="H1511" s="5"/>
      <c r="I1511" s="5"/>
      <c r="J1511" s="5"/>
      <c r="K1511" s="5"/>
      <c r="L1511" s="5"/>
      <c r="M1511" s="5"/>
      <c r="N1511" s="5"/>
      <c r="O1511" s="5"/>
      <c r="P1511" s="5"/>
      <c r="Q1511" s="5"/>
      <c r="R1511" s="5"/>
      <c r="S1511" s="5"/>
      <c r="T1511" s="5"/>
      <c r="U1511" s="5"/>
      <c r="V1511" s="5"/>
      <c r="W1511" s="5"/>
      <c r="X1511" s="5"/>
      <c r="Y1511" s="5"/>
      <c r="Z1511" s="5"/>
      <c r="AA1511" s="5"/>
      <c r="AB1511" s="6"/>
      <c r="AC1511" s="6"/>
      <c r="AD1511" s="6"/>
      <c r="AE1511" s="6"/>
      <c r="AF1511" s="6"/>
      <c r="AG1511" s="6"/>
      <c r="AH1511" s="6"/>
      <c r="AI1511" s="6"/>
      <c r="AJ1511" s="6"/>
      <c r="AK1511" s="6"/>
      <c r="AL1511" s="6"/>
      <c r="AM1511" s="6"/>
      <c r="AN1511" s="6"/>
      <c r="AO1511" s="6"/>
      <c r="AP1511" s="6"/>
      <c r="AQ1511" s="6"/>
      <c r="AR1511" s="6"/>
      <c r="AS1511" s="6"/>
      <c r="AT1511" s="6"/>
      <c r="AU1511" s="6"/>
      <c r="AV1511" s="6"/>
      <c r="AW1511" s="6"/>
      <c r="AX1511" s="6"/>
      <c r="AY1511" s="6"/>
      <c r="AZ1511" s="6"/>
      <c r="BA1511" s="6"/>
      <c r="BB1511" s="6"/>
      <c r="BC1511" s="6"/>
      <c r="BD1511" s="6"/>
      <c r="BE1511" s="6"/>
      <c r="BF1511" s="6"/>
      <c r="BG1511" s="6"/>
      <c r="BH1511" s="6"/>
      <c r="BI1511" s="6"/>
      <c r="BJ1511" s="6"/>
      <c r="BK1511" s="6"/>
      <c r="BL1511" s="6"/>
      <c r="BM1511" s="5"/>
      <c r="BN1511" s="7"/>
      <c r="BO1511" s="7"/>
      <c r="BP1511" s="7"/>
    </row>
    <row r="1512" spans="1:68" s="400" customFormat="1" ht="14.25" customHeight="1" x14ac:dyDescent="0.25">
      <c r="A1512" s="5"/>
      <c r="B1512" s="5"/>
      <c r="C1512" s="5"/>
      <c r="D1512" s="5"/>
      <c r="E1512" s="5"/>
      <c r="F1512" s="5"/>
      <c r="G1512" s="5"/>
      <c r="H1512" s="5"/>
      <c r="I1512" s="5"/>
      <c r="J1512" s="5"/>
      <c r="K1512" s="5"/>
      <c r="L1512" s="5"/>
      <c r="M1512" s="5"/>
      <c r="N1512" s="5"/>
      <c r="O1512" s="5"/>
      <c r="P1512" s="5"/>
      <c r="Q1512" s="5"/>
      <c r="R1512" s="5"/>
      <c r="S1512" s="5"/>
      <c r="T1512" s="5"/>
      <c r="U1512" s="5"/>
      <c r="V1512" s="5"/>
      <c r="W1512" s="5"/>
      <c r="X1512" s="5"/>
      <c r="Y1512" s="5"/>
      <c r="Z1512" s="5"/>
      <c r="AA1512" s="5"/>
      <c r="AB1512" s="6"/>
      <c r="AC1512" s="6"/>
      <c r="AD1512" s="6"/>
      <c r="AE1512" s="6"/>
      <c r="AF1512" s="6"/>
      <c r="AG1512" s="6"/>
      <c r="AH1512" s="6"/>
      <c r="AI1512" s="6"/>
      <c r="AJ1512" s="6"/>
      <c r="AK1512" s="6"/>
      <c r="AL1512" s="6"/>
      <c r="AM1512" s="6"/>
      <c r="AN1512" s="6"/>
      <c r="AO1512" s="6"/>
      <c r="AP1512" s="6"/>
      <c r="AQ1512" s="6"/>
      <c r="AR1512" s="6"/>
      <c r="AS1512" s="6"/>
      <c r="AT1512" s="6"/>
      <c r="AU1512" s="6"/>
      <c r="AV1512" s="6"/>
      <c r="AW1512" s="6"/>
      <c r="AX1512" s="6"/>
      <c r="AY1512" s="6"/>
      <c r="AZ1512" s="6"/>
      <c r="BA1512" s="6"/>
      <c r="BB1512" s="6"/>
      <c r="BC1512" s="6"/>
      <c r="BD1512" s="6"/>
      <c r="BE1512" s="6"/>
      <c r="BF1512" s="6"/>
      <c r="BG1512" s="6"/>
      <c r="BH1512" s="6"/>
      <c r="BI1512" s="6"/>
      <c r="BJ1512" s="6"/>
      <c r="BK1512" s="6"/>
      <c r="BL1512" s="6"/>
      <c r="BM1512" s="5"/>
      <c r="BN1512" s="7"/>
      <c r="BO1512" s="7"/>
      <c r="BP1512" s="7"/>
    </row>
    <row r="1513" spans="1:68" s="400" customFormat="1" ht="14.25" customHeight="1" x14ac:dyDescent="0.25">
      <c r="A1513" s="5"/>
      <c r="B1513" s="5"/>
      <c r="C1513" s="5"/>
      <c r="D1513" s="5"/>
      <c r="E1513" s="5"/>
      <c r="F1513" s="5"/>
      <c r="G1513" s="5"/>
      <c r="H1513" s="5"/>
      <c r="I1513" s="5"/>
      <c r="J1513" s="5"/>
      <c r="K1513" s="5"/>
      <c r="L1513" s="5"/>
      <c r="M1513" s="5"/>
      <c r="N1513" s="5"/>
      <c r="O1513" s="5"/>
      <c r="P1513" s="5"/>
      <c r="Q1513" s="5"/>
      <c r="R1513" s="5"/>
      <c r="S1513" s="5"/>
      <c r="T1513" s="5"/>
      <c r="U1513" s="5"/>
      <c r="V1513" s="5"/>
      <c r="W1513" s="5"/>
      <c r="X1513" s="5"/>
      <c r="Y1513" s="5"/>
      <c r="Z1513" s="5"/>
      <c r="AA1513" s="5"/>
      <c r="AB1513" s="6"/>
      <c r="AC1513" s="6"/>
      <c r="AD1513" s="6"/>
      <c r="AE1513" s="6"/>
      <c r="AF1513" s="6"/>
      <c r="AG1513" s="6"/>
      <c r="AH1513" s="6"/>
      <c r="AI1513" s="6"/>
      <c r="AJ1513" s="6"/>
      <c r="AK1513" s="6"/>
      <c r="AL1513" s="6"/>
      <c r="AM1513" s="6"/>
      <c r="AN1513" s="6"/>
      <c r="AO1513" s="6"/>
      <c r="AP1513" s="6"/>
      <c r="AQ1513" s="6"/>
      <c r="AR1513" s="6"/>
      <c r="AS1513" s="6"/>
      <c r="AT1513" s="6"/>
      <c r="AU1513" s="6"/>
      <c r="AV1513" s="6"/>
      <c r="AW1513" s="6"/>
      <c r="AX1513" s="6"/>
      <c r="AY1513" s="6"/>
      <c r="AZ1513" s="6"/>
      <c r="BA1513" s="6"/>
      <c r="BB1513" s="6"/>
      <c r="BC1513" s="6"/>
      <c r="BD1513" s="6"/>
      <c r="BE1513" s="6"/>
      <c r="BF1513" s="6"/>
      <c r="BG1513" s="6"/>
      <c r="BH1513" s="6"/>
      <c r="BI1513" s="6"/>
      <c r="BJ1513" s="6"/>
      <c r="BK1513" s="6"/>
      <c r="BL1513" s="6"/>
      <c r="BM1513" s="5"/>
      <c r="BN1513" s="7"/>
      <c r="BO1513" s="7"/>
      <c r="BP1513" s="7"/>
    </row>
    <row r="1514" spans="1:68" s="400" customFormat="1" ht="14.25" customHeight="1" x14ac:dyDescent="0.25">
      <c r="A1514" s="5"/>
      <c r="B1514" s="5"/>
      <c r="C1514" s="5"/>
      <c r="D1514" s="5"/>
      <c r="E1514" s="5"/>
      <c r="F1514" s="5"/>
      <c r="G1514" s="5"/>
      <c r="H1514" s="5"/>
      <c r="I1514" s="5"/>
      <c r="J1514" s="5"/>
      <c r="K1514" s="5"/>
      <c r="L1514" s="5"/>
      <c r="M1514" s="5"/>
      <c r="N1514" s="5"/>
      <c r="O1514" s="5"/>
      <c r="P1514" s="5"/>
      <c r="Q1514" s="5"/>
      <c r="R1514" s="5"/>
      <c r="S1514" s="5"/>
      <c r="T1514" s="5"/>
      <c r="U1514" s="5"/>
      <c r="V1514" s="5"/>
      <c r="W1514" s="5"/>
      <c r="X1514" s="5"/>
      <c r="Y1514" s="5"/>
      <c r="Z1514" s="5"/>
      <c r="AA1514" s="5"/>
      <c r="AB1514" s="6"/>
      <c r="AC1514" s="6"/>
      <c r="AD1514" s="6"/>
      <c r="AE1514" s="6"/>
      <c r="AF1514" s="6"/>
      <c r="AG1514" s="6"/>
      <c r="AH1514" s="6"/>
      <c r="AI1514" s="6"/>
      <c r="AJ1514" s="6"/>
      <c r="AK1514" s="6"/>
      <c r="AL1514" s="6"/>
      <c r="AM1514" s="6"/>
      <c r="AN1514" s="6"/>
      <c r="AO1514" s="6"/>
      <c r="AP1514" s="6"/>
      <c r="AQ1514" s="6"/>
      <c r="AR1514" s="6"/>
      <c r="AS1514" s="6"/>
      <c r="AT1514" s="6"/>
      <c r="AU1514" s="6"/>
      <c r="AV1514" s="6"/>
      <c r="AW1514" s="6"/>
      <c r="AX1514" s="6"/>
      <c r="AY1514" s="6"/>
      <c r="AZ1514" s="6"/>
      <c r="BA1514" s="6"/>
      <c r="BB1514" s="6"/>
      <c r="BC1514" s="6"/>
      <c r="BD1514" s="6"/>
      <c r="BE1514" s="6"/>
      <c r="BF1514" s="6"/>
      <c r="BG1514" s="6"/>
      <c r="BH1514" s="6"/>
      <c r="BI1514" s="6"/>
      <c r="BJ1514" s="6"/>
      <c r="BK1514" s="6"/>
      <c r="BL1514" s="6"/>
      <c r="BM1514" s="5"/>
      <c r="BN1514" s="7"/>
      <c r="BO1514" s="7"/>
      <c r="BP1514" s="7"/>
    </row>
    <row r="1515" spans="1:68" s="400" customFormat="1" ht="14.25" customHeight="1" x14ac:dyDescent="0.25">
      <c r="A1515" s="5"/>
      <c r="B1515" s="5"/>
      <c r="C1515" s="5"/>
      <c r="D1515" s="5"/>
      <c r="E1515" s="5"/>
      <c r="F1515" s="5"/>
      <c r="G1515" s="5"/>
      <c r="H1515" s="5"/>
      <c r="I1515" s="5"/>
      <c r="J1515" s="5"/>
      <c r="K1515" s="5"/>
      <c r="L1515" s="5"/>
      <c r="M1515" s="5"/>
      <c r="N1515" s="5"/>
      <c r="O1515" s="5"/>
      <c r="P1515" s="5"/>
      <c r="Q1515" s="5"/>
      <c r="R1515" s="5"/>
      <c r="S1515" s="5"/>
      <c r="T1515" s="5"/>
      <c r="U1515" s="5"/>
      <c r="V1515" s="5"/>
      <c r="W1515" s="5"/>
      <c r="X1515" s="5"/>
      <c r="Y1515" s="5"/>
      <c r="Z1515" s="5"/>
      <c r="AA1515" s="5"/>
      <c r="AB1515" s="6"/>
      <c r="AC1515" s="6"/>
      <c r="AD1515" s="6"/>
      <c r="AE1515" s="6"/>
      <c r="AF1515" s="6"/>
      <c r="AG1515" s="6"/>
      <c r="AH1515" s="6"/>
      <c r="AI1515" s="6"/>
      <c r="AJ1515" s="6"/>
      <c r="AK1515" s="6"/>
      <c r="AL1515" s="6"/>
      <c r="AM1515" s="6"/>
      <c r="AN1515" s="6"/>
      <c r="AO1515" s="6"/>
      <c r="AP1515" s="6"/>
      <c r="AQ1515" s="6"/>
      <c r="AR1515" s="6"/>
      <c r="AS1515" s="6"/>
      <c r="AT1515" s="6"/>
      <c r="AU1515" s="6"/>
      <c r="AV1515" s="6"/>
      <c r="AW1515" s="6"/>
      <c r="AX1515" s="6"/>
      <c r="AY1515" s="6"/>
      <c r="AZ1515" s="6"/>
      <c r="BA1515" s="6"/>
      <c r="BB1515" s="6"/>
      <c r="BC1515" s="6"/>
      <c r="BD1515" s="6"/>
      <c r="BE1515" s="6"/>
      <c r="BF1515" s="6"/>
      <c r="BG1515" s="6"/>
      <c r="BH1515" s="6"/>
      <c r="BI1515" s="6"/>
      <c r="BJ1515" s="6"/>
      <c r="BK1515" s="6"/>
      <c r="BL1515" s="6"/>
      <c r="BM1515" s="5"/>
      <c r="BN1515" s="7"/>
      <c r="BO1515" s="7"/>
      <c r="BP1515" s="7"/>
    </row>
    <row r="1516" spans="1:68" s="400" customFormat="1" ht="14.25" customHeight="1" x14ac:dyDescent="0.25">
      <c r="A1516" s="5"/>
      <c r="B1516" s="5"/>
      <c r="C1516" s="5"/>
      <c r="D1516" s="5"/>
      <c r="E1516" s="5"/>
      <c r="F1516" s="5"/>
      <c r="G1516" s="5"/>
      <c r="H1516" s="5"/>
      <c r="I1516" s="5"/>
      <c r="J1516" s="5"/>
      <c r="K1516" s="5"/>
      <c r="L1516" s="5"/>
      <c r="M1516" s="5"/>
      <c r="N1516" s="5"/>
      <c r="O1516" s="5"/>
      <c r="P1516" s="5"/>
      <c r="Q1516" s="5"/>
      <c r="R1516" s="5"/>
      <c r="S1516" s="5"/>
      <c r="T1516" s="5"/>
      <c r="U1516" s="5"/>
      <c r="V1516" s="5"/>
      <c r="W1516" s="5"/>
      <c r="X1516" s="5"/>
      <c r="Y1516" s="5"/>
      <c r="Z1516" s="5"/>
      <c r="AA1516" s="5"/>
      <c r="AB1516" s="6"/>
      <c r="AC1516" s="6"/>
      <c r="AD1516" s="6"/>
      <c r="AE1516" s="6"/>
      <c r="AF1516" s="6"/>
      <c r="AG1516" s="6"/>
      <c r="AH1516" s="6"/>
      <c r="AI1516" s="6"/>
      <c r="AJ1516" s="6"/>
      <c r="AK1516" s="6"/>
      <c r="AL1516" s="6"/>
      <c r="AM1516" s="6"/>
      <c r="AN1516" s="6"/>
      <c r="AO1516" s="6"/>
      <c r="AP1516" s="6"/>
      <c r="AQ1516" s="6"/>
      <c r="AR1516" s="6"/>
      <c r="AS1516" s="6"/>
      <c r="AT1516" s="6"/>
      <c r="AU1516" s="6"/>
      <c r="AV1516" s="6"/>
      <c r="AW1516" s="6"/>
      <c r="AX1516" s="6"/>
      <c r="AY1516" s="6"/>
      <c r="AZ1516" s="6"/>
      <c r="BA1516" s="6"/>
      <c r="BB1516" s="6"/>
      <c r="BC1516" s="6"/>
      <c r="BD1516" s="6"/>
      <c r="BE1516" s="6"/>
      <c r="BF1516" s="6"/>
      <c r="BG1516" s="6"/>
      <c r="BH1516" s="6"/>
      <c r="BI1516" s="6"/>
      <c r="BJ1516" s="6"/>
      <c r="BK1516" s="6"/>
      <c r="BL1516" s="6"/>
      <c r="BM1516" s="5"/>
      <c r="BN1516" s="7"/>
      <c r="BO1516" s="7"/>
      <c r="BP1516" s="7"/>
    </row>
    <row r="1517" spans="1:68" s="400" customFormat="1" ht="14.25" customHeight="1" x14ac:dyDescent="0.25">
      <c r="A1517" s="5"/>
      <c r="B1517" s="5"/>
      <c r="C1517" s="5"/>
      <c r="D1517" s="5"/>
      <c r="E1517" s="5"/>
      <c r="F1517" s="5"/>
      <c r="G1517" s="5"/>
      <c r="H1517" s="5"/>
      <c r="I1517" s="5"/>
      <c r="J1517" s="5"/>
      <c r="K1517" s="5"/>
      <c r="L1517" s="5"/>
      <c r="M1517" s="5"/>
      <c r="N1517" s="5"/>
      <c r="O1517" s="5"/>
      <c r="P1517" s="5"/>
      <c r="Q1517" s="5"/>
      <c r="R1517" s="5"/>
      <c r="S1517" s="5"/>
      <c r="T1517" s="5"/>
      <c r="U1517" s="5"/>
      <c r="V1517" s="5"/>
      <c r="W1517" s="5"/>
      <c r="X1517" s="5"/>
      <c r="Y1517" s="5"/>
      <c r="Z1517" s="5"/>
      <c r="AA1517" s="5"/>
      <c r="AB1517" s="6"/>
      <c r="AC1517" s="6"/>
      <c r="AD1517" s="6"/>
      <c r="AE1517" s="6"/>
      <c r="AF1517" s="6"/>
      <c r="AG1517" s="6"/>
      <c r="AH1517" s="6"/>
      <c r="AI1517" s="6"/>
      <c r="AJ1517" s="6"/>
      <c r="AK1517" s="6"/>
      <c r="AL1517" s="6"/>
      <c r="AM1517" s="6"/>
      <c r="AN1517" s="6"/>
      <c r="AO1517" s="6"/>
      <c r="AP1517" s="6"/>
      <c r="AQ1517" s="6"/>
      <c r="AR1517" s="6"/>
      <c r="AS1517" s="6"/>
      <c r="AT1517" s="6"/>
      <c r="AU1517" s="6"/>
      <c r="AV1517" s="6"/>
      <c r="AW1517" s="6"/>
      <c r="AX1517" s="6"/>
      <c r="AY1517" s="6"/>
      <c r="AZ1517" s="6"/>
      <c r="BA1517" s="6"/>
      <c r="BB1517" s="6"/>
      <c r="BC1517" s="6"/>
      <c r="BD1517" s="6"/>
      <c r="BE1517" s="6"/>
      <c r="BF1517" s="6"/>
      <c r="BG1517" s="6"/>
      <c r="BH1517" s="6"/>
      <c r="BI1517" s="6"/>
      <c r="BJ1517" s="6"/>
      <c r="BK1517" s="6"/>
      <c r="BL1517" s="6"/>
      <c r="BM1517" s="5"/>
      <c r="BN1517" s="7"/>
      <c r="BO1517" s="7"/>
      <c r="BP1517" s="7"/>
    </row>
    <row r="1518" spans="1:68" s="400" customFormat="1" ht="14.25" customHeight="1" x14ac:dyDescent="0.25">
      <c r="A1518" s="5"/>
      <c r="B1518" s="5"/>
      <c r="C1518" s="5"/>
      <c r="D1518" s="5"/>
      <c r="E1518" s="5"/>
      <c r="F1518" s="5"/>
      <c r="G1518" s="5"/>
      <c r="H1518" s="5"/>
      <c r="I1518" s="5"/>
      <c r="J1518" s="5"/>
      <c r="K1518" s="5"/>
      <c r="L1518" s="5"/>
      <c r="M1518" s="5"/>
      <c r="N1518" s="5"/>
      <c r="O1518" s="5"/>
      <c r="P1518" s="5"/>
      <c r="Q1518" s="5"/>
      <c r="R1518" s="5"/>
      <c r="S1518" s="5"/>
      <c r="T1518" s="5"/>
      <c r="U1518" s="5"/>
      <c r="V1518" s="5"/>
      <c r="W1518" s="5"/>
      <c r="X1518" s="5"/>
      <c r="Y1518" s="5"/>
      <c r="Z1518" s="5"/>
      <c r="AA1518" s="5"/>
      <c r="AB1518" s="6"/>
      <c r="AC1518" s="6"/>
      <c r="AD1518" s="6"/>
      <c r="AE1518" s="6"/>
      <c r="AF1518" s="6"/>
      <c r="AG1518" s="6"/>
      <c r="AH1518" s="6"/>
      <c r="AI1518" s="6"/>
      <c r="AJ1518" s="6"/>
      <c r="AK1518" s="6"/>
      <c r="AL1518" s="6"/>
      <c r="AM1518" s="6"/>
      <c r="AN1518" s="6"/>
      <c r="AO1518" s="6"/>
      <c r="AP1518" s="6"/>
      <c r="AQ1518" s="6"/>
      <c r="AR1518" s="6"/>
      <c r="AS1518" s="6"/>
      <c r="AT1518" s="6"/>
      <c r="AU1518" s="6"/>
      <c r="AV1518" s="6"/>
      <c r="AW1518" s="6"/>
      <c r="AX1518" s="6"/>
      <c r="AY1518" s="6"/>
      <c r="AZ1518" s="6"/>
      <c r="BA1518" s="6"/>
      <c r="BB1518" s="6"/>
      <c r="BC1518" s="6"/>
      <c r="BD1518" s="6"/>
      <c r="BE1518" s="6"/>
      <c r="BF1518" s="6"/>
      <c r="BG1518" s="6"/>
      <c r="BH1518" s="6"/>
      <c r="BI1518" s="6"/>
      <c r="BJ1518" s="6"/>
      <c r="BK1518" s="6"/>
      <c r="BL1518" s="6"/>
      <c r="BM1518" s="5"/>
      <c r="BN1518" s="7"/>
      <c r="BO1518" s="7"/>
      <c r="BP1518" s="7"/>
    </row>
    <row r="1519" spans="1:68" s="400" customFormat="1" ht="14.25" customHeight="1" x14ac:dyDescent="0.25">
      <c r="A1519" s="5"/>
      <c r="B1519" s="5"/>
      <c r="C1519" s="5"/>
      <c r="D1519" s="5"/>
      <c r="E1519" s="5"/>
      <c r="F1519" s="5"/>
      <c r="G1519" s="5"/>
      <c r="H1519" s="5"/>
      <c r="I1519" s="5"/>
      <c r="J1519" s="5"/>
      <c r="K1519" s="5"/>
      <c r="L1519" s="5"/>
      <c r="M1519" s="5"/>
      <c r="N1519" s="5"/>
      <c r="O1519" s="5"/>
      <c r="P1519" s="5"/>
      <c r="Q1519" s="5"/>
      <c r="R1519" s="5"/>
      <c r="S1519" s="5"/>
      <c r="T1519" s="5"/>
      <c r="U1519" s="5"/>
      <c r="V1519" s="5"/>
      <c r="W1519" s="5"/>
      <c r="X1519" s="5"/>
      <c r="Y1519" s="5"/>
      <c r="Z1519" s="5"/>
      <c r="AA1519" s="5"/>
      <c r="AB1519" s="6"/>
      <c r="AC1519" s="6"/>
      <c r="AD1519" s="6"/>
      <c r="AE1519" s="6"/>
      <c r="AF1519" s="6"/>
      <c r="AG1519" s="6"/>
      <c r="AH1519" s="6"/>
      <c r="AI1519" s="6"/>
      <c r="AJ1519" s="6"/>
      <c r="AK1519" s="6"/>
      <c r="AL1519" s="6"/>
      <c r="AM1519" s="6"/>
      <c r="AN1519" s="6"/>
      <c r="AO1519" s="6"/>
      <c r="AP1519" s="6"/>
      <c r="AQ1519" s="6"/>
      <c r="AR1519" s="6"/>
      <c r="AS1519" s="6"/>
      <c r="AT1519" s="6"/>
      <c r="AU1519" s="6"/>
      <c r="AV1519" s="6"/>
      <c r="AW1519" s="6"/>
      <c r="AX1519" s="6"/>
      <c r="AY1519" s="6"/>
      <c r="AZ1519" s="6"/>
      <c r="BA1519" s="6"/>
      <c r="BB1519" s="6"/>
      <c r="BC1519" s="6"/>
      <c r="BD1519" s="6"/>
      <c r="BE1519" s="6"/>
      <c r="BF1519" s="6"/>
      <c r="BG1519" s="6"/>
      <c r="BH1519" s="6"/>
      <c r="BI1519" s="6"/>
      <c r="BJ1519" s="6"/>
      <c r="BK1519" s="6"/>
      <c r="BL1519" s="6"/>
      <c r="BM1519" s="5"/>
      <c r="BN1519" s="7"/>
      <c r="BO1519" s="7"/>
      <c r="BP1519" s="7"/>
    </row>
    <row r="1520" spans="1:68" s="400" customFormat="1" ht="14.25" customHeight="1" x14ac:dyDescent="0.25">
      <c r="A1520" s="5"/>
      <c r="B1520" s="5"/>
      <c r="C1520" s="5"/>
      <c r="D1520" s="5"/>
      <c r="E1520" s="5"/>
      <c r="F1520" s="5"/>
      <c r="G1520" s="5"/>
      <c r="H1520" s="5"/>
      <c r="I1520" s="5"/>
      <c r="J1520" s="5"/>
      <c r="K1520" s="5"/>
      <c r="L1520" s="5"/>
      <c r="M1520" s="5"/>
      <c r="N1520" s="5"/>
      <c r="O1520" s="5"/>
      <c r="P1520" s="5"/>
      <c r="Q1520" s="5"/>
      <c r="R1520" s="5"/>
      <c r="S1520" s="5"/>
      <c r="T1520" s="5"/>
      <c r="U1520" s="5"/>
      <c r="V1520" s="5"/>
      <c r="W1520" s="5"/>
      <c r="X1520" s="5"/>
      <c r="Y1520" s="5"/>
      <c r="Z1520" s="5"/>
      <c r="AA1520" s="5"/>
      <c r="AB1520" s="6"/>
      <c r="AC1520" s="6"/>
      <c r="AD1520" s="6"/>
      <c r="AE1520" s="6"/>
      <c r="AF1520" s="6"/>
      <c r="AG1520" s="6"/>
      <c r="AH1520" s="6"/>
      <c r="AI1520" s="6"/>
      <c r="AJ1520" s="6"/>
      <c r="AK1520" s="6"/>
      <c r="AL1520" s="6"/>
      <c r="AM1520" s="6"/>
      <c r="AN1520" s="6"/>
      <c r="AO1520" s="6"/>
      <c r="AP1520" s="6"/>
      <c r="AQ1520" s="6"/>
      <c r="AR1520" s="6"/>
      <c r="AS1520" s="6"/>
      <c r="AT1520" s="6"/>
      <c r="AU1520" s="6"/>
      <c r="AV1520" s="6"/>
      <c r="AW1520" s="6"/>
      <c r="AX1520" s="6"/>
      <c r="AY1520" s="6"/>
      <c r="AZ1520" s="6"/>
      <c r="BA1520" s="6"/>
      <c r="BB1520" s="6"/>
      <c r="BC1520" s="6"/>
      <c r="BD1520" s="6"/>
      <c r="BE1520" s="6"/>
      <c r="BF1520" s="6"/>
      <c r="BG1520" s="6"/>
      <c r="BH1520" s="6"/>
      <c r="BI1520" s="6"/>
      <c r="BJ1520" s="6"/>
      <c r="BK1520" s="6"/>
      <c r="BL1520" s="6"/>
      <c r="BM1520" s="5"/>
      <c r="BN1520" s="7"/>
      <c r="BO1520" s="7"/>
      <c r="BP1520" s="7"/>
    </row>
    <row r="1521" spans="1:68" s="400" customFormat="1" ht="14.25" customHeight="1" x14ac:dyDescent="0.25">
      <c r="A1521" s="5"/>
      <c r="B1521" s="5"/>
      <c r="C1521" s="5"/>
      <c r="D1521" s="5"/>
      <c r="E1521" s="5"/>
      <c r="F1521" s="5"/>
      <c r="G1521" s="5"/>
      <c r="H1521" s="5"/>
      <c r="I1521" s="5"/>
      <c r="J1521" s="5"/>
      <c r="K1521" s="5"/>
      <c r="L1521" s="5"/>
      <c r="M1521" s="5"/>
      <c r="N1521" s="5"/>
      <c r="O1521" s="5"/>
      <c r="P1521" s="5"/>
      <c r="Q1521" s="5"/>
      <c r="R1521" s="5"/>
      <c r="S1521" s="5"/>
      <c r="T1521" s="5"/>
      <c r="U1521" s="5"/>
      <c r="V1521" s="5"/>
      <c r="W1521" s="5"/>
      <c r="X1521" s="5"/>
      <c r="Y1521" s="5"/>
      <c r="Z1521" s="5"/>
      <c r="AA1521" s="5"/>
      <c r="AB1521" s="6"/>
      <c r="AC1521" s="6"/>
      <c r="AD1521" s="6"/>
      <c r="AE1521" s="6"/>
      <c r="AF1521" s="6"/>
      <c r="AG1521" s="6"/>
      <c r="AH1521" s="6"/>
      <c r="AI1521" s="6"/>
      <c r="AJ1521" s="6"/>
      <c r="AK1521" s="6"/>
      <c r="AL1521" s="6"/>
      <c r="AM1521" s="6"/>
      <c r="AN1521" s="6"/>
      <c r="AO1521" s="6"/>
      <c r="AP1521" s="6"/>
      <c r="AQ1521" s="6"/>
      <c r="AR1521" s="6"/>
      <c r="AS1521" s="6"/>
      <c r="AT1521" s="6"/>
      <c r="AU1521" s="6"/>
      <c r="AV1521" s="6"/>
      <c r="AW1521" s="6"/>
      <c r="AX1521" s="6"/>
      <c r="AY1521" s="6"/>
      <c r="AZ1521" s="6"/>
      <c r="BA1521" s="6"/>
      <c r="BB1521" s="6"/>
      <c r="BC1521" s="6"/>
      <c r="BD1521" s="6"/>
      <c r="BE1521" s="6"/>
      <c r="BF1521" s="6"/>
      <c r="BG1521" s="6"/>
      <c r="BH1521" s="6"/>
      <c r="BI1521" s="6"/>
      <c r="BJ1521" s="6"/>
      <c r="BK1521" s="6"/>
      <c r="BL1521" s="6"/>
      <c r="BM1521" s="5"/>
      <c r="BN1521" s="7"/>
      <c r="BO1521" s="7"/>
      <c r="BP1521" s="7"/>
    </row>
    <row r="1522" spans="1:68" s="400" customFormat="1" ht="14.25" customHeight="1" x14ac:dyDescent="0.25">
      <c r="A1522" s="5"/>
      <c r="B1522" s="5"/>
      <c r="C1522" s="5"/>
      <c r="D1522" s="5"/>
      <c r="E1522" s="5"/>
      <c r="F1522" s="5"/>
      <c r="G1522" s="5"/>
      <c r="H1522" s="5"/>
      <c r="I1522" s="5"/>
      <c r="J1522" s="5"/>
      <c r="K1522" s="5"/>
      <c r="L1522" s="5"/>
      <c r="M1522" s="5"/>
      <c r="N1522" s="5"/>
      <c r="O1522" s="5"/>
      <c r="P1522" s="5"/>
      <c r="Q1522" s="5"/>
      <c r="R1522" s="5"/>
      <c r="S1522" s="5"/>
      <c r="T1522" s="5"/>
      <c r="U1522" s="5"/>
      <c r="V1522" s="5"/>
      <c r="W1522" s="5"/>
      <c r="X1522" s="5"/>
      <c r="Y1522" s="5"/>
      <c r="Z1522" s="5"/>
      <c r="AA1522" s="5"/>
      <c r="AB1522" s="6"/>
      <c r="AC1522" s="6"/>
      <c r="AD1522" s="6"/>
      <c r="AE1522" s="6"/>
      <c r="AF1522" s="6"/>
      <c r="AG1522" s="6"/>
      <c r="AH1522" s="6"/>
      <c r="AI1522" s="6"/>
      <c r="AJ1522" s="6"/>
      <c r="AK1522" s="6"/>
      <c r="AL1522" s="6"/>
      <c r="AM1522" s="6"/>
      <c r="AN1522" s="6"/>
      <c r="AO1522" s="6"/>
      <c r="AP1522" s="6"/>
      <c r="AQ1522" s="6"/>
      <c r="AR1522" s="6"/>
      <c r="AS1522" s="6"/>
      <c r="AT1522" s="6"/>
      <c r="AU1522" s="6"/>
      <c r="AV1522" s="6"/>
      <c r="AW1522" s="6"/>
      <c r="AX1522" s="6"/>
      <c r="AY1522" s="6"/>
      <c r="AZ1522" s="6"/>
      <c r="BA1522" s="6"/>
      <c r="BB1522" s="6"/>
      <c r="BC1522" s="6"/>
      <c r="BD1522" s="6"/>
      <c r="BE1522" s="6"/>
      <c r="BF1522" s="6"/>
      <c r="BG1522" s="6"/>
      <c r="BH1522" s="6"/>
      <c r="BI1522" s="6"/>
      <c r="BJ1522" s="6"/>
      <c r="BK1522" s="6"/>
      <c r="BL1522" s="6"/>
      <c r="BM1522" s="5"/>
      <c r="BN1522" s="7"/>
      <c r="BO1522" s="7"/>
      <c r="BP1522" s="7"/>
    </row>
    <row r="1523" spans="1:68" s="400" customFormat="1" ht="14.25" customHeight="1" x14ac:dyDescent="0.25">
      <c r="A1523" s="5"/>
      <c r="B1523" s="5"/>
      <c r="C1523" s="5"/>
      <c r="D1523" s="5"/>
      <c r="E1523" s="5"/>
      <c r="F1523" s="5"/>
      <c r="G1523" s="5"/>
      <c r="H1523" s="5"/>
      <c r="I1523" s="5"/>
      <c r="J1523" s="5"/>
      <c r="K1523" s="5"/>
      <c r="L1523" s="5"/>
      <c r="M1523" s="5"/>
      <c r="N1523" s="5"/>
      <c r="O1523" s="5"/>
      <c r="P1523" s="5"/>
      <c r="Q1523" s="5"/>
      <c r="R1523" s="5"/>
      <c r="S1523" s="5"/>
      <c r="T1523" s="5"/>
      <c r="U1523" s="5"/>
      <c r="V1523" s="5"/>
      <c r="W1523" s="5"/>
      <c r="X1523" s="5"/>
      <c r="Y1523" s="5"/>
      <c r="Z1523" s="5"/>
      <c r="AA1523" s="5"/>
      <c r="AB1523" s="6"/>
      <c r="AC1523" s="6"/>
      <c r="AD1523" s="6"/>
      <c r="AE1523" s="6"/>
      <c r="AF1523" s="6"/>
      <c r="AG1523" s="6"/>
      <c r="AH1523" s="6"/>
      <c r="AI1523" s="6"/>
      <c r="AJ1523" s="6"/>
      <c r="AK1523" s="6"/>
      <c r="AL1523" s="6"/>
      <c r="AM1523" s="6"/>
      <c r="AN1523" s="6"/>
      <c r="AO1523" s="6"/>
      <c r="AP1523" s="6"/>
      <c r="AQ1523" s="6"/>
      <c r="AR1523" s="6"/>
      <c r="AS1523" s="6"/>
      <c r="AT1523" s="6"/>
      <c r="AU1523" s="6"/>
      <c r="AV1523" s="6"/>
      <c r="AW1523" s="6"/>
      <c r="AX1523" s="6"/>
      <c r="AY1523" s="6"/>
      <c r="AZ1523" s="6"/>
      <c r="BA1523" s="6"/>
      <c r="BB1523" s="6"/>
      <c r="BC1523" s="6"/>
      <c r="BD1523" s="6"/>
      <c r="BE1523" s="6"/>
      <c r="BF1523" s="6"/>
      <c r="BG1523" s="6"/>
      <c r="BH1523" s="6"/>
      <c r="BI1523" s="6"/>
      <c r="BJ1523" s="6"/>
      <c r="BK1523" s="6"/>
      <c r="BL1523" s="6"/>
      <c r="BM1523" s="5"/>
      <c r="BN1523" s="7"/>
      <c r="BO1523" s="7"/>
      <c r="BP1523" s="7"/>
    </row>
    <row r="1524" spans="1:68" s="400" customFormat="1" ht="14.25" customHeight="1" x14ac:dyDescent="0.25">
      <c r="A1524" s="5"/>
      <c r="B1524" s="5"/>
      <c r="C1524" s="5"/>
      <c r="D1524" s="5"/>
      <c r="E1524" s="5"/>
      <c r="F1524" s="5"/>
      <c r="G1524" s="5"/>
      <c r="H1524" s="5"/>
      <c r="I1524" s="5"/>
      <c r="J1524" s="5"/>
      <c r="K1524" s="5"/>
      <c r="L1524" s="5"/>
      <c r="M1524" s="5"/>
      <c r="N1524" s="5"/>
      <c r="O1524" s="5"/>
      <c r="P1524" s="5"/>
      <c r="Q1524" s="5"/>
      <c r="R1524" s="5"/>
      <c r="S1524" s="5"/>
      <c r="T1524" s="5"/>
      <c r="U1524" s="5"/>
      <c r="V1524" s="5"/>
      <c r="W1524" s="5"/>
      <c r="X1524" s="5"/>
      <c r="Y1524" s="5"/>
      <c r="Z1524" s="5"/>
      <c r="AA1524" s="5"/>
      <c r="AB1524" s="6"/>
      <c r="AC1524" s="6"/>
      <c r="AD1524" s="6"/>
      <c r="AE1524" s="6"/>
      <c r="AF1524" s="6"/>
      <c r="AG1524" s="6"/>
      <c r="AH1524" s="6"/>
      <c r="AI1524" s="6"/>
      <c r="AJ1524" s="6"/>
      <c r="AK1524" s="6"/>
      <c r="AL1524" s="6"/>
      <c r="AM1524" s="6"/>
      <c r="AN1524" s="6"/>
      <c r="AO1524" s="6"/>
      <c r="AP1524" s="6"/>
      <c r="AQ1524" s="6"/>
      <c r="AR1524" s="6"/>
      <c r="AS1524" s="6"/>
      <c r="AT1524" s="6"/>
      <c r="AU1524" s="6"/>
      <c r="AV1524" s="6"/>
      <c r="AW1524" s="6"/>
      <c r="AX1524" s="6"/>
      <c r="AY1524" s="6"/>
      <c r="AZ1524" s="6"/>
      <c r="BA1524" s="6"/>
      <c r="BB1524" s="6"/>
      <c r="BC1524" s="6"/>
      <c r="BD1524" s="6"/>
      <c r="BE1524" s="6"/>
      <c r="BF1524" s="6"/>
      <c r="BG1524" s="6"/>
      <c r="BH1524" s="6"/>
      <c r="BI1524" s="6"/>
      <c r="BJ1524" s="6"/>
      <c r="BK1524" s="6"/>
      <c r="BL1524" s="6"/>
      <c r="BM1524" s="5"/>
      <c r="BN1524" s="7"/>
      <c r="BO1524" s="7"/>
      <c r="BP1524" s="7"/>
    </row>
    <row r="1525" spans="1:68" s="400" customFormat="1" ht="14.25" customHeight="1" x14ac:dyDescent="0.25">
      <c r="A1525" s="5"/>
      <c r="B1525" s="5"/>
      <c r="C1525" s="5"/>
      <c r="D1525" s="5"/>
      <c r="E1525" s="5"/>
      <c r="F1525" s="5"/>
      <c r="G1525" s="5"/>
      <c r="H1525" s="5"/>
      <c r="I1525" s="5"/>
      <c r="J1525" s="5"/>
      <c r="K1525" s="5"/>
      <c r="L1525" s="5"/>
      <c r="M1525" s="5"/>
      <c r="N1525" s="5"/>
      <c r="O1525" s="5"/>
      <c r="P1525" s="5"/>
      <c r="Q1525" s="5"/>
      <c r="R1525" s="5"/>
      <c r="S1525" s="5"/>
      <c r="T1525" s="5"/>
      <c r="U1525" s="5"/>
      <c r="V1525" s="5"/>
      <c r="W1525" s="5"/>
      <c r="X1525" s="5"/>
      <c r="Y1525" s="5"/>
      <c r="Z1525" s="5"/>
      <c r="AA1525" s="5"/>
      <c r="AB1525" s="6"/>
      <c r="AC1525" s="6"/>
      <c r="AD1525" s="6"/>
      <c r="AE1525" s="6"/>
      <c r="AF1525" s="6"/>
      <c r="AG1525" s="6"/>
      <c r="AH1525" s="6"/>
      <c r="AI1525" s="6"/>
      <c r="AJ1525" s="6"/>
      <c r="AK1525" s="6"/>
      <c r="AL1525" s="6"/>
      <c r="AM1525" s="6"/>
      <c r="AN1525" s="6"/>
      <c r="AO1525" s="6"/>
      <c r="AP1525" s="6"/>
      <c r="AQ1525" s="6"/>
      <c r="AR1525" s="6"/>
      <c r="AS1525" s="6"/>
      <c r="AT1525" s="6"/>
      <c r="AU1525" s="6"/>
      <c r="AV1525" s="6"/>
      <c r="AW1525" s="6"/>
      <c r="AX1525" s="6"/>
      <c r="AY1525" s="6"/>
      <c r="AZ1525" s="6"/>
      <c r="BA1525" s="6"/>
      <c r="BB1525" s="6"/>
      <c r="BC1525" s="6"/>
      <c r="BD1525" s="6"/>
      <c r="BE1525" s="6"/>
      <c r="BF1525" s="6"/>
      <c r="BG1525" s="6"/>
      <c r="BH1525" s="6"/>
      <c r="BI1525" s="6"/>
      <c r="BJ1525" s="6"/>
      <c r="BK1525" s="6"/>
      <c r="BL1525" s="6"/>
      <c r="BM1525" s="5"/>
      <c r="BN1525" s="7"/>
      <c r="BO1525" s="7"/>
      <c r="BP1525" s="7"/>
    </row>
    <row r="1526" spans="1:68" s="400" customFormat="1" ht="14.25" customHeight="1" x14ac:dyDescent="0.25">
      <c r="A1526" s="5"/>
      <c r="B1526" s="5"/>
      <c r="C1526" s="5"/>
      <c r="D1526" s="5"/>
      <c r="E1526" s="5"/>
      <c r="F1526" s="5"/>
      <c r="G1526" s="5"/>
      <c r="H1526" s="5"/>
      <c r="I1526" s="5"/>
      <c r="J1526" s="5"/>
      <c r="K1526" s="5"/>
      <c r="L1526" s="5"/>
      <c r="M1526" s="5"/>
      <c r="N1526" s="5"/>
      <c r="O1526" s="5"/>
      <c r="P1526" s="5"/>
      <c r="Q1526" s="5"/>
      <c r="R1526" s="5"/>
      <c r="S1526" s="5"/>
      <c r="T1526" s="5"/>
      <c r="U1526" s="5"/>
      <c r="V1526" s="5"/>
      <c r="W1526" s="5"/>
      <c r="X1526" s="5"/>
      <c r="Y1526" s="5"/>
      <c r="Z1526" s="5"/>
      <c r="AA1526" s="5"/>
      <c r="AB1526" s="6"/>
      <c r="AC1526" s="6"/>
      <c r="AD1526" s="6"/>
      <c r="AE1526" s="6"/>
      <c r="AF1526" s="6"/>
      <c r="AG1526" s="6"/>
      <c r="AH1526" s="6"/>
      <c r="AI1526" s="6"/>
      <c r="AJ1526" s="6"/>
      <c r="AK1526" s="6"/>
      <c r="AL1526" s="6"/>
      <c r="AM1526" s="6"/>
      <c r="AN1526" s="6"/>
      <c r="AO1526" s="6"/>
      <c r="AP1526" s="6"/>
      <c r="AQ1526" s="6"/>
      <c r="AR1526" s="6"/>
      <c r="AS1526" s="6"/>
      <c r="AT1526" s="6"/>
      <c r="AU1526" s="6"/>
      <c r="AV1526" s="6"/>
      <c r="AW1526" s="6"/>
      <c r="AX1526" s="6"/>
      <c r="AY1526" s="6"/>
      <c r="AZ1526" s="6"/>
      <c r="BA1526" s="6"/>
      <c r="BB1526" s="6"/>
      <c r="BC1526" s="6"/>
      <c r="BD1526" s="6"/>
      <c r="BE1526" s="6"/>
      <c r="BF1526" s="6"/>
      <c r="BG1526" s="6"/>
      <c r="BH1526" s="6"/>
      <c r="BI1526" s="6"/>
      <c r="BJ1526" s="6"/>
      <c r="BK1526" s="6"/>
      <c r="BL1526" s="6"/>
      <c r="BM1526" s="5"/>
      <c r="BN1526" s="7"/>
      <c r="BO1526" s="7"/>
      <c r="BP1526" s="7"/>
    </row>
    <row r="1527" spans="1:68" s="400" customFormat="1" ht="14.25" customHeight="1" x14ac:dyDescent="0.25">
      <c r="A1527" s="5"/>
      <c r="B1527" s="5"/>
      <c r="C1527" s="5"/>
      <c r="D1527" s="5"/>
      <c r="E1527" s="5"/>
      <c r="F1527" s="5"/>
      <c r="G1527" s="5"/>
      <c r="H1527" s="5"/>
      <c r="I1527" s="5"/>
      <c r="J1527" s="5"/>
      <c r="K1527" s="5"/>
      <c r="L1527" s="5"/>
      <c r="M1527" s="5"/>
      <c r="N1527" s="5"/>
      <c r="O1527" s="5"/>
      <c r="P1527" s="5"/>
      <c r="Q1527" s="5"/>
      <c r="R1527" s="5"/>
      <c r="S1527" s="5"/>
      <c r="T1527" s="5"/>
      <c r="U1527" s="5"/>
      <c r="V1527" s="5"/>
      <c r="W1527" s="5"/>
      <c r="X1527" s="5"/>
      <c r="Y1527" s="5"/>
      <c r="Z1527" s="5"/>
      <c r="AA1527" s="5"/>
      <c r="AB1527" s="6"/>
      <c r="AC1527" s="6"/>
      <c r="AD1527" s="6"/>
      <c r="AE1527" s="6"/>
      <c r="AF1527" s="6"/>
      <c r="AG1527" s="6"/>
      <c r="AH1527" s="6"/>
      <c r="AI1527" s="6"/>
      <c r="AJ1527" s="6"/>
      <c r="AK1527" s="6"/>
      <c r="AL1527" s="6"/>
      <c r="AM1527" s="6"/>
      <c r="AN1527" s="6"/>
      <c r="AO1527" s="6"/>
      <c r="AP1527" s="6"/>
      <c r="AQ1527" s="6"/>
      <c r="AR1527" s="6"/>
      <c r="AS1527" s="6"/>
      <c r="AT1527" s="6"/>
      <c r="AU1527" s="6"/>
      <c r="AV1527" s="6"/>
      <c r="AW1527" s="6"/>
      <c r="AX1527" s="6"/>
      <c r="AY1527" s="6"/>
      <c r="AZ1527" s="6"/>
      <c r="BA1527" s="6"/>
      <c r="BB1527" s="6"/>
      <c r="BC1527" s="6"/>
      <c r="BD1527" s="6"/>
      <c r="BE1527" s="6"/>
      <c r="BF1527" s="6"/>
      <c r="BG1527" s="6"/>
      <c r="BH1527" s="6"/>
      <c r="BI1527" s="6"/>
      <c r="BJ1527" s="6"/>
      <c r="BK1527" s="6"/>
      <c r="BL1527" s="6"/>
      <c r="BM1527" s="5"/>
      <c r="BN1527" s="7"/>
      <c r="BO1527" s="7"/>
      <c r="BP1527" s="7"/>
    </row>
    <row r="1528" spans="1:68" s="400" customFormat="1" ht="14.25" customHeight="1" x14ac:dyDescent="0.25">
      <c r="A1528" s="5"/>
      <c r="B1528" s="5"/>
      <c r="C1528" s="5"/>
      <c r="D1528" s="5"/>
      <c r="E1528" s="5"/>
      <c r="F1528" s="5"/>
      <c r="G1528" s="5"/>
      <c r="H1528" s="5"/>
      <c r="I1528" s="5"/>
      <c r="J1528" s="5"/>
      <c r="K1528" s="5"/>
      <c r="L1528" s="5"/>
      <c r="M1528" s="5"/>
      <c r="N1528" s="5"/>
      <c r="O1528" s="5"/>
      <c r="P1528" s="5"/>
      <c r="Q1528" s="5"/>
      <c r="R1528" s="5"/>
      <c r="S1528" s="5"/>
      <c r="T1528" s="5"/>
      <c r="U1528" s="5"/>
      <c r="V1528" s="5"/>
      <c r="W1528" s="5"/>
      <c r="X1528" s="5"/>
      <c r="Y1528" s="5"/>
      <c r="Z1528" s="5"/>
      <c r="AA1528" s="5"/>
      <c r="AB1528" s="6"/>
      <c r="AC1528" s="6"/>
      <c r="AD1528" s="6"/>
      <c r="AE1528" s="6"/>
      <c r="AF1528" s="6"/>
      <c r="AG1528" s="6"/>
      <c r="AH1528" s="6"/>
      <c r="AI1528" s="6"/>
      <c r="AJ1528" s="6"/>
      <c r="AK1528" s="6"/>
      <c r="AL1528" s="6"/>
      <c r="AM1528" s="6"/>
      <c r="AN1528" s="6"/>
      <c r="AO1528" s="6"/>
      <c r="AP1528" s="6"/>
      <c r="AQ1528" s="6"/>
      <c r="AR1528" s="6"/>
      <c r="AS1528" s="6"/>
      <c r="AT1528" s="6"/>
      <c r="AU1528" s="6"/>
      <c r="AV1528" s="6"/>
      <c r="AW1528" s="6"/>
      <c r="AX1528" s="6"/>
      <c r="AY1528" s="6"/>
      <c r="AZ1528" s="6"/>
      <c r="BA1528" s="6"/>
      <c r="BB1528" s="6"/>
      <c r="BC1528" s="6"/>
      <c r="BD1528" s="6"/>
      <c r="BE1528" s="6"/>
      <c r="BF1528" s="6"/>
      <c r="BG1528" s="6"/>
      <c r="BH1528" s="6"/>
      <c r="BI1528" s="6"/>
      <c r="BJ1528" s="6"/>
      <c r="BK1528" s="6"/>
      <c r="BL1528" s="6"/>
      <c r="BM1528" s="5"/>
      <c r="BN1528" s="7"/>
      <c r="BO1528" s="7"/>
      <c r="BP1528" s="7"/>
    </row>
    <row r="1529" spans="1:68" s="400" customFormat="1" ht="14.25" customHeight="1" x14ac:dyDescent="0.25">
      <c r="A1529" s="5"/>
      <c r="B1529" s="5"/>
      <c r="C1529" s="5"/>
      <c r="D1529" s="5"/>
      <c r="E1529" s="5"/>
      <c r="F1529" s="5"/>
      <c r="G1529" s="5"/>
      <c r="H1529" s="5"/>
      <c r="I1529" s="5"/>
      <c r="J1529" s="5"/>
      <c r="K1529" s="5"/>
      <c r="L1529" s="5"/>
      <c r="M1529" s="5"/>
      <c r="N1529" s="5"/>
      <c r="O1529" s="5"/>
      <c r="P1529" s="5"/>
      <c r="Q1529" s="5"/>
      <c r="R1529" s="5"/>
      <c r="S1529" s="5"/>
      <c r="T1529" s="5"/>
      <c r="U1529" s="5"/>
      <c r="V1529" s="5"/>
      <c r="W1529" s="5"/>
      <c r="X1529" s="5"/>
      <c r="Y1529" s="5"/>
      <c r="Z1529" s="5"/>
      <c r="AA1529" s="5"/>
      <c r="AB1529" s="6"/>
      <c r="AC1529" s="6"/>
      <c r="AD1529" s="6"/>
      <c r="AE1529" s="6"/>
      <c r="AF1529" s="6"/>
      <c r="AG1529" s="6"/>
      <c r="AH1529" s="6"/>
      <c r="AI1529" s="6"/>
      <c r="AJ1529" s="6"/>
      <c r="AK1529" s="6"/>
      <c r="AL1529" s="6"/>
      <c r="AM1529" s="6"/>
      <c r="AN1529" s="6"/>
      <c r="AO1529" s="6"/>
      <c r="AP1529" s="6"/>
      <c r="AQ1529" s="6"/>
      <c r="AR1529" s="6"/>
      <c r="AS1529" s="6"/>
      <c r="AT1529" s="6"/>
      <c r="AU1529" s="6"/>
      <c r="AV1529" s="6"/>
      <c r="AW1529" s="6"/>
      <c r="AX1529" s="6"/>
      <c r="AY1529" s="6"/>
      <c r="AZ1529" s="6"/>
      <c r="BA1529" s="6"/>
      <c r="BB1529" s="6"/>
      <c r="BC1529" s="6"/>
      <c r="BD1529" s="6"/>
      <c r="BE1529" s="6"/>
      <c r="BF1529" s="6"/>
      <c r="BG1529" s="6"/>
      <c r="BH1529" s="6"/>
      <c r="BI1529" s="6"/>
      <c r="BJ1529" s="6"/>
      <c r="BK1529" s="6"/>
      <c r="BL1529" s="6"/>
      <c r="BM1529" s="5"/>
      <c r="BN1529" s="7"/>
      <c r="BO1529" s="7"/>
      <c r="BP1529" s="7"/>
    </row>
    <row r="1530" spans="1:68" s="400" customFormat="1" ht="14.25" customHeight="1" x14ac:dyDescent="0.25">
      <c r="A1530" s="5"/>
      <c r="B1530" s="5"/>
      <c r="C1530" s="5"/>
      <c r="D1530" s="5"/>
      <c r="E1530" s="5"/>
      <c r="F1530" s="5"/>
      <c r="G1530" s="5"/>
      <c r="H1530" s="5"/>
      <c r="I1530" s="5"/>
      <c r="J1530" s="5"/>
      <c r="K1530" s="5"/>
      <c r="L1530" s="5"/>
      <c r="M1530" s="5"/>
      <c r="N1530" s="5"/>
      <c r="O1530" s="5"/>
      <c r="P1530" s="5"/>
      <c r="Q1530" s="5"/>
      <c r="R1530" s="5"/>
      <c r="S1530" s="5"/>
      <c r="T1530" s="5"/>
      <c r="U1530" s="5"/>
      <c r="V1530" s="5"/>
      <c r="W1530" s="5"/>
      <c r="X1530" s="5"/>
      <c r="Y1530" s="5"/>
      <c r="Z1530" s="5"/>
      <c r="AA1530" s="5"/>
      <c r="AB1530" s="6"/>
      <c r="AC1530" s="6"/>
      <c r="AD1530" s="6"/>
      <c r="AE1530" s="6"/>
      <c r="AF1530" s="6"/>
      <c r="AG1530" s="6"/>
      <c r="AH1530" s="6"/>
      <c r="AI1530" s="6"/>
      <c r="AJ1530" s="6"/>
      <c r="AK1530" s="6"/>
      <c r="AL1530" s="6"/>
      <c r="AM1530" s="6"/>
      <c r="AN1530" s="6"/>
      <c r="AO1530" s="6"/>
      <c r="AP1530" s="6"/>
      <c r="AQ1530" s="6"/>
      <c r="AR1530" s="6"/>
      <c r="AS1530" s="6"/>
      <c r="AT1530" s="6"/>
      <c r="AU1530" s="6"/>
      <c r="AV1530" s="6"/>
      <c r="AW1530" s="6"/>
      <c r="AX1530" s="6"/>
      <c r="AY1530" s="6"/>
      <c r="AZ1530" s="6"/>
      <c r="BA1530" s="6"/>
      <c r="BB1530" s="6"/>
      <c r="BC1530" s="6"/>
      <c r="BD1530" s="6"/>
      <c r="BE1530" s="6"/>
      <c r="BF1530" s="6"/>
      <c r="BG1530" s="6"/>
      <c r="BH1530" s="6"/>
      <c r="BI1530" s="6"/>
      <c r="BJ1530" s="6"/>
      <c r="BK1530" s="6"/>
      <c r="BL1530" s="6"/>
      <c r="BM1530" s="5"/>
      <c r="BN1530" s="7"/>
      <c r="BO1530" s="7"/>
      <c r="BP1530" s="7"/>
    </row>
    <row r="1531" spans="1:68" s="400" customFormat="1" ht="14.25" customHeight="1" x14ac:dyDescent="0.25">
      <c r="A1531" s="5"/>
      <c r="B1531" s="5"/>
      <c r="C1531" s="5"/>
      <c r="D1531" s="5"/>
      <c r="E1531" s="5"/>
      <c r="F1531" s="5"/>
      <c r="G1531" s="5"/>
      <c r="H1531" s="5"/>
      <c r="I1531" s="5"/>
      <c r="J1531" s="5"/>
      <c r="K1531" s="5"/>
      <c r="L1531" s="5"/>
      <c r="M1531" s="5"/>
      <c r="N1531" s="5"/>
      <c r="O1531" s="5"/>
      <c r="P1531" s="5"/>
      <c r="Q1531" s="5"/>
      <c r="R1531" s="5"/>
      <c r="S1531" s="5"/>
      <c r="T1531" s="5"/>
      <c r="U1531" s="5"/>
      <c r="V1531" s="5"/>
      <c r="W1531" s="5"/>
      <c r="X1531" s="5"/>
      <c r="Y1531" s="5"/>
      <c r="Z1531" s="5"/>
      <c r="AA1531" s="5"/>
      <c r="AB1531" s="6"/>
      <c r="AC1531" s="6"/>
      <c r="AD1531" s="6"/>
      <c r="AE1531" s="6"/>
      <c r="AF1531" s="6"/>
      <c r="AG1531" s="6"/>
      <c r="AH1531" s="6"/>
      <c r="AI1531" s="6"/>
      <c r="AJ1531" s="6"/>
      <c r="AK1531" s="6"/>
      <c r="AL1531" s="6"/>
      <c r="AM1531" s="6"/>
      <c r="AN1531" s="6"/>
      <c r="AO1531" s="6"/>
      <c r="AP1531" s="6"/>
      <c r="AQ1531" s="6"/>
      <c r="AR1531" s="6"/>
      <c r="AS1531" s="6"/>
      <c r="AT1531" s="6"/>
      <c r="AU1531" s="6"/>
      <c r="AV1531" s="6"/>
      <c r="AW1531" s="6"/>
      <c r="AX1531" s="6"/>
      <c r="AY1531" s="6"/>
      <c r="AZ1531" s="6"/>
      <c r="BA1531" s="6"/>
      <c r="BB1531" s="6"/>
      <c r="BC1531" s="6"/>
      <c r="BD1531" s="6"/>
      <c r="BE1531" s="6"/>
      <c r="BF1531" s="6"/>
      <c r="BG1531" s="6"/>
      <c r="BH1531" s="6"/>
      <c r="BI1531" s="6"/>
      <c r="BJ1531" s="6"/>
      <c r="BK1531" s="6"/>
      <c r="BL1531" s="6"/>
      <c r="BM1531" s="5"/>
      <c r="BN1531" s="7"/>
      <c r="BO1531" s="7"/>
      <c r="BP1531" s="7"/>
    </row>
    <row r="1532" spans="1:68" s="400" customFormat="1" ht="14.25" customHeight="1" x14ac:dyDescent="0.25">
      <c r="A1532" s="5"/>
      <c r="B1532" s="5"/>
      <c r="C1532" s="5"/>
      <c r="D1532" s="5"/>
      <c r="E1532" s="5"/>
      <c r="F1532" s="5"/>
      <c r="G1532" s="5"/>
      <c r="H1532" s="5"/>
      <c r="I1532" s="5"/>
      <c r="J1532" s="5"/>
      <c r="K1532" s="5"/>
      <c r="L1532" s="5"/>
      <c r="M1532" s="5"/>
      <c r="N1532" s="5"/>
      <c r="O1532" s="5"/>
      <c r="P1532" s="5"/>
      <c r="Q1532" s="5"/>
      <c r="R1532" s="5"/>
      <c r="S1532" s="5"/>
      <c r="T1532" s="5"/>
      <c r="U1532" s="5"/>
      <c r="V1532" s="5"/>
      <c r="W1532" s="5"/>
      <c r="X1532" s="5"/>
      <c r="Y1532" s="5"/>
      <c r="Z1532" s="5"/>
      <c r="AA1532" s="5"/>
      <c r="AB1532" s="6"/>
      <c r="AC1532" s="6"/>
      <c r="AD1532" s="6"/>
      <c r="AE1532" s="6"/>
      <c r="AF1532" s="6"/>
      <c r="AG1532" s="6"/>
      <c r="AH1532" s="6"/>
      <c r="AI1532" s="6"/>
      <c r="AJ1532" s="6"/>
      <c r="AK1532" s="6"/>
      <c r="AL1532" s="6"/>
      <c r="AM1532" s="6"/>
      <c r="AN1532" s="6"/>
      <c r="AO1532" s="6"/>
      <c r="AP1532" s="6"/>
      <c r="AQ1532" s="6"/>
      <c r="AR1532" s="6"/>
      <c r="AS1532" s="6"/>
      <c r="AT1532" s="6"/>
      <c r="AU1532" s="6"/>
      <c r="AV1532" s="6"/>
      <c r="AW1532" s="6"/>
      <c r="AX1532" s="6"/>
      <c r="AY1532" s="6"/>
      <c r="AZ1532" s="6"/>
      <c r="BA1532" s="6"/>
      <c r="BB1532" s="6"/>
      <c r="BC1532" s="6"/>
      <c r="BD1532" s="6"/>
      <c r="BE1532" s="6"/>
      <c r="BF1532" s="6"/>
      <c r="BG1532" s="6"/>
      <c r="BH1532" s="6"/>
      <c r="BI1532" s="6"/>
      <c r="BJ1532" s="6"/>
      <c r="BK1532" s="6"/>
      <c r="BL1532" s="6"/>
      <c r="BM1532" s="5"/>
      <c r="BN1532" s="7"/>
      <c r="BO1532" s="7"/>
      <c r="BP1532" s="7"/>
    </row>
    <row r="1533" spans="1:68" s="400" customFormat="1" ht="14.25" customHeight="1" x14ac:dyDescent="0.25">
      <c r="A1533" s="5"/>
      <c r="B1533" s="5"/>
      <c r="C1533" s="5"/>
      <c r="D1533" s="5"/>
      <c r="E1533" s="5"/>
      <c r="F1533" s="5"/>
      <c r="G1533" s="5"/>
      <c r="H1533" s="5"/>
      <c r="I1533" s="5"/>
      <c r="J1533" s="5"/>
      <c r="K1533" s="5"/>
      <c r="L1533" s="5"/>
      <c r="M1533" s="5"/>
      <c r="N1533" s="5"/>
      <c r="O1533" s="5"/>
      <c r="P1533" s="5"/>
      <c r="Q1533" s="5"/>
      <c r="R1533" s="5"/>
      <c r="S1533" s="5"/>
      <c r="T1533" s="5"/>
      <c r="U1533" s="5"/>
      <c r="V1533" s="5"/>
      <c r="W1533" s="5"/>
      <c r="X1533" s="5"/>
      <c r="Y1533" s="5"/>
      <c r="Z1533" s="5"/>
      <c r="AA1533" s="5"/>
      <c r="AB1533" s="6"/>
      <c r="AC1533" s="6"/>
      <c r="AD1533" s="6"/>
      <c r="AE1533" s="6"/>
      <c r="AF1533" s="6"/>
      <c r="AG1533" s="6"/>
      <c r="AH1533" s="6"/>
      <c r="AI1533" s="6"/>
      <c r="AJ1533" s="6"/>
      <c r="AK1533" s="6"/>
      <c r="AL1533" s="6"/>
      <c r="AM1533" s="6"/>
      <c r="AN1533" s="6"/>
      <c r="AO1533" s="6"/>
      <c r="AP1533" s="6"/>
      <c r="AQ1533" s="6"/>
      <c r="AR1533" s="6"/>
      <c r="AS1533" s="6"/>
      <c r="AT1533" s="6"/>
      <c r="AU1533" s="6"/>
      <c r="AV1533" s="6"/>
      <c r="AW1533" s="6"/>
      <c r="AX1533" s="6"/>
      <c r="AY1533" s="6"/>
      <c r="AZ1533" s="6"/>
      <c r="BA1533" s="6"/>
      <c r="BB1533" s="6"/>
      <c r="BC1533" s="6"/>
      <c r="BD1533" s="6"/>
      <c r="BE1533" s="6"/>
      <c r="BF1533" s="6"/>
      <c r="BG1533" s="6"/>
      <c r="BH1533" s="6"/>
      <c r="BI1533" s="6"/>
      <c r="BJ1533" s="6"/>
      <c r="BK1533" s="6"/>
      <c r="BL1533" s="6"/>
      <c r="BM1533" s="5"/>
      <c r="BN1533" s="7"/>
      <c r="BO1533" s="7"/>
      <c r="BP1533" s="7"/>
    </row>
    <row r="1534" spans="1:68" s="400" customFormat="1" ht="14.25" customHeight="1" x14ac:dyDescent="0.25">
      <c r="A1534" s="5"/>
      <c r="B1534" s="5"/>
      <c r="C1534" s="5"/>
      <c r="D1534" s="5"/>
      <c r="E1534" s="5"/>
      <c r="F1534" s="5"/>
      <c r="G1534" s="5"/>
      <c r="H1534" s="5"/>
      <c r="I1534" s="5"/>
      <c r="J1534" s="5"/>
      <c r="K1534" s="5"/>
      <c r="L1534" s="5"/>
      <c r="M1534" s="5"/>
      <c r="N1534" s="5"/>
      <c r="O1534" s="5"/>
      <c r="P1534" s="5"/>
      <c r="Q1534" s="5"/>
      <c r="R1534" s="5"/>
      <c r="S1534" s="5"/>
      <c r="T1534" s="5"/>
      <c r="U1534" s="5"/>
      <c r="V1534" s="5"/>
      <c r="W1534" s="5"/>
      <c r="X1534" s="5"/>
      <c r="Y1534" s="5"/>
      <c r="Z1534" s="5"/>
      <c r="AA1534" s="5"/>
      <c r="AB1534" s="6"/>
      <c r="AC1534" s="6"/>
      <c r="AD1534" s="6"/>
      <c r="AE1534" s="6"/>
      <c r="AF1534" s="6"/>
      <c r="AG1534" s="6"/>
      <c r="AH1534" s="6"/>
      <c r="AI1534" s="6"/>
      <c r="AJ1534" s="6"/>
      <c r="AK1534" s="6"/>
      <c r="AL1534" s="6"/>
      <c r="AM1534" s="6"/>
      <c r="AN1534" s="6"/>
      <c r="AO1534" s="6"/>
      <c r="AP1534" s="6"/>
      <c r="AQ1534" s="6"/>
      <c r="AR1534" s="6"/>
      <c r="AS1534" s="6"/>
      <c r="AT1534" s="6"/>
      <c r="AU1534" s="6"/>
      <c r="AV1534" s="6"/>
      <c r="AW1534" s="6"/>
      <c r="AX1534" s="6"/>
      <c r="AY1534" s="6"/>
      <c r="AZ1534" s="6"/>
      <c r="BA1534" s="6"/>
      <c r="BB1534" s="6"/>
      <c r="BC1534" s="6"/>
      <c r="BD1534" s="6"/>
      <c r="BE1534" s="6"/>
      <c r="BF1534" s="6"/>
      <c r="BG1534" s="6"/>
      <c r="BH1534" s="6"/>
      <c r="BI1534" s="6"/>
      <c r="BJ1534" s="6"/>
      <c r="BK1534" s="6"/>
      <c r="BL1534" s="6"/>
      <c r="BM1534" s="5"/>
      <c r="BN1534" s="7"/>
      <c r="BO1534" s="7"/>
      <c r="BP1534" s="7"/>
    </row>
    <row r="1535" spans="1:68" s="400" customFormat="1" ht="14.25" customHeight="1" x14ac:dyDescent="0.25">
      <c r="A1535" s="5"/>
      <c r="B1535" s="5"/>
      <c r="C1535" s="5"/>
      <c r="D1535" s="5"/>
      <c r="E1535" s="5"/>
      <c r="F1535" s="5"/>
      <c r="G1535" s="5"/>
      <c r="H1535" s="5"/>
      <c r="I1535" s="5"/>
      <c r="J1535" s="5"/>
      <c r="K1535" s="5"/>
      <c r="L1535" s="5"/>
      <c r="M1535" s="5"/>
      <c r="N1535" s="5"/>
      <c r="O1535" s="5"/>
      <c r="P1535" s="5"/>
      <c r="Q1535" s="5"/>
      <c r="R1535" s="5"/>
      <c r="S1535" s="5"/>
      <c r="T1535" s="5"/>
      <c r="U1535" s="5"/>
      <c r="V1535" s="5"/>
      <c r="W1535" s="5"/>
      <c r="X1535" s="5"/>
      <c r="Y1535" s="5"/>
      <c r="Z1535" s="5"/>
      <c r="AA1535" s="5"/>
      <c r="AB1535" s="6"/>
      <c r="AC1535" s="6"/>
      <c r="AD1535" s="6"/>
      <c r="AE1535" s="6"/>
      <c r="AF1535" s="6"/>
      <c r="AG1535" s="6"/>
      <c r="AH1535" s="6"/>
      <c r="AI1535" s="6"/>
      <c r="AJ1535" s="6"/>
      <c r="AK1535" s="6"/>
      <c r="AL1535" s="6"/>
      <c r="AM1535" s="6"/>
      <c r="AN1535" s="6"/>
      <c r="AO1535" s="6"/>
      <c r="AP1535" s="6"/>
      <c r="AQ1535" s="6"/>
      <c r="AR1535" s="6"/>
      <c r="AS1535" s="6"/>
      <c r="AT1535" s="6"/>
      <c r="AU1535" s="6"/>
      <c r="AV1535" s="6"/>
      <c r="AW1535" s="6"/>
      <c r="AX1535" s="6"/>
      <c r="AY1535" s="6"/>
      <c r="AZ1535" s="6"/>
      <c r="BA1535" s="6"/>
      <c r="BB1535" s="6"/>
      <c r="BC1535" s="6"/>
      <c r="BD1535" s="6"/>
      <c r="BE1535" s="6"/>
      <c r="BF1535" s="6"/>
      <c r="BG1535" s="6"/>
      <c r="BH1535" s="6"/>
      <c r="BI1535" s="6"/>
      <c r="BJ1535" s="6"/>
      <c r="BK1535" s="6"/>
      <c r="BL1535" s="6"/>
      <c r="BM1535" s="5"/>
      <c r="BN1535" s="7"/>
      <c r="BO1535" s="7"/>
      <c r="BP1535" s="7"/>
    </row>
    <row r="1536" spans="1:68" s="400" customFormat="1" ht="14.25" customHeight="1" x14ac:dyDescent="0.25">
      <c r="A1536" s="5"/>
      <c r="B1536" s="5"/>
      <c r="C1536" s="5"/>
      <c r="D1536" s="5"/>
      <c r="E1536" s="5"/>
      <c r="F1536" s="5"/>
      <c r="G1536" s="5"/>
      <c r="H1536" s="5"/>
      <c r="I1536" s="5"/>
      <c r="J1536" s="5"/>
      <c r="K1536" s="5"/>
      <c r="L1536" s="5"/>
      <c r="M1536" s="5"/>
      <c r="N1536" s="5"/>
      <c r="O1536" s="5"/>
      <c r="P1536" s="5"/>
      <c r="Q1536" s="5"/>
      <c r="R1536" s="5"/>
      <c r="S1536" s="5"/>
      <c r="T1536" s="5"/>
      <c r="U1536" s="5"/>
      <c r="V1536" s="5"/>
      <c r="W1536" s="5"/>
      <c r="X1536" s="5"/>
      <c r="Y1536" s="5"/>
      <c r="Z1536" s="5"/>
      <c r="AA1536" s="5"/>
      <c r="AB1536" s="6"/>
      <c r="AC1536" s="6"/>
      <c r="AD1536" s="6"/>
      <c r="AE1536" s="6"/>
      <c r="AF1536" s="6"/>
      <c r="AG1536" s="6"/>
      <c r="AH1536" s="6"/>
      <c r="AI1536" s="6"/>
      <c r="AJ1536" s="6"/>
      <c r="AK1536" s="6"/>
      <c r="AL1536" s="6"/>
      <c r="AM1536" s="6"/>
      <c r="AN1536" s="6"/>
      <c r="AO1536" s="6"/>
      <c r="AP1536" s="6"/>
      <c r="AQ1536" s="6"/>
      <c r="AR1536" s="6"/>
      <c r="AS1536" s="6"/>
      <c r="AT1536" s="6"/>
      <c r="AU1536" s="6"/>
      <c r="AV1536" s="6"/>
      <c r="AW1536" s="6"/>
      <c r="AX1536" s="6"/>
      <c r="AY1536" s="6"/>
      <c r="AZ1536" s="6"/>
      <c r="BA1536" s="6"/>
      <c r="BB1536" s="6"/>
      <c r="BC1536" s="6"/>
      <c r="BD1536" s="6"/>
      <c r="BE1536" s="6"/>
      <c r="BF1536" s="6"/>
      <c r="BG1536" s="6"/>
      <c r="BH1536" s="6"/>
      <c r="BI1536" s="6"/>
      <c r="BJ1536" s="6"/>
      <c r="BK1536" s="6"/>
      <c r="BL1536" s="6"/>
      <c r="BM1536" s="5"/>
      <c r="BN1536" s="7"/>
      <c r="BO1536" s="7"/>
      <c r="BP1536" s="7"/>
    </row>
    <row r="1537" spans="1:68" s="400" customFormat="1" ht="14.25" customHeight="1" x14ac:dyDescent="0.25">
      <c r="A1537" s="5"/>
      <c r="B1537" s="5"/>
      <c r="C1537" s="5"/>
      <c r="D1537" s="5"/>
      <c r="E1537" s="5"/>
      <c r="F1537" s="5"/>
      <c r="G1537" s="5"/>
      <c r="H1537" s="5"/>
      <c r="I1537" s="5"/>
      <c r="J1537" s="5"/>
      <c r="K1537" s="5"/>
      <c r="L1537" s="5"/>
      <c r="M1537" s="5"/>
      <c r="N1537" s="5"/>
      <c r="O1537" s="5"/>
      <c r="P1537" s="5"/>
      <c r="Q1537" s="5"/>
      <c r="R1537" s="5"/>
      <c r="S1537" s="5"/>
      <c r="T1537" s="5"/>
      <c r="U1537" s="5"/>
      <c r="V1537" s="5"/>
      <c r="W1537" s="5"/>
      <c r="X1537" s="5"/>
      <c r="Y1537" s="5"/>
      <c r="Z1537" s="5"/>
      <c r="AA1537" s="5"/>
      <c r="AB1537" s="6"/>
      <c r="AC1537" s="6"/>
      <c r="AD1537" s="6"/>
      <c r="AE1537" s="6"/>
      <c r="AF1537" s="6"/>
      <c r="AG1537" s="6"/>
      <c r="AH1537" s="6"/>
      <c r="AI1537" s="6"/>
      <c r="AJ1537" s="6"/>
      <c r="AK1537" s="6"/>
      <c r="AL1537" s="6"/>
      <c r="AM1537" s="6"/>
      <c r="AN1537" s="6"/>
      <c r="AO1537" s="6"/>
      <c r="AP1537" s="6"/>
      <c r="AQ1537" s="6"/>
      <c r="AR1537" s="6"/>
      <c r="AS1537" s="6"/>
      <c r="AT1537" s="6"/>
      <c r="AU1537" s="6"/>
      <c r="AV1537" s="6"/>
      <c r="AW1537" s="6"/>
      <c r="AX1537" s="6"/>
      <c r="AY1537" s="6"/>
      <c r="AZ1537" s="6"/>
      <c r="BA1537" s="6"/>
      <c r="BB1537" s="6"/>
      <c r="BC1537" s="6"/>
      <c r="BD1537" s="6"/>
      <c r="BE1537" s="6"/>
      <c r="BF1537" s="6"/>
      <c r="BG1537" s="6"/>
      <c r="BH1537" s="6"/>
      <c r="BI1537" s="6"/>
      <c r="BJ1537" s="6"/>
      <c r="BK1537" s="6"/>
      <c r="BL1537" s="6"/>
      <c r="BM1537" s="5"/>
      <c r="BN1537" s="7"/>
      <c r="BO1537" s="7"/>
      <c r="BP1537" s="7"/>
    </row>
    <row r="1538" spans="1:68" s="400" customFormat="1" ht="14.25" customHeight="1" x14ac:dyDescent="0.25">
      <c r="A1538" s="5"/>
      <c r="B1538" s="5"/>
      <c r="C1538" s="5"/>
      <c r="D1538" s="5"/>
      <c r="E1538" s="5"/>
      <c r="F1538" s="5"/>
      <c r="G1538" s="5"/>
      <c r="H1538" s="5"/>
      <c r="I1538" s="5"/>
      <c r="J1538" s="5"/>
      <c r="K1538" s="5"/>
      <c r="L1538" s="5"/>
      <c r="M1538" s="5"/>
      <c r="N1538" s="5"/>
      <c r="O1538" s="5"/>
      <c r="P1538" s="5"/>
      <c r="Q1538" s="5"/>
      <c r="R1538" s="5"/>
      <c r="S1538" s="5"/>
      <c r="T1538" s="5"/>
      <c r="U1538" s="5"/>
      <c r="V1538" s="5"/>
      <c r="W1538" s="5"/>
      <c r="X1538" s="5"/>
      <c r="Y1538" s="5"/>
      <c r="Z1538" s="5"/>
      <c r="AA1538" s="5"/>
      <c r="AB1538" s="6"/>
      <c r="AC1538" s="6"/>
      <c r="AD1538" s="6"/>
      <c r="AE1538" s="6"/>
      <c r="AF1538" s="6"/>
      <c r="AG1538" s="6"/>
      <c r="AH1538" s="6"/>
      <c r="AI1538" s="6"/>
      <c r="AJ1538" s="6"/>
      <c r="AK1538" s="6"/>
      <c r="AL1538" s="6"/>
      <c r="AM1538" s="6"/>
      <c r="AN1538" s="6"/>
      <c r="AO1538" s="6"/>
      <c r="AP1538" s="6"/>
      <c r="AQ1538" s="6"/>
      <c r="AR1538" s="6"/>
      <c r="AS1538" s="6"/>
      <c r="AT1538" s="6"/>
      <c r="AU1538" s="6"/>
      <c r="AV1538" s="6"/>
      <c r="AW1538" s="6"/>
      <c r="AX1538" s="6"/>
      <c r="AY1538" s="6"/>
      <c r="AZ1538" s="6"/>
      <c r="BA1538" s="6"/>
      <c r="BB1538" s="6"/>
      <c r="BC1538" s="6"/>
      <c r="BD1538" s="6"/>
      <c r="BE1538" s="6"/>
      <c r="BF1538" s="6"/>
      <c r="BG1538" s="6"/>
      <c r="BH1538" s="6"/>
      <c r="BI1538" s="6"/>
      <c r="BJ1538" s="6"/>
      <c r="BK1538" s="6"/>
      <c r="BL1538" s="6"/>
      <c r="BM1538" s="5"/>
      <c r="BN1538" s="7"/>
      <c r="BO1538" s="7"/>
      <c r="BP1538" s="7"/>
    </row>
    <row r="1539" spans="1:68" s="400" customFormat="1" ht="14.25" customHeight="1" x14ac:dyDescent="0.25">
      <c r="A1539" s="5"/>
      <c r="B1539" s="5"/>
      <c r="C1539" s="5"/>
      <c r="D1539" s="5"/>
      <c r="E1539" s="5"/>
      <c r="F1539" s="5"/>
      <c r="G1539" s="5"/>
      <c r="H1539" s="5"/>
      <c r="I1539" s="5"/>
      <c r="J1539" s="5"/>
      <c r="K1539" s="5"/>
      <c r="L1539" s="5"/>
      <c r="M1539" s="5"/>
      <c r="N1539" s="5"/>
      <c r="O1539" s="5"/>
      <c r="P1539" s="5"/>
      <c r="Q1539" s="5"/>
      <c r="R1539" s="5"/>
      <c r="S1539" s="5"/>
      <c r="T1539" s="5"/>
      <c r="U1539" s="5"/>
      <c r="V1539" s="5"/>
      <c r="W1539" s="5"/>
      <c r="X1539" s="5"/>
      <c r="Y1539" s="5"/>
      <c r="Z1539" s="5"/>
      <c r="AA1539" s="5"/>
      <c r="AB1539" s="6"/>
      <c r="AC1539" s="6"/>
      <c r="AD1539" s="6"/>
      <c r="AE1539" s="6"/>
      <c r="AF1539" s="6"/>
      <c r="AG1539" s="6"/>
      <c r="AH1539" s="6"/>
      <c r="AI1539" s="6"/>
      <c r="AJ1539" s="6"/>
      <c r="AK1539" s="6"/>
      <c r="AL1539" s="6"/>
      <c r="AM1539" s="6"/>
      <c r="AN1539" s="6"/>
      <c r="AO1539" s="6"/>
      <c r="AP1539" s="6"/>
      <c r="AQ1539" s="6"/>
      <c r="AR1539" s="6"/>
      <c r="AS1539" s="6"/>
      <c r="AT1539" s="6"/>
      <c r="AU1539" s="6"/>
      <c r="AV1539" s="6"/>
      <c r="AW1539" s="6"/>
      <c r="AX1539" s="6"/>
      <c r="AY1539" s="6"/>
      <c r="AZ1539" s="6"/>
      <c r="BA1539" s="6"/>
      <c r="BB1539" s="6"/>
      <c r="BC1539" s="6"/>
      <c r="BD1539" s="6"/>
      <c r="BE1539" s="6"/>
      <c r="BF1539" s="6"/>
      <c r="BG1539" s="6"/>
      <c r="BH1539" s="6"/>
      <c r="BI1539" s="6"/>
      <c r="BJ1539" s="6"/>
      <c r="BK1539" s="6"/>
      <c r="BL1539" s="6"/>
      <c r="BM1539" s="5"/>
      <c r="BN1539" s="7"/>
      <c r="BO1539" s="7"/>
      <c r="BP1539" s="7"/>
    </row>
    <row r="1540" spans="1:68" s="400" customFormat="1" ht="14.25" customHeight="1" x14ac:dyDescent="0.25">
      <c r="A1540" s="5"/>
      <c r="B1540" s="5"/>
      <c r="C1540" s="5"/>
      <c r="D1540" s="5"/>
      <c r="E1540" s="5"/>
      <c r="F1540" s="5"/>
      <c r="G1540" s="5"/>
      <c r="H1540" s="5"/>
      <c r="I1540" s="5"/>
      <c r="J1540" s="5"/>
      <c r="K1540" s="5"/>
      <c r="L1540" s="5"/>
      <c r="M1540" s="5"/>
      <c r="N1540" s="5"/>
      <c r="O1540" s="5"/>
      <c r="P1540" s="5"/>
      <c r="Q1540" s="5"/>
      <c r="R1540" s="5"/>
      <c r="S1540" s="5"/>
      <c r="T1540" s="5"/>
      <c r="U1540" s="5"/>
      <c r="V1540" s="5"/>
      <c r="W1540" s="5"/>
      <c r="X1540" s="5"/>
      <c r="Y1540" s="5"/>
      <c r="Z1540" s="5"/>
      <c r="AA1540" s="5"/>
      <c r="AB1540" s="6"/>
      <c r="AC1540" s="6"/>
      <c r="AD1540" s="6"/>
      <c r="AE1540" s="6"/>
      <c r="AF1540" s="6"/>
      <c r="AG1540" s="6"/>
      <c r="AH1540" s="6"/>
      <c r="AI1540" s="6"/>
      <c r="AJ1540" s="6"/>
      <c r="AK1540" s="6"/>
      <c r="AL1540" s="6"/>
      <c r="AM1540" s="6"/>
      <c r="AN1540" s="6"/>
      <c r="AO1540" s="6"/>
      <c r="AP1540" s="6"/>
      <c r="AQ1540" s="6"/>
      <c r="AR1540" s="6"/>
      <c r="AS1540" s="6"/>
      <c r="AT1540" s="6"/>
      <c r="AU1540" s="6"/>
      <c r="AV1540" s="6"/>
      <c r="AW1540" s="6"/>
      <c r="AX1540" s="6"/>
      <c r="AY1540" s="6"/>
      <c r="AZ1540" s="6"/>
      <c r="BA1540" s="6"/>
      <c r="BB1540" s="6"/>
      <c r="BC1540" s="6"/>
      <c r="BD1540" s="6"/>
      <c r="BE1540" s="6"/>
      <c r="BF1540" s="6"/>
      <c r="BG1540" s="6"/>
      <c r="BH1540" s="6"/>
      <c r="BI1540" s="6"/>
      <c r="BJ1540" s="6"/>
      <c r="BK1540" s="6"/>
      <c r="BL1540" s="6"/>
      <c r="BM1540" s="5"/>
      <c r="BN1540" s="7"/>
      <c r="BO1540" s="7"/>
      <c r="BP1540" s="7"/>
    </row>
    <row r="1541" spans="1:68" s="400" customFormat="1" ht="14.25" customHeight="1" x14ac:dyDescent="0.25">
      <c r="A1541" s="5"/>
      <c r="B1541" s="5"/>
      <c r="C1541" s="5"/>
      <c r="D1541" s="5"/>
      <c r="E1541" s="5"/>
      <c r="F1541" s="5"/>
      <c r="G1541" s="5"/>
      <c r="H1541" s="5"/>
      <c r="I1541" s="5"/>
      <c r="J1541" s="5"/>
      <c r="K1541" s="5"/>
      <c r="L1541" s="5"/>
      <c r="M1541" s="5"/>
      <c r="N1541" s="5"/>
      <c r="O1541" s="5"/>
      <c r="P1541" s="5"/>
      <c r="Q1541" s="5"/>
      <c r="R1541" s="5"/>
      <c r="S1541" s="5"/>
      <c r="T1541" s="5"/>
      <c r="U1541" s="5"/>
      <c r="V1541" s="5"/>
      <c r="W1541" s="5"/>
      <c r="X1541" s="5"/>
      <c r="Y1541" s="5"/>
      <c r="Z1541" s="5"/>
      <c r="AA1541" s="5"/>
      <c r="AB1541" s="6"/>
      <c r="AC1541" s="6"/>
      <c r="AD1541" s="6"/>
      <c r="AE1541" s="6"/>
      <c r="AF1541" s="6"/>
      <c r="AG1541" s="6"/>
      <c r="AH1541" s="6"/>
      <c r="AI1541" s="6"/>
      <c r="AJ1541" s="6"/>
      <c r="AK1541" s="6"/>
      <c r="AL1541" s="6"/>
      <c r="AM1541" s="6"/>
      <c r="AN1541" s="6"/>
      <c r="AO1541" s="6"/>
      <c r="AP1541" s="6"/>
      <c r="AQ1541" s="6"/>
      <c r="AR1541" s="6"/>
      <c r="AS1541" s="6"/>
      <c r="AT1541" s="6"/>
      <c r="AU1541" s="6"/>
      <c r="AV1541" s="6"/>
      <c r="AW1541" s="6"/>
      <c r="AX1541" s="6"/>
      <c r="AY1541" s="6"/>
      <c r="AZ1541" s="6"/>
      <c r="BA1541" s="6"/>
      <c r="BB1541" s="6"/>
      <c r="BC1541" s="6"/>
      <c r="BD1541" s="6"/>
      <c r="BE1541" s="6"/>
      <c r="BF1541" s="6"/>
      <c r="BG1541" s="6"/>
      <c r="BH1541" s="6"/>
      <c r="BI1541" s="6"/>
      <c r="BJ1541" s="6"/>
      <c r="BK1541" s="6"/>
      <c r="BL1541" s="6"/>
      <c r="BM1541" s="5"/>
      <c r="BN1541" s="7"/>
      <c r="BO1541" s="7"/>
      <c r="BP1541" s="7"/>
    </row>
    <row r="1542" spans="1:68" s="400" customFormat="1" ht="14.25" customHeight="1" x14ac:dyDescent="0.25">
      <c r="A1542" s="5"/>
      <c r="B1542" s="5"/>
      <c r="C1542" s="5"/>
      <c r="D1542" s="5"/>
      <c r="E1542" s="5"/>
      <c r="F1542" s="5"/>
      <c r="G1542" s="5"/>
      <c r="H1542" s="5"/>
      <c r="I1542" s="5"/>
      <c r="J1542" s="5"/>
      <c r="K1542" s="5"/>
      <c r="L1542" s="5"/>
      <c r="M1542" s="5"/>
      <c r="N1542" s="5"/>
      <c r="O1542" s="5"/>
      <c r="P1542" s="5"/>
      <c r="Q1542" s="5"/>
      <c r="R1542" s="5"/>
      <c r="S1542" s="5"/>
      <c r="T1542" s="5"/>
      <c r="U1542" s="5"/>
      <c r="V1542" s="5"/>
      <c r="W1542" s="5"/>
      <c r="X1542" s="5"/>
      <c r="Y1542" s="5"/>
      <c r="Z1542" s="5"/>
      <c r="AA1542" s="5"/>
      <c r="AB1542" s="6"/>
      <c r="AC1542" s="6"/>
      <c r="AD1542" s="6"/>
      <c r="AE1542" s="6"/>
      <c r="AF1542" s="6"/>
      <c r="AG1542" s="6"/>
      <c r="AH1542" s="6"/>
      <c r="AI1542" s="6"/>
      <c r="AJ1542" s="6"/>
      <c r="AK1542" s="6"/>
      <c r="AL1542" s="6"/>
      <c r="AM1542" s="6"/>
      <c r="AN1542" s="6"/>
      <c r="AO1542" s="6"/>
      <c r="AP1542" s="6"/>
      <c r="AQ1542" s="6"/>
      <c r="AR1542" s="6"/>
      <c r="AS1542" s="6"/>
      <c r="AT1542" s="6"/>
      <c r="AU1542" s="6"/>
      <c r="AV1542" s="6"/>
      <c r="AW1542" s="6"/>
      <c r="AX1542" s="6"/>
      <c r="AY1542" s="6"/>
      <c r="AZ1542" s="6"/>
      <c r="BA1542" s="6"/>
      <c r="BB1542" s="6"/>
      <c r="BC1542" s="6"/>
      <c r="BD1542" s="6"/>
      <c r="BE1542" s="6"/>
      <c r="BF1542" s="6"/>
      <c r="BG1542" s="6"/>
      <c r="BH1542" s="6"/>
      <c r="BI1542" s="6"/>
      <c r="BJ1542" s="6"/>
      <c r="BK1542" s="6"/>
      <c r="BL1542" s="6"/>
      <c r="BM1542" s="5"/>
      <c r="BN1542" s="7"/>
      <c r="BO1542" s="7"/>
      <c r="BP1542" s="7"/>
    </row>
    <row r="1543" spans="1:68" s="400" customFormat="1" ht="14.25" customHeight="1" x14ac:dyDescent="0.25">
      <c r="A1543" s="5"/>
      <c r="B1543" s="5"/>
      <c r="C1543" s="5"/>
      <c r="D1543" s="5"/>
      <c r="E1543" s="5"/>
      <c r="F1543" s="5"/>
      <c r="G1543" s="5"/>
      <c r="H1543" s="5"/>
      <c r="I1543" s="5"/>
      <c r="J1543" s="5"/>
      <c r="K1543" s="5"/>
      <c r="L1543" s="5"/>
      <c r="M1543" s="5"/>
      <c r="N1543" s="5"/>
      <c r="O1543" s="5"/>
      <c r="P1543" s="5"/>
      <c r="Q1543" s="5"/>
      <c r="R1543" s="5"/>
      <c r="S1543" s="5"/>
      <c r="T1543" s="5"/>
      <c r="U1543" s="5"/>
      <c r="V1543" s="5"/>
      <c r="W1543" s="5"/>
      <c r="X1543" s="5"/>
      <c r="Y1543" s="5"/>
      <c r="Z1543" s="5"/>
      <c r="AA1543" s="5"/>
      <c r="AB1543" s="6"/>
      <c r="AC1543" s="6"/>
      <c r="AD1543" s="6"/>
      <c r="AE1543" s="6"/>
      <c r="AF1543" s="6"/>
      <c r="AG1543" s="6"/>
      <c r="AH1543" s="6"/>
      <c r="AI1543" s="6"/>
      <c r="AJ1543" s="6"/>
      <c r="AK1543" s="6"/>
      <c r="AL1543" s="6"/>
      <c r="AM1543" s="6"/>
      <c r="AN1543" s="6"/>
      <c r="AO1543" s="6"/>
      <c r="AP1543" s="6"/>
      <c r="AQ1543" s="6"/>
      <c r="AR1543" s="6"/>
      <c r="AS1543" s="6"/>
      <c r="AT1543" s="6"/>
      <c r="AU1543" s="6"/>
      <c r="AV1543" s="6"/>
      <c r="AW1543" s="6"/>
      <c r="AX1543" s="6"/>
      <c r="AY1543" s="6"/>
      <c r="AZ1543" s="6"/>
      <c r="BA1543" s="6"/>
      <c r="BB1543" s="6"/>
      <c r="BC1543" s="6"/>
      <c r="BD1543" s="6"/>
      <c r="BE1543" s="6"/>
      <c r="BF1543" s="6"/>
      <c r="BG1543" s="6"/>
      <c r="BH1543" s="6"/>
      <c r="BI1543" s="6"/>
      <c r="BJ1543" s="6"/>
      <c r="BK1543" s="6"/>
      <c r="BL1543" s="6"/>
      <c r="BM1543" s="5"/>
      <c r="BN1543" s="7"/>
      <c r="BO1543" s="7"/>
      <c r="BP1543" s="7"/>
    </row>
    <row r="1544" spans="1:68" s="400" customFormat="1" ht="14.25" customHeight="1" x14ac:dyDescent="0.25">
      <c r="A1544" s="5"/>
      <c r="B1544" s="5"/>
      <c r="C1544" s="5"/>
      <c r="D1544" s="5"/>
      <c r="E1544" s="5"/>
      <c r="F1544" s="5"/>
      <c r="G1544" s="5"/>
      <c r="H1544" s="5"/>
      <c r="I1544" s="5"/>
      <c r="J1544" s="5"/>
      <c r="K1544" s="5"/>
      <c r="L1544" s="5"/>
      <c r="M1544" s="5"/>
      <c r="N1544" s="5"/>
      <c r="O1544" s="5"/>
      <c r="P1544" s="5"/>
      <c r="Q1544" s="5"/>
      <c r="R1544" s="5"/>
      <c r="S1544" s="5"/>
      <c r="T1544" s="5"/>
      <c r="U1544" s="5"/>
      <c r="V1544" s="5"/>
      <c r="W1544" s="5"/>
      <c r="X1544" s="5"/>
      <c r="Y1544" s="5"/>
      <c r="Z1544" s="5"/>
      <c r="AA1544" s="5"/>
      <c r="AB1544" s="6"/>
      <c r="AC1544" s="6"/>
      <c r="AD1544" s="6"/>
      <c r="AE1544" s="6"/>
      <c r="AF1544" s="6"/>
      <c r="AG1544" s="6"/>
      <c r="AH1544" s="6"/>
      <c r="AI1544" s="6"/>
      <c r="AJ1544" s="6"/>
      <c r="AK1544" s="6"/>
      <c r="AL1544" s="6"/>
      <c r="AM1544" s="6"/>
      <c r="AN1544" s="6"/>
      <c r="AO1544" s="6"/>
      <c r="AP1544" s="6"/>
      <c r="AQ1544" s="6"/>
      <c r="AR1544" s="6"/>
      <c r="AS1544" s="6"/>
      <c r="AT1544" s="6"/>
      <c r="AU1544" s="6"/>
      <c r="AV1544" s="6"/>
      <c r="AW1544" s="6"/>
      <c r="AX1544" s="6"/>
      <c r="AY1544" s="6"/>
      <c r="AZ1544" s="6"/>
      <c r="BA1544" s="6"/>
      <c r="BB1544" s="6"/>
      <c r="BC1544" s="6"/>
      <c r="BD1544" s="6"/>
      <c r="BE1544" s="6"/>
      <c r="BF1544" s="6"/>
      <c r="BG1544" s="6"/>
      <c r="BH1544" s="6"/>
      <c r="BI1544" s="6"/>
      <c r="BJ1544" s="6"/>
      <c r="BK1544" s="6"/>
      <c r="BL1544" s="6"/>
      <c r="BM1544" s="5"/>
      <c r="BN1544" s="7"/>
      <c r="BO1544" s="7"/>
      <c r="BP1544" s="7"/>
    </row>
    <row r="1545" spans="1:68" s="400" customFormat="1" ht="14.25" customHeight="1" x14ac:dyDescent="0.25">
      <c r="A1545" s="5"/>
      <c r="B1545" s="5"/>
      <c r="C1545" s="5"/>
      <c r="D1545" s="5"/>
      <c r="E1545" s="5"/>
      <c r="F1545" s="5"/>
      <c r="G1545" s="5"/>
      <c r="H1545" s="5"/>
      <c r="I1545" s="5"/>
      <c r="J1545" s="5"/>
      <c r="K1545" s="5"/>
      <c r="L1545" s="5"/>
      <c r="M1545" s="5"/>
      <c r="N1545" s="5"/>
      <c r="O1545" s="5"/>
      <c r="P1545" s="5"/>
      <c r="Q1545" s="5"/>
      <c r="R1545" s="5"/>
      <c r="S1545" s="5"/>
      <c r="T1545" s="5"/>
      <c r="U1545" s="5"/>
      <c r="V1545" s="5"/>
      <c r="W1545" s="5"/>
      <c r="X1545" s="5"/>
      <c r="Y1545" s="5"/>
      <c r="Z1545" s="5"/>
      <c r="AA1545" s="5"/>
      <c r="AB1545" s="6"/>
      <c r="AC1545" s="6"/>
      <c r="AD1545" s="6"/>
      <c r="AE1545" s="6"/>
      <c r="AF1545" s="6"/>
      <c r="AG1545" s="6"/>
      <c r="AH1545" s="6"/>
      <c r="AI1545" s="6"/>
      <c r="AJ1545" s="6"/>
      <c r="AK1545" s="6"/>
      <c r="AL1545" s="6"/>
      <c r="AM1545" s="6"/>
      <c r="AN1545" s="6"/>
      <c r="AO1545" s="6"/>
      <c r="AP1545" s="6"/>
      <c r="AQ1545" s="6"/>
      <c r="AR1545" s="6"/>
      <c r="AS1545" s="6"/>
      <c r="AT1545" s="6"/>
      <c r="AU1545" s="6"/>
      <c r="AV1545" s="6"/>
      <c r="AW1545" s="6"/>
      <c r="AX1545" s="6"/>
      <c r="AY1545" s="6"/>
      <c r="AZ1545" s="6"/>
      <c r="BA1545" s="6"/>
      <c r="BB1545" s="6"/>
      <c r="BC1545" s="6"/>
      <c r="BD1545" s="6"/>
      <c r="BE1545" s="6"/>
      <c r="BF1545" s="6"/>
      <c r="BG1545" s="6"/>
      <c r="BH1545" s="6"/>
      <c r="BI1545" s="6"/>
      <c r="BJ1545" s="6"/>
      <c r="BK1545" s="6"/>
      <c r="BL1545" s="6"/>
      <c r="BM1545" s="5"/>
      <c r="BN1545" s="7"/>
      <c r="BO1545" s="7"/>
      <c r="BP1545" s="7"/>
    </row>
    <row r="1546" spans="1:68" s="400" customFormat="1" ht="14.25" customHeight="1" x14ac:dyDescent="0.25">
      <c r="A1546" s="5"/>
      <c r="B1546" s="5"/>
      <c r="C1546" s="5"/>
      <c r="D1546" s="5"/>
      <c r="E1546" s="5"/>
      <c r="F1546" s="5"/>
      <c r="G1546" s="5"/>
      <c r="H1546" s="5"/>
      <c r="I1546" s="5"/>
      <c r="J1546" s="5"/>
      <c r="K1546" s="5"/>
      <c r="L1546" s="5"/>
      <c r="M1546" s="5"/>
      <c r="N1546" s="5"/>
      <c r="O1546" s="5"/>
      <c r="P1546" s="5"/>
      <c r="Q1546" s="5"/>
      <c r="R1546" s="5"/>
      <c r="S1546" s="5"/>
      <c r="T1546" s="5"/>
      <c r="U1546" s="5"/>
      <c r="V1546" s="5"/>
      <c r="W1546" s="5"/>
      <c r="X1546" s="5"/>
      <c r="Y1546" s="5"/>
      <c r="Z1546" s="5"/>
      <c r="AA1546" s="5"/>
      <c r="AB1546" s="6"/>
      <c r="AC1546" s="6"/>
      <c r="AD1546" s="6"/>
      <c r="AE1546" s="6"/>
      <c r="AF1546" s="6"/>
      <c r="AG1546" s="6"/>
      <c r="AH1546" s="6"/>
      <c r="AI1546" s="6"/>
      <c r="AJ1546" s="6"/>
      <c r="AK1546" s="6"/>
      <c r="AL1546" s="6"/>
      <c r="AM1546" s="6"/>
      <c r="AN1546" s="6"/>
      <c r="AO1546" s="6"/>
      <c r="AP1546" s="6"/>
      <c r="AQ1546" s="6"/>
      <c r="AR1546" s="6"/>
      <c r="AS1546" s="6"/>
      <c r="AT1546" s="6"/>
      <c r="AU1546" s="6"/>
      <c r="AV1546" s="6"/>
      <c r="AW1546" s="6"/>
      <c r="AX1546" s="6"/>
      <c r="AY1546" s="6"/>
      <c r="AZ1546" s="6"/>
      <c r="BA1546" s="6"/>
      <c r="BB1546" s="6"/>
      <c r="BC1546" s="6"/>
      <c r="BD1546" s="6"/>
      <c r="BE1546" s="6"/>
      <c r="BF1546" s="6"/>
      <c r="BG1546" s="6"/>
      <c r="BH1546" s="6"/>
      <c r="BI1546" s="6"/>
      <c r="BJ1546" s="6"/>
      <c r="BK1546" s="6"/>
      <c r="BL1546" s="6"/>
      <c r="BM1546" s="5"/>
      <c r="BN1546" s="7"/>
      <c r="BO1546" s="7"/>
      <c r="BP1546" s="7"/>
    </row>
    <row r="1547" spans="1:68" s="400" customFormat="1" ht="14.25" customHeight="1" x14ac:dyDescent="0.25">
      <c r="A1547" s="5"/>
      <c r="B1547" s="5"/>
      <c r="C1547" s="5"/>
      <c r="D1547" s="5"/>
      <c r="E1547" s="5"/>
      <c r="F1547" s="5"/>
      <c r="G1547" s="5"/>
      <c r="H1547" s="5"/>
      <c r="I1547" s="5"/>
      <c r="J1547" s="5"/>
      <c r="K1547" s="5"/>
      <c r="L1547" s="5"/>
      <c r="M1547" s="5"/>
      <c r="N1547" s="5"/>
      <c r="O1547" s="5"/>
      <c r="P1547" s="5"/>
      <c r="Q1547" s="5"/>
      <c r="R1547" s="5"/>
      <c r="S1547" s="5"/>
      <c r="T1547" s="5"/>
      <c r="U1547" s="5"/>
      <c r="V1547" s="5"/>
      <c r="W1547" s="5"/>
      <c r="X1547" s="5"/>
      <c r="Y1547" s="5"/>
      <c r="Z1547" s="5"/>
      <c r="AA1547" s="5"/>
      <c r="AB1547" s="6"/>
      <c r="AC1547" s="6"/>
      <c r="AD1547" s="6"/>
      <c r="AE1547" s="6"/>
      <c r="AF1547" s="6"/>
      <c r="AG1547" s="6"/>
      <c r="AH1547" s="6"/>
      <c r="AI1547" s="6"/>
      <c r="AJ1547" s="6"/>
      <c r="AK1547" s="6"/>
      <c r="AL1547" s="6"/>
      <c r="AM1547" s="6"/>
      <c r="AN1547" s="6"/>
      <c r="AO1547" s="6"/>
      <c r="AP1547" s="6"/>
      <c r="AQ1547" s="6"/>
      <c r="AR1547" s="6"/>
      <c r="AS1547" s="6"/>
      <c r="AT1547" s="6"/>
      <c r="AU1547" s="6"/>
      <c r="AV1547" s="6"/>
      <c r="AW1547" s="6"/>
      <c r="AX1547" s="6"/>
      <c r="AY1547" s="6"/>
      <c r="AZ1547" s="6"/>
      <c r="BA1547" s="6"/>
      <c r="BB1547" s="6"/>
      <c r="BC1547" s="6"/>
      <c r="BD1547" s="6"/>
      <c r="BE1547" s="6"/>
      <c r="BF1547" s="6"/>
      <c r="BG1547" s="6"/>
      <c r="BH1547" s="6"/>
      <c r="BI1547" s="6"/>
      <c r="BJ1547" s="6"/>
      <c r="BK1547" s="6"/>
      <c r="BL1547" s="6"/>
      <c r="BM1547" s="5"/>
      <c r="BN1547" s="7"/>
      <c r="BO1547" s="7"/>
      <c r="BP1547" s="7"/>
    </row>
    <row r="1548" spans="1:68" s="400" customFormat="1" ht="14.25" customHeight="1" x14ac:dyDescent="0.25">
      <c r="A1548" s="5"/>
      <c r="B1548" s="5"/>
      <c r="C1548" s="5"/>
      <c r="D1548" s="5"/>
      <c r="E1548" s="5"/>
      <c r="F1548" s="5"/>
      <c r="G1548" s="5"/>
      <c r="H1548" s="5"/>
      <c r="I1548" s="5"/>
      <c r="J1548" s="5"/>
      <c r="K1548" s="5"/>
      <c r="L1548" s="5"/>
      <c r="M1548" s="5"/>
      <c r="N1548" s="5"/>
      <c r="O1548" s="5"/>
      <c r="P1548" s="5"/>
      <c r="Q1548" s="5"/>
      <c r="R1548" s="5"/>
      <c r="S1548" s="5"/>
      <c r="T1548" s="5"/>
      <c r="U1548" s="5"/>
      <c r="V1548" s="5"/>
      <c r="W1548" s="5"/>
      <c r="X1548" s="5"/>
      <c r="Y1548" s="5"/>
      <c r="Z1548" s="5"/>
      <c r="AA1548" s="5"/>
      <c r="AB1548" s="6"/>
      <c r="AC1548" s="6"/>
      <c r="AD1548" s="6"/>
      <c r="AE1548" s="6"/>
      <c r="AF1548" s="6"/>
      <c r="AG1548" s="6"/>
      <c r="AH1548" s="6"/>
      <c r="AI1548" s="6"/>
      <c r="AJ1548" s="6"/>
      <c r="AK1548" s="6"/>
      <c r="AL1548" s="6"/>
      <c r="AM1548" s="6"/>
      <c r="AN1548" s="6"/>
      <c r="AO1548" s="6"/>
      <c r="AP1548" s="6"/>
      <c r="AQ1548" s="6"/>
      <c r="AR1548" s="6"/>
      <c r="AS1548" s="6"/>
      <c r="AT1548" s="6"/>
      <c r="AU1548" s="6"/>
      <c r="AV1548" s="6"/>
      <c r="AW1548" s="6"/>
      <c r="AX1548" s="6"/>
      <c r="AY1548" s="6"/>
      <c r="AZ1548" s="6"/>
      <c r="BA1548" s="6"/>
      <c r="BB1548" s="6"/>
      <c r="BC1548" s="6"/>
      <c r="BD1548" s="6"/>
      <c r="BE1548" s="6"/>
      <c r="BF1548" s="6"/>
      <c r="BG1548" s="6"/>
      <c r="BH1548" s="6"/>
      <c r="BI1548" s="6"/>
      <c r="BJ1548" s="6"/>
      <c r="BK1548" s="6"/>
      <c r="BL1548" s="6"/>
      <c r="BM1548" s="5"/>
      <c r="BN1548" s="7"/>
      <c r="BO1548" s="7"/>
      <c r="BP1548" s="7"/>
    </row>
    <row r="1549" spans="1:68" s="400" customFormat="1" ht="14.25" customHeight="1" x14ac:dyDescent="0.25">
      <c r="A1549" s="5"/>
      <c r="B1549" s="5"/>
      <c r="C1549" s="5"/>
      <c r="D1549" s="5"/>
      <c r="E1549" s="5"/>
      <c r="F1549" s="5"/>
      <c r="G1549" s="5"/>
      <c r="H1549" s="5"/>
      <c r="I1549" s="5"/>
      <c r="J1549" s="5"/>
      <c r="K1549" s="5"/>
      <c r="L1549" s="5"/>
      <c r="M1549" s="5"/>
      <c r="N1549" s="5"/>
      <c r="O1549" s="5"/>
      <c r="P1549" s="5"/>
      <c r="Q1549" s="5"/>
      <c r="R1549" s="5"/>
      <c r="S1549" s="5"/>
      <c r="T1549" s="5"/>
      <c r="U1549" s="5"/>
      <c r="V1549" s="5"/>
      <c r="W1549" s="5"/>
      <c r="X1549" s="5"/>
      <c r="Y1549" s="5"/>
      <c r="Z1549" s="5"/>
      <c r="AA1549" s="5"/>
      <c r="AB1549" s="6"/>
      <c r="AC1549" s="6"/>
      <c r="AD1549" s="6"/>
      <c r="AE1549" s="6"/>
      <c r="AF1549" s="6"/>
      <c r="AG1549" s="6"/>
      <c r="AH1549" s="6"/>
      <c r="AI1549" s="6"/>
      <c r="AJ1549" s="6"/>
      <c r="AK1549" s="6"/>
      <c r="AL1549" s="6"/>
      <c r="AM1549" s="6"/>
      <c r="AN1549" s="6"/>
      <c r="AO1549" s="6"/>
      <c r="AP1549" s="6"/>
      <c r="AQ1549" s="6"/>
      <c r="AR1549" s="6"/>
      <c r="AS1549" s="6"/>
      <c r="AT1549" s="6"/>
      <c r="AU1549" s="6"/>
      <c r="AV1549" s="6"/>
      <c r="AW1549" s="6"/>
      <c r="AX1549" s="6"/>
      <c r="AY1549" s="6"/>
      <c r="AZ1549" s="6"/>
      <c r="BA1549" s="6"/>
      <c r="BB1549" s="6"/>
      <c r="BC1549" s="6"/>
      <c r="BD1549" s="6"/>
      <c r="BE1549" s="6"/>
      <c r="BF1549" s="6"/>
      <c r="BG1549" s="6"/>
      <c r="BH1549" s="6"/>
      <c r="BI1549" s="6"/>
      <c r="BJ1549" s="6"/>
      <c r="BK1549" s="6"/>
      <c r="BL1549" s="6"/>
      <c r="BM1549" s="5"/>
      <c r="BN1549" s="7"/>
      <c r="BO1549" s="7"/>
      <c r="BP1549" s="7"/>
    </row>
    <row r="1550" spans="1:68" s="400" customFormat="1" ht="14.25" customHeight="1" x14ac:dyDescent="0.25">
      <c r="A1550" s="5"/>
      <c r="B1550" s="5"/>
      <c r="C1550" s="5"/>
      <c r="D1550" s="5"/>
      <c r="E1550" s="5"/>
      <c r="F1550" s="5"/>
      <c r="G1550" s="5"/>
      <c r="H1550" s="5"/>
      <c r="I1550" s="5"/>
      <c r="J1550" s="5"/>
      <c r="K1550" s="5"/>
      <c r="L1550" s="5"/>
      <c r="M1550" s="5"/>
      <c r="N1550" s="5"/>
      <c r="O1550" s="5"/>
      <c r="P1550" s="5"/>
      <c r="Q1550" s="5"/>
      <c r="R1550" s="5"/>
      <c r="S1550" s="5"/>
      <c r="T1550" s="5"/>
      <c r="U1550" s="5"/>
      <c r="V1550" s="5"/>
      <c r="W1550" s="5"/>
      <c r="X1550" s="5"/>
      <c r="Y1550" s="5"/>
      <c r="Z1550" s="5"/>
      <c r="AA1550" s="5"/>
      <c r="AB1550" s="6"/>
      <c r="AC1550" s="6"/>
      <c r="AD1550" s="6"/>
      <c r="AE1550" s="6"/>
      <c r="AF1550" s="6"/>
      <c r="AG1550" s="6"/>
      <c r="AH1550" s="6"/>
      <c r="AI1550" s="6"/>
      <c r="AJ1550" s="6"/>
      <c r="AK1550" s="6"/>
      <c r="AL1550" s="6"/>
      <c r="AM1550" s="6"/>
      <c r="AN1550" s="6"/>
      <c r="AO1550" s="6"/>
      <c r="AP1550" s="6"/>
      <c r="AQ1550" s="6"/>
      <c r="AR1550" s="6"/>
      <c r="AS1550" s="6"/>
      <c r="AT1550" s="6"/>
      <c r="AU1550" s="6"/>
      <c r="AV1550" s="6"/>
      <c r="AW1550" s="6"/>
      <c r="AX1550" s="6"/>
      <c r="AY1550" s="6"/>
      <c r="AZ1550" s="6"/>
      <c r="BA1550" s="6"/>
      <c r="BB1550" s="6"/>
      <c r="BC1550" s="6"/>
      <c r="BD1550" s="6"/>
      <c r="BE1550" s="6"/>
      <c r="BF1550" s="6"/>
      <c r="BG1550" s="6"/>
      <c r="BH1550" s="6"/>
      <c r="BI1550" s="6"/>
      <c r="BJ1550" s="6"/>
      <c r="BK1550" s="6"/>
      <c r="BL1550" s="6"/>
      <c r="BM1550" s="5"/>
      <c r="BN1550" s="7"/>
      <c r="BO1550" s="7"/>
      <c r="BP1550" s="7"/>
    </row>
    <row r="1551" spans="1:68" s="400" customFormat="1" ht="14.25" customHeight="1" x14ac:dyDescent="0.25">
      <c r="A1551" s="5"/>
      <c r="B1551" s="5"/>
      <c r="C1551" s="5"/>
      <c r="D1551" s="5"/>
      <c r="E1551" s="5"/>
      <c r="F1551" s="5"/>
      <c r="G1551" s="5"/>
      <c r="H1551" s="5"/>
      <c r="I1551" s="5"/>
      <c r="J1551" s="5"/>
      <c r="K1551" s="5"/>
      <c r="L1551" s="5"/>
      <c r="M1551" s="5"/>
      <c r="N1551" s="5"/>
      <c r="O1551" s="5"/>
      <c r="P1551" s="5"/>
      <c r="Q1551" s="5"/>
      <c r="R1551" s="5"/>
      <c r="S1551" s="5"/>
      <c r="T1551" s="5"/>
      <c r="U1551" s="5"/>
      <c r="V1551" s="5"/>
      <c r="W1551" s="5"/>
      <c r="X1551" s="5"/>
      <c r="Y1551" s="5"/>
      <c r="Z1551" s="5"/>
      <c r="AA1551" s="5"/>
      <c r="AB1551" s="6"/>
      <c r="AC1551" s="6"/>
      <c r="AD1551" s="6"/>
      <c r="AE1551" s="6"/>
      <c r="AF1551" s="6"/>
      <c r="AG1551" s="6"/>
      <c r="AH1551" s="6"/>
      <c r="AI1551" s="6"/>
      <c r="AJ1551" s="6"/>
      <c r="AK1551" s="6"/>
      <c r="AL1551" s="6"/>
      <c r="AM1551" s="6"/>
      <c r="AN1551" s="6"/>
      <c r="AO1551" s="6"/>
      <c r="AP1551" s="6"/>
      <c r="AQ1551" s="6"/>
      <c r="AR1551" s="6"/>
      <c r="AS1551" s="6"/>
      <c r="AT1551" s="6"/>
      <c r="AU1551" s="6"/>
      <c r="AV1551" s="6"/>
      <c r="AW1551" s="6"/>
      <c r="AX1551" s="6"/>
      <c r="AY1551" s="6"/>
      <c r="AZ1551" s="6"/>
      <c r="BA1551" s="6"/>
      <c r="BB1551" s="6"/>
      <c r="BC1551" s="6"/>
      <c r="BD1551" s="6"/>
      <c r="BE1551" s="6"/>
      <c r="BF1551" s="6"/>
      <c r="BG1551" s="6"/>
      <c r="BH1551" s="6"/>
      <c r="BI1551" s="6"/>
      <c r="BJ1551" s="6"/>
      <c r="BK1551" s="6"/>
      <c r="BL1551" s="6"/>
      <c r="BM1551" s="5"/>
      <c r="BN1551" s="7"/>
      <c r="BO1551" s="7"/>
      <c r="BP1551" s="7"/>
    </row>
    <row r="1552" spans="1:68" s="400" customFormat="1" ht="14.25" customHeight="1" x14ac:dyDescent="0.25">
      <c r="A1552" s="5"/>
      <c r="B1552" s="5"/>
      <c r="C1552" s="5"/>
      <c r="D1552" s="5"/>
      <c r="E1552" s="5"/>
      <c r="F1552" s="5"/>
      <c r="G1552" s="5"/>
      <c r="H1552" s="5"/>
      <c r="I1552" s="5"/>
      <c r="J1552" s="5"/>
      <c r="K1552" s="5"/>
      <c r="L1552" s="5"/>
      <c r="M1552" s="5"/>
      <c r="N1552" s="5"/>
      <c r="O1552" s="5"/>
      <c r="P1552" s="5"/>
      <c r="Q1552" s="5"/>
      <c r="R1552" s="5"/>
      <c r="S1552" s="5"/>
      <c r="T1552" s="5"/>
      <c r="U1552" s="5"/>
      <c r="V1552" s="5"/>
      <c r="W1552" s="5"/>
      <c r="X1552" s="5"/>
      <c r="Y1552" s="5"/>
      <c r="Z1552" s="5"/>
      <c r="AA1552" s="5"/>
      <c r="AB1552" s="6"/>
      <c r="AC1552" s="6"/>
      <c r="AD1552" s="6"/>
      <c r="AE1552" s="6"/>
      <c r="AF1552" s="6"/>
      <c r="AG1552" s="6"/>
      <c r="AH1552" s="6"/>
      <c r="AI1552" s="6"/>
      <c r="AJ1552" s="6"/>
      <c r="AK1552" s="6"/>
      <c r="AL1552" s="6"/>
      <c r="AM1552" s="6"/>
      <c r="AN1552" s="6"/>
      <c r="AO1552" s="6"/>
      <c r="AP1552" s="6"/>
      <c r="AQ1552" s="6"/>
      <c r="AR1552" s="6"/>
      <c r="AS1552" s="6"/>
      <c r="AT1552" s="6"/>
      <c r="AU1552" s="6"/>
      <c r="AV1552" s="6"/>
      <c r="AW1552" s="6"/>
      <c r="AX1552" s="6"/>
      <c r="AY1552" s="6"/>
      <c r="AZ1552" s="6"/>
      <c r="BA1552" s="6"/>
      <c r="BB1552" s="6"/>
      <c r="BC1552" s="6"/>
      <c r="BD1552" s="6"/>
      <c r="BE1552" s="6"/>
      <c r="BF1552" s="6"/>
      <c r="BG1552" s="6"/>
      <c r="BH1552" s="6"/>
      <c r="BI1552" s="6"/>
      <c r="BJ1552" s="6"/>
      <c r="BK1552" s="6"/>
      <c r="BL1552" s="6"/>
      <c r="BM1552" s="5"/>
      <c r="BN1552" s="7"/>
      <c r="BO1552" s="7"/>
      <c r="BP1552" s="7"/>
    </row>
    <row r="1553" spans="1:68" s="400" customFormat="1" ht="14.25" customHeight="1" x14ac:dyDescent="0.25">
      <c r="A1553" s="5"/>
      <c r="B1553" s="5"/>
      <c r="C1553" s="5"/>
      <c r="D1553" s="5"/>
      <c r="E1553" s="5"/>
      <c r="F1553" s="5"/>
      <c r="G1553" s="5"/>
      <c r="H1553" s="5"/>
      <c r="I1553" s="5"/>
      <c r="J1553" s="5"/>
      <c r="K1553" s="5"/>
      <c r="L1553" s="5"/>
      <c r="M1553" s="5"/>
      <c r="N1553" s="5"/>
      <c r="O1553" s="5"/>
      <c r="P1553" s="5"/>
      <c r="Q1553" s="5"/>
      <c r="R1553" s="5"/>
      <c r="S1553" s="5"/>
      <c r="T1553" s="5"/>
      <c r="U1553" s="5"/>
      <c r="V1553" s="5"/>
      <c r="W1553" s="5"/>
      <c r="X1553" s="5"/>
      <c r="Y1553" s="5"/>
      <c r="Z1553" s="5"/>
      <c r="AA1553" s="5"/>
      <c r="AB1553" s="6"/>
      <c r="AC1553" s="6"/>
      <c r="AD1553" s="6"/>
      <c r="AE1553" s="6"/>
      <c r="AF1553" s="6"/>
      <c r="AG1553" s="6"/>
      <c r="AH1553" s="6"/>
      <c r="AI1553" s="6"/>
      <c r="AJ1553" s="6"/>
      <c r="AK1553" s="6"/>
      <c r="AL1553" s="6"/>
      <c r="AM1553" s="6"/>
      <c r="AN1553" s="6"/>
      <c r="AO1553" s="6"/>
      <c r="AP1553" s="6"/>
      <c r="AQ1553" s="6"/>
      <c r="AR1553" s="6"/>
      <c r="AS1553" s="6"/>
      <c r="AT1553" s="6"/>
      <c r="AU1553" s="6"/>
      <c r="AV1553" s="6"/>
      <c r="AW1553" s="6"/>
      <c r="AX1553" s="6"/>
      <c r="AY1553" s="6"/>
      <c r="AZ1553" s="6"/>
      <c r="BA1553" s="6"/>
      <c r="BB1553" s="6"/>
      <c r="BC1553" s="6"/>
      <c r="BD1553" s="6"/>
      <c r="BE1553" s="6"/>
      <c r="BF1553" s="6"/>
      <c r="BG1553" s="6"/>
      <c r="BH1553" s="6"/>
      <c r="BI1553" s="6"/>
      <c r="BJ1553" s="6"/>
      <c r="BK1553" s="6"/>
      <c r="BL1553" s="6"/>
      <c r="BM1553" s="5"/>
      <c r="BN1553" s="7"/>
      <c r="BO1553" s="7"/>
      <c r="BP1553" s="7"/>
    </row>
    <row r="1554" spans="1:68" s="400" customFormat="1" ht="14.25" customHeight="1" x14ac:dyDescent="0.25">
      <c r="A1554" s="5"/>
      <c r="B1554" s="5"/>
      <c r="C1554" s="5"/>
      <c r="D1554" s="5"/>
      <c r="E1554" s="5"/>
      <c r="F1554" s="5"/>
      <c r="G1554" s="5"/>
      <c r="H1554" s="5"/>
      <c r="I1554" s="5"/>
      <c r="J1554" s="5"/>
      <c r="K1554" s="5"/>
      <c r="L1554" s="5"/>
      <c r="M1554" s="5"/>
      <c r="N1554" s="5"/>
      <c r="O1554" s="5"/>
      <c r="P1554" s="5"/>
      <c r="Q1554" s="5"/>
      <c r="R1554" s="5"/>
      <c r="S1554" s="5"/>
      <c r="T1554" s="5"/>
      <c r="U1554" s="5"/>
      <c r="V1554" s="5"/>
      <c r="W1554" s="5"/>
      <c r="X1554" s="5"/>
      <c r="Y1554" s="5"/>
      <c r="Z1554" s="5"/>
      <c r="AA1554" s="5"/>
      <c r="AB1554" s="6"/>
      <c r="AC1554" s="6"/>
      <c r="AD1554" s="6"/>
      <c r="AE1554" s="6"/>
      <c r="AF1554" s="6"/>
      <c r="AG1554" s="6"/>
      <c r="AH1554" s="6"/>
      <c r="AI1554" s="6"/>
      <c r="AJ1554" s="6"/>
      <c r="AK1554" s="6"/>
      <c r="AL1554" s="6"/>
      <c r="AM1554" s="6"/>
      <c r="AN1554" s="6"/>
      <c r="AO1554" s="6"/>
      <c r="AP1554" s="6"/>
      <c r="AQ1554" s="6"/>
      <c r="AR1554" s="6"/>
      <c r="AS1554" s="6"/>
      <c r="AT1554" s="6"/>
      <c r="AU1554" s="6"/>
      <c r="AV1554" s="6"/>
      <c r="AW1554" s="6"/>
      <c r="AX1554" s="6"/>
      <c r="AY1554" s="6"/>
      <c r="AZ1554" s="6"/>
      <c r="BA1554" s="6"/>
      <c r="BB1554" s="6"/>
      <c r="BC1554" s="6"/>
      <c r="BD1554" s="6"/>
      <c r="BE1554" s="6"/>
      <c r="BF1554" s="6"/>
      <c r="BG1554" s="6"/>
      <c r="BH1554" s="6"/>
      <c r="BI1554" s="6"/>
      <c r="BJ1554" s="6"/>
      <c r="BK1554" s="6"/>
      <c r="BL1554" s="6"/>
      <c r="BM1554" s="5"/>
      <c r="BN1554" s="7"/>
      <c r="BO1554" s="7"/>
      <c r="BP1554" s="7"/>
    </row>
    <row r="1555" spans="1:68" s="400" customFormat="1" ht="14.25" customHeight="1" x14ac:dyDescent="0.25">
      <c r="A1555" s="5"/>
      <c r="B1555" s="5"/>
      <c r="C1555" s="5"/>
      <c r="D1555" s="5"/>
      <c r="E1555" s="5"/>
      <c r="F1555" s="5"/>
      <c r="G1555" s="5"/>
      <c r="H1555" s="5"/>
      <c r="I1555" s="5"/>
      <c r="J1555" s="5"/>
      <c r="K1555" s="5"/>
      <c r="L1555" s="5"/>
      <c r="M1555" s="5"/>
      <c r="N1555" s="5"/>
      <c r="O1555" s="5"/>
      <c r="P1555" s="5"/>
      <c r="Q1555" s="5"/>
      <c r="R1555" s="5"/>
      <c r="S1555" s="5"/>
      <c r="T1555" s="5"/>
      <c r="U1555" s="5"/>
      <c r="V1555" s="5"/>
      <c r="W1555" s="5"/>
      <c r="X1555" s="5"/>
      <c r="Y1555" s="5"/>
      <c r="Z1555" s="5"/>
      <c r="AA1555" s="5"/>
      <c r="AB1555" s="6"/>
      <c r="AC1555" s="6"/>
      <c r="AD1555" s="6"/>
      <c r="AE1555" s="6"/>
      <c r="AF1555" s="6"/>
      <c r="AG1555" s="6"/>
      <c r="AH1555" s="6"/>
      <c r="AI1555" s="6"/>
      <c r="AJ1555" s="6"/>
      <c r="AK1555" s="6"/>
      <c r="AL1555" s="6"/>
      <c r="AM1555" s="6"/>
      <c r="AN1555" s="6"/>
      <c r="AO1555" s="6"/>
      <c r="AP1555" s="6"/>
      <c r="AQ1555" s="6"/>
      <c r="AR1555" s="6"/>
      <c r="AS1555" s="6"/>
      <c r="AT1555" s="6"/>
      <c r="AU1555" s="6"/>
      <c r="AV1555" s="6"/>
      <c r="AW1555" s="6"/>
      <c r="AX1555" s="6"/>
      <c r="AY1555" s="6"/>
      <c r="AZ1555" s="6"/>
      <c r="BA1555" s="6"/>
      <c r="BB1555" s="6"/>
      <c r="BC1555" s="6"/>
      <c r="BD1555" s="6"/>
      <c r="BE1555" s="6"/>
      <c r="BF1555" s="6"/>
      <c r="BG1555" s="6"/>
      <c r="BH1555" s="6"/>
      <c r="BI1555" s="6"/>
      <c r="BJ1555" s="6"/>
      <c r="BK1555" s="6"/>
      <c r="BL1555" s="6"/>
      <c r="BM1555" s="5"/>
      <c r="BN1555" s="7"/>
      <c r="BO1555" s="7"/>
      <c r="BP1555" s="7"/>
    </row>
    <row r="1556" spans="1:68" s="400" customFormat="1" ht="14.25" customHeight="1" x14ac:dyDescent="0.25">
      <c r="A1556" s="5"/>
      <c r="B1556" s="5"/>
      <c r="C1556" s="5"/>
      <c r="D1556" s="5"/>
      <c r="E1556" s="5"/>
      <c r="F1556" s="5"/>
      <c r="G1556" s="5"/>
      <c r="H1556" s="5"/>
      <c r="I1556" s="5"/>
      <c r="J1556" s="5"/>
      <c r="K1556" s="5"/>
      <c r="L1556" s="5"/>
      <c r="M1556" s="5"/>
      <c r="N1556" s="5"/>
      <c r="O1556" s="5"/>
      <c r="P1556" s="5"/>
      <c r="Q1556" s="5"/>
      <c r="R1556" s="5"/>
      <c r="S1556" s="5"/>
      <c r="T1556" s="5"/>
      <c r="U1556" s="5"/>
      <c r="V1556" s="5"/>
      <c r="W1556" s="5"/>
      <c r="X1556" s="5"/>
      <c r="Y1556" s="5"/>
      <c r="Z1556" s="5"/>
      <c r="AA1556" s="5"/>
      <c r="AB1556" s="6"/>
      <c r="AC1556" s="6"/>
      <c r="AD1556" s="6"/>
      <c r="AE1556" s="6"/>
      <c r="AF1556" s="6"/>
      <c r="AG1556" s="6"/>
      <c r="AH1556" s="6"/>
      <c r="AI1556" s="6"/>
      <c r="AJ1556" s="6"/>
      <c r="AK1556" s="6"/>
      <c r="AL1556" s="6"/>
      <c r="AM1556" s="6"/>
      <c r="AN1556" s="6"/>
      <c r="AO1556" s="6"/>
      <c r="AP1556" s="6"/>
      <c r="AQ1556" s="6"/>
      <c r="AR1556" s="6"/>
      <c r="AS1556" s="6"/>
      <c r="AT1556" s="6"/>
      <c r="AU1556" s="6"/>
      <c r="AV1556" s="6"/>
      <c r="AW1556" s="6"/>
      <c r="AX1556" s="6"/>
      <c r="AY1556" s="6"/>
      <c r="AZ1556" s="6"/>
      <c r="BA1556" s="6"/>
      <c r="BB1556" s="6"/>
      <c r="BC1556" s="6"/>
      <c r="BD1556" s="6"/>
      <c r="BE1556" s="6"/>
      <c r="BF1556" s="6"/>
      <c r="BG1556" s="6"/>
      <c r="BH1556" s="6"/>
      <c r="BI1556" s="6"/>
      <c r="BJ1556" s="6"/>
      <c r="BK1556" s="6"/>
      <c r="BL1556" s="6"/>
      <c r="BM1556" s="5"/>
      <c r="BN1556" s="7"/>
      <c r="BO1556" s="7"/>
      <c r="BP1556" s="7"/>
    </row>
    <row r="1557" spans="1:68" s="400" customFormat="1" ht="14.25" customHeight="1" x14ac:dyDescent="0.25">
      <c r="A1557" s="5"/>
      <c r="B1557" s="5"/>
      <c r="C1557" s="5"/>
      <c r="D1557" s="5"/>
      <c r="E1557" s="5"/>
      <c r="F1557" s="5"/>
      <c r="G1557" s="5"/>
      <c r="H1557" s="5"/>
      <c r="I1557" s="5"/>
      <c r="J1557" s="5"/>
      <c r="K1557" s="5"/>
      <c r="L1557" s="5"/>
      <c r="M1557" s="5"/>
      <c r="N1557" s="5"/>
      <c r="O1557" s="5"/>
      <c r="P1557" s="5"/>
      <c r="Q1557" s="5"/>
      <c r="R1557" s="5"/>
      <c r="S1557" s="5"/>
      <c r="T1557" s="5"/>
      <c r="U1557" s="5"/>
      <c r="V1557" s="5"/>
      <c r="W1557" s="5"/>
      <c r="X1557" s="5"/>
      <c r="Y1557" s="5"/>
      <c r="Z1557" s="5"/>
      <c r="AA1557" s="5"/>
      <c r="AB1557" s="6"/>
      <c r="AC1557" s="6"/>
      <c r="AD1557" s="6"/>
      <c r="AE1557" s="6"/>
      <c r="AF1557" s="6"/>
      <c r="AG1557" s="6"/>
      <c r="AH1557" s="6"/>
      <c r="AI1557" s="6"/>
      <c r="AJ1557" s="6"/>
      <c r="AK1557" s="6"/>
      <c r="AL1557" s="6"/>
      <c r="AM1557" s="6"/>
      <c r="AN1557" s="6"/>
      <c r="AO1557" s="6"/>
      <c r="AP1557" s="6"/>
      <c r="AQ1557" s="6"/>
      <c r="AR1557" s="6"/>
      <c r="AS1557" s="6"/>
      <c r="AT1557" s="6"/>
      <c r="AU1557" s="6"/>
      <c r="AV1557" s="6"/>
      <c r="AW1557" s="6"/>
      <c r="AX1557" s="6"/>
      <c r="AY1557" s="6"/>
      <c r="AZ1557" s="6"/>
      <c r="BA1557" s="6"/>
      <c r="BB1557" s="6"/>
      <c r="BC1557" s="6"/>
      <c r="BD1557" s="6"/>
      <c r="BE1557" s="6"/>
      <c r="BF1557" s="6"/>
      <c r="BG1557" s="6"/>
      <c r="BH1557" s="6"/>
      <c r="BI1557" s="6"/>
      <c r="BJ1557" s="6"/>
      <c r="BK1557" s="6"/>
      <c r="BL1557" s="6"/>
      <c r="BM1557" s="5"/>
      <c r="BN1557" s="7"/>
      <c r="BO1557" s="7"/>
      <c r="BP1557" s="7"/>
    </row>
    <row r="1558" spans="1:68" s="400" customFormat="1" ht="14.25" customHeight="1" x14ac:dyDescent="0.25">
      <c r="A1558" s="5"/>
      <c r="B1558" s="5"/>
      <c r="C1558" s="5"/>
      <c r="D1558" s="5"/>
      <c r="E1558" s="5"/>
      <c r="F1558" s="5"/>
      <c r="G1558" s="5"/>
      <c r="H1558" s="5"/>
      <c r="I1558" s="5"/>
      <c r="J1558" s="5"/>
      <c r="K1558" s="5"/>
      <c r="L1558" s="5"/>
      <c r="M1558" s="5"/>
      <c r="N1558" s="5"/>
      <c r="O1558" s="5"/>
      <c r="P1558" s="5"/>
      <c r="Q1558" s="5"/>
      <c r="R1558" s="5"/>
      <c r="S1558" s="5"/>
      <c r="T1558" s="5"/>
      <c r="U1558" s="5"/>
      <c r="V1558" s="5"/>
      <c r="W1558" s="5"/>
      <c r="X1558" s="5"/>
      <c r="Y1558" s="5"/>
      <c r="Z1558" s="5"/>
      <c r="AA1558" s="5"/>
      <c r="AB1558" s="6"/>
      <c r="AC1558" s="6"/>
      <c r="AD1558" s="6"/>
      <c r="AE1558" s="6"/>
      <c r="AF1558" s="6"/>
      <c r="AG1558" s="6"/>
      <c r="AH1558" s="6"/>
      <c r="AI1558" s="6"/>
      <c r="AJ1558" s="6"/>
      <c r="AK1558" s="6"/>
      <c r="AL1558" s="6"/>
      <c r="AM1558" s="6"/>
      <c r="AN1558" s="6"/>
      <c r="AO1558" s="6"/>
      <c r="AP1558" s="6"/>
      <c r="AQ1558" s="6"/>
      <c r="AR1558" s="6"/>
      <c r="AS1558" s="6"/>
      <c r="AT1558" s="6"/>
      <c r="AU1558" s="6"/>
      <c r="AV1558" s="6"/>
      <c r="AW1558" s="6"/>
      <c r="AX1558" s="6"/>
      <c r="AY1558" s="6"/>
      <c r="AZ1558" s="6"/>
      <c r="BA1558" s="6"/>
      <c r="BB1558" s="6"/>
      <c r="BC1558" s="6"/>
      <c r="BD1558" s="6"/>
      <c r="BE1558" s="6"/>
      <c r="BF1558" s="6"/>
      <c r="BG1558" s="6"/>
      <c r="BH1558" s="6"/>
      <c r="BI1558" s="6"/>
      <c r="BJ1558" s="6"/>
      <c r="BK1558" s="6"/>
      <c r="BL1558" s="6"/>
      <c r="BM1558" s="5"/>
      <c r="BN1558" s="7"/>
      <c r="BO1558" s="7"/>
      <c r="BP1558" s="7"/>
    </row>
    <row r="1559" spans="1:68" s="400" customFormat="1" ht="14.25" customHeight="1" x14ac:dyDescent="0.25">
      <c r="A1559" s="5"/>
      <c r="B1559" s="5"/>
      <c r="C1559" s="5"/>
      <c r="D1559" s="5"/>
      <c r="E1559" s="5"/>
      <c r="F1559" s="5"/>
      <c r="G1559" s="5"/>
      <c r="H1559" s="5"/>
      <c r="I1559" s="5"/>
      <c r="J1559" s="5"/>
      <c r="K1559" s="5"/>
      <c r="L1559" s="5"/>
      <c r="M1559" s="5"/>
      <c r="N1559" s="5"/>
      <c r="O1559" s="5"/>
      <c r="P1559" s="5"/>
      <c r="Q1559" s="5"/>
      <c r="R1559" s="5"/>
      <c r="S1559" s="5"/>
      <c r="T1559" s="5"/>
      <c r="U1559" s="5"/>
      <c r="V1559" s="5"/>
      <c r="W1559" s="5"/>
      <c r="X1559" s="5"/>
      <c r="Y1559" s="5"/>
      <c r="Z1559" s="5"/>
      <c r="AA1559" s="5"/>
      <c r="AB1559" s="6"/>
      <c r="AC1559" s="6"/>
      <c r="AD1559" s="6"/>
      <c r="AE1559" s="6"/>
      <c r="AF1559" s="6"/>
      <c r="AG1559" s="6"/>
      <c r="AH1559" s="6"/>
      <c r="AI1559" s="6"/>
      <c r="AJ1559" s="6"/>
      <c r="AK1559" s="6"/>
      <c r="AL1559" s="6"/>
      <c r="AM1559" s="6"/>
      <c r="AN1559" s="6"/>
      <c r="AO1559" s="6"/>
      <c r="AP1559" s="6"/>
      <c r="AQ1559" s="6"/>
      <c r="AR1559" s="6"/>
      <c r="AS1559" s="6"/>
      <c r="AT1559" s="6"/>
      <c r="AU1559" s="6"/>
      <c r="AV1559" s="6"/>
      <c r="AW1559" s="6"/>
      <c r="AX1559" s="6"/>
      <c r="AY1559" s="6"/>
      <c r="AZ1559" s="6"/>
      <c r="BA1559" s="6"/>
      <c r="BB1559" s="6"/>
      <c r="BC1559" s="6"/>
      <c r="BD1559" s="6"/>
      <c r="BE1559" s="6"/>
      <c r="BF1559" s="6"/>
      <c r="BG1559" s="6"/>
      <c r="BH1559" s="6"/>
      <c r="BI1559" s="6"/>
      <c r="BJ1559" s="6"/>
      <c r="BK1559" s="6"/>
      <c r="BL1559" s="6"/>
      <c r="BM1559" s="5"/>
      <c r="BN1559" s="7"/>
      <c r="BO1559" s="7"/>
      <c r="BP1559" s="7"/>
    </row>
    <row r="1560" spans="1:68" s="400" customFormat="1" ht="14.25" customHeight="1" x14ac:dyDescent="0.25">
      <c r="A1560" s="5"/>
      <c r="B1560" s="5"/>
      <c r="C1560" s="5"/>
      <c r="D1560" s="5"/>
      <c r="E1560" s="5"/>
      <c r="F1560" s="5"/>
      <c r="G1560" s="5"/>
      <c r="H1560" s="5"/>
      <c r="I1560" s="5"/>
      <c r="J1560" s="5"/>
      <c r="K1560" s="5"/>
      <c r="L1560" s="5"/>
      <c r="M1560" s="5"/>
      <c r="N1560" s="5"/>
      <c r="O1560" s="5"/>
      <c r="P1560" s="5"/>
      <c r="Q1560" s="5"/>
      <c r="R1560" s="5"/>
      <c r="S1560" s="5"/>
      <c r="T1560" s="5"/>
      <c r="U1560" s="5"/>
      <c r="V1560" s="5"/>
      <c r="W1560" s="5"/>
      <c r="X1560" s="5"/>
      <c r="Y1560" s="5"/>
      <c r="Z1560" s="5"/>
      <c r="AA1560" s="5"/>
      <c r="AB1560" s="6"/>
      <c r="AC1560" s="6"/>
      <c r="AD1560" s="6"/>
      <c r="AE1560" s="6"/>
      <c r="AF1560" s="6"/>
      <c r="AG1560" s="6"/>
      <c r="AH1560" s="6"/>
      <c r="AI1560" s="6"/>
      <c r="AJ1560" s="6"/>
      <c r="AK1560" s="6"/>
      <c r="AL1560" s="6"/>
      <c r="AM1560" s="6"/>
      <c r="AN1560" s="6"/>
      <c r="AO1560" s="6"/>
      <c r="AP1560" s="6"/>
      <c r="AQ1560" s="6"/>
      <c r="AR1560" s="6"/>
      <c r="AS1560" s="6"/>
      <c r="AT1560" s="6"/>
      <c r="AU1560" s="6"/>
      <c r="AV1560" s="6"/>
      <c r="AW1560" s="6"/>
      <c r="AX1560" s="6"/>
      <c r="AY1560" s="6"/>
      <c r="AZ1560" s="6"/>
      <c r="BA1560" s="6"/>
      <c r="BB1560" s="6"/>
      <c r="BC1560" s="6"/>
      <c r="BD1560" s="6"/>
      <c r="BE1560" s="6"/>
      <c r="BF1560" s="6"/>
      <c r="BG1560" s="6"/>
      <c r="BH1560" s="6"/>
      <c r="BI1560" s="6"/>
      <c r="BJ1560" s="6"/>
      <c r="BK1560" s="6"/>
      <c r="BL1560" s="6"/>
      <c r="BM1560" s="5"/>
      <c r="BN1560" s="7"/>
      <c r="BO1560" s="7"/>
      <c r="BP1560" s="7"/>
    </row>
    <row r="1561" spans="1:68" s="400" customFormat="1" ht="14.25" customHeight="1" x14ac:dyDescent="0.25">
      <c r="A1561" s="5"/>
      <c r="B1561" s="5"/>
      <c r="C1561" s="5"/>
      <c r="D1561" s="5"/>
      <c r="E1561" s="5"/>
      <c r="F1561" s="5"/>
      <c r="G1561" s="5"/>
      <c r="H1561" s="5"/>
      <c r="I1561" s="5"/>
      <c r="J1561" s="5"/>
      <c r="K1561" s="5"/>
      <c r="L1561" s="5"/>
      <c r="M1561" s="5"/>
      <c r="N1561" s="5"/>
      <c r="O1561" s="5"/>
      <c r="P1561" s="5"/>
      <c r="Q1561" s="5"/>
      <c r="R1561" s="5"/>
      <c r="S1561" s="5"/>
      <c r="T1561" s="5"/>
      <c r="U1561" s="5"/>
      <c r="V1561" s="5"/>
      <c r="W1561" s="5"/>
      <c r="X1561" s="5"/>
      <c r="Y1561" s="5"/>
      <c r="Z1561" s="5"/>
      <c r="AA1561" s="5"/>
      <c r="AB1561" s="6"/>
      <c r="AC1561" s="6"/>
      <c r="AD1561" s="6"/>
      <c r="AE1561" s="6"/>
      <c r="AF1561" s="6"/>
      <c r="AG1561" s="6"/>
      <c r="AH1561" s="6"/>
      <c r="AI1561" s="6"/>
      <c r="AJ1561" s="6"/>
      <c r="AK1561" s="6"/>
      <c r="AL1561" s="6"/>
      <c r="AM1561" s="6"/>
      <c r="AN1561" s="6"/>
      <c r="AO1561" s="6"/>
      <c r="AP1561" s="6"/>
      <c r="AQ1561" s="6"/>
      <c r="AR1561" s="6"/>
      <c r="AS1561" s="6"/>
      <c r="AT1561" s="6"/>
      <c r="AU1561" s="6"/>
      <c r="AV1561" s="6"/>
      <c r="AW1561" s="6"/>
      <c r="AX1561" s="6"/>
      <c r="AY1561" s="6"/>
      <c r="AZ1561" s="6"/>
      <c r="BA1561" s="6"/>
      <c r="BB1561" s="6"/>
      <c r="BC1561" s="6"/>
      <c r="BD1561" s="6"/>
      <c r="BE1561" s="6"/>
      <c r="BF1561" s="6"/>
      <c r="BG1561" s="6"/>
      <c r="BH1561" s="6"/>
      <c r="BI1561" s="6"/>
      <c r="BJ1561" s="6"/>
      <c r="BK1561" s="6"/>
      <c r="BL1561" s="6"/>
      <c r="BM1561" s="5"/>
      <c r="BN1561" s="7"/>
      <c r="BO1561" s="7"/>
      <c r="BP1561" s="7"/>
    </row>
    <row r="1562" spans="1:68" s="400" customFormat="1" ht="14.25" customHeight="1" x14ac:dyDescent="0.25">
      <c r="A1562" s="5"/>
      <c r="B1562" s="5"/>
      <c r="C1562" s="5"/>
      <c r="D1562" s="5"/>
      <c r="E1562" s="5"/>
      <c r="F1562" s="5"/>
      <c r="G1562" s="5"/>
      <c r="H1562" s="5"/>
      <c r="I1562" s="5"/>
      <c r="J1562" s="5"/>
      <c r="K1562" s="5"/>
      <c r="L1562" s="5"/>
      <c r="M1562" s="5"/>
      <c r="N1562" s="5"/>
      <c r="O1562" s="5"/>
      <c r="P1562" s="5"/>
      <c r="Q1562" s="5"/>
      <c r="R1562" s="5"/>
      <c r="S1562" s="5"/>
      <c r="T1562" s="5"/>
      <c r="U1562" s="5"/>
      <c r="V1562" s="5"/>
      <c r="W1562" s="5"/>
      <c r="X1562" s="5"/>
      <c r="Y1562" s="5"/>
      <c r="Z1562" s="5"/>
      <c r="AA1562" s="5"/>
      <c r="AB1562" s="6"/>
      <c r="AC1562" s="6"/>
      <c r="AD1562" s="6"/>
      <c r="AE1562" s="6"/>
      <c r="AF1562" s="6"/>
      <c r="AG1562" s="6"/>
      <c r="AH1562" s="6"/>
      <c r="AI1562" s="6"/>
      <c r="AJ1562" s="6"/>
      <c r="AK1562" s="6"/>
      <c r="AL1562" s="6"/>
      <c r="AM1562" s="6"/>
      <c r="AN1562" s="6"/>
      <c r="AO1562" s="6"/>
      <c r="AP1562" s="6"/>
      <c r="AQ1562" s="6"/>
      <c r="AR1562" s="6"/>
      <c r="AS1562" s="6"/>
      <c r="AT1562" s="6"/>
      <c r="AU1562" s="6"/>
      <c r="AV1562" s="6"/>
      <c r="AW1562" s="6"/>
      <c r="AX1562" s="6"/>
      <c r="AY1562" s="6"/>
      <c r="AZ1562" s="6"/>
      <c r="BA1562" s="6"/>
      <c r="BB1562" s="6"/>
      <c r="BC1562" s="6"/>
      <c r="BD1562" s="6"/>
      <c r="BE1562" s="6"/>
      <c r="BF1562" s="6"/>
      <c r="BG1562" s="6"/>
      <c r="BH1562" s="6"/>
      <c r="BI1562" s="6"/>
      <c r="BJ1562" s="6"/>
      <c r="BK1562" s="6"/>
      <c r="BL1562" s="6"/>
      <c r="BM1562" s="5"/>
      <c r="BN1562" s="7"/>
      <c r="BO1562" s="7"/>
      <c r="BP1562" s="7"/>
    </row>
    <row r="1563" spans="1:68" s="400" customFormat="1" ht="14.25" customHeight="1" x14ac:dyDescent="0.25">
      <c r="A1563" s="5"/>
      <c r="B1563" s="5"/>
      <c r="C1563" s="5"/>
      <c r="D1563" s="5"/>
      <c r="E1563" s="5"/>
      <c r="F1563" s="5"/>
      <c r="G1563" s="5"/>
      <c r="H1563" s="5"/>
      <c r="I1563" s="5"/>
      <c r="J1563" s="5"/>
      <c r="K1563" s="5"/>
      <c r="L1563" s="5"/>
      <c r="M1563" s="5"/>
      <c r="N1563" s="5"/>
      <c r="O1563" s="5"/>
      <c r="P1563" s="5"/>
      <c r="Q1563" s="5"/>
      <c r="R1563" s="5"/>
      <c r="S1563" s="5"/>
      <c r="T1563" s="5"/>
      <c r="U1563" s="5"/>
      <c r="V1563" s="5"/>
      <c r="W1563" s="5"/>
      <c r="X1563" s="5"/>
      <c r="Y1563" s="5"/>
      <c r="Z1563" s="5"/>
      <c r="AA1563" s="5"/>
      <c r="AB1563" s="6"/>
      <c r="AC1563" s="6"/>
      <c r="AD1563" s="6"/>
      <c r="AE1563" s="6"/>
      <c r="AF1563" s="6"/>
      <c r="AG1563" s="6"/>
      <c r="AH1563" s="6"/>
      <c r="AI1563" s="6"/>
      <c r="AJ1563" s="6"/>
      <c r="AK1563" s="6"/>
      <c r="AL1563" s="6"/>
      <c r="AM1563" s="6"/>
      <c r="AN1563" s="6"/>
      <c r="AO1563" s="6"/>
      <c r="AP1563" s="6"/>
      <c r="AQ1563" s="6"/>
      <c r="AR1563" s="6"/>
      <c r="AS1563" s="6"/>
      <c r="AT1563" s="6"/>
      <c r="AU1563" s="6"/>
      <c r="AV1563" s="6"/>
      <c r="AW1563" s="6"/>
      <c r="AX1563" s="6"/>
      <c r="AY1563" s="6"/>
      <c r="AZ1563" s="6"/>
      <c r="BA1563" s="6"/>
      <c r="BB1563" s="6"/>
      <c r="BC1563" s="6"/>
      <c r="BD1563" s="6"/>
      <c r="BE1563" s="6"/>
      <c r="BF1563" s="6"/>
      <c r="BG1563" s="6"/>
      <c r="BH1563" s="6"/>
      <c r="BI1563" s="6"/>
      <c r="BJ1563" s="6"/>
      <c r="BK1563" s="6"/>
      <c r="BL1563" s="6"/>
      <c r="BM1563" s="5"/>
      <c r="BN1563" s="7"/>
      <c r="BO1563" s="7"/>
      <c r="BP1563" s="7"/>
    </row>
    <row r="1564" spans="1:68" s="400" customFormat="1" ht="14.25" customHeight="1" x14ac:dyDescent="0.25">
      <c r="A1564" s="5"/>
      <c r="B1564" s="5"/>
      <c r="C1564" s="5"/>
      <c r="D1564" s="5"/>
      <c r="E1564" s="5"/>
      <c r="F1564" s="5"/>
      <c r="G1564" s="5"/>
      <c r="H1564" s="5"/>
      <c r="I1564" s="5"/>
      <c r="J1564" s="5"/>
      <c r="K1564" s="5"/>
      <c r="L1564" s="5"/>
      <c r="M1564" s="5"/>
      <c r="N1564" s="5"/>
      <c r="O1564" s="5"/>
      <c r="P1564" s="5"/>
      <c r="Q1564" s="5"/>
      <c r="R1564" s="5"/>
      <c r="S1564" s="5"/>
      <c r="T1564" s="5"/>
      <c r="U1564" s="5"/>
      <c r="V1564" s="5"/>
      <c r="W1564" s="5"/>
      <c r="X1564" s="5"/>
      <c r="Y1564" s="5"/>
      <c r="Z1564" s="5"/>
      <c r="AA1564" s="5"/>
      <c r="AB1564" s="6"/>
      <c r="AC1564" s="6"/>
      <c r="AD1564" s="6"/>
      <c r="AE1564" s="6"/>
      <c r="AF1564" s="6"/>
      <c r="AG1564" s="6"/>
      <c r="AH1564" s="6"/>
      <c r="AI1564" s="6"/>
      <c r="AJ1564" s="6"/>
      <c r="AK1564" s="6"/>
      <c r="AL1564" s="6"/>
      <c r="AM1564" s="6"/>
      <c r="AN1564" s="6"/>
      <c r="AO1564" s="6"/>
      <c r="AP1564" s="6"/>
      <c r="AQ1564" s="6"/>
      <c r="AR1564" s="6"/>
      <c r="AS1564" s="6"/>
      <c r="AT1564" s="6"/>
      <c r="AU1564" s="6"/>
      <c r="AV1564" s="6"/>
      <c r="AW1564" s="6"/>
      <c r="AX1564" s="6"/>
      <c r="AY1564" s="6"/>
      <c r="AZ1564" s="6"/>
      <c r="BA1564" s="6"/>
      <c r="BB1564" s="6"/>
      <c r="BC1564" s="6"/>
      <c r="BD1564" s="6"/>
      <c r="BE1564" s="6"/>
      <c r="BF1564" s="6"/>
      <c r="BG1564" s="6"/>
      <c r="BH1564" s="6"/>
      <c r="BI1564" s="6"/>
      <c r="BJ1564" s="6"/>
      <c r="BK1564" s="6"/>
      <c r="BL1564" s="6"/>
      <c r="BM1564" s="5"/>
      <c r="BN1564" s="7"/>
      <c r="BO1564" s="7"/>
      <c r="BP1564" s="7"/>
    </row>
    <row r="1565" spans="1:68" s="400" customFormat="1" ht="14.25" customHeight="1" x14ac:dyDescent="0.25">
      <c r="A1565" s="5"/>
      <c r="B1565" s="5"/>
      <c r="C1565" s="5"/>
      <c r="D1565" s="5"/>
      <c r="E1565" s="5"/>
      <c r="F1565" s="5"/>
      <c r="G1565" s="5"/>
      <c r="H1565" s="5"/>
      <c r="I1565" s="5"/>
      <c r="J1565" s="5"/>
      <c r="K1565" s="5"/>
      <c r="L1565" s="5"/>
      <c r="M1565" s="5"/>
      <c r="N1565" s="5"/>
      <c r="O1565" s="5"/>
      <c r="P1565" s="5"/>
      <c r="Q1565" s="5"/>
      <c r="R1565" s="5"/>
      <c r="S1565" s="5"/>
      <c r="T1565" s="5"/>
      <c r="U1565" s="5"/>
      <c r="V1565" s="5"/>
      <c r="W1565" s="5"/>
      <c r="X1565" s="5"/>
      <c r="Y1565" s="5"/>
      <c r="Z1565" s="5"/>
      <c r="AA1565" s="5"/>
      <c r="AB1565" s="6"/>
      <c r="AC1565" s="6"/>
      <c r="AD1565" s="6"/>
      <c r="AE1565" s="6"/>
      <c r="AF1565" s="6"/>
      <c r="AG1565" s="6"/>
      <c r="AH1565" s="6"/>
      <c r="AI1565" s="6"/>
      <c r="AJ1565" s="6"/>
      <c r="AK1565" s="6"/>
      <c r="AL1565" s="6"/>
      <c r="AM1565" s="6"/>
      <c r="AN1565" s="6"/>
      <c r="AO1565" s="6"/>
      <c r="AP1565" s="6"/>
      <c r="AQ1565" s="6"/>
      <c r="AR1565" s="6"/>
      <c r="AS1565" s="6"/>
      <c r="AT1565" s="6"/>
      <c r="AU1565" s="6"/>
      <c r="AV1565" s="6"/>
      <c r="AW1565" s="6"/>
      <c r="AX1565" s="6"/>
      <c r="AY1565" s="6"/>
      <c r="AZ1565" s="6"/>
      <c r="BA1565" s="6"/>
      <c r="BB1565" s="6"/>
      <c r="BC1565" s="6"/>
      <c r="BD1565" s="6"/>
      <c r="BE1565" s="6"/>
      <c r="BF1565" s="6"/>
      <c r="BG1565" s="6"/>
      <c r="BH1565" s="6"/>
      <c r="BI1565" s="6"/>
      <c r="BJ1565" s="6"/>
      <c r="BK1565" s="6"/>
      <c r="BL1565" s="6"/>
      <c r="BM1565" s="5"/>
      <c r="BN1565" s="7"/>
      <c r="BO1565" s="7"/>
      <c r="BP1565" s="7"/>
    </row>
    <row r="1566" spans="1:68" s="400" customFormat="1" ht="14.25" customHeight="1" x14ac:dyDescent="0.25">
      <c r="A1566" s="5"/>
      <c r="B1566" s="5"/>
      <c r="C1566" s="5"/>
      <c r="D1566" s="5"/>
      <c r="E1566" s="5"/>
      <c r="F1566" s="5"/>
      <c r="G1566" s="5"/>
      <c r="H1566" s="5"/>
      <c r="I1566" s="5"/>
      <c r="J1566" s="5"/>
      <c r="K1566" s="5"/>
      <c r="L1566" s="5"/>
      <c r="M1566" s="5"/>
      <c r="N1566" s="5"/>
      <c r="O1566" s="5"/>
      <c r="P1566" s="5"/>
      <c r="Q1566" s="5"/>
      <c r="R1566" s="5"/>
      <c r="S1566" s="5"/>
      <c r="T1566" s="5"/>
      <c r="U1566" s="5"/>
      <c r="V1566" s="5"/>
      <c r="W1566" s="5"/>
      <c r="X1566" s="5"/>
      <c r="Y1566" s="5"/>
      <c r="Z1566" s="5"/>
      <c r="AA1566" s="5"/>
      <c r="AB1566" s="6"/>
      <c r="AC1566" s="6"/>
      <c r="AD1566" s="6"/>
      <c r="AE1566" s="6"/>
      <c r="AF1566" s="6"/>
      <c r="AG1566" s="6"/>
      <c r="AH1566" s="6"/>
      <c r="AI1566" s="6"/>
      <c r="AJ1566" s="6"/>
      <c r="AK1566" s="6"/>
      <c r="AL1566" s="6"/>
      <c r="AM1566" s="6"/>
      <c r="AN1566" s="6"/>
      <c r="AO1566" s="6"/>
      <c r="AP1566" s="6"/>
      <c r="AQ1566" s="6"/>
      <c r="AR1566" s="6"/>
      <c r="AS1566" s="6"/>
      <c r="AT1566" s="6"/>
      <c r="AU1566" s="6"/>
      <c r="AV1566" s="6"/>
      <c r="AW1566" s="6"/>
      <c r="AX1566" s="6"/>
      <c r="AY1566" s="6"/>
      <c r="AZ1566" s="6"/>
      <c r="BA1566" s="6"/>
      <c r="BB1566" s="6"/>
      <c r="BC1566" s="6"/>
      <c r="BD1566" s="6"/>
      <c r="BE1566" s="6"/>
      <c r="BF1566" s="6"/>
      <c r="BG1566" s="6"/>
      <c r="BH1566" s="6"/>
      <c r="BI1566" s="6"/>
      <c r="BJ1566" s="6"/>
      <c r="BK1566" s="6"/>
      <c r="BL1566" s="6"/>
      <c r="BM1566" s="5"/>
      <c r="BN1566" s="7"/>
      <c r="BO1566" s="7"/>
      <c r="BP1566" s="7"/>
    </row>
    <row r="1567" spans="1:68" s="400" customFormat="1" ht="14.25" customHeight="1" x14ac:dyDescent="0.25">
      <c r="A1567" s="5"/>
      <c r="B1567" s="5"/>
      <c r="C1567" s="5"/>
      <c r="D1567" s="5"/>
      <c r="E1567" s="5"/>
      <c r="F1567" s="5"/>
      <c r="G1567" s="5"/>
      <c r="H1567" s="5"/>
      <c r="I1567" s="5"/>
      <c r="J1567" s="5"/>
      <c r="K1567" s="5"/>
      <c r="L1567" s="5"/>
      <c r="M1567" s="5"/>
      <c r="N1567" s="5"/>
      <c r="O1567" s="5"/>
      <c r="P1567" s="5"/>
      <c r="Q1567" s="5"/>
      <c r="R1567" s="5"/>
      <c r="S1567" s="5"/>
      <c r="T1567" s="5"/>
      <c r="U1567" s="5"/>
      <c r="V1567" s="5"/>
      <c r="W1567" s="5"/>
      <c r="X1567" s="5"/>
      <c r="Y1567" s="5"/>
      <c r="Z1567" s="5"/>
      <c r="AA1567" s="5"/>
      <c r="AB1567" s="6"/>
      <c r="AC1567" s="6"/>
      <c r="AD1567" s="6"/>
      <c r="AE1567" s="6"/>
      <c r="AF1567" s="6"/>
      <c r="AG1567" s="6"/>
      <c r="AH1567" s="6"/>
      <c r="AI1567" s="6"/>
      <c r="AJ1567" s="6"/>
      <c r="AK1567" s="6"/>
      <c r="AL1567" s="6"/>
      <c r="AM1567" s="6"/>
      <c r="AN1567" s="6"/>
      <c r="AO1567" s="6"/>
      <c r="AP1567" s="6"/>
      <c r="AQ1567" s="6"/>
      <c r="AR1567" s="6"/>
      <c r="AS1567" s="6"/>
      <c r="AT1567" s="6"/>
      <c r="AU1567" s="6"/>
      <c r="AV1567" s="6"/>
      <c r="AW1567" s="6"/>
      <c r="AX1567" s="6"/>
      <c r="AY1567" s="6"/>
      <c r="AZ1567" s="6"/>
      <c r="BA1567" s="6"/>
      <c r="BB1567" s="6"/>
      <c r="BC1567" s="6"/>
      <c r="BD1567" s="6"/>
      <c r="BE1567" s="6"/>
      <c r="BF1567" s="6"/>
      <c r="BG1567" s="6"/>
      <c r="BH1567" s="6"/>
      <c r="BI1567" s="6"/>
      <c r="BJ1567" s="6"/>
      <c r="BK1567" s="6"/>
      <c r="BL1567" s="6"/>
      <c r="BM1567" s="5"/>
      <c r="BN1567" s="7"/>
      <c r="BO1567" s="7"/>
      <c r="BP1567" s="7"/>
    </row>
    <row r="1568" spans="1:68" s="400" customFormat="1" ht="14.25" customHeight="1" x14ac:dyDescent="0.25">
      <c r="A1568" s="5"/>
      <c r="B1568" s="5"/>
      <c r="C1568" s="5"/>
      <c r="D1568" s="5"/>
      <c r="E1568" s="5"/>
      <c r="F1568" s="5"/>
      <c r="G1568" s="5"/>
      <c r="H1568" s="5"/>
      <c r="I1568" s="5"/>
      <c r="J1568" s="5"/>
      <c r="K1568" s="5"/>
      <c r="L1568" s="5"/>
      <c r="M1568" s="5"/>
      <c r="N1568" s="5"/>
      <c r="O1568" s="5"/>
      <c r="P1568" s="5"/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6"/>
      <c r="AC1568" s="6"/>
      <c r="AD1568" s="6"/>
      <c r="AE1568" s="6"/>
      <c r="AF1568" s="6"/>
      <c r="AG1568" s="6"/>
      <c r="AH1568" s="6"/>
      <c r="AI1568" s="6"/>
      <c r="AJ1568" s="6"/>
      <c r="AK1568" s="6"/>
      <c r="AL1568" s="6"/>
      <c r="AM1568" s="6"/>
      <c r="AN1568" s="6"/>
      <c r="AO1568" s="6"/>
      <c r="AP1568" s="6"/>
      <c r="AQ1568" s="6"/>
      <c r="AR1568" s="6"/>
      <c r="AS1568" s="6"/>
      <c r="AT1568" s="6"/>
      <c r="AU1568" s="6"/>
      <c r="AV1568" s="6"/>
      <c r="AW1568" s="6"/>
      <c r="AX1568" s="6"/>
      <c r="AY1568" s="6"/>
      <c r="AZ1568" s="6"/>
      <c r="BA1568" s="6"/>
      <c r="BB1568" s="6"/>
      <c r="BC1568" s="6"/>
      <c r="BD1568" s="6"/>
      <c r="BE1568" s="6"/>
      <c r="BF1568" s="6"/>
      <c r="BG1568" s="6"/>
      <c r="BH1568" s="6"/>
      <c r="BI1568" s="6"/>
      <c r="BJ1568" s="6"/>
      <c r="BK1568" s="6"/>
      <c r="BL1568" s="6"/>
      <c r="BM1568" s="5"/>
      <c r="BN1568" s="7"/>
      <c r="BO1568" s="7"/>
      <c r="BP1568" s="7"/>
    </row>
    <row r="1569" spans="1:68" s="400" customFormat="1" ht="14.25" customHeight="1" x14ac:dyDescent="0.25">
      <c r="A1569" s="5"/>
      <c r="B1569" s="5"/>
      <c r="C1569" s="5"/>
      <c r="D1569" s="5"/>
      <c r="E1569" s="5"/>
      <c r="F1569" s="5"/>
      <c r="G1569" s="5"/>
      <c r="H1569" s="5"/>
      <c r="I1569" s="5"/>
      <c r="J1569" s="5"/>
      <c r="K1569" s="5"/>
      <c r="L1569" s="5"/>
      <c r="M1569" s="5"/>
      <c r="N1569" s="5"/>
      <c r="O1569" s="5"/>
      <c r="P1569" s="5"/>
      <c r="Q1569" s="5"/>
      <c r="R1569" s="5"/>
      <c r="S1569" s="5"/>
      <c r="T1569" s="5"/>
      <c r="U1569" s="5"/>
      <c r="V1569" s="5"/>
      <c r="W1569" s="5"/>
      <c r="X1569" s="5"/>
      <c r="Y1569" s="5"/>
      <c r="Z1569" s="5"/>
      <c r="AA1569" s="5"/>
      <c r="AB1569" s="6"/>
      <c r="AC1569" s="6"/>
      <c r="AD1569" s="6"/>
      <c r="AE1569" s="6"/>
      <c r="AF1569" s="6"/>
      <c r="AG1569" s="6"/>
      <c r="AH1569" s="6"/>
      <c r="AI1569" s="6"/>
      <c r="AJ1569" s="6"/>
      <c r="AK1569" s="6"/>
      <c r="AL1569" s="6"/>
      <c r="AM1569" s="6"/>
      <c r="AN1569" s="6"/>
      <c r="AO1569" s="6"/>
      <c r="AP1569" s="6"/>
      <c r="AQ1569" s="6"/>
      <c r="AR1569" s="6"/>
      <c r="AS1569" s="6"/>
      <c r="AT1569" s="6"/>
      <c r="AU1569" s="6"/>
      <c r="AV1569" s="6"/>
      <c r="AW1569" s="6"/>
      <c r="AX1569" s="6"/>
      <c r="AY1569" s="6"/>
      <c r="AZ1569" s="6"/>
      <c r="BA1569" s="6"/>
      <c r="BB1569" s="6"/>
      <c r="BC1569" s="6"/>
      <c r="BD1569" s="6"/>
      <c r="BE1569" s="6"/>
      <c r="BF1569" s="6"/>
      <c r="BG1569" s="6"/>
      <c r="BH1569" s="6"/>
      <c r="BI1569" s="6"/>
      <c r="BJ1569" s="6"/>
      <c r="BK1569" s="6"/>
      <c r="BL1569" s="6"/>
      <c r="BM1569" s="5"/>
      <c r="BN1569" s="7"/>
      <c r="BO1569" s="7"/>
      <c r="BP1569" s="7"/>
    </row>
    <row r="1570" spans="1:68" s="400" customFormat="1" ht="14.25" customHeight="1" x14ac:dyDescent="0.25">
      <c r="A1570" s="5"/>
      <c r="B1570" s="5"/>
      <c r="C1570" s="5"/>
      <c r="D1570" s="5"/>
      <c r="E1570" s="5"/>
      <c r="F1570" s="5"/>
      <c r="G1570" s="5"/>
      <c r="H1570" s="5"/>
      <c r="I1570" s="5"/>
      <c r="J1570" s="5"/>
      <c r="K1570" s="5"/>
      <c r="L1570" s="5"/>
      <c r="M1570" s="5"/>
      <c r="N1570" s="5"/>
      <c r="O1570" s="5"/>
      <c r="P1570" s="5"/>
      <c r="Q1570" s="5"/>
      <c r="R1570" s="5"/>
      <c r="S1570" s="5"/>
      <c r="T1570" s="5"/>
      <c r="U1570" s="5"/>
      <c r="V1570" s="5"/>
      <c r="W1570" s="5"/>
      <c r="X1570" s="5"/>
      <c r="Y1570" s="5"/>
      <c r="Z1570" s="5"/>
      <c r="AA1570" s="5"/>
      <c r="AB1570" s="6"/>
      <c r="AC1570" s="6"/>
      <c r="AD1570" s="6"/>
      <c r="AE1570" s="6"/>
      <c r="AF1570" s="6"/>
      <c r="AG1570" s="6"/>
      <c r="AH1570" s="6"/>
      <c r="AI1570" s="6"/>
      <c r="AJ1570" s="6"/>
      <c r="AK1570" s="6"/>
      <c r="AL1570" s="6"/>
      <c r="AM1570" s="6"/>
      <c r="AN1570" s="6"/>
      <c r="AO1570" s="6"/>
      <c r="AP1570" s="6"/>
      <c r="AQ1570" s="6"/>
      <c r="AR1570" s="6"/>
      <c r="AS1570" s="6"/>
      <c r="AT1570" s="6"/>
      <c r="AU1570" s="6"/>
      <c r="AV1570" s="6"/>
      <c r="AW1570" s="6"/>
      <c r="AX1570" s="6"/>
      <c r="AY1570" s="6"/>
      <c r="AZ1570" s="6"/>
      <c r="BA1570" s="6"/>
      <c r="BB1570" s="6"/>
      <c r="BC1570" s="6"/>
      <c r="BD1570" s="6"/>
      <c r="BE1570" s="6"/>
      <c r="BF1570" s="6"/>
      <c r="BG1570" s="6"/>
      <c r="BH1570" s="6"/>
      <c r="BI1570" s="6"/>
      <c r="BJ1570" s="6"/>
      <c r="BK1570" s="6"/>
      <c r="BL1570" s="6"/>
      <c r="BM1570" s="5"/>
      <c r="BN1570" s="7"/>
      <c r="BO1570" s="7"/>
      <c r="BP1570" s="7"/>
    </row>
    <row r="1571" spans="1:68" s="400" customFormat="1" ht="14.25" customHeight="1" x14ac:dyDescent="0.25">
      <c r="A1571" s="5"/>
      <c r="B1571" s="5"/>
      <c r="C1571" s="5"/>
      <c r="D1571" s="5"/>
      <c r="E1571" s="5"/>
      <c r="F1571" s="5"/>
      <c r="G1571" s="5"/>
      <c r="H1571" s="5"/>
      <c r="I1571" s="5"/>
      <c r="J1571" s="5"/>
      <c r="K1571" s="5"/>
      <c r="L1571" s="5"/>
      <c r="M1571" s="5"/>
      <c r="N1571" s="5"/>
      <c r="O1571" s="5"/>
      <c r="P1571" s="5"/>
      <c r="Q1571" s="5"/>
      <c r="R1571" s="5"/>
      <c r="S1571" s="5"/>
      <c r="T1571" s="5"/>
      <c r="U1571" s="5"/>
      <c r="V1571" s="5"/>
      <c r="W1571" s="5"/>
      <c r="X1571" s="5"/>
      <c r="Y1571" s="5"/>
      <c r="Z1571" s="5"/>
      <c r="AA1571" s="5"/>
      <c r="AB1571" s="6"/>
      <c r="AC1571" s="6"/>
      <c r="AD1571" s="6"/>
      <c r="AE1571" s="6"/>
      <c r="AF1571" s="6"/>
      <c r="AG1571" s="6"/>
      <c r="AH1571" s="6"/>
      <c r="AI1571" s="6"/>
      <c r="AJ1571" s="6"/>
      <c r="AK1571" s="6"/>
      <c r="AL1571" s="6"/>
      <c r="AM1571" s="6"/>
      <c r="AN1571" s="6"/>
      <c r="AO1571" s="6"/>
      <c r="AP1571" s="6"/>
      <c r="AQ1571" s="6"/>
      <c r="AR1571" s="6"/>
      <c r="AS1571" s="6"/>
      <c r="AT1571" s="6"/>
      <c r="AU1571" s="6"/>
      <c r="AV1571" s="6"/>
      <c r="AW1571" s="6"/>
      <c r="AX1571" s="6"/>
      <c r="AY1571" s="6"/>
      <c r="AZ1571" s="6"/>
      <c r="BA1571" s="6"/>
      <c r="BB1571" s="6"/>
      <c r="BC1571" s="6"/>
      <c r="BD1571" s="6"/>
      <c r="BE1571" s="6"/>
      <c r="BF1571" s="6"/>
      <c r="BG1571" s="6"/>
      <c r="BH1571" s="6"/>
      <c r="BI1571" s="6"/>
      <c r="BJ1571" s="6"/>
      <c r="BK1571" s="6"/>
      <c r="BL1571" s="6"/>
      <c r="BM1571" s="5"/>
      <c r="BN1571" s="7"/>
      <c r="BO1571" s="7"/>
      <c r="BP1571" s="7"/>
    </row>
    <row r="1572" spans="1:68" s="400" customFormat="1" ht="14.25" customHeight="1" x14ac:dyDescent="0.25">
      <c r="A1572" s="5"/>
      <c r="B1572" s="5"/>
      <c r="C1572" s="5"/>
      <c r="D1572" s="5"/>
      <c r="E1572" s="5"/>
      <c r="F1572" s="5"/>
      <c r="G1572" s="5"/>
      <c r="H1572" s="5"/>
      <c r="I1572" s="5"/>
      <c r="J1572" s="5"/>
      <c r="K1572" s="5"/>
      <c r="L1572" s="5"/>
      <c r="M1572" s="5"/>
      <c r="N1572" s="5"/>
      <c r="O1572" s="5"/>
      <c r="P1572" s="5"/>
      <c r="Q1572" s="5"/>
      <c r="R1572" s="5"/>
      <c r="S1572" s="5"/>
      <c r="T1572" s="5"/>
      <c r="U1572" s="5"/>
      <c r="V1572" s="5"/>
      <c r="W1572" s="5"/>
      <c r="X1572" s="5"/>
      <c r="Y1572" s="5"/>
      <c r="Z1572" s="5"/>
      <c r="AA1572" s="5"/>
      <c r="AB1572" s="6"/>
      <c r="AC1572" s="6"/>
      <c r="AD1572" s="6"/>
      <c r="AE1572" s="6"/>
      <c r="AF1572" s="6"/>
      <c r="AG1572" s="6"/>
      <c r="AH1572" s="6"/>
      <c r="AI1572" s="6"/>
      <c r="AJ1572" s="6"/>
      <c r="AK1572" s="6"/>
      <c r="AL1572" s="6"/>
      <c r="AM1572" s="6"/>
      <c r="AN1572" s="6"/>
      <c r="AO1572" s="6"/>
      <c r="AP1572" s="6"/>
      <c r="AQ1572" s="6"/>
      <c r="AR1572" s="6"/>
      <c r="AS1572" s="6"/>
      <c r="AT1572" s="6"/>
      <c r="AU1572" s="6"/>
      <c r="AV1572" s="6"/>
      <c r="AW1572" s="6"/>
      <c r="AX1572" s="6"/>
      <c r="AY1572" s="6"/>
      <c r="AZ1572" s="6"/>
      <c r="BA1572" s="6"/>
      <c r="BB1572" s="6"/>
      <c r="BC1572" s="6"/>
      <c r="BD1572" s="6"/>
      <c r="BE1572" s="6"/>
      <c r="BF1572" s="6"/>
      <c r="BG1572" s="6"/>
      <c r="BH1572" s="6"/>
      <c r="BI1572" s="6"/>
      <c r="BJ1572" s="6"/>
      <c r="BK1572" s="6"/>
      <c r="BL1572" s="6"/>
      <c r="BM1572" s="5"/>
      <c r="BN1572" s="7"/>
      <c r="BO1572" s="7"/>
      <c r="BP1572" s="7"/>
    </row>
    <row r="1573" spans="1:68" s="400" customFormat="1" ht="14.25" customHeight="1" x14ac:dyDescent="0.25">
      <c r="A1573" s="5"/>
      <c r="B1573" s="5"/>
      <c r="C1573" s="5"/>
      <c r="D1573" s="5"/>
      <c r="E1573" s="5"/>
      <c r="F1573" s="5"/>
      <c r="G1573" s="5"/>
      <c r="H1573" s="5"/>
      <c r="I1573" s="5"/>
      <c r="J1573" s="5"/>
      <c r="K1573" s="5"/>
      <c r="L1573" s="5"/>
      <c r="M1573" s="5"/>
      <c r="N1573" s="5"/>
      <c r="O1573" s="5"/>
      <c r="P1573" s="5"/>
      <c r="Q1573" s="5"/>
      <c r="R1573" s="5"/>
      <c r="S1573" s="5"/>
      <c r="T1573" s="5"/>
      <c r="U1573" s="5"/>
      <c r="V1573" s="5"/>
      <c r="W1573" s="5"/>
      <c r="X1573" s="5"/>
      <c r="Y1573" s="5"/>
      <c r="Z1573" s="5"/>
      <c r="AA1573" s="5"/>
      <c r="AB1573" s="6"/>
      <c r="AC1573" s="6"/>
      <c r="AD1573" s="6"/>
      <c r="AE1573" s="6"/>
      <c r="AF1573" s="6"/>
      <c r="AG1573" s="6"/>
      <c r="AH1573" s="6"/>
      <c r="AI1573" s="6"/>
      <c r="AJ1573" s="6"/>
      <c r="AK1573" s="6"/>
      <c r="AL1573" s="6"/>
      <c r="AM1573" s="6"/>
      <c r="AN1573" s="6"/>
      <c r="AO1573" s="6"/>
      <c r="AP1573" s="6"/>
      <c r="AQ1573" s="6"/>
      <c r="AR1573" s="6"/>
      <c r="AS1573" s="6"/>
      <c r="AT1573" s="6"/>
      <c r="AU1573" s="6"/>
      <c r="AV1573" s="6"/>
      <c r="AW1573" s="6"/>
      <c r="AX1573" s="6"/>
      <c r="AY1573" s="6"/>
      <c r="AZ1573" s="6"/>
      <c r="BA1573" s="6"/>
      <c r="BB1573" s="6"/>
      <c r="BC1573" s="6"/>
      <c r="BD1573" s="6"/>
      <c r="BE1573" s="6"/>
      <c r="BF1573" s="6"/>
      <c r="BG1573" s="6"/>
      <c r="BH1573" s="6"/>
      <c r="BI1573" s="6"/>
      <c r="BJ1573" s="6"/>
      <c r="BK1573" s="6"/>
      <c r="BL1573" s="6"/>
      <c r="BM1573" s="5"/>
      <c r="BN1573" s="7"/>
      <c r="BO1573" s="7"/>
      <c r="BP1573" s="7"/>
    </row>
    <row r="1574" spans="1:68" s="400" customFormat="1" ht="14.25" customHeight="1" x14ac:dyDescent="0.25">
      <c r="A1574" s="5"/>
      <c r="B1574" s="5"/>
      <c r="C1574" s="5"/>
      <c r="D1574" s="5"/>
      <c r="E1574" s="5"/>
      <c r="F1574" s="5"/>
      <c r="G1574" s="5"/>
      <c r="H1574" s="5"/>
      <c r="I1574" s="5"/>
      <c r="J1574" s="5"/>
      <c r="K1574" s="5"/>
      <c r="L1574" s="5"/>
      <c r="M1574" s="5"/>
      <c r="N1574" s="5"/>
      <c r="O1574" s="5"/>
      <c r="P1574" s="5"/>
      <c r="Q1574" s="5"/>
      <c r="R1574" s="5"/>
      <c r="S1574" s="5"/>
      <c r="T1574" s="5"/>
      <c r="U1574" s="5"/>
      <c r="V1574" s="5"/>
      <c r="W1574" s="5"/>
      <c r="X1574" s="5"/>
      <c r="Y1574" s="5"/>
      <c r="Z1574" s="5"/>
      <c r="AA1574" s="5"/>
      <c r="AB1574" s="6"/>
      <c r="AC1574" s="6"/>
      <c r="AD1574" s="6"/>
      <c r="AE1574" s="6"/>
      <c r="AF1574" s="6"/>
      <c r="AG1574" s="6"/>
      <c r="AH1574" s="6"/>
      <c r="AI1574" s="6"/>
      <c r="AJ1574" s="6"/>
      <c r="AK1574" s="6"/>
      <c r="AL1574" s="6"/>
      <c r="AM1574" s="6"/>
      <c r="AN1574" s="6"/>
      <c r="AO1574" s="6"/>
      <c r="AP1574" s="6"/>
      <c r="AQ1574" s="6"/>
      <c r="AR1574" s="6"/>
      <c r="AS1574" s="6"/>
      <c r="AT1574" s="6"/>
      <c r="AU1574" s="6"/>
      <c r="AV1574" s="6"/>
      <c r="AW1574" s="6"/>
      <c r="AX1574" s="6"/>
      <c r="AY1574" s="6"/>
      <c r="AZ1574" s="6"/>
      <c r="BA1574" s="6"/>
      <c r="BB1574" s="6"/>
      <c r="BC1574" s="6"/>
      <c r="BD1574" s="6"/>
      <c r="BE1574" s="6"/>
      <c r="BF1574" s="6"/>
      <c r="BG1574" s="6"/>
      <c r="BH1574" s="6"/>
      <c r="BI1574" s="6"/>
      <c r="BJ1574" s="6"/>
      <c r="BK1574" s="6"/>
      <c r="BL1574" s="6"/>
      <c r="BM1574" s="5"/>
      <c r="BN1574" s="7"/>
      <c r="BO1574" s="7"/>
      <c r="BP1574" s="7"/>
    </row>
    <row r="1575" spans="1:68" s="400" customFormat="1" ht="14.25" customHeight="1" x14ac:dyDescent="0.25">
      <c r="A1575" s="5"/>
      <c r="B1575" s="5"/>
      <c r="C1575" s="5"/>
      <c r="D1575" s="5"/>
      <c r="E1575" s="5"/>
      <c r="F1575" s="5"/>
      <c r="G1575" s="5"/>
      <c r="H1575" s="5"/>
      <c r="I1575" s="5"/>
      <c r="J1575" s="5"/>
      <c r="K1575" s="5"/>
      <c r="L1575" s="5"/>
      <c r="M1575" s="5"/>
      <c r="N1575" s="5"/>
      <c r="O1575" s="5"/>
      <c r="P1575" s="5"/>
      <c r="Q1575" s="5"/>
      <c r="R1575" s="5"/>
      <c r="S1575" s="5"/>
      <c r="T1575" s="5"/>
      <c r="U1575" s="5"/>
      <c r="V1575" s="5"/>
      <c r="W1575" s="5"/>
      <c r="X1575" s="5"/>
      <c r="Y1575" s="5"/>
      <c r="Z1575" s="5"/>
      <c r="AA1575" s="5"/>
      <c r="AB1575" s="6"/>
      <c r="AC1575" s="6"/>
      <c r="AD1575" s="6"/>
      <c r="AE1575" s="6"/>
      <c r="AF1575" s="6"/>
      <c r="AG1575" s="6"/>
      <c r="AH1575" s="6"/>
      <c r="AI1575" s="6"/>
      <c r="AJ1575" s="6"/>
      <c r="AK1575" s="6"/>
      <c r="AL1575" s="6"/>
      <c r="AM1575" s="6"/>
      <c r="AN1575" s="6"/>
      <c r="AO1575" s="6"/>
      <c r="AP1575" s="6"/>
      <c r="AQ1575" s="6"/>
      <c r="AR1575" s="6"/>
      <c r="AS1575" s="6"/>
      <c r="AT1575" s="6"/>
      <c r="AU1575" s="6"/>
      <c r="AV1575" s="6"/>
      <c r="AW1575" s="6"/>
      <c r="AX1575" s="6"/>
      <c r="AY1575" s="6"/>
      <c r="AZ1575" s="6"/>
      <c r="BA1575" s="6"/>
      <c r="BB1575" s="6"/>
      <c r="BC1575" s="6"/>
      <c r="BD1575" s="6"/>
      <c r="BE1575" s="6"/>
      <c r="BF1575" s="6"/>
      <c r="BG1575" s="6"/>
      <c r="BH1575" s="6"/>
      <c r="BI1575" s="6"/>
      <c r="BJ1575" s="6"/>
      <c r="BK1575" s="6"/>
      <c r="BL1575" s="6"/>
      <c r="BM1575" s="5"/>
      <c r="BN1575" s="7"/>
      <c r="BO1575" s="7"/>
      <c r="BP1575" s="7"/>
    </row>
    <row r="1576" spans="1:68" s="400" customFormat="1" ht="14.25" customHeight="1" x14ac:dyDescent="0.25">
      <c r="A1576" s="5"/>
      <c r="B1576" s="5"/>
      <c r="C1576" s="5"/>
      <c r="D1576" s="5"/>
      <c r="E1576" s="5"/>
      <c r="F1576" s="5"/>
      <c r="G1576" s="5"/>
      <c r="H1576" s="5"/>
      <c r="I1576" s="5"/>
      <c r="J1576" s="5"/>
      <c r="K1576" s="5"/>
      <c r="L1576" s="5"/>
      <c r="M1576" s="5"/>
      <c r="N1576" s="5"/>
      <c r="O1576" s="5"/>
      <c r="P1576" s="5"/>
      <c r="Q1576" s="5"/>
      <c r="R1576" s="5"/>
      <c r="S1576" s="5"/>
      <c r="T1576" s="5"/>
      <c r="U1576" s="5"/>
      <c r="V1576" s="5"/>
      <c r="W1576" s="5"/>
      <c r="X1576" s="5"/>
      <c r="Y1576" s="5"/>
      <c r="Z1576" s="5"/>
      <c r="AA1576" s="5"/>
      <c r="AB1576" s="6"/>
      <c r="AC1576" s="6"/>
      <c r="AD1576" s="6"/>
      <c r="AE1576" s="6"/>
      <c r="AF1576" s="6"/>
      <c r="AG1576" s="6"/>
      <c r="AH1576" s="6"/>
      <c r="AI1576" s="6"/>
      <c r="AJ1576" s="6"/>
      <c r="AK1576" s="6"/>
      <c r="AL1576" s="6"/>
      <c r="AM1576" s="6"/>
      <c r="AN1576" s="6"/>
      <c r="AO1576" s="6"/>
      <c r="AP1576" s="6"/>
      <c r="AQ1576" s="6"/>
      <c r="AR1576" s="6"/>
      <c r="AS1576" s="6"/>
      <c r="AT1576" s="6"/>
      <c r="AU1576" s="6"/>
      <c r="AV1576" s="6"/>
      <c r="AW1576" s="6"/>
      <c r="AX1576" s="6"/>
      <c r="AY1576" s="6"/>
      <c r="AZ1576" s="6"/>
      <c r="BA1576" s="6"/>
      <c r="BB1576" s="6"/>
      <c r="BC1576" s="6"/>
      <c r="BD1576" s="6"/>
      <c r="BE1576" s="6"/>
      <c r="BF1576" s="6"/>
      <c r="BG1576" s="6"/>
      <c r="BH1576" s="6"/>
      <c r="BI1576" s="6"/>
      <c r="BJ1576" s="6"/>
      <c r="BK1576" s="6"/>
      <c r="BL1576" s="6"/>
      <c r="BM1576" s="5"/>
      <c r="BN1576" s="7"/>
      <c r="BO1576" s="7"/>
      <c r="BP1576" s="7"/>
    </row>
    <row r="1577" spans="1:68" s="400" customFormat="1" ht="14.25" customHeight="1" x14ac:dyDescent="0.25">
      <c r="A1577" s="5"/>
      <c r="B1577" s="5"/>
      <c r="C1577" s="5"/>
      <c r="D1577" s="5"/>
      <c r="E1577" s="5"/>
      <c r="F1577" s="5"/>
      <c r="G1577" s="5"/>
      <c r="H1577" s="5"/>
      <c r="I1577" s="5"/>
      <c r="J1577" s="5"/>
      <c r="K1577" s="5"/>
      <c r="L1577" s="5"/>
      <c r="M1577" s="5"/>
      <c r="N1577" s="5"/>
      <c r="O1577" s="5"/>
      <c r="P1577" s="5"/>
      <c r="Q1577" s="5"/>
      <c r="R1577" s="5"/>
      <c r="S1577" s="5"/>
      <c r="T1577" s="5"/>
      <c r="U1577" s="5"/>
      <c r="V1577" s="5"/>
      <c r="W1577" s="5"/>
      <c r="X1577" s="5"/>
      <c r="Y1577" s="5"/>
      <c r="Z1577" s="5"/>
      <c r="AA1577" s="5"/>
      <c r="AB1577" s="6"/>
      <c r="AC1577" s="6"/>
      <c r="AD1577" s="6"/>
      <c r="AE1577" s="6"/>
      <c r="AF1577" s="6"/>
      <c r="AG1577" s="6"/>
      <c r="AH1577" s="6"/>
      <c r="AI1577" s="6"/>
      <c r="AJ1577" s="6"/>
      <c r="AK1577" s="6"/>
      <c r="AL1577" s="6"/>
      <c r="AM1577" s="6"/>
      <c r="AN1577" s="6"/>
      <c r="AO1577" s="6"/>
      <c r="AP1577" s="6"/>
      <c r="AQ1577" s="6"/>
      <c r="AR1577" s="6"/>
      <c r="AS1577" s="6"/>
      <c r="AT1577" s="6"/>
      <c r="AU1577" s="6"/>
      <c r="AV1577" s="6"/>
      <c r="AW1577" s="6"/>
      <c r="AX1577" s="6"/>
      <c r="AY1577" s="6"/>
      <c r="AZ1577" s="6"/>
      <c r="BA1577" s="6"/>
      <c r="BB1577" s="6"/>
      <c r="BC1577" s="6"/>
      <c r="BD1577" s="6"/>
      <c r="BE1577" s="6"/>
      <c r="BF1577" s="6"/>
      <c r="BG1577" s="6"/>
      <c r="BH1577" s="6"/>
      <c r="BI1577" s="6"/>
      <c r="BJ1577" s="6"/>
      <c r="BK1577" s="6"/>
      <c r="BL1577" s="6"/>
      <c r="BM1577" s="5"/>
      <c r="BN1577" s="7"/>
      <c r="BO1577" s="7"/>
      <c r="BP1577" s="7"/>
    </row>
    <row r="1578" spans="1:68" s="400" customFormat="1" ht="14.25" customHeight="1" x14ac:dyDescent="0.25">
      <c r="A1578" s="5"/>
      <c r="B1578" s="5"/>
      <c r="C1578" s="5"/>
      <c r="D1578" s="5"/>
      <c r="E1578" s="5"/>
      <c r="F1578" s="5"/>
      <c r="G1578" s="5"/>
      <c r="H1578" s="5"/>
      <c r="I1578" s="5"/>
      <c r="J1578" s="5"/>
      <c r="K1578" s="5"/>
      <c r="L1578" s="5"/>
      <c r="M1578" s="5"/>
      <c r="N1578" s="5"/>
      <c r="O1578" s="5"/>
      <c r="P1578" s="5"/>
      <c r="Q1578" s="5"/>
      <c r="R1578" s="5"/>
      <c r="S1578" s="5"/>
      <c r="T1578" s="5"/>
      <c r="U1578" s="5"/>
      <c r="V1578" s="5"/>
      <c r="W1578" s="5"/>
      <c r="X1578" s="5"/>
      <c r="Y1578" s="5"/>
      <c r="Z1578" s="5"/>
      <c r="AA1578" s="5"/>
      <c r="AB1578" s="6"/>
      <c r="AC1578" s="6"/>
      <c r="AD1578" s="6"/>
      <c r="AE1578" s="6"/>
      <c r="AF1578" s="6"/>
      <c r="AG1578" s="6"/>
      <c r="AH1578" s="6"/>
      <c r="AI1578" s="6"/>
      <c r="AJ1578" s="6"/>
      <c r="AK1578" s="6"/>
      <c r="AL1578" s="6"/>
      <c r="AM1578" s="6"/>
      <c r="AN1578" s="6"/>
      <c r="AO1578" s="6"/>
      <c r="AP1578" s="6"/>
      <c r="AQ1578" s="6"/>
      <c r="AR1578" s="6"/>
      <c r="AS1578" s="6"/>
      <c r="AT1578" s="6"/>
      <c r="AU1578" s="6"/>
      <c r="AV1578" s="6"/>
      <c r="AW1578" s="6"/>
      <c r="AX1578" s="6"/>
      <c r="AY1578" s="6"/>
      <c r="AZ1578" s="6"/>
      <c r="BA1578" s="6"/>
      <c r="BB1578" s="6"/>
      <c r="BC1578" s="6"/>
      <c r="BD1578" s="6"/>
      <c r="BE1578" s="6"/>
      <c r="BF1578" s="6"/>
      <c r="BG1578" s="6"/>
      <c r="BH1578" s="6"/>
      <c r="BI1578" s="6"/>
      <c r="BJ1578" s="6"/>
      <c r="BK1578" s="6"/>
      <c r="BL1578" s="6"/>
      <c r="BM1578" s="5"/>
      <c r="BN1578" s="7"/>
      <c r="BO1578" s="7"/>
      <c r="BP1578" s="7"/>
    </row>
    <row r="1579" spans="1:68" s="400" customFormat="1" ht="14.25" customHeight="1" x14ac:dyDescent="0.25">
      <c r="A1579" s="5"/>
      <c r="B1579" s="5"/>
      <c r="C1579" s="5"/>
      <c r="D1579" s="5"/>
      <c r="E1579" s="5"/>
      <c r="F1579" s="5"/>
      <c r="G1579" s="5"/>
      <c r="H1579" s="5"/>
      <c r="I1579" s="5"/>
      <c r="J1579" s="5"/>
      <c r="K1579" s="5"/>
      <c r="L1579" s="5"/>
      <c r="M1579" s="5"/>
      <c r="N1579" s="5"/>
      <c r="O1579" s="5"/>
      <c r="P1579" s="5"/>
      <c r="Q1579" s="5"/>
      <c r="R1579" s="5"/>
      <c r="S1579" s="5"/>
      <c r="T1579" s="5"/>
      <c r="U1579" s="5"/>
      <c r="V1579" s="5"/>
      <c r="W1579" s="5"/>
      <c r="X1579" s="5"/>
      <c r="Y1579" s="5"/>
      <c r="Z1579" s="5"/>
      <c r="AA1579" s="5"/>
      <c r="AB1579" s="6"/>
      <c r="AC1579" s="6"/>
      <c r="AD1579" s="6"/>
      <c r="AE1579" s="6"/>
      <c r="AF1579" s="6"/>
      <c r="AG1579" s="6"/>
      <c r="AH1579" s="6"/>
      <c r="AI1579" s="6"/>
      <c r="AJ1579" s="6"/>
      <c r="AK1579" s="6"/>
      <c r="AL1579" s="6"/>
      <c r="AM1579" s="6"/>
      <c r="AN1579" s="6"/>
      <c r="AO1579" s="6"/>
      <c r="AP1579" s="6"/>
      <c r="AQ1579" s="6"/>
      <c r="AR1579" s="6"/>
      <c r="AS1579" s="6"/>
      <c r="AT1579" s="6"/>
      <c r="AU1579" s="6"/>
      <c r="AV1579" s="6"/>
      <c r="AW1579" s="6"/>
      <c r="AX1579" s="6"/>
      <c r="AY1579" s="6"/>
      <c r="AZ1579" s="6"/>
      <c r="BA1579" s="6"/>
      <c r="BB1579" s="6"/>
      <c r="BC1579" s="6"/>
      <c r="BD1579" s="6"/>
      <c r="BE1579" s="6"/>
      <c r="BF1579" s="6"/>
      <c r="BG1579" s="6"/>
      <c r="BH1579" s="6"/>
      <c r="BI1579" s="6"/>
      <c r="BJ1579" s="6"/>
      <c r="BK1579" s="6"/>
      <c r="BL1579" s="6"/>
      <c r="BM1579" s="5"/>
      <c r="BN1579" s="7"/>
      <c r="BO1579" s="7"/>
      <c r="BP1579" s="7"/>
    </row>
    <row r="1580" spans="1:68" s="400" customFormat="1" ht="14.25" customHeight="1" x14ac:dyDescent="0.25">
      <c r="A1580" s="5"/>
      <c r="B1580" s="5"/>
      <c r="C1580" s="5"/>
      <c r="D1580" s="5"/>
      <c r="E1580" s="5"/>
      <c r="F1580" s="5"/>
      <c r="G1580" s="5"/>
      <c r="H1580" s="5"/>
      <c r="I1580" s="5"/>
      <c r="J1580" s="5"/>
      <c r="K1580" s="5"/>
      <c r="L1580" s="5"/>
      <c r="M1580" s="5"/>
      <c r="N1580" s="5"/>
      <c r="O1580" s="5"/>
      <c r="P1580" s="5"/>
      <c r="Q1580" s="5"/>
      <c r="R1580" s="5"/>
      <c r="S1580" s="5"/>
      <c r="T1580" s="5"/>
      <c r="U1580" s="5"/>
      <c r="V1580" s="5"/>
      <c r="W1580" s="5"/>
      <c r="X1580" s="5"/>
      <c r="Y1580" s="5"/>
      <c r="Z1580" s="5"/>
      <c r="AA1580" s="5"/>
      <c r="AB1580" s="6"/>
      <c r="AC1580" s="6"/>
      <c r="AD1580" s="6"/>
      <c r="AE1580" s="6"/>
      <c r="AF1580" s="6"/>
      <c r="AG1580" s="6"/>
      <c r="AH1580" s="6"/>
      <c r="AI1580" s="6"/>
      <c r="AJ1580" s="6"/>
      <c r="AK1580" s="6"/>
      <c r="AL1580" s="6"/>
      <c r="AM1580" s="6"/>
      <c r="AN1580" s="6"/>
      <c r="AO1580" s="6"/>
      <c r="AP1580" s="6"/>
      <c r="AQ1580" s="6"/>
      <c r="AR1580" s="6"/>
      <c r="AS1580" s="6"/>
      <c r="AT1580" s="6"/>
      <c r="AU1580" s="6"/>
      <c r="AV1580" s="6"/>
      <c r="AW1580" s="6"/>
      <c r="AX1580" s="6"/>
      <c r="AY1580" s="6"/>
      <c r="AZ1580" s="6"/>
      <c r="BA1580" s="6"/>
      <c r="BB1580" s="6"/>
      <c r="BC1580" s="6"/>
      <c r="BD1580" s="6"/>
      <c r="BE1580" s="6"/>
      <c r="BF1580" s="6"/>
      <c r="BG1580" s="6"/>
      <c r="BH1580" s="6"/>
      <c r="BI1580" s="6"/>
      <c r="BJ1580" s="6"/>
      <c r="BK1580" s="6"/>
      <c r="BL1580" s="6"/>
      <c r="BM1580" s="5"/>
      <c r="BN1580" s="7"/>
      <c r="BO1580" s="7"/>
      <c r="BP1580" s="7"/>
    </row>
    <row r="1581" spans="1:68" s="400" customFormat="1" ht="14.25" customHeight="1" x14ac:dyDescent="0.25">
      <c r="A1581" s="5"/>
      <c r="B1581" s="5"/>
      <c r="C1581" s="5"/>
      <c r="D1581" s="5"/>
      <c r="E1581" s="5"/>
      <c r="F1581" s="5"/>
      <c r="G1581" s="5"/>
      <c r="H1581" s="5"/>
      <c r="I1581" s="5"/>
      <c r="J1581" s="5"/>
      <c r="K1581" s="5"/>
      <c r="L1581" s="5"/>
      <c r="M1581" s="5"/>
      <c r="N1581" s="5"/>
      <c r="O1581" s="5"/>
      <c r="P1581" s="5"/>
      <c r="Q1581" s="5"/>
      <c r="R1581" s="5"/>
      <c r="S1581" s="5"/>
      <c r="T1581" s="5"/>
      <c r="U1581" s="5"/>
      <c r="V1581" s="5"/>
      <c r="W1581" s="5"/>
      <c r="X1581" s="5"/>
      <c r="Y1581" s="5"/>
      <c r="Z1581" s="5"/>
      <c r="AA1581" s="5"/>
      <c r="AB1581" s="6"/>
      <c r="AC1581" s="6"/>
      <c r="AD1581" s="6"/>
      <c r="AE1581" s="6"/>
      <c r="AF1581" s="6"/>
      <c r="AG1581" s="6"/>
      <c r="AH1581" s="6"/>
      <c r="AI1581" s="6"/>
      <c r="AJ1581" s="6"/>
      <c r="AK1581" s="6"/>
      <c r="AL1581" s="6"/>
      <c r="AM1581" s="6"/>
      <c r="AN1581" s="6"/>
      <c r="AO1581" s="6"/>
      <c r="AP1581" s="6"/>
      <c r="AQ1581" s="6"/>
      <c r="AR1581" s="6"/>
      <c r="AS1581" s="6"/>
      <c r="AT1581" s="6"/>
      <c r="AU1581" s="6"/>
      <c r="AV1581" s="6"/>
      <c r="AW1581" s="6"/>
      <c r="AX1581" s="6"/>
      <c r="AY1581" s="6"/>
      <c r="AZ1581" s="6"/>
      <c r="BA1581" s="6"/>
      <c r="BB1581" s="6"/>
      <c r="BC1581" s="6"/>
      <c r="BD1581" s="6"/>
      <c r="BE1581" s="6"/>
      <c r="BF1581" s="6"/>
      <c r="BG1581" s="6"/>
      <c r="BH1581" s="6"/>
      <c r="BI1581" s="6"/>
      <c r="BJ1581" s="6"/>
      <c r="BK1581" s="6"/>
      <c r="BL1581" s="6"/>
      <c r="BM1581" s="5"/>
      <c r="BN1581" s="7"/>
      <c r="BO1581" s="7"/>
      <c r="BP1581" s="7"/>
    </row>
    <row r="1582" spans="1:68" s="400" customFormat="1" ht="14.25" customHeight="1" x14ac:dyDescent="0.25">
      <c r="A1582" s="5"/>
      <c r="B1582" s="5"/>
      <c r="C1582" s="5"/>
      <c r="D1582" s="5"/>
      <c r="E1582" s="5"/>
      <c r="F1582" s="5"/>
      <c r="G1582" s="5"/>
      <c r="H1582" s="5"/>
      <c r="I1582" s="5"/>
      <c r="J1582" s="5"/>
      <c r="K1582" s="5"/>
      <c r="L1582" s="5"/>
      <c r="M1582" s="5"/>
      <c r="N1582" s="5"/>
      <c r="O1582" s="5"/>
      <c r="P1582" s="5"/>
      <c r="Q1582" s="5"/>
      <c r="R1582" s="5"/>
      <c r="S1582" s="5"/>
      <c r="T1582" s="5"/>
      <c r="U1582" s="5"/>
      <c r="V1582" s="5"/>
      <c r="W1582" s="5"/>
      <c r="X1582" s="5"/>
      <c r="Y1582" s="5"/>
      <c r="Z1582" s="5"/>
      <c r="AA1582" s="5"/>
      <c r="AB1582" s="6"/>
      <c r="AC1582" s="6"/>
      <c r="AD1582" s="6"/>
      <c r="AE1582" s="6"/>
      <c r="AF1582" s="6"/>
      <c r="AG1582" s="6"/>
      <c r="AH1582" s="6"/>
      <c r="AI1582" s="6"/>
      <c r="AJ1582" s="6"/>
      <c r="AK1582" s="6"/>
      <c r="AL1582" s="6"/>
      <c r="AM1582" s="6"/>
      <c r="AN1582" s="6"/>
      <c r="AO1582" s="6"/>
      <c r="AP1582" s="6"/>
      <c r="AQ1582" s="6"/>
      <c r="AR1582" s="6"/>
      <c r="AS1582" s="6"/>
      <c r="AT1582" s="6"/>
      <c r="AU1582" s="6"/>
      <c r="AV1582" s="6"/>
      <c r="AW1582" s="6"/>
      <c r="AX1582" s="6"/>
      <c r="AY1582" s="6"/>
      <c r="AZ1582" s="6"/>
      <c r="BA1582" s="6"/>
      <c r="BB1582" s="6"/>
      <c r="BC1582" s="6"/>
      <c r="BD1582" s="6"/>
      <c r="BE1582" s="6"/>
      <c r="BF1582" s="6"/>
      <c r="BG1582" s="6"/>
      <c r="BH1582" s="6"/>
      <c r="BI1582" s="6"/>
      <c r="BJ1582" s="6"/>
      <c r="BK1582" s="6"/>
      <c r="BL1582" s="6"/>
      <c r="BM1582" s="5"/>
      <c r="BN1582" s="7"/>
      <c r="BO1582" s="7"/>
      <c r="BP1582" s="7"/>
    </row>
    <row r="1583" spans="1:68" s="400" customFormat="1" ht="14.25" customHeight="1" x14ac:dyDescent="0.25">
      <c r="A1583" s="5"/>
      <c r="B1583" s="5"/>
      <c r="C1583" s="5"/>
      <c r="D1583" s="5"/>
      <c r="E1583" s="5"/>
      <c r="F1583" s="5"/>
      <c r="G1583" s="5"/>
      <c r="H1583" s="5"/>
      <c r="I1583" s="5"/>
      <c r="J1583" s="5"/>
      <c r="K1583" s="5"/>
      <c r="L1583" s="5"/>
      <c r="M1583" s="5"/>
      <c r="N1583" s="5"/>
      <c r="O1583" s="5"/>
      <c r="P1583" s="5"/>
      <c r="Q1583" s="5"/>
      <c r="R1583" s="5"/>
      <c r="S1583" s="5"/>
      <c r="T1583" s="5"/>
      <c r="U1583" s="5"/>
      <c r="V1583" s="5"/>
      <c r="W1583" s="5"/>
      <c r="X1583" s="5"/>
      <c r="Y1583" s="5"/>
      <c r="Z1583" s="5"/>
      <c r="AA1583" s="5"/>
      <c r="AB1583" s="6"/>
      <c r="AC1583" s="6"/>
      <c r="AD1583" s="6"/>
      <c r="AE1583" s="6"/>
      <c r="AF1583" s="6"/>
      <c r="AG1583" s="6"/>
      <c r="AH1583" s="6"/>
      <c r="AI1583" s="6"/>
      <c r="AJ1583" s="6"/>
      <c r="AK1583" s="6"/>
      <c r="AL1583" s="6"/>
      <c r="AM1583" s="6"/>
      <c r="AN1583" s="6"/>
      <c r="AO1583" s="6"/>
      <c r="AP1583" s="6"/>
      <c r="AQ1583" s="6"/>
      <c r="AR1583" s="6"/>
      <c r="AS1583" s="6"/>
      <c r="AT1583" s="6"/>
      <c r="AU1583" s="6"/>
      <c r="AV1583" s="6"/>
      <c r="AW1583" s="6"/>
      <c r="AX1583" s="6"/>
      <c r="AY1583" s="6"/>
      <c r="AZ1583" s="6"/>
      <c r="BA1583" s="6"/>
      <c r="BB1583" s="6"/>
      <c r="BC1583" s="6"/>
      <c r="BD1583" s="6"/>
      <c r="BE1583" s="6"/>
      <c r="BF1583" s="6"/>
      <c r="BG1583" s="6"/>
      <c r="BH1583" s="6"/>
      <c r="BI1583" s="6"/>
      <c r="BJ1583" s="6"/>
      <c r="BK1583" s="6"/>
      <c r="BL1583" s="6"/>
      <c r="BM1583" s="5"/>
      <c r="BN1583" s="7"/>
      <c r="BO1583" s="7"/>
      <c r="BP1583" s="7"/>
    </row>
    <row r="1584" spans="1:68" s="400" customFormat="1" ht="14.25" customHeight="1" x14ac:dyDescent="0.25">
      <c r="A1584" s="5"/>
      <c r="B1584" s="5"/>
      <c r="C1584" s="5"/>
      <c r="D1584" s="5"/>
      <c r="E1584" s="5"/>
      <c r="F1584" s="5"/>
      <c r="G1584" s="5"/>
      <c r="H1584" s="5"/>
      <c r="I1584" s="5"/>
      <c r="J1584" s="5"/>
      <c r="K1584" s="5"/>
      <c r="L1584" s="5"/>
      <c r="M1584" s="5"/>
      <c r="N1584" s="5"/>
      <c r="O1584" s="5"/>
      <c r="P1584" s="5"/>
      <c r="Q1584" s="5"/>
      <c r="R1584" s="5"/>
      <c r="S1584" s="5"/>
      <c r="T1584" s="5"/>
      <c r="U1584" s="5"/>
      <c r="V1584" s="5"/>
      <c r="W1584" s="5"/>
      <c r="X1584" s="5"/>
      <c r="Y1584" s="5"/>
      <c r="Z1584" s="5"/>
      <c r="AA1584" s="5"/>
      <c r="AB1584" s="6"/>
      <c r="AC1584" s="6"/>
      <c r="AD1584" s="6"/>
      <c r="AE1584" s="6"/>
      <c r="AF1584" s="6"/>
      <c r="AG1584" s="6"/>
      <c r="AH1584" s="6"/>
      <c r="AI1584" s="6"/>
      <c r="AJ1584" s="6"/>
      <c r="AK1584" s="6"/>
      <c r="AL1584" s="6"/>
      <c r="AM1584" s="6"/>
      <c r="AN1584" s="6"/>
      <c r="AO1584" s="6"/>
      <c r="AP1584" s="6"/>
      <c r="AQ1584" s="6"/>
      <c r="AR1584" s="6"/>
      <c r="AS1584" s="6"/>
      <c r="AT1584" s="6"/>
      <c r="AU1584" s="6"/>
      <c r="AV1584" s="6"/>
      <c r="AW1584" s="6"/>
      <c r="AX1584" s="6"/>
      <c r="AY1584" s="6"/>
      <c r="AZ1584" s="6"/>
      <c r="BA1584" s="6"/>
      <c r="BB1584" s="6"/>
      <c r="BC1584" s="6"/>
      <c r="BD1584" s="6"/>
      <c r="BE1584" s="6"/>
      <c r="BF1584" s="6"/>
      <c r="BG1584" s="6"/>
      <c r="BH1584" s="6"/>
      <c r="BI1584" s="6"/>
      <c r="BJ1584" s="6"/>
      <c r="BK1584" s="6"/>
      <c r="BL1584" s="6"/>
      <c r="BM1584" s="5"/>
      <c r="BN1584" s="7"/>
      <c r="BO1584" s="7"/>
      <c r="BP1584" s="7"/>
    </row>
    <row r="1585" spans="1:68" s="400" customFormat="1" ht="14.25" customHeight="1" x14ac:dyDescent="0.25">
      <c r="A1585" s="5"/>
      <c r="B1585" s="5"/>
      <c r="C1585" s="5"/>
      <c r="D1585" s="5"/>
      <c r="E1585" s="5"/>
      <c r="F1585" s="5"/>
      <c r="G1585" s="5"/>
      <c r="H1585" s="5"/>
      <c r="I1585" s="5"/>
      <c r="J1585" s="5"/>
      <c r="K1585" s="5"/>
      <c r="L1585" s="5"/>
      <c r="M1585" s="5"/>
      <c r="N1585" s="5"/>
      <c r="O1585" s="5"/>
      <c r="P1585" s="5"/>
      <c r="Q1585" s="5"/>
      <c r="R1585" s="5"/>
      <c r="S1585" s="5"/>
      <c r="T1585" s="5"/>
      <c r="U1585" s="5"/>
      <c r="V1585" s="5"/>
      <c r="W1585" s="5"/>
      <c r="X1585" s="5"/>
      <c r="Y1585" s="5"/>
      <c r="Z1585" s="5"/>
      <c r="AA1585" s="5"/>
      <c r="AB1585" s="6"/>
      <c r="AC1585" s="6"/>
      <c r="AD1585" s="6"/>
      <c r="AE1585" s="6"/>
      <c r="AF1585" s="6"/>
      <c r="AG1585" s="6"/>
      <c r="AH1585" s="6"/>
      <c r="AI1585" s="6"/>
      <c r="AJ1585" s="6"/>
      <c r="AK1585" s="6"/>
      <c r="AL1585" s="6"/>
      <c r="AM1585" s="6"/>
      <c r="AN1585" s="6"/>
      <c r="AO1585" s="6"/>
      <c r="AP1585" s="6"/>
      <c r="AQ1585" s="6"/>
      <c r="AR1585" s="6"/>
      <c r="AS1585" s="6"/>
      <c r="AT1585" s="6"/>
      <c r="AU1585" s="6"/>
      <c r="AV1585" s="6"/>
      <c r="AW1585" s="6"/>
      <c r="AX1585" s="6"/>
      <c r="AY1585" s="6"/>
      <c r="AZ1585" s="6"/>
      <c r="BA1585" s="6"/>
      <c r="BB1585" s="6"/>
      <c r="BC1585" s="6"/>
      <c r="BD1585" s="6"/>
      <c r="BE1585" s="6"/>
      <c r="BF1585" s="6"/>
      <c r="BG1585" s="6"/>
      <c r="BH1585" s="6"/>
      <c r="BI1585" s="6"/>
      <c r="BJ1585" s="6"/>
      <c r="BK1585" s="6"/>
      <c r="BL1585" s="6"/>
      <c r="BM1585" s="5"/>
      <c r="BN1585" s="7"/>
      <c r="BO1585" s="7"/>
      <c r="BP1585" s="7"/>
    </row>
    <row r="1586" spans="1:68" s="400" customFormat="1" ht="14.25" customHeight="1" x14ac:dyDescent="0.25">
      <c r="A1586" s="5"/>
      <c r="B1586" s="5"/>
      <c r="C1586" s="5"/>
      <c r="D1586" s="5"/>
      <c r="E1586" s="5"/>
      <c r="F1586" s="5"/>
      <c r="G1586" s="5"/>
      <c r="H1586" s="5"/>
      <c r="I1586" s="5"/>
      <c r="J1586" s="5"/>
      <c r="K1586" s="5"/>
      <c r="L1586" s="5"/>
      <c r="M1586" s="5"/>
      <c r="N1586" s="5"/>
      <c r="O1586" s="5"/>
      <c r="P1586" s="5"/>
      <c r="Q1586" s="5"/>
      <c r="R1586" s="5"/>
      <c r="S1586" s="5"/>
      <c r="T1586" s="5"/>
      <c r="U1586" s="5"/>
      <c r="V1586" s="5"/>
      <c r="W1586" s="5"/>
      <c r="X1586" s="5"/>
      <c r="Y1586" s="5"/>
      <c r="Z1586" s="5"/>
      <c r="AA1586" s="5"/>
      <c r="AB1586" s="6"/>
      <c r="AC1586" s="6"/>
      <c r="AD1586" s="6"/>
      <c r="AE1586" s="6"/>
      <c r="AF1586" s="6"/>
      <c r="AG1586" s="6"/>
      <c r="AH1586" s="6"/>
      <c r="AI1586" s="6"/>
      <c r="AJ1586" s="6"/>
      <c r="AK1586" s="6"/>
      <c r="AL1586" s="6"/>
      <c r="AM1586" s="6"/>
      <c r="AN1586" s="6"/>
      <c r="AO1586" s="6"/>
      <c r="AP1586" s="6"/>
      <c r="AQ1586" s="6"/>
      <c r="AR1586" s="6"/>
      <c r="AS1586" s="6"/>
      <c r="AT1586" s="6"/>
      <c r="AU1586" s="6"/>
      <c r="AV1586" s="6"/>
      <c r="AW1586" s="6"/>
      <c r="AX1586" s="6"/>
      <c r="AY1586" s="6"/>
      <c r="AZ1586" s="6"/>
      <c r="BA1586" s="6"/>
      <c r="BB1586" s="6"/>
      <c r="BC1586" s="6"/>
      <c r="BD1586" s="6"/>
      <c r="BE1586" s="6"/>
      <c r="BF1586" s="6"/>
      <c r="BG1586" s="6"/>
      <c r="BH1586" s="6"/>
      <c r="BI1586" s="6"/>
      <c r="BJ1586" s="6"/>
      <c r="BK1586" s="6"/>
      <c r="BL1586" s="6"/>
      <c r="BM1586" s="5"/>
      <c r="BN1586" s="7"/>
      <c r="BO1586" s="7"/>
      <c r="BP1586" s="7"/>
    </row>
    <row r="1587" spans="1:68" s="400" customFormat="1" ht="14.25" customHeight="1" x14ac:dyDescent="0.25">
      <c r="A1587" s="5"/>
      <c r="B1587" s="5"/>
      <c r="C1587" s="5"/>
      <c r="D1587" s="5"/>
      <c r="E1587" s="5"/>
      <c r="F1587" s="5"/>
      <c r="G1587" s="5"/>
      <c r="H1587" s="5"/>
      <c r="I1587" s="5"/>
      <c r="J1587" s="5"/>
      <c r="K1587" s="5"/>
      <c r="L1587" s="5"/>
      <c r="M1587" s="5"/>
      <c r="N1587" s="5"/>
      <c r="O1587" s="5"/>
      <c r="P1587" s="5"/>
      <c r="Q1587" s="5"/>
      <c r="R1587" s="5"/>
      <c r="S1587" s="5"/>
      <c r="T1587" s="5"/>
      <c r="U1587" s="5"/>
      <c r="V1587" s="5"/>
      <c r="W1587" s="5"/>
      <c r="X1587" s="5"/>
      <c r="Y1587" s="5"/>
      <c r="Z1587" s="5"/>
      <c r="AA1587" s="5"/>
      <c r="AB1587" s="6"/>
      <c r="AC1587" s="6"/>
      <c r="AD1587" s="6"/>
      <c r="AE1587" s="6"/>
      <c r="AF1587" s="6"/>
      <c r="AG1587" s="6"/>
      <c r="AH1587" s="6"/>
      <c r="AI1587" s="6"/>
      <c r="AJ1587" s="6"/>
      <c r="AK1587" s="6"/>
      <c r="AL1587" s="6"/>
      <c r="AM1587" s="6"/>
      <c r="AN1587" s="6"/>
      <c r="AO1587" s="6"/>
      <c r="AP1587" s="6"/>
      <c r="AQ1587" s="6"/>
      <c r="AR1587" s="6"/>
      <c r="AS1587" s="6"/>
      <c r="AT1587" s="6"/>
      <c r="AU1587" s="6"/>
      <c r="AV1587" s="6"/>
      <c r="AW1587" s="6"/>
      <c r="AX1587" s="6"/>
      <c r="AY1587" s="6"/>
      <c r="AZ1587" s="6"/>
      <c r="BA1587" s="6"/>
      <c r="BB1587" s="6"/>
      <c r="BC1587" s="6"/>
      <c r="BD1587" s="6"/>
      <c r="BE1587" s="6"/>
      <c r="BF1587" s="6"/>
      <c r="BG1587" s="6"/>
      <c r="BH1587" s="6"/>
      <c r="BI1587" s="6"/>
      <c r="BJ1587" s="6"/>
      <c r="BK1587" s="6"/>
      <c r="BL1587" s="6"/>
      <c r="BM1587" s="5"/>
      <c r="BN1587" s="7"/>
      <c r="BO1587" s="7"/>
      <c r="BP1587" s="7"/>
    </row>
    <row r="1588" spans="1:68" s="400" customFormat="1" ht="14.25" customHeight="1" x14ac:dyDescent="0.25">
      <c r="A1588" s="5"/>
      <c r="B1588" s="5"/>
      <c r="C1588" s="5"/>
      <c r="D1588" s="5"/>
      <c r="E1588" s="5"/>
      <c r="F1588" s="5"/>
      <c r="G1588" s="5"/>
      <c r="H1588" s="5"/>
      <c r="I1588" s="5"/>
      <c r="J1588" s="5"/>
      <c r="K1588" s="5"/>
      <c r="L1588" s="5"/>
      <c r="M1588" s="5"/>
      <c r="N1588" s="5"/>
      <c r="O1588" s="5"/>
      <c r="P1588" s="5"/>
      <c r="Q1588" s="5"/>
      <c r="R1588" s="5"/>
      <c r="S1588" s="5"/>
      <c r="T1588" s="5"/>
      <c r="U1588" s="5"/>
      <c r="V1588" s="5"/>
      <c r="W1588" s="5"/>
      <c r="X1588" s="5"/>
      <c r="Y1588" s="5"/>
      <c r="Z1588" s="5"/>
      <c r="AA1588" s="5"/>
      <c r="AB1588" s="6"/>
      <c r="AC1588" s="6"/>
      <c r="AD1588" s="6"/>
      <c r="AE1588" s="6"/>
      <c r="AF1588" s="6"/>
      <c r="AG1588" s="6"/>
      <c r="AH1588" s="6"/>
      <c r="AI1588" s="6"/>
      <c r="AJ1588" s="6"/>
      <c r="AK1588" s="6"/>
      <c r="AL1588" s="6"/>
      <c r="AM1588" s="6"/>
      <c r="AN1588" s="6"/>
      <c r="AO1588" s="6"/>
      <c r="AP1588" s="6"/>
      <c r="AQ1588" s="6"/>
      <c r="AR1588" s="6"/>
      <c r="AS1588" s="6"/>
      <c r="AT1588" s="6"/>
      <c r="AU1588" s="6"/>
      <c r="AV1588" s="6"/>
      <c r="AW1588" s="6"/>
      <c r="AX1588" s="6"/>
      <c r="AY1588" s="6"/>
      <c r="AZ1588" s="6"/>
      <c r="BA1588" s="6"/>
      <c r="BB1588" s="6"/>
      <c r="BC1588" s="6"/>
      <c r="BD1588" s="6"/>
      <c r="BE1588" s="6"/>
      <c r="BF1588" s="6"/>
      <c r="BG1588" s="6"/>
      <c r="BH1588" s="6"/>
      <c r="BI1588" s="6"/>
      <c r="BJ1588" s="6"/>
      <c r="BK1588" s="6"/>
      <c r="BL1588" s="6"/>
      <c r="BM1588" s="5"/>
      <c r="BN1588" s="7"/>
      <c r="BO1588" s="7"/>
      <c r="BP1588" s="7"/>
    </row>
    <row r="1589" spans="1:68" s="400" customFormat="1" ht="14.25" customHeight="1" x14ac:dyDescent="0.25">
      <c r="A1589" s="5"/>
      <c r="B1589" s="5"/>
      <c r="C1589" s="5"/>
      <c r="D1589" s="5"/>
      <c r="E1589" s="5"/>
      <c r="F1589" s="5"/>
      <c r="G1589" s="5"/>
      <c r="H1589" s="5"/>
      <c r="I1589" s="5"/>
      <c r="J1589" s="5"/>
      <c r="K1589" s="5"/>
      <c r="L1589" s="5"/>
      <c r="M1589" s="5"/>
      <c r="N1589" s="5"/>
      <c r="O1589" s="5"/>
      <c r="P1589" s="5"/>
      <c r="Q1589" s="5"/>
      <c r="R1589" s="5"/>
      <c r="S1589" s="5"/>
      <c r="T1589" s="5"/>
      <c r="U1589" s="5"/>
      <c r="V1589" s="5"/>
      <c r="W1589" s="5"/>
      <c r="X1589" s="5"/>
      <c r="Y1589" s="5"/>
      <c r="Z1589" s="5"/>
      <c r="AA1589" s="5"/>
      <c r="AB1589" s="6"/>
      <c r="AC1589" s="6"/>
      <c r="AD1589" s="6"/>
      <c r="AE1589" s="6"/>
      <c r="AF1589" s="6"/>
      <c r="AG1589" s="6"/>
      <c r="AH1589" s="6"/>
      <c r="AI1589" s="6"/>
      <c r="AJ1589" s="6"/>
      <c r="AK1589" s="6"/>
      <c r="AL1589" s="6"/>
      <c r="AM1589" s="6"/>
      <c r="AN1589" s="6"/>
      <c r="AO1589" s="6"/>
      <c r="AP1589" s="6"/>
      <c r="AQ1589" s="6"/>
      <c r="AR1589" s="6"/>
      <c r="AS1589" s="6"/>
      <c r="AT1589" s="6"/>
      <c r="AU1589" s="6"/>
      <c r="AV1589" s="6"/>
      <c r="AW1589" s="6"/>
      <c r="AX1589" s="6"/>
      <c r="AY1589" s="6"/>
      <c r="AZ1589" s="6"/>
      <c r="BA1589" s="6"/>
      <c r="BB1589" s="6"/>
      <c r="BC1589" s="6"/>
      <c r="BD1589" s="6"/>
      <c r="BE1589" s="6"/>
      <c r="BF1589" s="6"/>
      <c r="BG1589" s="6"/>
      <c r="BH1589" s="6"/>
      <c r="BI1589" s="6"/>
      <c r="BJ1589" s="6"/>
      <c r="BK1589" s="6"/>
      <c r="BL1589" s="6"/>
      <c r="BM1589" s="5"/>
      <c r="BN1589" s="7"/>
      <c r="BO1589" s="7"/>
      <c r="BP1589" s="7"/>
    </row>
    <row r="1590" spans="1:68" s="400" customFormat="1" ht="14.25" customHeight="1" x14ac:dyDescent="0.25">
      <c r="A1590" s="5"/>
      <c r="B1590" s="5"/>
      <c r="C1590" s="5"/>
      <c r="D1590" s="5"/>
      <c r="E1590" s="5"/>
      <c r="F1590" s="5"/>
      <c r="G1590" s="5"/>
      <c r="H1590" s="5"/>
      <c r="I1590" s="5"/>
      <c r="J1590" s="5"/>
      <c r="K1590" s="5"/>
      <c r="L1590" s="5"/>
      <c r="M1590" s="5"/>
      <c r="N1590" s="5"/>
      <c r="O1590" s="5"/>
      <c r="P1590" s="5"/>
      <c r="Q1590" s="5"/>
      <c r="R1590" s="5"/>
      <c r="S1590" s="5"/>
      <c r="T1590" s="5"/>
      <c r="U1590" s="5"/>
      <c r="V1590" s="5"/>
      <c r="W1590" s="5"/>
      <c r="X1590" s="5"/>
      <c r="Y1590" s="5"/>
      <c r="Z1590" s="5"/>
      <c r="AA1590" s="5"/>
      <c r="AB1590" s="6"/>
      <c r="AC1590" s="6"/>
      <c r="AD1590" s="6"/>
      <c r="AE1590" s="6"/>
      <c r="AF1590" s="6"/>
      <c r="AG1590" s="6"/>
      <c r="AH1590" s="6"/>
      <c r="AI1590" s="6"/>
      <c r="AJ1590" s="6"/>
      <c r="AK1590" s="6"/>
      <c r="AL1590" s="6"/>
      <c r="AM1590" s="6"/>
      <c r="AN1590" s="6"/>
      <c r="AO1590" s="6"/>
      <c r="AP1590" s="6"/>
      <c r="AQ1590" s="6"/>
      <c r="AR1590" s="6"/>
      <c r="AS1590" s="6"/>
      <c r="AT1590" s="6"/>
      <c r="AU1590" s="6"/>
      <c r="AV1590" s="6"/>
      <c r="AW1590" s="6"/>
      <c r="AX1590" s="6"/>
      <c r="AY1590" s="6"/>
      <c r="AZ1590" s="6"/>
      <c r="BA1590" s="6"/>
      <c r="BB1590" s="6"/>
      <c r="BC1590" s="6"/>
      <c r="BD1590" s="6"/>
      <c r="BE1590" s="6"/>
      <c r="BF1590" s="6"/>
      <c r="BG1590" s="6"/>
      <c r="BH1590" s="6"/>
      <c r="BI1590" s="6"/>
      <c r="BJ1590" s="6"/>
      <c r="BK1590" s="6"/>
      <c r="BL1590" s="6"/>
      <c r="BM1590" s="5"/>
      <c r="BN1590" s="7"/>
      <c r="BO1590" s="7"/>
      <c r="BP1590" s="7"/>
    </row>
    <row r="1591" spans="1:68" s="400" customFormat="1" ht="14.25" customHeight="1" x14ac:dyDescent="0.25">
      <c r="A1591" s="5"/>
      <c r="B1591" s="5"/>
      <c r="C1591" s="5"/>
      <c r="D1591" s="5"/>
      <c r="E1591" s="5"/>
      <c r="F1591" s="5"/>
      <c r="G1591" s="5"/>
      <c r="H1591" s="5"/>
      <c r="I1591" s="5"/>
      <c r="J1591" s="5"/>
      <c r="K1591" s="5"/>
      <c r="L1591" s="5"/>
      <c r="M1591" s="5"/>
      <c r="N1591" s="5"/>
      <c r="O1591" s="5"/>
      <c r="P1591" s="5"/>
      <c r="Q1591" s="5"/>
      <c r="R1591" s="5"/>
      <c r="S1591" s="5"/>
      <c r="T1591" s="5"/>
      <c r="U1591" s="5"/>
      <c r="V1591" s="5"/>
      <c r="W1591" s="5"/>
      <c r="X1591" s="5"/>
      <c r="Y1591" s="5"/>
      <c r="Z1591" s="5"/>
      <c r="AA1591" s="5"/>
      <c r="AB1591" s="6"/>
      <c r="AC1591" s="6"/>
      <c r="AD1591" s="6"/>
      <c r="AE1591" s="6"/>
      <c r="AF1591" s="6"/>
      <c r="AG1591" s="6"/>
      <c r="AH1591" s="6"/>
      <c r="AI1591" s="6"/>
      <c r="AJ1591" s="6"/>
      <c r="AK1591" s="6"/>
      <c r="AL1591" s="6"/>
      <c r="AM1591" s="6"/>
      <c r="AN1591" s="6"/>
      <c r="AO1591" s="6"/>
      <c r="AP1591" s="6"/>
      <c r="AQ1591" s="6"/>
      <c r="AR1591" s="6"/>
      <c r="AS1591" s="6"/>
      <c r="AT1591" s="6"/>
      <c r="AU1591" s="6"/>
      <c r="AV1591" s="6"/>
      <c r="AW1591" s="6"/>
      <c r="AX1591" s="6"/>
      <c r="AY1591" s="6"/>
      <c r="AZ1591" s="6"/>
      <c r="BA1591" s="6"/>
      <c r="BB1591" s="6"/>
      <c r="BC1591" s="6"/>
      <c r="BD1591" s="6"/>
      <c r="BE1591" s="6"/>
      <c r="BF1591" s="6"/>
      <c r="BG1591" s="6"/>
      <c r="BH1591" s="6"/>
      <c r="BI1591" s="6"/>
      <c r="BJ1591" s="6"/>
      <c r="BK1591" s="6"/>
      <c r="BL1591" s="6"/>
      <c r="BM1591" s="5"/>
      <c r="BN1591" s="7"/>
      <c r="BO1591" s="7"/>
      <c r="BP1591" s="7"/>
    </row>
    <row r="1592" spans="1:68" s="400" customFormat="1" ht="14.25" customHeight="1" x14ac:dyDescent="0.25">
      <c r="A1592" s="5"/>
      <c r="B1592" s="5"/>
      <c r="C1592" s="5"/>
      <c r="D1592" s="5"/>
      <c r="E1592" s="5"/>
      <c r="F1592" s="5"/>
      <c r="G1592" s="5"/>
      <c r="H1592" s="5"/>
      <c r="I1592" s="5"/>
      <c r="J1592" s="5"/>
      <c r="K1592" s="5"/>
      <c r="L1592" s="5"/>
      <c r="M1592" s="5"/>
      <c r="N1592" s="5"/>
      <c r="O1592" s="5"/>
      <c r="P1592" s="5"/>
      <c r="Q1592" s="5"/>
      <c r="R1592" s="5"/>
      <c r="S1592" s="5"/>
      <c r="T1592" s="5"/>
      <c r="U1592" s="5"/>
      <c r="V1592" s="5"/>
      <c r="W1592" s="5"/>
      <c r="X1592" s="5"/>
      <c r="Y1592" s="5"/>
      <c r="Z1592" s="5"/>
      <c r="AA1592" s="5"/>
      <c r="AB1592" s="6"/>
      <c r="AC1592" s="6"/>
      <c r="AD1592" s="6"/>
      <c r="AE1592" s="6"/>
      <c r="AF1592" s="6"/>
      <c r="AG1592" s="6"/>
      <c r="AH1592" s="6"/>
      <c r="AI1592" s="6"/>
      <c r="AJ1592" s="6"/>
      <c r="AK1592" s="6"/>
      <c r="AL1592" s="6"/>
      <c r="AM1592" s="6"/>
      <c r="AN1592" s="6"/>
      <c r="AO1592" s="6"/>
      <c r="AP1592" s="6"/>
      <c r="AQ1592" s="6"/>
      <c r="AR1592" s="6"/>
      <c r="AS1592" s="6"/>
      <c r="AT1592" s="6"/>
      <c r="AU1592" s="6"/>
      <c r="AV1592" s="6"/>
      <c r="AW1592" s="6"/>
      <c r="AX1592" s="6"/>
      <c r="AY1592" s="6"/>
      <c r="AZ1592" s="6"/>
      <c r="BA1592" s="6"/>
      <c r="BB1592" s="6"/>
      <c r="BC1592" s="6"/>
      <c r="BD1592" s="6"/>
      <c r="BE1592" s="6"/>
      <c r="BF1592" s="6"/>
      <c r="BG1592" s="6"/>
      <c r="BH1592" s="6"/>
      <c r="BI1592" s="6"/>
      <c r="BJ1592" s="6"/>
      <c r="BK1592" s="6"/>
      <c r="BL1592" s="6"/>
      <c r="BM1592" s="5"/>
      <c r="BN1592" s="7"/>
      <c r="BO1592" s="7"/>
      <c r="BP1592" s="7"/>
    </row>
    <row r="1593" spans="1:68" s="400" customFormat="1" ht="14.25" customHeight="1" x14ac:dyDescent="0.25">
      <c r="A1593" s="5"/>
      <c r="B1593" s="5"/>
      <c r="C1593" s="5"/>
      <c r="D1593" s="5"/>
      <c r="E1593" s="5"/>
      <c r="F1593" s="5"/>
      <c r="G1593" s="5"/>
      <c r="H1593" s="5"/>
      <c r="I1593" s="5"/>
      <c r="J1593" s="5"/>
      <c r="K1593" s="5"/>
      <c r="L1593" s="5"/>
      <c r="M1593" s="5"/>
      <c r="N1593" s="5"/>
      <c r="O1593" s="5"/>
      <c r="P1593" s="5"/>
      <c r="Q1593" s="5"/>
      <c r="R1593" s="5"/>
      <c r="S1593" s="5"/>
      <c r="T1593" s="5"/>
      <c r="U1593" s="5"/>
      <c r="V1593" s="5"/>
      <c r="W1593" s="5"/>
      <c r="X1593" s="5"/>
      <c r="Y1593" s="5"/>
      <c r="Z1593" s="5"/>
      <c r="AA1593" s="5"/>
      <c r="AB1593" s="6"/>
      <c r="AC1593" s="6"/>
      <c r="AD1593" s="6"/>
      <c r="AE1593" s="6"/>
      <c r="AF1593" s="6"/>
      <c r="AG1593" s="6"/>
      <c r="AH1593" s="6"/>
      <c r="AI1593" s="6"/>
      <c r="AJ1593" s="6"/>
      <c r="AK1593" s="6"/>
      <c r="AL1593" s="6"/>
      <c r="AM1593" s="6"/>
      <c r="AN1593" s="6"/>
      <c r="AO1593" s="6"/>
      <c r="AP1593" s="6"/>
      <c r="AQ1593" s="6"/>
      <c r="AR1593" s="6"/>
      <c r="AS1593" s="6"/>
      <c r="AT1593" s="6"/>
      <c r="AU1593" s="6"/>
      <c r="AV1593" s="6"/>
      <c r="AW1593" s="6"/>
      <c r="AX1593" s="6"/>
      <c r="AY1593" s="6"/>
      <c r="AZ1593" s="6"/>
      <c r="BA1593" s="6"/>
      <c r="BB1593" s="6"/>
      <c r="BC1593" s="6"/>
      <c r="BD1593" s="6"/>
      <c r="BE1593" s="6"/>
      <c r="BF1593" s="6"/>
      <c r="BG1593" s="6"/>
      <c r="BH1593" s="6"/>
      <c r="BI1593" s="6"/>
      <c r="BJ1593" s="6"/>
      <c r="BK1593" s="6"/>
      <c r="BL1593" s="6"/>
      <c r="BM1593" s="5"/>
      <c r="BN1593" s="7"/>
      <c r="BO1593" s="7"/>
      <c r="BP1593" s="7"/>
    </row>
    <row r="1594" spans="1:68" s="400" customFormat="1" ht="14.25" customHeight="1" x14ac:dyDescent="0.25">
      <c r="A1594" s="5"/>
      <c r="B1594" s="5"/>
      <c r="C1594" s="5"/>
      <c r="D1594" s="5"/>
      <c r="E1594" s="5"/>
      <c r="F1594" s="5"/>
      <c r="G1594" s="5"/>
      <c r="H1594" s="5"/>
      <c r="I1594" s="5"/>
      <c r="J1594" s="5"/>
      <c r="K1594" s="5"/>
      <c r="L1594" s="5"/>
      <c r="M1594" s="5"/>
      <c r="N1594" s="5"/>
      <c r="O1594" s="5"/>
      <c r="P1594" s="5"/>
      <c r="Q1594" s="5"/>
      <c r="R1594" s="5"/>
      <c r="S1594" s="5"/>
      <c r="T1594" s="5"/>
      <c r="U1594" s="5"/>
      <c r="V1594" s="5"/>
      <c r="W1594" s="5"/>
      <c r="X1594" s="5"/>
      <c r="Y1594" s="5"/>
      <c r="Z1594" s="5"/>
      <c r="AA1594" s="5"/>
      <c r="AB1594" s="6"/>
      <c r="AC1594" s="6"/>
      <c r="AD1594" s="6"/>
      <c r="AE1594" s="6"/>
      <c r="AF1594" s="6"/>
      <c r="AG1594" s="6"/>
      <c r="AH1594" s="6"/>
      <c r="AI1594" s="6"/>
      <c r="AJ1594" s="6"/>
      <c r="AK1594" s="6"/>
      <c r="AL1594" s="6"/>
      <c r="AM1594" s="6"/>
      <c r="AN1594" s="6"/>
      <c r="AO1594" s="6"/>
      <c r="AP1594" s="6"/>
      <c r="AQ1594" s="6"/>
      <c r="AR1594" s="6"/>
      <c r="AS1594" s="6"/>
      <c r="AT1594" s="6"/>
      <c r="AU1594" s="6"/>
      <c r="AV1594" s="6"/>
      <c r="AW1594" s="6"/>
      <c r="AX1594" s="6"/>
      <c r="AY1594" s="6"/>
      <c r="AZ1594" s="6"/>
      <c r="BA1594" s="6"/>
      <c r="BB1594" s="6"/>
      <c r="BC1594" s="6"/>
      <c r="BD1594" s="6"/>
      <c r="BE1594" s="6"/>
      <c r="BF1594" s="6"/>
      <c r="BG1594" s="6"/>
      <c r="BH1594" s="6"/>
      <c r="BI1594" s="6"/>
      <c r="BJ1594" s="6"/>
      <c r="BK1594" s="6"/>
      <c r="BL1594" s="6"/>
      <c r="BM1594" s="5"/>
      <c r="BN1594" s="7"/>
      <c r="BO1594" s="7"/>
      <c r="BP1594" s="7"/>
    </row>
    <row r="1595" spans="1:68" s="400" customFormat="1" ht="14.25" customHeight="1" x14ac:dyDescent="0.25">
      <c r="A1595" s="5"/>
      <c r="B1595" s="5"/>
      <c r="C1595" s="5"/>
      <c r="D1595" s="5"/>
      <c r="E1595" s="5"/>
      <c r="F1595" s="5"/>
      <c r="G1595" s="5"/>
      <c r="H1595" s="5"/>
      <c r="I1595" s="5"/>
      <c r="J1595" s="5"/>
      <c r="K1595" s="5"/>
      <c r="L1595" s="5"/>
      <c r="M1595" s="5"/>
      <c r="N1595" s="5"/>
      <c r="O1595" s="5"/>
      <c r="P1595" s="5"/>
      <c r="Q1595" s="5"/>
      <c r="R1595" s="5"/>
      <c r="S1595" s="5"/>
      <c r="T1595" s="5"/>
      <c r="U1595" s="5"/>
      <c r="V1595" s="5"/>
      <c r="W1595" s="5"/>
      <c r="X1595" s="5"/>
      <c r="Y1595" s="5"/>
      <c r="Z1595" s="5"/>
      <c r="AA1595" s="5"/>
      <c r="AB1595" s="6"/>
      <c r="AC1595" s="6"/>
      <c r="AD1595" s="6"/>
      <c r="AE1595" s="6"/>
      <c r="AF1595" s="6"/>
      <c r="AG1595" s="6"/>
      <c r="AH1595" s="6"/>
      <c r="AI1595" s="6"/>
      <c r="AJ1595" s="6"/>
      <c r="AK1595" s="6"/>
      <c r="AL1595" s="6"/>
      <c r="AM1595" s="6"/>
      <c r="AN1595" s="6"/>
      <c r="AO1595" s="6"/>
      <c r="AP1595" s="6"/>
      <c r="AQ1595" s="6"/>
      <c r="AR1595" s="6"/>
      <c r="AS1595" s="6"/>
      <c r="AT1595" s="6"/>
      <c r="AU1595" s="6"/>
      <c r="AV1595" s="6"/>
      <c r="AW1595" s="6"/>
      <c r="AX1595" s="6"/>
      <c r="AY1595" s="6"/>
      <c r="AZ1595" s="6"/>
      <c r="BA1595" s="6"/>
      <c r="BB1595" s="6"/>
      <c r="BC1595" s="6"/>
      <c r="BD1595" s="6"/>
      <c r="BE1595" s="6"/>
      <c r="BF1595" s="6"/>
      <c r="BG1595" s="6"/>
      <c r="BH1595" s="6"/>
      <c r="BI1595" s="6"/>
      <c r="BJ1595" s="6"/>
      <c r="BK1595" s="6"/>
      <c r="BL1595" s="6"/>
      <c r="BM1595" s="5"/>
      <c r="BN1595" s="7"/>
      <c r="BO1595" s="7"/>
      <c r="BP1595" s="7"/>
    </row>
    <row r="1596" spans="1:68" s="400" customFormat="1" ht="14.25" customHeight="1" x14ac:dyDescent="0.25">
      <c r="A1596" s="5"/>
      <c r="B1596" s="5"/>
      <c r="C1596" s="5"/>
      <c r="D1596" s="5"/>
      <c r="E1596" s="5"/>
      <c r="F1596" s="5"/>
      <c r="G1596" s="5"/>
      <c r="H1596" s="5"/>
      <c r="I1596" s="5"/>
      <c r="J1596" s="5"/>
      <c r="K1596" s="5"/>
      <c r="L1596" s="5"/>
      <c r="M1596" s="5"/>
      <c r="N1596" s="5"/>
      <c r="O1596" s="5"/>
      <c r="P1596" s="5"/>
      <c r="Q1596" s="5"/>
      <c r="R1596" s="5"/>
      <c r="S1596" s="5"/>
      <c r="T1596" s="5"/>
      <c r="U1596" s="5"/>
      <c r="V1596" s="5"/>
      <c r="W1596" s="5"/>
      <c r="X1596" s="5"/>
      <c r="Y1596" s="5"/>
      <c r="Z1596" s="5"/>
      <c r="AA1596" s="5"/>
      <c r="AB1596" s="6"/>
      <c r="AC1596" s="6"/>
      <c r="AD1596" s="6"/>
      <c r="AE1596" s="6"/>
      <c r="AF1596" s="6"/>
      <c r="AG1596" s="6"/>
      <c r="AH1596" s="6"/>
      <c r="AI1596" s="6"/>
      <c r="AJ1596" s="6"/>
      <c r="AK1596" s="6"/>
      <c r="AL1596" s="6"/>
      <c r="AM1596" s="6"/>
      <c r="AN1596" s="6"/>
      <c r="AO1596" s="6"/>
      <c r="AP1596" s="6"/>
      <c r="AQ1596" s="6"/>
      <c r="AR1596" s="6"/>
      <c r="AS1596" s="6"/>
      <c r="AT1596" s="6"/>
      <c r="AU1596" s="6"/>
      <c r="AV1596" s="6"/>
      <c r="AW1596" s="6"/>
      <c r="AX1596" s="6"/>
      <c r="AY1596" s="6"/>
      <c r="AZ1596" s="6"/>
      <c r="BA1596" s="6"/>
      <c r="BB1596" s="6"/>
      <c r="BC1596" s="6"/>
      <c r="BD1596" s="6"/>
      <c r="BE1596" s="6"/>
      <c r="BF1596" s="6"/>
      <c r="BG1596" s="6"/>
      <c r="BH1596" s="6"/>
      <c r="BI1596" s="6"/>
      <c r="BJ1596" s="6"/>
      <c r="BK1596" s="6"/>
      <c r="BL1596" s="6"/>
      <c r="BM1596" s="5"/>
      <c r="BN1596" s="7"/>
      <c r="BO1596" s="7"/>
      <c r="BP1596" s="7"/>
    </row>
    <row r="1597" spans="1:68" s="400" customFormat="1" ht="14.25" customHeight="1" x14ac:dyDescent="0.25">
      <c r="A1597" s="5"/>
      <c r="B1597" s="5"/>
      <c r="C1597" s="5"/>
      <c r="D1597" s="5"/>
      <c r="E1597" s="5"/>
      <c r="F1597" s="5"/>
      <c r="G1597" s="5"/>
      <c r="H1597" s="5"/>
      <c r="I1597" s="5"/>
      <c r="J1597" s="5"/>
      <c r="K1597" s="5"/>
      <c r="L1597" s="5"/>
      <c r="M1597" s="5"/>
      <c r="N1597" s="5"/>
      <c r="O1597" s="5"/>
      <c r="P1597" s="5"/>
      <c r="Q1597" s="5"/>
      <c r="R1597" s="5"/>
      <c r="S1597" s="5"/>
      <c r="T1597" s="5"/>
      <c r="U1597" s="5"/>
      <c r="V1597" s="5"/>
      <c r="W1597" s="5"/>
      <c r="X1597" s="5"/>
      <c r="Y1597" s="5"/>
      <c r="Z1597" s="5"/>
      <c r="AA1597" s="5"/>
      <c r="AB1597" s="6"/>
      <c r="AC1597" s="6"/>
      <c r="AD1597" s="6"/>
      <c r="AE1597" s="6"/>
      <c r="AF1597" s="6"/>
      <c r="AG1597" s="6"/>
      <c r="AH1597" s="6"/>
      <c r="AI1597" s="6"/>
      <c r="AJ1597" s="6"/>
      <c r="AK1597" s="6"/>
      <c r="AL1597" s="6"/>
      <c r="AM1597" s="6"/>
      <c r="AN1597" s="6"/>
      <c r="AO1597" s="6"/>
      <c r="AP1597" s="6"/>
      <c r="AQ1597" s="6"/>
      <c r="AR1597" s="6"/>
      <c r="AS1597" s="6"/>
      <c r="AT1597" s="6"/>
      <c r="AU1597" s="6"/>
      <c r="AV1597" s="6"/>
      <c r="AW1597" s="6"/>
      <c r="AX1597" s="6"/>
      <c r="AY1597" s="6"/>
      <c r="AZ1597" s="6"/>
      <c r="BA1597" s="6"/>
      <c r="BB1597" s="6"/>
      <c r="BC1597" s="6"/>
      <c r="BD1597" s="6"/>
      <c r="BE1597" s="6"/>
      <c r="BF1597" s="6"/>
      <c r="BG1597" s="6"/>
      <c r="BH1597" s="6"/>
      <c r="BI1597" s="6"/>
      <c r="BJ1597" s="6"/>
      <c r="BK1597" s="6"/>
      <c r="BL1597" s="6"/>
      <c r="BM1597" s="5"/>
      <c r="BN1597" s="7"/>
      <c r="BO1597" s="7"/>
      <c r="BP1597" s="7"/>
    </row>
    <row r="1598" spans="1:68" s="400" customFormat="1" ht="14.25" customHeight="1" x14ac:dyDescent="0.25">
      <c r="A1598" s="5"/>
      <c r="B1598" s="5"/>
      <c r="C1598" s="5"/>
      <c r="D1598" s="5"/>
      <c r="E1598" s="5"/>
      <c r="F1598" s="5"/>
      <c r="G1598" s="5"/>
      <c r="H1598" s="5"/>
      <c r="I1598" s="5"/>
      <c r="J1598" s="5"/>
      <c r="K1598" s="5"/>
      <c r="L1598" s="5"/>
      <c r="M1598" s="5"/>
      <c r="N1598" s="5"/>
      <c r="O1598" s="5"/>
      <c r="P1598" s="5"/>
      <c r="Q1598" s="5"/>
      <c r="R1598" s="5"/>
      <c r="S1598" s="5"/>
      <c r="T1598" s="5"/>
      <c r="U1598" s="5"/>
      <c r="V1598" s="5"/>
      <c r="W1598" s="5"/>
      <c r="X1598" s="5"/>
      <c r="Y1598" s="5"/>
      <c r="Z1598" s="5"/>
      <c r="AA1598" s="5"/>
      <c r="AB1598" s="6"/>
      <c r="AC1598" s="6"/>
      <c r="AD1598" s="6"/>
      <c r="AE1598" s="6"/>
      <c r="AF1598" s="6"/>
      <c r="AG1598" s="6"/>
      <c r="AH1598" s="6"/>
      <c r="AI1598" s="6"/>
      <c r="AJ1598" s="6"/>
      <c r="AK1598" s="6"/>
      <c r="AL1598" s="6"/>
      <c r="AM1598" s="6"/>
      <c r="AN1598" s="6"/>
      <c r="AO1598" s="6"/>
      <c r="AP1598" s="6"/>
      <c r="AQ1598" s="6"/>
      <c r="AR1598" s="6"/>
      <c r="AS1598" s="6"/>
      <c r="AT1598" s="6"/>
      <c r="AU1598" s="6"/>
      <c r="AV1598" s="6"/>
      <c r="AW1598" s="6"/>
      <c r="AX1598" s="6"/>
      <c r="AY1598" s="6"/>
      <c r="AZ1598" s="6"/>
      <c r="BA1598" s="6"/>
      <c r="BB1598" s="6"/>
      <c r="BC1598" s="6"/>
      <c r="BD1598" s="6"/>
      <c r="BE1598" s="6"/>
      <c r="BF1598" s="6"/>
      <c r="BG1598" s="6"/>
      <c r="BH1598" s="6"/>
      <c r="BI1598" s="6"/>
      <c r="BJ1598" s="6"/>
      <c r="BK1598" s="6"/>
      <c r="BL1598" s="6"/>
      <c r="BM1598" s="5"/>
      <c r="BN1598" s="7"/>
      <c r="BO1598" s="7"/>
      <c r="BP1598" s="7"/>
    </row>
    <row r="1599" spans="1:68" s="400" customFormat="1" ht="14.25" customHeight="1" x14ac:dyDescent="0.25">
      <c r="A1599" s="5"/>
      <c r="B1599" s="5"/>
      <c r="C1599" s="5"/>
      <c r="D1599" s="5"/>
      <c r="E1599" s="5"/>
      <c r="F1599" s="5"/>
      <c r="G1599" s="5"/>
      <c r="H1599" s="5"/>
      <c r="I1599" s="5"/>
      <c r="J1599" s="5"/>
      <c r="K1599" s="5"/>
      <c r="L1599" s="5"/>
      <c r="M1599" s="5"/>
      <c r="N1599" s="5"/>
      <c r="O1599" s="5"/>
      <c r="P1599" s="5"/>
      <c r="Q1599" s="5"/>
      <c r="R1599" s="5"/>
      <c r="S1599" s="5"/>
      <c r="T1599" s="5"/>
      <c r="U1599" s="5"/>
      <c r="V1599" s="5"/>
      <c r="W1599" s="5"/>
      <c r="X1599" s="5"/>
      <c r="Y1599" s="5"/>
      <c r="Z1599" s="5"/>
      <c r="AA1599" s="5"/>
      <c r="AB1599" s="6"/>
      <c r="AC1599" s="6"/>
      <c r="AD1599" s="6"/>
      <c r="AE1599" s="6"/>
      <c r="AF1599" s="6"/>
      <c r="AG1599" s="6"/>
      <c r="AH1599" s="6"/>
      <c r="AI1599" s="6"/>
      <c r="AJ1599" s="6"/>
      <c r="AK1599" s="6"/>
      <c r="AL1599" s="6"/>
      <c r="AM1599" s="6"/>
      <c r="AN1599" s="6"/>
      <c r="AO1599" s="6"/>
      <c r="AP1599" s="6"/>
      <c r="AQ1599" s="6"/>
      <c r="AR1599" s="6"/>
      <c r="AS1599" s="6"/>
      <c r="AT1599" s="6"/>
      <c r="AU1599" s="6"/>
      <c r="AV1599" s="6"/>
      <c r="AW1599" s="6"/>
      <c r="AX1599" s="6"/>
      <c r="AY1599" s="6"/>
      <c r="AZ1599" s="6"/>
      <c r="BA1599" s="6"/>
      <c r="BB1599" s="6"/>
      <c r="BC1599" s="6"/>
      <c r="BD1599" s="6"/>
      <c r="BE1599" s="6"/>
      <c r="BF1599" s="6"/>
      <c r="BG1599" s="6"/>
      <c r="BH1599" s="6"/>
      <c r="BI1599" s="6"/>
      <c r="BJ1599" s="6"/>
      <c r="BK1599" s="6"/>
      <c r="BL1599" s="6"/>
      <c r="BM1599" s="5"/>
      <c r="BN1599" s="7"/>
      <c r="BO1599" s="7"/>
      <c r="BP1599" s="7"/>
    </row>
    <row r="1600" spans="1:68" s="400" customFormat="1" ht="14.25" customHeight="1" x14ac:dyDescent="0.25">
      <c r="A1600" s="5"/>
      <c r="B1600" s="5"/>
      <c r="C1600" s="5"/>
      <c r="D1600" s="5"/>
      <c r="E1600" s="5"/>
      <c r="F1600" s="5"/>
      <c r="G1600" s="5"/>
      <c r="H1600" s="5"/>
      <c r="I1600" s="5"/>
      <c r="J1600" s="5"/>
      <c r="K1600" s="5"/>
      <c r="L1600" s="5"/>
      <c r="M1600" s="5"/>
      <c r="N1600" s="5"/>
      <c r="O1600" s="5"/>
      <c r="P1600" s="5"/>
      <c r="Q1600" s="5"/>
      <c r="R1600" s="5"/>
      <c r="S1600" s="5"/>
      <c r="T1600" s="5"/>
      <c r="U1600" s="5"/>
      <c r="V1600" s="5"/>
      <c r="W1600" s="5"/>
      <c r="X1600" s="5"/>
      <c r="Y1600" s="5"/>
      <c r="Z1600" s="5"/>
      <c r="AA1600" s="5"/>
      <c r="AB1600" s="6"/>
      <c r="AC1600" s="6"/>
      <c r="AD1600" s="6"/>
      <c r="AE1600" s="6"/>
      <c r="AF1600" s="6"/>
      <c r="AG1600" s="6"/>
      <c r="AH1600" s="6"/>
      <c r="AI1600" s="6"/>
      <c r="AJ1600" s="6"/>
      <c r="AK1600" s="6"/>
      <c r="AL1600" s="6"/>
      <c r="AM1600" s="6"/>
      <c r="AN1600" s="6"/>
      <c r="AO1600" s="6"/>
      <c r="AP1600" s="6"/>
      <c r="AQ1600" s="6"/>
      <c r="AR1600" s="6"/>
      <c r="AS1600" s="6"/>
      <c r="AT1600" s="6"/>
      <c r="AU1600" s="6"/>
      <c r="AV1600" s="6"/>
      <c r="AW1600" s="6"/>
      <c r="AX1600" s="6"/>
      <c r="AY1600" s="6"/>
      <c r="AZ1600" s="6"/>
      <c r="BA1600" s="6"/>
      <c r="BB1600" s="6"/>
      <c r="BC1600" s="6"/>
      <c r="BD1600" s="6"/>
      <c r="BE1600" s="6"/>
      <c r="BF1600" s="6"/>
      <c r="BG1600" s="6"/>
      <c r="BH1600" s="6"/>
      <c r="BI1600" s="6"/>
      <c r="BJ1600" s="6"/>
      <c r="BK1600" s="6"/>
      <c r="BL1600" s="6"/>
      <c r="BM1600" s="5"/>
      <c r="BN1600" s="7"/>
      <c r="BO1600" s="7"/>
      <c r="BP1600" s="7"/>
    </row>
    <row r="1601" spans="1:68" s="400" customFormat="1" ht="14.25" customHeight="1" x14ac:dyDescent="0.25">
      <c r="A1601" s="5"/>
      <c r="B1601" s="5"/>
      <c r="C1601" s="5"/>
      <c r="D1601" s="5"/>
      <c r="E1601" s="5"/>
      <c r="F1601" s="5"/>
      <c r="G1601" s="5"/>
      <c r="H1601" s="5"/>
      <c r="I1601" s="5"/>
      <c r="J1601" s="5"/>
      <c r="K1601" s="5"/>
      <c r="L1601" s="5"/>
      <c r="M1601" s="5"/>
      <c r="N1601" s="5"/>
      <c r="O1601" s="5"/>
      <c r="P1601" s="5"/>
      <c r="Q1601" s="5"/>
      <c r="R1601" s="5"/>
      <c r="S1601" s="5"/>
      <c r="T1601" s="5"/>
      <c r="U1601" s="5"/>
      <c r="V1601" s="5"/>
      <c r="W1601" s="5"/>
      <c r="X1601" s="5"/>
      <c r="Y1601" s="5"/>
      <c r="Z1601" s="5"/>
      <c r="AA1601" s="5"/>
      <c r="AB1601" s="6"/>
      <c r="AC1601" s="6"/>
      <c r="AD1601" s="6"/>
      <c r="AE1601" s="6"/>
      <c r="AF1601" s="6"/>
      <c r="AG1601" s="6"/>
      <c r="AH1601" s="6"/>
      <c r="AI1601" s="6"/>
      <c r="AJ1601" s="6"/>
      <c r="AK1601" s="6"/>
      <c r="AL1601" s="6"/>
      <c r="AM1601" s="6"/>
      <c r="AN1601" s="6"/>
      <c r="AO1601" s="6"/>
      <c r="AP1601" s="6"/>
      <c r="AQ1601" s="6"/>
      <c r="AR1601" s="6"/>
      <c r="AS1601" s="6"/>
      <c r="AT1601" s="6"/>
      <c r="AU1601" s="6"/>
      <c r="AV1601" s="6"/>
      <c r="AW1601" s="6"/>
      <c r="AX1601" s="6"/>
      <c r="AY1601" s="6"/>
      <c r="AZ1601" s="6"/>
      <c r="BA1601" s="6"/>
      <c r="BB1601" s="6"/>
      <c r="BC1601" s="6"/>
      <c r="BD1601" s="6"/>
      <c r="BE1601" s="6"/>
      <c r="BF1601" s="6"/>
      <c r="BG1601" s="6"/>
      <c r="BH1601" s="6"/>
      <c r="BI1601" s="6"/>
      <c r="BJ1601" s="6"/>
      <c r="BK1601" s="6"/>
      <c r="BL1601" s="6"/>
      <c r="BM1601" s="5"/>
      <c r="BN1601" s="7"/>
      <c r="BO1601" s="7"/>
      <c r="BP1601" s="7"/>
    </row>
    <row r="1602" spans="1:68" s="400" customFormat="1" ht="14.25" customHeight="1" x14ac:dyDescent="0.25">
      <c r="A1602" s="5"/>
      <c r="B1602" s="5"/>
      <c r="C1602" s="5"/>
      <c r="D1602" s="5"/>
      <c r="E1602" s="5"/>
      <c r="F1602" s="5"/>
      <c r="G1602" s="5"/>
      <c r="H1602" s="5"/>
      <c r="I1602" s="5"/>
      <c r="J1602" s="5"/>
      <c r="K1602" s="5"/>
      <c r="L1602" s="5"/>
      <c r="M1602" s="5"/>
      <c r="N1602" s="5"/>
      <c r="O1602" s="5"/>
      <c r="P1602" s="5"/>
      <c r="Q1602" s="5"/>
      <c r="R1602" s="5"/>
      <c r="S1602" s="5"/>
      <c r="T1602" s="5"/>
      <c r="U1602" s="5"/>
      <c r="V1602" s="5"/>
      <c r="W1602" s="5"/>
      <c r="X1602" s="5"/>
      <c r="Y1602" s="5"/>
      <c r="Z1602" s="5"/>
      <c r="AA1602" s="5"/>
      <c r="AB1602" s="6"/>
      <c r="AC1602" s="6"/>
      <c r="AD1602" s="6"/>
      <c r="AE1602" s="6"/>
      <c r="AF1602" s="6"/>
      <c r="AG1602" s="6"/>
      <c r="AH1602" s="6"/>
      <c r="AI1602" s="6"/>
      <c r="AJ1602" s="6"/>
      <c r="AK1602" s="6"/>
      <c r="AL1602" s="6"/>
      <c r="AM1602" s="6"/>
      <c r="AN1602" s="6"/>
      <c r="AO1602" s="6"/>
      <c r="AP1602" s="6"/>
      <c r="AQ1602" s="6"/>
      <c r="AR1602" s="6"/>
      <c r="AS1602" s="6"/>
      <c r="AT1602" s="6"/>
      <c r="AU1602" s="6"/>
      <c r="AV1602" s="6"/>
      <c r="AW1602" s="6"/>
      <c r="AX1602" s="6"/>
      <c r="AY1602" s="6"/>
      <c r="AZ1602" s="6"/>
      <c r="BA1602" s="6"/>
      <c r="BB1602" s="6"/>
      <c r="BC1602" s="6"/>
      <c r="BD1602" s="6"/>
      <c r="BE1602" s="6"/>
      <c r="BF1602" s="6"/>
      <c r="BG1602" s="6"/>
      <c r="BH1602" s="6"/>
      <c r="BI1602" s="6"/>
      <c r="BJ1602" s="6"/>
      <c r="BK1602" s="6"/>
      <c r="BL1602" s="6"/>
      <c r="BM1602" s="5"/>
      <c r="BN1602" s="7"/>
      <c r="BO1602" s="7"/>
      <c r="BP1602" s="7"/>
    </row>
    <row r="1603" spans="1:68" s="400" customFormat="1" ht="14.25" customHeight="1" x14ac:dyDescent="0.25">
      <c r="A1603" s="5"/>
      <c r="B1603" s="5"/>
      <c r="C1603" s="5"/>
      <c r="D1603" s="5"/>
      <c r="E1603" s="5"/>
      <c r="F1603" s="5"/>
      <c r="G1603" s="5"/>
      <c r="H1603" s="5"/>
      <c r="I1603" s="5"/>
      <c r="J1603" s="5"/>
      <c r="K1603" s="5"/>
      <c r="L1603" s="5"/>
      <c r="M1603" s="5"/>
      <c r="N1603" s="5"/>
      <c r="O1603" s="5"/>
      <c r="P1603" s="5"/>
      <c r="Q1603" s="5"/>
      <c r="R1603" s="5"/>
      <c r="S1603" s="5"/>
      <c r="T1603" s="5"/>
      <c r="U1603" s="5"/>
      <c r="V1603" s="5"/>
      <c r="W1603" s="5"/>
      <c r="X1603" s="5"/>
      <c r="Y1603" s="5"/>
      <c r="Z1603" s="5"/>
      <c r="AA1603" s="5"/>
      <c r="AB1603" s="6"/>
      <c r="AC1603" s="6"/>
      <c r="AD1603" s="6"/>
      <c r="AE1603" s="6"/>
      <c r="AF1603" s="6"/>
      <c r="AG1603" s="6"/>
      <c r="AH1603" s="6"/>
      <c r="AI1603" s="6"/>
      <c r="AJ1603" s="6"/>
      <c r="AK1603" s="6"/>
      <c r="AL1603" s="6"/>
      <c r="AM1603" s="6"/>
      <c r="AN1603" s="6"/>
      <c r="AO1603" s="6"/>
      <c r="AP1603" s="6"/>
      <c r="AQ1603" s="6"/>
      <c r="AR1603" s="6"/>
      <c r="AS1603" s="6"/>
      <c r="AT1603" s="6"/>
      <c r="AU1603" s="6"/>
      <c r="AV1603" s="6"/>
      <c r="AW1603" s="6"/>
      <c r="AX1603" s="6"/>
      <c r="AY1603" s="6"/>
      <c r="AZ1603" s="6"/>
      <c r="BA1603" s="6"/>
      <c r="BB1603" s="6"/>
      <c r="BC1603" s="6"/>
      <c r="BD1603" s="6"/>
      <c r="BE1603" s="6"/>
      <c r="BF1603" s="6"/>
      <c r="BG1603" s="6"/>
      <c r="BH1603" s="6"/>
      <c r="BI1603" s="6"/>
      <c r="BJ1603" s="6"/>
      <c r="BK1603" s="6"/>
      <c r="BL1603" s="6"/>
      <c r="BM1603" s="5"/>
      <c r="BN1603" s="7"/>
      <c r="BO1603" s="7"/>
      <c r="BP1603" s="7"/>
    </row>
    <row r="1604" spans="1:68" s="400" customFormat="1" ht="14.25" customHeight="1" x14ac:dyDescent="0.25">
      <c r="A1604" s="5"/>
      <c r="B1604" s="5"/>
      <c r="C1604" s="5"/>
      <c r="D1604" s="5"/>
      <c r="E1604" s="5"/>
      <c r="F1604" s="5"/>
      <c r="G1604" s="5"/>
      <c r="H1604" s="5"/>
      <c r="I1604" s="5"/>
      <c r="J1604" s="5"/>
      <c r="K1604" s="5"/>
      <c r="L1604" s="5"/>
      <c r="M1604" s="5"/>
      <c r="N1604" s="5"/>
      <c r="O1604" s="5"/>
      <c r="P1604" s="5"/>
      <c r="Q1604" s="5"/>
      <c r="R1604" s="5"/>
      <c r="S1604" s="5"/>
      <c r="T1604" s="5"/>
      <c r="U1604" s="5"/>
      <c r="V1604" s="5"/>
      <c r="W1604" s="5"/>
      <c r="X1604" s="5"/>
      <c r="Y1604" s="5"/>
      <c r="Z1604" s="5"/>
      <c r="AA1604" s="5"/>
      <c r="AB1604" s="6"/>
      <c r="AC1604" s="6"/>
      <c r="AD1604" s="6"/>
      <c r="AE1604" s="6"/>
      <c r="AF1604" s="6"/>
      <c r="AG1604" s="6"/>
      <c r="AH1604" s="6"/>
      <c r="AI1604" s="6"/>
      <c r="AJ1604" s="6"/>
      <c r="AK1604" s="6"/>
      <c r="AL1604" s="6"/>
      <c r="AM1604" s="6"/>
      <c r="AN1604" s="6"/>
      <c r="AO1604" s="6"/>
      <c r="AP1604" s="6"/>
      <c r="AQ1604" s="6"/>
      <c r="AR1604" s="6"/>
      <c r="AS1604" s="6"/>
      <c r="AT1604" s="6"/>
      <c r="AU1604" s="6"/>
      <c r="AV1604" s="6"/>
      <c r="AW1604" s="6"/>
      <c r="AX1604" s="6"/>
      <c r="AY1604" s="6"/>
      <c r="AZ1604" s="6"/>
      <c r="BA1604" s="6"/>
      <c r="BB1604" s="6"/>
      <c r="BC1604" s="6"/>
      <c r="BD1604" s="6"/>
      <c r="BE1604" s="6"/>
      <c r="BF1604" s="6"/>
      <c r="BG1604" s="6"/>
      <c r="BH1604" s="6"/>
      <c r="BI1604" s="6"/>
      <c r="BJ1604" s="6"/>
      <c r="BK1604" s="6"/>
      <c r="BL1604" s="6"/>
      <c r="BM1604" s="5"/>
      <c r="BN1604" s="7"/>
      <c r="BO1604" s="7"/>
      <c r="BP1604" s="7"/>
    </row>
    <row r="1605" spans="1:68" s="400" customFormat="1" ht="14.25" customHeight="1" x14ac:dyDescent="0.25">
      <c r="A1605" s="5"/>
      <c r="B1605" s="5"/>
      <c r="C1605" s="5"/>
      <c r="D1605" s="5"/>
      <c r="E1605" s="5"/>
      <c r="F1605" s="5"/>
      <c r="G1605" s="5"/>
      <c r="H1605" s="5"/>
      <c r="I1605" s="5"/>
      <c r="J1605" s="5"/>
      <c r="K1605" s="5"/>
      <c r="L1605" s="5"/>
      <c r="M1605" s="5"/>
      <c r="N1605" s="5"/>
      <c r="O1605" s="5"/>
      <c r="P1605" s="5"/>
      <c r="Q1605" s="5"/>
      <c r="R1605" s="5"/>
      <c r="S1605" s="5"/>
      <c r="T1605" s="5"/>
      <c r="U1605" s="5"/>
      <c r="V1605" s="5"/>
      <c r="W1605" s="5"/>
      <c r="X1605" s="5"/>
      <c r="Y1605" s="5"/>
      <c r="Z1605" s="5"/>
      <c r="AA1605" s="5"/>
      <c r="AB1605" s="6"/>
      <c r="AC1605" s="6"/>
      <c r="AD1605" s="6"/>
      <c r="AE1605" s="6"/>
      <c r="AF1605" s="6"/>
      <c r="AG1605" s="6"/>
      <c r="AH1605" s="6"/>
      <c r="AI1605" s="6"/>
      <c r="AJ1605" s="6"/>
      <c r="AK1605" s="6"/>
      <c r="AL1605" s="6"/>
      <c r="AM1605" s="6"/>
      <c r="AN1605" s="6"/>
      <c r="AO1605" s="6"/>
      <c r="AP1605" s="6"/>
      <c r="AQ1605" s="6"/>
      <c r="AR1605" s="6"/>
      <c r="AS1605" s="6"/>
      <c r="AT1605" s="6"/>
      <c r="AU1605" s="6"/>
      <c r="AV1605" s="6"/>
      <c r="AW1605" s="6"/>
      <c r="AX1605" s="6"/>
      <c r="AY1605" s="6"/>
      <c r="AZ1605" s="6"/>
      <c r="BA1605" s="6"/>
      <c r="BB1605" s="6"/>
      <c r="BC1605" s="6"/>
      <c r="BD1605" s="6"/>
      <c r="BE1605" s="6"/>
      <c r="BF1605" s="6"/>
      <c r="BG1605" s="6"/>
      <c r="BH1605" s="6"/>
      <c r="BI1605" s="6"/>
      <c r="BJ1605" s="6"/>
      <c r="BK1605" s="6"/>
      <c r="BL1605" s="6"/>
      <c r="BM1605" s="5"/>
      <c r="BN1605" s="7"/>
      <c r="BO1605" s="7"/>
      <c r="BP1605" s="7"/>
    </row>
    <row r="1606" spans="1:68" s="400" customFormat="1" ht="14.25" customHeight="1" x14ac:dyDescent="0.25">
      <c r="A1606" s="5"/>
      <c r="B1606" s="5"/>
      <c r="C1606" s="5"/>
      <c r="D1606" s="5"/>
      <c r="E1606" s="5"/>
      <c r="F1606" s="5"/>
      <c r="G1606" s="5"/>
      <c r="H1606" s="5"/>
      <c r="I1606" s="5"/>
      <c r="J1606" s="5"/>
      <c r="K1606" s="5"/>
      <c r="L1606" s="5"/>
      <c r="M1606" s="5"/>
      <c r="N1606" s="5"/>
      <c r="O1606" s="5"/>
      <c r="P1606" s="5"/>
      <c r="Q1606" s="5"/>
      <c r="R1606" s="5"/>
      <c r="S1606" s="5"/>
      <c r="T1606" s="5"/>
      <c r="U1606" s="5"/>
      <c r="V1606" s="5"/>
      <c r="W1606" s="5"/>
      <c r="X1606" s="5"/>
      <c r="Y1606" s="5"/>
      <c r="Z1606" s="5"/>
      <c r="AA1606" s="5"/>
      <c r="AB1606" s="6"/>
      <c r="AC1606" s="6"/>
      <c r="AD1606" s="6"/>
      <c r="AE1606" s="6"/>
      <c r="AF1606" s="6"/>
      <c r="AG1606" s="6"/>
      <c r="AH1606" s="6"/>
      <c r="AI1606" s="6"/>
      <c r="AJ1606" s="6"/>
      <c r="AK1606" s="6"/>
      <c r="AL1606" s="6"/>
      <c r="AM1606" s="6"/>
      <c r="AN1606" s="6"/>
      <c r="AO1606" s="6"/>
      <c r="AP1606" s="6"/>
      <c r="AQ1606" s="6"/>
      <c r="AR1606" s="6"/>
      <c r="AS1606" s="6"/>
      <c r="AT1606" s="6"/>
      <c r="AU1606" s="6"/>
      <c r="AV1606" s="6"/>
      <c r="AW1606" s="6"/>
      <c r="AX1606" s="6"/>
      <c r="AY1606" s="6"/>
      <c r="AZ1606" s="6"/>
      <c r="BA1606" s="6"/>
      <c r="BB1606" s="6"/>
      <c r="BC1606" s="6"/>
      <c r="BD1606" s="6"/>
      <c r="BE1606" s="6"/>
      <c r="BF1606" s="6"/>
      <c r="BG1606" s="6"/>
      <c r="BH1606" s="6"/>
      <c r="BI1606" s="6"/>
      <c r="BJ1606" s="6"/>
      <c r="BK1606" s="6"/>
      <c r="BL1606" s="6"/>
      <c r="BM1606" s="5"/>
      <c r="BN1606" s="7"/>
      <c r="BO1606" s="7"/>
      <c r="BP1606" s="7"/>
    </row>
    <row r="1607" spans="1:68" s="400" customFormat="1" ht="14.25" customHeight="1" x14ac:dyDescent="0.25">
      <c r="A1607" s="5"/>
      <c r="B1607" s="5"/>
      <c r="C1607" s="5"/>
      <c r="D1607" s="5"/>
      <c r="E1607" s="5"/>
      <c r="F1607" s="5"/>
      <c r="G1607" s="5"/>
      <c r="H1607" s="5"/>
      <c r="I1607" s="5"/>
      <c r="J1607" s="5"/>
      <c r="K1607" s="5"/>
      <c r="L1607" s="5"/>
      <c r="M1607" s="5"/>
      <c r="N1607" s="5"/>
      <c r="O1607" s="5"/>
      <c r="P1607" s="5"/>
      <c r="Q1607" s="5"/>
      <c r="R1607" s="5"/>
      <c r="S1607" s="5"/>
      <c r="T1607" s="5"/>
      <c r="U1607" s="5"/>
      <c r="V1607" s="5"/>
      <c r="W1607" s="5"/>
      <c r="X1607" s="5"/>
      <c r="Y1607" s="5"/>
      <c r="Z1607" s="5"/>
      <c r="AA1607" s="5"/>
      <c r="AB1607" s="6"/>
      <c r="AC1607" s="6"/>
      <c r="AD1607" s="6"/>
      <c r="AE1607" s="6"/>
      <c r="AF1607" s="6"/>
      <c r="AG1607" s="6"/>
      <c r="AH1607" s="6"/>
      <c r="AI1607" s="6"/>
      <c r="AJ1607" s="6"/>
      <c r="AK1607" s="6"/>
      <c r="AL1607" s="6"/>
      <c r="AM1607" s="6"/>
      <c r="AN1607" s="6"/>
      <c r="AO1607" s="6"/>
      <c r="AP1607" s="6"/>
      <c r="AQ1607" s="6"/>
      <c r="AR1607" s="6"/>
      <c r="AS1607" s="6"/>
      <c r="AT1607" s="6"/>
      <c r="AU1607" s="6"/>
      <c r="AV1607" s="6"/>
      <c r="AW1607" s="6"/>
      <c r="AX1607" s="6"/>
      <c r="AY1607" s="6"/>
      <c r="AZ1607" s="6"/>
      <c r="BA1607" s="6"/>
      <c r="BB1607" s="6"/>
      <c r="BC1607" s="6"/>
      <c r="BD1607" s="6"/>
      <c r="BE1607" s="6"/>
      <c r="BF1607" s="6"/>
      <c r="BG1607" s="6"/>
      <c r="BH1607" s="6"/>
      <c r="BI1607" s="6"/>
      <c r="BJ1607" s="6"/>
      <c r="BK1607" s="6"/>
      <c r="BL1607" s="6"/>
      <c r="BM1607" s="5"/>
      <c r="BN1607" s="7"/>
      <c r="BO1607" s="7"/>
      <c r="BP1607" s="7"/>
    </row>
    <row r="1608" spans="1:68" s="400" customFormat="1" ht="14.25" customHeight="1" x14ac:dyDescent="0.25">
      <c r="A1608" s="5"/>
      <c r="B1608" s="5"/>
      <c r="C1608" s="5"/>
      <c r="D1608" s="5"/>
      <c r="E1608" s="5"/>
      <c r="F1608" s="5"/>
      <c r="G1608" s="5"/>
      <c r="H1608" s="5"/>
      <c r="I1608" s="5"/>
      <c r="J1608" s="5"/>
      <c r="K1608" s="5"/>
      <c r="L1608" s="5"/>
      <c r="M1608" s="5"/>
      <c r="N1608" s="5"/>
      <c r="O1608" s="5"/>
      <c r="P1608" s="5"/>
      <c r="Q1608" s="5"/>
      <c r="R1608" s="5"/>
      <c r="S1608" s="5"/>
      <c r="T1608" s="5"/>
      <c r="U1608" s="5"/>
      <c r="V1608" s="5"/>
      <c r="W1608" s="5"/>
      <c r="X1608" s="5"/>
      <c r="Y1608" s="5"/>
      <c r="Z1608" s="5"/>
      <c r="AA1608" s="5"/>
      <c r="AB1608" s="6"/>
      <c r="AC1608" s="6"/>
      <c r="AD1608" s="6"/>
      <c r="AE1608" s="6"/>
      <c r="AF1608" s="6"/>
      <c r="AG1608" s="6"/>
      <c r="AH1608" s="6"/>
      <c r="AI1608" s="6"/>
      <c r="AJ1608" s="6"/>
      <c r="AK1608" s="6"/>
      <c r="AL1608" s="6"/>
      <c r="AM1608" s="6"/>
      <c r="AN1608" s="6"/>
      <c r="AO1608" s="6"/>
      <c r="AP1608" s="6"/>
      <c r="AQ1608" s="6"/>
      <c r="AR1608" s="6"/>
      <c r="AS1608" s="6"/>
      <c r="AT1608" s="6"/>
      <c r="AU1608" s="6"/>
      <c r="AV1608" s="6"/>
      <c r="AW1608" s="6"/>
      <c r="AX1608" s="6"/>
      <c r="AY1608" s="6"/>
      <c r="AZ1608" s="6"/>
      <c r="BA1608" s="6"/>
      <c r="BB1608" s="6"/>
      <c r="BC1608" s="6"/>
      <c r="BD1608" s="6"/>
      <c r="BE1608" s="6"/>
      <c r="BF1608" s="6"/>
      <c r="BG1608" s="6"/>
      <c r="BH1608" s="6"/>
      <c r="BI1608" s="6"/>
      <c r="BJ1608" s="6"/>
      <c r="BK1608" s="6"/>
      <c r="BL1608" s="6"/>
      <c r="BM1608" s="5"/>
      <c r="BN1608" s="7"/>
      <c r="BO1608" s="7"/>
      <c r="BP1608" s="7"/>
    </row>
    <row r="1609" spans="1:68" s="400" customFormat="1" ht="14.25" customHeight="1" x14ac:dyDescent="0.25">
      <c r="A1609" s="5"/>
      <c r="B1609" s="5"/>
      <c r="C1609" s="5"/>
      <c r="D1609" s="5"/>
      <c r="E1609" s="5"/>
      <c r="F1609" s="5"/>
      <c r="G1609" s="5"/>
      <c r="H1609" s="5"/>
      <c r="I1609" s="5"/>
      <c r="J1609" s="5"/>
      <c r="K1609" s="5"/>
      <c r="L1609" s="5"/>
      <c r="M1609" s="5"/>
      <c r="N1609" s="5"/>
      <c r="O1609" s="5"/>
      <c r="P1609" s="5"/>
      <c r="Q1609" s="5"/>
      <c r="R1609" s="5"/>
      <c r="S1609" s="5"/>
      <c r="T1609" s="5"/>
      <c r="U1609" s="5"/>
      <c r="V1609" s="5"/>
      <c r="W1609" s="5"/>
      <c r="X1609" s="5"/>
      <c r="Y1609" s="5"/>
      <c r="Z1609" s="5"/>
      <c r="AA1609" s="5"/>
      <c r="AB1609" s="6"/>
      <c r="AC1609" s="6"/>
      <c r="AD1609" s="6"/>
      <c r="AE1609" s="6"/>
      <c r="AF1609" s="6"/>
      <c r="AG1609" s="6"/>
      <c r="AH1609" s="6"/>
      <c r="AI1609" s="6"/>
      <c r="AJ1609" s="6"/>
      <c r="AK1609" s="6"/>
      <c r="AL1609" s="6"/>
      <c r="AM1609" s="6"/>
      <c r="AN1609" s="6"/>
      <c r="AO1609" s="6"/>
      <c r="AP1609" s="6"/>
      <c r="AQ1609" s="6"/>
      <c r="AR1609" s="6"/>
      <c r="AS1609" s="6"/>
      <c r="AT1609" s="6"/>
      <c r="AU1609" s="6"/>
      <c r="AV1609" s="6"/>
      <c r="AW1609" s="6"/>
      <c r="AX1609" s="6"/>
      <c r="AY1609" s="6"/>
      <c r="AZ1609" s="6"/>
      <c r="BA1609" s="6"/>
      <c r="BB1609" s="6"/>
      <c r="BC1609" s="6"/>
      <c r="BD1609" s="6"/>
      <c r="BE1609" s="6"/>
      <c r="BF1609" s="6"/>
      <c r="BG1609" s="6"/>
      <c r="BH1609" s="6"/>
      <c r="BI1609" s="6"/>
      <c r="BJ1609" s="6"/>
      <c r="BK1609" s="6"/>
      <c r="BL1609" s="6"/>
      <c r="BM1609" s="5"/>
      <c r="BN1609" s="7"/>
      <c r="BO1609" s="7"/>
      <c r="BP1609" s="7"/>
    </row>
    <row r="1610" spans="1:68" s="400" customFormat="1" ht="14.25" customHeight="1" x14ac:dyDescent="0.25">
      <c r="A1610" s="5"/>
      <c r="B1610" s="5"/>
      <c r="C1610" s="5"/>
      <c r="D1610" s="5"/>
      <c r="E1610" s="5"/>
      <c r="F1610" s="5"/>
      <c r="G1610" s="5"/>
      <c r="H1610" s="5"/>
      <c r="I1610" s="5"/>
      <c r="J1610" s="5"/>
      <c r="K1610" s="5"/>
      <c r="L1610" s="5"/>
      <c r="M1610" s="5"/>
      <c r="N1610" s="5"/>
      <c r="O1610" s="5"/>
      <c r="P1610" s="5"/>
      <c r="Q1610" s="5"/>
      <c r="R1610" s="5"/>
      <c r="S1610" s="5"/>
      <c r="T1610" s="5"/>
      <c r="U1610" s="5"/>
      <c r="V1610" s="5"/>
      <c r="W1610" s="5"/>
      <c r="X1610" s="5"/>
      <c r="Y1610" s="5"/>
      <c r="Z1610" s="5"/>
      <c r="AA1610" s="5"/>
      <c r="AB1610" s="6"/>
      <c r="AC1610" s="6"/>
      <c r="AD1610" s="6"/>
      <c r="AE1610" s="6"/>
      <c r="AF1610" s="6"/>
      <c r="AG1610" s="6"/>
      <c r="AH1610" s="6"/>
      <c r="AI1610" s="6"/>
      <c r="AJ1610" s="6"/>
      <c r="AK1610" s="6"/>
      <c r="AL1610" s="6"/>
      <c r="AM1610" s="6"/>
      <c r="AN1610" s="6"/>
      <c r="AO1610" s="6"/>
      <c r="AP1610" s="6"/>
      <c r="AQ1610" s="6"/>
      <c r="AR1610" s="6"/>
      <c r="AS1610" s="6"/>
      <c r="AT1610" s="6"/>
      <c r="AU1610" s="6"/>
      <c r="AV1610" s="6"/>
      <c r="AW1610" s="6"/>
      <c r="AX1610" s="6"/>
      <c r="AY1610" s="6"/>
      <c r="AZ1610" s="6"/>
      <c r="BA1610" s="6"/>
      <c r="BB1610" s="6"/>
      <c r="BC1610" s="6"/>
      <c r="BD1610" s="6"/>
      <c r="BE1610" s="6"/>
      <c r="BF1610" s="6"/>
      <c r="BG1610" s="6"/>
      <c r="BH1610" s="6"/>
      <c r="BI1610" s="6"/>
      <c r="BJ1610" s="6"/>
      <c r="BK1610" s="6"/>
      <c r="BL1610" s="6"/>
      <c r="BM1610" s="5"/>
      <c r="BN1610" s="7"/>
      <c r="BO1610" s="7"/>
      <c r="BP1610" s="7"/>
    </row>
    <row r="1611" spans="1:68" s="400" customFormat="1" ht="14.25" customHeight="1" x14ac:dyDescent="0.25">
      <c r="A1611" s="5"/>
      <c r="B1611" s="5"/>
      <c r="C1611" s="5"/>
      <c r="D1611" s="5"/>
      <c r="E1611" s="5"/>
      <c r="F1611" s="5"/>
      <c r="G1611" s="5"/>
      <c r="H1611" s="5"/>
      <c r="I1611" s="5"/>
      <c r="J1611" s="5"/>
      <c r="K1611" s="5"/>
      <c r="L1611" s="5"/>
      <c r="M1611" s="5"/>
      <c r="N1611" s="5"/>
      <c r="O1611" s="5"/>
      <c r="P1611" s="5"/>
      <c r="Q1611" s="5"/>
      <c r="R1611" s="5"/>
      <c r="S1611" s="5"/>
      <c r="T1611" s="5"/>
      <c r="U1611" s="5"/>
      <c r="V1611" s="5"/>
      <c r="W1611" s="5"/>
      <c r="X1611" s="5"/>
      <c r="Y1611" s="5"/>
      <c r="Z1611" s="5"/>
      <c r="AA1611" s="5"/>
      <c r="AB1611" s="6"/>
      <c r="AC1611" s="6"/>
      <c r="AD1611" s="6"/>
      <c r="AE1611" s="6"/>
      <c r="AF1611" s="6"/>
      <c r="AG1611" s="6"/>
      <c r="AH1611" s="6"/>
      <c r="AI1611" s="6"/>
      <c r="AJ1611" s="6"/>
      <c r="AK1611" s="6"/>
      <c r="AL1611" s="6"/>
      <c r="AM1611" s="6"/>
      <c r="AN1611" s="6"/>
      <c r="AO1611" s="6"/>
      <c r="AP1611" s="6"/>
      <c r="AQ1611" s="6"/>
      <c r="AR1611" s="6"/>
      <c r="AS1611" s="6"/>
      <c r="AT1611" s="6"/>
      <c r="AU1611" s="6"/>
      <c r="AV1611" s="6"/>
      <c r="AW1611" s="6"/>
      <c r="AX1611" s="6"/>
      <c r="AY1611" s="6"/>
      <c r="AZ1611" s="6"/>
      <c r="BA1611" s="6"/>
      <c r="BB1611" s="6"/>
      <c r="BC1611" s="6"/>
      <c r="BD1611" s="6"/>
      <c r="BE1611" s="6"/>
      <c r="BF1611" s="6"/>
      <c r="BG1611" s="6"/>
      <c r="BH1611" s="6"/>
      <c r="BI1611" s="6"/>
      <c r="BJ1611" s="6"/>
      <c r="BK1611" s="6"/>
      <c r="BL1611" s="6"/>
      <c r="BM1611" s="5"/>
      <c r="BN1611" s="7"/>
      <c r="BO1611" s="7"/>
      <c r="BP1611" s="7"/>
    </row>
    <row r="1612" spans="1:68" s="400" customFormat="1" ht="14.25" customHeight="1" x14ac:dyDescent="0.25">
      <c r="A1612" s="5"/>
      <c r="B1612" s="5"/>
      <c r="C1612" s="5"/>
      <c r="D1612" s="5"/>
      <c r="E1612" s="5"/>
      <c r="F1612" s="5"/>
      <c r="G1612" s="5"/>
      <c r="H1612" s="5"/>
      <c r="I1612" s="5"/>
      <c r="J1612" s="5"/>
      <c r="K1612" s="5"/>
      <c r="L1612" s="5"/>
      <c r="M1612" s="5"/>
      <c r="N1612" s="5"/>
      <c r="O1612" s="5"/>
      <c r="P1612" s="5"/>
      <c r="Q1612" s="5"/>
      <c r="R1612" s="5"/>
      <c r="S1612" s="5"/>
      <c r="T1612" s="5"/>
      <c r="U1612" s="5"/>
      <c r="V1612" s="5"/>
      <c r="W1612" s="5"/>
      <c r="X1612" s="5"/>
      <c r="Y1612" s="5"/>
      <c r="Z1612" s="5"/>
      <c r="AA1612" s="5"/>
      <c r="AB1612" s="6"/>
      <c r="AC1612" s="6"/>
      <c r="AD1612" s="6"/>
      <c r="AE1612" s="6"/>
      <c r="AF1612" s="6"/>
      <c r="AG1612" s="6"/>
      <c r="AH1612" s="6"/>
      <c r="AI1612" s="6"/>
      <c r="AJ1612" s="6"/>
      <c r="AK1612" s="6"/>
      <c r="AL1612" s="6"/>
      <c r="AM1612" s="6"/>
      <c r="AN1612" s="6"/>
      <c r="AO1612" s="6"/>
      <c r="AP1612" s="6"/>
      <c r="AQ1612" s="6"/>
      <c r="AR1612" s="6"/>
      <c r="AS1612" s="6"/>
      <c r="AT1612" s="6"/>
      <c r="AU1612" s="6"/>
      <c r="AV1612" s="6"/>
      <c r="AW1612" s="6"/>
      <c r="AX1612" s="6"/>
      <c r="AY1612" s="6"/>
      <c r="AZ1612" s="6"/>
      <c r="BA1612" s="6"/>
      <c r="BB1612" s="6"/>
      <c r="BC1612" s="6"/>
      <c r="BD1612" s="6"/>
      <c r="BE1612" s="6"/>
      <c r="BF1612" s="6"/>
      <c r="BG1612" s="6"/>
      <c r="BH1612" s="6"/>
      <c r="BI1612" s="6"/>
      <c r="BJ1612" s="6"/>
      <c r="BK1612" s="6"/>
      <c r="BL1612" s="6"/>
      <c r="BM1612" s="5"/>
      <c r="BN1612" s="7"/>
      <c r="BO1612" s="7"/>
      <c r="BP1612" s="7"/>
    </row>
    <row r="1613" spans="1:68" s="400" customFormat="1" ht="14.25" customHeight="1" x14ac:dyDescent="0.25">
      <c r="A1613" s="5"/>
      <c r="B1613" s="5"/>
      <c r="C1613" s="5"/>
      <c r="D1613" s="5"/>
      <c r="E1613" s="5"/>
      <c r="F1613" s="5"/>
      <c r="G1613" s="5"/>
      <c r="H1613" s="5"/>
      <c r="I1613" s="5"/>
      <c r="J1613" s="5"/>
      <c r="K1613" s="5"/>
      <c r="L1613" s="5"/>
      <c r="M1613" s="5"/>
      <c r="N1613" s="5"/>
      <c r="O1613" s="5"/>
      <c r="P1613" s="5"/>
      <c r="Q1613" s="5"/>
      <c r="R1613" s="5"/>
      <c r="S1613" s="5"/>
      <c r="T1613" s="5"/>
      <c r="U1613" s="5"/>
      <c r="V1613" s="5"/>
      <c r="W1613" s="5"/>
      <c r="X1613" s="5"/>
      <c r="Y1613" s="5"/>
      <c r="Z1613" s="5"/>
      <c r="AA1613" s="5"/>
      <c r="AB1613" s="6"/>
      <c r="AC1613" s="6"/>
      <c r="AD1613" s="6"/>
      <c r="AE1613" s="6"/>
      <c r="AF1613" s="6"/>
      <c r="AG1613" s="6"/>
      <c r="AH1613" s="6"/>
      <c r="AI1613" s="6"/>
      <c r="AJ1613" s="6"/>
      <c r="AK1613" s="6"/>
      <c r="AL1613" s="6"/>
      <c r="AM1613" s="6"/>
      <c r="AN1613" s="6"/>
      <c r="AO1613" s="6"/>
      <c r="AP1613" s="6"/>
      <c r="AQ1613" s="6"/>
      <c r="AR1613" s="6"/>
      <c r="AS1613" s="6"/>
      <c r="AT1613" s="6"/>
      <c r="AU1613" s="6"/>
      <c r="AV1613" s="6"/>
      <c r="AW1613" s="6"/>
      <c r="AX1613" s="6"/>
      <c r="AY1613" s="6"/>
      <c r="AZ1613" s="6"/>
      <c r="BA1613" s="6"/>
      <c r="BB1613" s="6"/>
      <c r="BC1613" s="6"/>
      <c r="BD1613" s="6"/>
      <c r="BE1613" s="6"/>
      <c r="BF1613" s="6"/>
      <c r="BG1613" s="6"/>
      <c r="BH1613" s="6"/>
      <c r="BI1613" s="6"/>
      <c r="BJ1613" s="6"/>
      <c r="BK1613" s="6"/>
      <c r="BL1613" s="6"/>
      <c r="BM1613" s="5"/>
      <c r="BN1613" s="7"/>
      <c r="BO1613" s="7"/>
      <c r="BP1613" s="7"/>
    </row>
    <row r="1614" spans="1:68" s="400" customFormat="1" ht="14.25" customHeight="1" x14ac:dyDescent="0.25">
      <c r="A1614" s="5"/>
      <c r="B1614" s="5"/>
      <c r="C1614" s="5"/>
      <c r="D1614" s="5"/>
      <c r="E1614" s="5"/>
      <c r="F1614" s="5"/>
      <c r="G1614" s="5"/>
      <c r="H1614" s="5"/>
      <c r="I1614" s="5"/>
      <c r="J1614" s="5"/>
      <c r="K1614" s="5"/>
      <c r="L1614" s="5"/>
      <c r="M1614" s="5"/>
      <c r="N1614" s="5"/>
      <c r="O1614" s="5"/>
      <c r="P1614" s="5"/>
      <c r="Q1614" s="5"/>
      <c r="R1614" s="5"/>
      <c r="S1614" s="5"/>
      <c r="T1614" s="5"/>
      <c r="U1614" s="5"/>
      <c r="V1614" s="5"/>
      <c r="W1614" s="5"/>
      <c r="X1614" s="5"/>
      <c r="Y1614" s="5"/>
      <c r="Z1614" s="5"/>
      <c r="AA1614" s="5"/>
      <c r="AB1614" s="6"/>
      <c r="AC1614" s="6"/>
      <c r="AD1614" s="6"/>
      <c r="AE1614" s="6"/>
      <c r="AF1614" s="6"/>
      <c r="AG1614" s="6"/>
      <c r="AH1614" s="6"/>
      <c r="AI1614" s="6"/>
      <c r="AJ1614" s="6"/>
      <c r="AK1614" s="6"/>
      <c r="AL1614" s="6"/>
      <c r="AM1614" s="6"/>
      <c r="AN1614" s="6"/>
      <c r="AO1614" s="6"/>
      <c r="AP1614" s="6"/>
      <c r="AQ1614" s="6"/>
      <c r="AR1614" s="6"/>
      <c r="AS1614" s="6"/>
      <c r="AT1614" s="6"/>
      <c r="AU1614" s="6"/>
      <c r="AV1614" s="6"/>
      <c r="AW1614" s="6"/>
      <c r="AX1614" s="6"/>
      <c r="AY1614" s="6"/>
      <c r="AZ1614" s="6"/>
      <c r="BA1614" s="6"/>
      <c r="BB1614" s="6"/>
      <c r="BC1614" s="6"/>
      <c r="BD1614" s="6"/>
      <c r="BE1614" s="6"/>
      <c r="BF1614" s="6"/>
      <c r="BG1614" s="6"/>
      <c r="BH1614" s="6"/>
      <c r="BI1614" s="6"/>
      <c r="BJ1614" s="6"/>
      <c r="BK1614" s="6"/>
      <c r="BL1614" s="6"/>
      <c r="BM1614" s="5"/>
      <c r="BN1614" s="7"/>
      <c r="BO1614" s="7"/>
      <c r="BP1614" s="7"/>
    </row>
    <row r="1615" spans="1:68" s="400" customFormat="1" ht="14.25" customHeight="1" x14ac:dyDescent="0.25">
      <c r="A1615" s="5"/>
      <c r="B1615" s="5"/>
      <c r="C1615" s="5"/>
      <c r="D1615" s="5"/>
      <c r="E1615" s="5"/>
      <c r="F1615" s="5"/>
      <c r="G1615" s="5"/>
      <c r="H1615" s="5"/>
      <c r="I1615" s="5"/>
      <c r="J1615" s="5"/>
      <c r="K1615" s="5"/>
      <c r="L1615" s="5"/>
      <c r="M1615" s="5"/>
      <c r="N1615" s="5"/>
      <c r="O1615" s="5"/>
      <c r="P1615" s="5"/>
      <c r="Q1615" s="5"/>
      <c r="R1615" s="5"/>
      <c r="S1615" s="5"/>
      <c r="T1615" s="5"/>
      <c r="U1615" s="5"/>
      <c r="V1615" s="5"/>
      <c r="W1615" s="5"/>
      <c r="X1615" s="5"/>
      <c r="Y1615" s="5"/>
      <c r="Z1615" s="5"/>
      <c r="AA1615" s="5"/>
      <c r="AB1615" s="6"/>
      <c r="AC1615" s="6"/>
      <c r="AD1615" s="6"/>
      <c r="AE1615" s="6"/>
      <c r="AF1615" s="6"/>
      <c r="AG1615" s="6"/>
      <c r="AH1615" s="6"/>
      <c r="AI1615" s="6"/>
      <c r="AJ1615" s="6"/>
      <c r="AK1615" s="6"/>
      <c r="AL1615" s="6"/>
      <c r="AM1615" s="6"/>
      <c r="AN1615" s="6"/>
      <c r="AO1615" s="6"/>
      <c r="AP1615" s="6"/>
      <c r="AQ1615" s="6"/>
      <c r="AR1615" s="6"/>
      <c r="AS1615" s="6"/>
      <c r="AT1615" s="6"/>
      <c r="AU1615" s="6"/>
      <c r="AV1615" s="6"/>
      <c r="AW1615" s="6"/>
      <c r="AX1615" s="6"/>
      <c r="AY1615" s="6"/>
      <c r="AZ1615" s="6"/>
      <c r="BA1615" s="6"/>
      <c r="BB1615" s="6"/>
      <c r="BC1615" s="6"/>
      <c r="BD1615" s="6"/>
      <c r="BE1615" s="6"/>
      <c r="BF1615" s="6"/>
      <c r="BG1615" s="6"/>
      <c r="BH1615" s="6"/>
      <c r="BI1615" s="6"/>
      <c r="BJ1615" s="6"/>
      <c r="BK1615" s="6"/>
      <c r="BL1615" s="6"/>
      <c r="BM1615" s="5"/>
      <c r="BN1615" s="7"/>
      <c r="BO1615" s="7"/>
      <c r="BP1615" s="7"/>
    </row>
    <row r="1616" spans="1:68" s="400" customFormat="1" ht="14.25" customHeight="1" x14ac:dyDescent="0.25">
      <c r="A1616" s="5"/>
      <c r="B1616" s="5"/>
      <c r="C1616" s="5"/>
      <c r="D1616" s="5"/>
      <c r="E1616" s="5"/>
      <c r="F1616" s="5"/>
      <c r="G1616" s="5"/>
      <c r="H1616" s="5"/>
      <c r="I1616" s="5"/>
      <c r="J1616" s="5"/>
      <c r="K1616" s="5"/>
      <c r="L1616" s="5"/>
      <c r="M1616" s="5"/>
      <c r="N1616" s="5"/>
      <c r="O1616" s="5"/>
      <c r="P1616" s="5"/>
      <c r="Q1616" s="5"/>
      <c r="R1616" s="5"/>
      <c r="S1616" s="5"/>
      <c r="T1616" s="5"/>
      <c r="U1616" s="5"/>
      <c r="V1616" s="5"/>
      <c r="W1616" s="5"/>
      <c r="X1616" s="5"/>
      <c r="Y1616" s="5"/>
      <c r="Z1616" s="5"/>
      <c r="AA1616" s="5"/>
      <c r="AB1616" s="6"/>
      <c r="AC1616" s="6"/>
      <c r="AD1616" s="6"/>
      <c r="AE1616" s="6"/>
      <c r="AF1616" s="6"/>
      <c r="AG1616" s="6"/>
      <c r="AH1616" s="6"/>
      <c r="AI1616" s="6"/>
      <c r="AJ1616" s="6"/>
      <c r="AK1616" s="6"/>
      <c r="AL1616" s="6"/>
      <c r="AM1616" s="6"/>
      <c r="AN1616" s="6"/>
      <c r="AO1616" s="6"/>
      <c r="AP1616" s="6"/>
      <c r="AQ1616" s="6"/>
      <c r="AR1616" s="6"/>
      <c r="AS1616" s="6"/>
      <c r="AT1616" s="6"/>
      <c r="AU1616" s="6"/>
      <c r="AV1616" s="6"/>
      <c r="AW1616" s="6"/>
      <c r="AX1616" s="6"/>
      <c r="AY1616" s="6"/>
      <c r="AZ1616" s="6"/>
      <c r="BA1616" s="6"/>
      <c r="BB1616" s="6"/>
      <c r="BC1616" s="6"/>
      <c r="BD1616" s="6"/>
      <c r="BE1616" s="6"/>
      <c r="BF1616" s="6"/>
      <c r="BG1616" s="6"/>
      <c r="BH1616" s="6"/>
      <c r="BI1616" s="6"/>
      <c r="BJ1616" s="6"/>
      <c r="BK1616" s="6"/>
      <c r="BL1616" s="6"/>
      <c r="BM1616" s="5"/>
      <c r="BN1616" s="7"/>
      <c r="BO1616" s="7"/>
      <c r="BP1616" s="7"/>
    </row>
    <row r="1617" spans="1:68" s="400" customFormat="1" ht="14.25" customHeight="1" x14ac:dyDescent="0.25">
      <c r="A1617" s="5"/>
      <c r="B1617" s="5"/>
      <c r="C1617" s="5"/>
      <c r="D1617" s="5"/>
      <c r="E1617" s="5"/>
      <c r="F1617" s="5"/>
      <c r="G1617" s="5"/>
      <c r="H1617" s="5"/>
      <c r="I1617" s="5"/>
      <c r="J1617" s="5"/>
      <c r="K1617" s="5"/>
      <c r="L1617" s="5"/>
      <c r="M1617" s="5"/>
      <c r="N1617" s="5"/>
      <c r="O1617" s="5"/>
      <c r="P1617" s="5"/>
      <c r="Q1617" s="5"/>
      <c r="R1617" s="5"/>
      <c r="S1617" s="5"/>
      <c r="T1617" s="5"/>
      <c r="U1617" s="5"/>
      <c r="V1617" s="5"/>
      <c r="W1617" s="5"/>
      <c r="X1617" s="5"/>
      <c r="Y1617" s="5"/>
      <c r="Z1617" s="5"/>
      <c r="AA1617" s="5"/>
      <c r="AB1617" s="6"/>
      <c r="AC1617" s="6"/>
      <c r="AD1617" s="6"/>
      <c r="AE1617" s="6"/>
      <c r="AF1617" s="6"/>
      <c r="AG1617" s="6"/>
      <c r="AH1617" s="6"/>
      <c r="AI1617" s="6"/>
      <c r="AJ1617" s="6"/>
      <c r="AK1617" s="6"/>
      <c r="AL1617" s="6"/>
      <c r="AM1617" s="6"/>
      <c r="AN1617" s="6"/>
      <c r="AO1617" s="6"/>
      <c r="AP1617" s="6"/>
      <c r="AQ1617" s="6"/>
      <c r="AR1617" s="6"/>
      <c r="AS1617" s="6"/>
      <c r="AT1617" s="6"/>
      <c r="AU1617" s="6"/>
      <c r="AV1617" s="6"/>
      <c r="AW1617" s="6"/>
      <c r="AX1617" s="6"/>
      <c r="AY1617" s="6"/>
      <c r="AZ1617" s="6"/>
      <c r="BA1617" s="6"/>
      <c r="BB1617" s="6"/>
      <c r="BC1617" s="6"/>
      <c r="BD1617" s="6"/>
      <c r="BE1617" s="6"/>
      <c r="BF1617" s="6"/>
      <c r="BG1617" s="6"/>
      <c r="BH1617" s="6"/>
      <c r="BI1617" s="6"/>
      <c r="BJ1617" s="6"/>
      <c r="BK1617" s="6"/>
      <c r="BL1617" s="6"/>
      <c r="BM1617" s="5"/>
      <c r="BN1617" s="7"/>
      <c r="BO1617" s="7"/>
      <c r="BP1617" s="7"/>
    </row>
    <row r="1618" spans="1:68" s="400" customFormat="1" ht="14.25" customHeight="1" x14ac:dyDescent="0.25">
      <c r="A1618" s="5"/>
      <c r="B1618" s="5"/>
      <c r="C1618" s="5"/>
      <c r="D1618" s="5"/>
      <c r="E1618" s="5"/>
      <c r="F1618" s="5"/>
      <c r="G1618" s="5"/>
      <c r="H1618" s="5"/>
      <c r="I1618" s="5"/>
      <c r="J1618" s="5"/>
      <c r="K1618" s="5"/>
      <c r="L1618" s="5"/>
      <c r="M1618" s="5"/>
      <c r="N1618" s="5"/>
      <c r="O1618" s="5"/>
      <c r="P1618" s="5"/>
      <c r="Q1618" s="5"/>
      <c r="R1618" s="5"/>
      <c r="S1618" s="5"/>
      <c r="T1618" s="5"/>
      <c r="U1618" s="5"/>
      <c r="V1618" s="5"/>
      <c r="W1618" s="5"/>
      <c r="X1618" s="5"/>
      <c r="Y1618" s="5"/>
      <c r="Z1618" s="5"/>
      <c r="AA1618" s="5"/>
      <c r="AB1618" s="6"/>
      <c r="AC1618" s="6"/>
      <c r="AD1618" s="6"/>
      <c r="AE1618" s="6"/>
      <c r="AF1618" s="6"/>
      <c r="AG1618" s="6"/>
      <c r="AH1618" s="6"/>
      <c r="AI1618" s="6"/>
      <c r="AJ1618" s="6"/>
      <c r="AK1618" s="6"/>
      <c r="AL1618" s="6"/>
      <c r="AM1618" s="6"/>
      <c r="AN1618" s="6"/>
      <c r="AO1618" s="6"/>
      <c r="AP1618" s="6"/>
      <c r="AQ1618" s="6"/>
      <c r="AR1618" s="6"/>
      <c r="AS1618" s="6"/>
      <c r="AT1618" s="6"/>
      <c r="AU1618" s="6"/>
      <c r="AV1618" s="6"/>
      <c r="AW1618" s="6"/>
      <c r="AX1618" s="6"/>
      <c r="AY1618" s="6"/>
      <c r="AZ1618" s="6"/>
      <c r="BA1618" s="6"/>
      <c r="BB1618" s="6"/>
      <c r="BC1618" s="6"/>
      <c r="BD1618" s="6"/>
      <c r="BE1618" s="6"/>
      <c r="BF1618" s="6"/>
      <c r="BG1618" s="6"/>
      <c r="BH1618" s="6"/>
      <c r="BI1618" s="6"/>
      <c r="BJ1618" s="6"/>
      <c r="BK1618" s="6"/>
      <c r="BL1618" s="6"/>
      <c r="BM1618" s="5"/>
      <c r="BN1618" s="7"/>
      <c r="BO1618" s="7"/>
      <c r="BP1618" s="7"/>
    </row>
    <row r="1619" spans="1:68" s="400" customFormat="1" ht="14.25" customHeight="1" x14ac:dyDescent="0.25">
      <c r="A1619" s="5"/>
      <c r="B1619" s="5"/>
      <c r="C1619" s="5"/>
      <c r="D1619" s="5"/>
      <c r="E1619" s="5"/>
      <c r="F1619" s="5"/>
      <c r="G1619" s="5"/>
      <c r="H1619" s="5"/>
      <c r="I1619" s="5"/>
      <c r="J1619" s="5"/>
      <c r="K1619" s="5"/>
      <c r="L1619" s="5"/>
      <c r="M1619" s="5"/>
      <c r="N1619" s="5"/>
      <c r="O1619" s="5"/>
      <c r="P1619" s="5"/>
      <c r="Q1619" s="5"/>
      <c r="R1619" s="5"/>
      <c r="S1619" s="5"/>
      <c r="T1619" s="5"/>
      <c r="U1619" s="5"/>
      <c r="V1619" s="5"/>
      <c r="W1619" s="5"/>
      <c r="X1619" s="5"/>
      <c r="Y1619" s="5"/>
      <c r="Z1619" s="5"/>
      <c r="AA1619" s="5"/>
      <c r="AB1619" s="6"/>
      <c r="AC1619" s="6"/>
      <c r="AD1619" s="6"/>
      <c r="AE1619" s="6"/>
      <c r="AF1619" s="6"/>
      <c r="AG1619" s="6"/>
      <c r="AH1619" s="6"/>
      <c r="AI1619" s="6"/>
      <c r="AJ1619" s="6"/>
      <c r="AK1619" s="6"/>
      <c r="AL1619" s="6"/>
      <c r="AM1619" s="6"/>
      <c r="AN1619" s="6"/>
      <c r="AO1619" s="6"/>
      <c r="AP1619" s="6"/>
      <c r="AQ1619" s="6"/>
      <c r="AR1619" s="6"/>
      <c r="AS1619" s="6"/>
      <c r="AT1619" s="6"/>
      <c r="AU1619" s="6"/>
      <c r="AV1619" s="6"/>
      <c r="AW1619" s="6"/>
      <c r="AX1619" s="6"/>
      <c r="AY1619" s="6"/>
      <c r="AZ1619" s="6"/>
      <c r="BA1619" s="6"/>
      <c r="BB1619" s="6"/>
      <c r="BC1619" s="6"/>
      <c r="BD1619" s="6"/>
      <c r="BE1619" s="6"/>
      <c r="BF1619" s="6"/>
      <c r="BG1619" s="6"/>
      <c r="BH1619" s="6"/>
      <c r="BI1619" s="6"/>
      <c r="BJ1619" s="6"/>
      <c r="BK1619" s="6"/>
      <c r="BL1619" s="6"/>
      <c r="BM1619" s="5"/>
      <c r="BN1619" s="7"/>
      <c r="BO1619" s="7"/>
      <c r="BP1619" s="7"/>
    </row>
    <row r="1620" spans="1:68" s="400" customFormat="1" ht="14.25" customHeight="1" x14ac:dyDescent="0.25">
      <c r="A1620" s="5"/>
      <c r="B1620" s="5"/>
      <c r="C1620" s="5"/>
      <c r="D1620" s="5"/>
      <c r="E1620" s="5"/>
      <c r="F1620" s="5"/>
      <c r="G1620" s="5"/>
      <c r="H1620" s="5"/>
      <c r="I1620" s="5"/>
      <c r="J1620" s="5"/>
      <c r="K1620" s="5"/>
      <c r="L1620" s="5"/>
      <c r="M1620" s="5"/>
      <c r="N1620" s="5"/>
      <c r="O1620" s="5"/>
      <c r="P1620" s="5"/>
      <c r="Q1620" s="5"/>
      <c r="R1620" s="5"/>
      <c r="S1620" s="5"/>
      <c r="T1620" s="5"/>
      <c r="U1620" s="5"/>
      <c r="V1620" s="5"/>
      <c r="W1620" s="5"/>
      <c r="X1620" s="5"/>
      <c r="Y1620" s="5"/>
      <c r="Z1620" s="5"/>
      <c r="AA1620" s="5"/>
      <c r="AB1620" s="6"/>
      <c r="AC1620" s="6"/>
      <c r="AD1620" s="6"/>
      <c r="AE1620" s="6"/>
      <c r="AF1620" s="6"/>
      <c r="AG1620" s="6"/>
      <c r="AH1620" s="6"/>
      <c r="AI1620" s="6"/>
      <c r="AJ1620" s="6"/>
      <c r="AK1620" s="6"/>
      <c r="AL1620" s="6"/>
      <c r="AM1620" s="6"/>
      <c r="AN1620" s="6"/>
      <c r="AO1620" s="6"/>
      <c r="AP1620" s="6"/>
      <c r="AQ1620" s="6"/>
      <c r="AR1620" s="6"/>
      <c r="AS1620" s="6"/>
      <c r="AT1620" s="6"/>
      <c r="AU1620" s="6"/>
      <c r="AV1620" s="6"/>
      <c r="AW1620" s="6"/>
      <c r="AX1620" s="6"/>
      <c r="AY1620" s="6"/>
      <c r="AZ1620" s="6"/>
      <c r="BA1620" s="6"/>
      <c r="BB1620" s="6"/>
      <c r="BC1620" s="6"/>
      <c r="BD1620" s="6"/>
      <c r="BE1620" s="6"/>
      <c r="BF1620" s="6"/>
      <c r="BG1620" s="6"/>
      <c r="BH1620" s="6"/>
      <c r="BI1620" s="6"/>
      <c r="BJ1620" s="6"/>
      <c r="BK1620" s="6"/>
      <c r="BL1620" s="6"/>
      <c r="BM1620" s="5"/>
      <c r="BN1620" s="7"/>
      <c r="BO1620" s="7"/>
      <c r="BP1620" s="7"/>
    </row>
    <row r="1621" spans="1:68" s="400" customFormat="1" ht="14.25" customHeight="1" x14ac:dyDescent="0.25">
      <c r="A1621" s="5"/>
      <c r="B1621" s="5"/>
      <c r="C1621" s="5"/>
      <c r="D1621" s="5"/>
      <c r="E1621" s="5"/>
      <c r="F1621" s="5"/>
      <c r="G1621" s="5"/>
      <c r="H1621" s="5"/>
      <c r="I1621" s="5"/>
      <c r="J1621" s="5"/>
      <c r="K1621" s="5"/>
      <c r="L1621" s="5"/>
      <c r="M1621" s="5"/>
      <c r="N1621" s="5"/>
      <c r="O1621" s="5"/>
      <c r="P1621" s="5"/>
      <c r="Q1621" s="5"/>
      <c r="R1621" s="5"/>
      <c r="S1621" s="5"/>
      <c r="T1621" s="5"/>
      <c r="U1621" s="5"/>
      <c r="V1621" s="5"/>
      <c r="W1621" s="5"/>
      <c r="X1621" s="5"/>
      <c r="Y1621" s="5"/>
      <c r="Z1621" s="5"/>
      <c r="AA1621" s="5"/>
      <c r="AB1621" s="6"/>
      <c r="AC1621" s="6"/>
      <c r="AD1621" s="6"/>
      <c r="AE1621" s="6"/>
      <c r="AF1621" s="6"/>
      <c r="AG1621" s="6"/>
      <c r="AH1621" s="6"/>
      <c r="AI1621" s="6"/>
      <c r="AJ1621" s="6"/>
      <c r="AK1621" s="6"/>
      <c r="AL1621" s="6"/>
      <c r="AM1621" s="6"/>
      <c r="AN1621" s="6"/>
      <c r="AO1621" s="6"/>
      <c r="AP1621" s="6"/>
      <c r="AQ1621" s="6"/>
      <c r="AR1621" s="6"/>
      <c r="AS1621" s="6"/>
      <c r="AT1621" s="6"/>
      <c r="AU1621" s="6"/>
      <c r="AV1621" s="6"/>
      <c r="AW1621" s="6"/>
      <c r="AX1621" s="6"/>
      <c r="AY1621" s="6"/>
      <c r="AZ1621" s="6"/>
      <c r="BA1621" s="6"/>
      <c r="BB1621" s="6"/>
      <c r="BC1621" s="6"/>
      <c r="BD1621" s="6"/>
      <c r="BE1621" s="6"/>
      <c r="BF1621" s="6"/>
      <c r="BG1621" s="6"/>
      <c r="BH1621" s="6"/>
      <c r="BI1621" s="6"/>
      <c r="BJ1621" s="6"/>
      <c r="BK1621" s="6"/>
      <c r="BL1621" s="6"/>
      <c r="BM1621" s="5"/>
      <c r="BN1621" s="7"/>
      <c r="BO1621" s="7"/>
      <c r="BP1621" s="7"/>
    </row>
    <row r="1622" spans="1:68" s="400" customFormat="1" ht="14.25" customHeight="1" x14ac:dyDescent="0.25">
      <c r="A1622" s="5"/>
      <c r="B1622" s="5"/>
      <c r="C1622" s="5"/>
      <c r="D1622" s="5"/>
      <c r="E1622" s="5"/>
      <c r="F1622" s="5"/>
      <c r="G1622" s="5"/>
      <c r="H1622" s="5"/>
      <c r="I1622" s="5"/>
      <c r="J1622" s="5"/>
      <c r="K1622" s="5"/>
      <c r="L1622" s="5"/>
      <c r="M1622" s="5"/>
      <c r="N1622" s="5"/>
      <c r="O1622" s="5"/>
      <c r="P1622" s="5"/>
      <c r="Q1622" s="5"/>
      <c r="R1622" s="5"/>
      <c r="S1622" s="5"/>
      <c r="T1622" s="5"/>
      <c r="U1622" s="5"/>
      <c r="V1622" s="5"/>
      <c r="W1622" s="5"/>
      <c r="X1622" s="5"/>
      <c r="Y1622" s="5"/>
      <c r="Z1622" s="5"/>
      <c r="AA1622" s="5"/>
      <c r="AB1622" s="6"/>
      <c r="AC1622" s="6"/>
      <c r="AD1622" s="6"/>
      <c r="AE1622" s="6"/>
      <c r="AF1622" s="6"/>
      <c r="AG1622" s="6"/>
      <c r="AH1622" s="6"/>
      <c r="AI1622" s="6"/>
      <c r="AJ1622" s="6"/>
      <c r="AK1622" s="6"/>
      <c r="AL1622" s="6"/>
      <c r="AM1622" s="6"/>
      <c r="AN1622" s="6"/>
      <c r="AO1622" s="6"/>
      <c r="AP1622" s="6"/>
      <c r="AQ1622" s="6"/>
      <c r="AR1622" s="6"/>
      <c r="AS1622" s="6"/>
      <c r="AT1622" s="6"/>
      <c r="AU1622" s="6"/>
      <c r="AV1622" s="6"/>
      <c r="AW1622" s="6"/>
      <c r="AX1622" s="6"/>
      <c r="AY1622" s="6"/>
      <c r="AZ1622" s="6"/>
      <c r="BA1622" s="6"/>
      <c r="BB1622" s="6"/>
      <c r="BC1622" s="6"/>
      <c r="BD1622" s="6"/>
      <c r="BE1622" s="6"/>
      <c r="BF1622" s="6"/>
      <c r="BG1622" s="6"/>
      <c r="BH1622" s="6"/>
      <c r="BI1622" s="6"/>
      <c r="BJ1622" s="6"/>
      <c r="BK1622" s="6"/>
      <c r="BL1622" s="6"/>
      <c r="BM1622" s="5"/>
      <c r="BN1622" s="7"/>
      <c r="BO1622" s="7"/>
      <c r="BP1622" s="7"/>
    </row>
    <row r="1623" spans="1:68" s="400" customFormat="1" ht="14.25" customHeight="1" x14ac:dyDescent="0.25">
      <c r="A1623" s="5"/>
      <c r="B1623" s="5"/>
      <c r="C1623" s="5"/>
      <c r="D1623" s="5"/>
      <c r="E1623" s="5"/>
      <c r="F1623" s="5"/>
      <c r="G1623" s="5"/>
      <c r="H1623" s="5"/>
      <c r="I1623" s="5"/>
      <c r="J1623" s="5"/>
      <c r="K1623" s="5"/>
      <c r="L1623" s="5"/>
      <c r="M1623" s="5"/>
      <c r="N1623" s="5"/>
      <c r="O1623" s="5"/>
      <c r="P1623" s="5"/>
      <c r="Q1623" s="5"/>
      <c r="R1623" s="5"/>
      <c r="S1623" s="5"/>
      <c r="T1623" s="5"/>
      <c r="U1623" s="5"/>
      <c r="V1623" s="5"/>
      <c r="W1623" s="5"/>
      <c r="X1623" s="5"/>
      <c r="Y1623" s="5"/>
      <c r="Z1623" s="5"/>
      <c r="AA1623" s="5"/>
      <c r="AB1623" s="6"/>
      <c r="AC1623" s="6"/>
      <c r="AD1623" s="6"/>
      <c r="AE1623" s="6"/>
      <c r="AF1623" s="6"/>
      <c r="AG1623" s="6"/>
      <c r="AH1623" s="6"/>
      <c r="AI1623" s="6"/>
      <c r="AJ1623" s="6"/>
      <c r="AK1623" s="6"/>
      <c r="AL1623" s="6"/>
      <c r="AM1623" s="6"/>
      <c r="AN1623" s="6"/>
      <c r="AO1623" s="6"/>
      <c r="AP1623" s="6"/>
      <c r="AQ1623" s="6"/>
      <c r="AR1623" s="6"/>
      <c r="AS1623" s="6"/>
      <c r="AT1623" s="6"/>
      <c r="AU1623" s="6"/>
      <c r="AV1623" s="6"/>
      <c r="AW1623" s="6"/>
      <c r="AX1623" s="6"/>
      <c r="AY1623" s="6"/>
      <c r="AZ1623" s="6"/>
      <c r="BA1623" s="6"/>
      <c r="BB1623" s="6"/>
      <c r="BC1623" s="6"/>
      <c r="BD1623" s="6"/>
      <c r="BE1623" s="6"/>
      <c r="BF1623" s="6"/>
      <c r="BG1623" s="6"/>
      <c r="BH1623" s="6"/>
      <c r="BI1623" s="6"/>
      <c r="BJ1623" s="6"/>
      <c r="BK1623" s="6"/>
      <c r="BL1623" s="6"/>
      <c r="BM1623" s="5"/>
      <c r="BN1623" s="7"/>
      <c r="BO1623" s="7"/>
      <c r="BP1623" s="7"/>
    </row>
    <row r="1624" spans="1:68" s="400" customFormat="1" ht="14.25" customHeight="1" x14ac:dyDescent="0.25">
      <c r="A1624" s="5"/>
      <c r="B1624" s="5"/>
      <c r="C1624" s="5"/>
      <c r="D1624" s="5"/>
      <c r="E1624" s="5"/>
      <c r="F1624" s="5"/>
      <c r="G1624" s="5"/>
      <c r="H1624" s="5"/>
      <c r="I1624" s="5"/>
      <c r="J1624" s="5"/>
      <c r="K1624" s="5"/>
      <c r="L1624" s="5"/>
      <c r="M1624" s="5"/>
      <c r="N1624" s="5"/>
      <c r="O1624" s="5"/>
      <c r="P1624" s="5"/>
      <c r="Q1624" s="5"/>
      <c r="R1624" s="5"/>
      <c r="S1624" s="5"/>
      <c r="T1624" s="5"/>
      <c r="U1624" s="5"/>
      <c r="V1624" s="5"/>
      <c r="W1624" s="5"/>
      <c r="X1624" s="5"/>
      <c r="Y1624" s="5"/>
      <c r="Z1624" s="5"/>
      <c r="AA1624" s="5"/>
      <c r="AB1624" s="6"/>
      <c r="AC1624" s="6"/>
      <c r="AD1624" s="6"/>
      <c r="AE1624" s="6"/>
      <c r="AF1624" s="6"/>
      <c r="AG1624" s="6"/>
      <c r="AH1624" s="6"/>
      <c r="AI1624" s="6"/>
      <c r="AJ1624" s="6"/>
      <c r="AK1624" s="6"/>
      <c r="AL1624" s="6"/>
      <c r="AM1624" s="6"/>
      <c r="AN1624" s="6"/>
      <c r="AO1624" s="6"/>
      <c r="AP1624" s="6"/>
      <c r="AQ1624" s="6"/>
      <c r="AR1624" s="6"/>
      <c r="AS1624" s="6"/>
      <c r="AT1624" s="6"/>
      <c r="AU1624" s="6"/>
      <c r="AV1624" s="6"/>
      <c r="AW1624" s="6"/>
      <c r="AX1624" s="6"/>
      <c r="AY1624" s="6"/>
      <c r="AZ1624" s="6"/>
      <c r="BA1624" s="6"/>
      <c r="BB1624" s="6"/>
      <c r="BC1624" s="6"/>
      <c r="BD1624" s="6"/>
      <c r="BE1624" s="6"/>
      <c r="BF1624" s="6"/>
      <c r="BG1624" s="6"/>
      <c r="BH1624" s="6"/>
      <c r="BI1624" s="6"/>
      <c r="BJ1624" s="6"/>
      <c r="BK1624" s="6"/>
      <c r="BL1624" s="6"/>
      <c r="BM1624" s="5"/>
      <c r="BN1624" s="7"/>
      <c r="BO1624" s="7"/>
      <c r="BP1624" s="7"/>
    </row>
    <row r="1625" spans="1:68" s="400" customFormat="1" ht="14.25" customHeight="1" x14ac:dyDescent="0.25">
      <c r="A1625" s="5"/>
      <c r="B1625" s="5"/>
      <c r="C1625" s="5"/>
      <c r="D1625" s="5"/>
      <c r="E1625" s="5"/>
      <c r="F1625" s="5"/>
      <c r="G1625" s="5"/>
      <c r="H1625" s="5"/>
      <c r="I1625" s="5"/>
      <c r="J1625" s="5"/>
      <c r="K1625" s="5"/>
      <c r="L1625" s="5"/>
      <c r="M1625" s="5"/>
      <c r="N1625" s="5"/>
      <c r="O1625" s="5"/>
      <c r="P1625" s="5"/>
      <c r="Q1625" s="5"/>
      <c r="R1625" s="5"/>
      <c r="S1625" s="5"/>
      <c r="T1625" s="5"/>
      <c r="U1625" s="5"/>
      <c r="V1625" s="5"/>
      <c r="W1625" s="5"/>
      <c r="X1625" s="5"/>
      <c r="Y1625" s="5"/>
      <c r="Z1625" s="5"/>
      <c r="AA1625" s="5"/>
      <c r="AB1625" s="6"/>
      <c r="AC1625" s="6"/>
      <c r="AD1625" s="6"/>
      <c r="AE1625" s="6"/>
      <c r="AF1625" s="6"/>
      <c r="AG1625" s="6"/>
      <c r="AH1625" s="6"/>
      <c r="AI1625" s="6"/>
      <c r="AJ1625" s="6"/>
      <c r="AK1625" s="6"/>
      <c r="AL1625" s="6"/>
      <c r="AM1625" s="6"/>
      <c r="AN1625" s="6"/>
      <c r="AO1625" s="6"/>
      <c r="AP1625" s="6"/>
      <c r="AQ1625" s="6"/>
      <c r="AR1625" s="6"/>
      <c r="AS1625" s="6"/>
      <c r="AT1625" s="6"/>
      <c r="AU1625" s="6"/>
      <c r="AV1625" s="6"/>
      <c r="AW1625" s="6"/>
      <c r="AX1625" s="6"/>
      <c r="AY1625" s="6"/>
      <c r="AZ1625" s="6"/>
      <c r="BA1625" s="6"/>
      <c r="BB1625" s="6"/>
      <c r="BC1625" s="6"/>
      <c r="BD1625" s="6"/>
      <c r="BE1625" s="6"/>
      <c r="BF1625" s="6"/>
      <c r="BG1625" s="6"/>
      <c r="BH1625" s="6"/>
      <c r="BI1625" s="6"/>
      <c r="BJ1625" s="6"/>
      <c r="BK1625" s="6"/>
      <c r="BL1625" s="6"/>
      <c r="BM1625" s="5"/>
      <c r="BN1625" s="7"/>
      <c r="BO1625" s="7"/>
      <c r="BP1625" s="7"/>
    </row>
    <row r="1626" spans="1:68" s="400" customFormat="1" ht="14.25" customHeight="1" x14ac:dyDescent="0.25">
      <c r="A1626" s="5"/>
      <c r="B1626" s="5"/>
      <c r="C1626" s="5"/>
      <c r="D1626" s="5"/>
      <c r="E1626" s="5"/>
      <c r="F1626" s="5"/>
      <c r="G1626" s="5"/>
      <c r="H1626" s="5"/>
      <c r="I1626" s="5"/>
      <c r="J1626" s="5"/>
      <c r="K1626" s="5"/>
      <c r="L1626" s="5"/>
      <c r="M1626" s="5"/>
      <c r="N1626" s="5"/>
      <c r="O1626" s="5"/>
      <c r="P1626" s="5"/>
      <c r="Q1626" s="5"/>
      <c r="R1626" s="5"/>
      <c r="S1626" s="5"/>
      <c r="T1626" s="5"/>
      <c r="U1626" s="5"/>
      <c r="V1626" s="5"/>
      <c r="W1626" s="5"/>
      <c r="X1626" s="5"/>
      <c r="Y1626" s="5"/>
      <c r="Z1626" s="5"/>
      <c r="AA1626" s="5"/>
      <c r="AB1626" s="6"/>
      <c r="AC1626" s="6"/>
      <c r="AD1626" s="6"/>
      <c r="AE1626" s="6"/>
      <c r="AF1626" s="6"/>
      <c r="AG1626" s="6"/>
      <c r="AH1626" s="6"/>
      <c r="AI1626" s="6"/>
      <c r="AJ1626" s="6"/>
      <c r="AK1626" s="6"/>
      <c r="AL1626" s="6"/>
      <c r="AM1626" s="6"/>
      <c r="AN1626" s="6"/>
      <c r="AO1626" s="6"/>
      <c r="AP1626" s="6"/>
      <c r="AQ1626" s="6"/>
      <c r="AR1626" s="6"/>
      <c r="AS1626" s="6"/>
      <c r="AT1626" s="6"/>
      <c r="AU1626" s="6"/>
      <c r="AV1626" s="6"/>
      <c r="AW1626" s="6"/>
      <c r="AX1626" s="6"/>
      <c r="AY1626" s="6"/>
      <c r="AZ1626" s="6"/>
      <c r="BA1626" s="6"/>
      <c r="BB1626" s="6"/>
      <c r="BC1626" s="6"/>
      <c r="BD1626" s="6"/>
      <c r="BE1626" s="6"/>
      <c r="BF1626" s="6"/>
      <c r="BG1626" s="6"/>
      <c r="BH1626" s="6"/>
      <c r="BI1626" s="6"/>
      <c r="BJ1626" s="6"/>
      <c r="BK1626" s="6"/>
      <c r="BL1626" s="6"/>
      <c r="BM1626" s="5"/>
      <c r="BN1626" s="7"/>
      <c r="BO1626" s="7"/>
      <c r="BP1626" s="7"/>
    </row>
    <row r="1627" spans="1:68" s="400" customFormat="1" ht="14.25" customHeight="1" x14ac:dyDescent="0.25">
      <c r="A1627" s="5"/>
      <c r="B1627" s="5"/>
      <c r="C1627" s="5"/>
      <c r="D1627" s="5"/>
      <c r="E1627" s="5"/>
      <c r="F1627" s="5"/>
      <c r="G1627" s="5"/>
      <c r="H1627" s="5"/>
      <c r="I1627" s="5"/>
      <c r="J1627" s="5"/>
      <c r="K1627" s="5"/>
      <c r="L1627" s="5"/>
      <c r="M1627" s="5"/>
      <c r="N1627" s="5"/>
      <c r="O1627" s="5"/>
      <c r="P1627" s="5"/>
      <c r="Q1627" s="5"/>
      <c r="R1627" s="5"/>
      <c r="S1627" s="5"/>
      <c r="T1627" s="5"/>
      <c r="U1627" s="5"/>
      <c r="V1627" s="5"/>
      <c r="W1627" s="5"/>
      <c r="X1627" s="5"/>
      <c r="Y1627" s="5"/>
      <c r="Z1627" s="5"/>
      <c r="AA1627" s="5"/>
      <c r="AB1627" s="6"/>
      <c r="AC1627" s="6"/>
      <c r="AD1627" s="6"/>
      <c r="AE1627" s="6"/>
      <c r="AF1627" s="6"/>
      <c r="AG1627" s="6"/>
      <c r="AH1627" s="6"/>
      <c r="AI1627" s="6"/>
      <c r="AJ1627" s="6"/>
      <c r="AK1627" s="6"/>
      <c r="AL1627" s="6"/>
      <c r="AM1627" s="6"/>
      <c r="AN1627" s="6"/>
      <c r="AO1627" s="6"/>
      <c r="AP1627" s="6"/>
      <c r="AQ1627" s="6"/>
      <c r="AR1627" s="6"/>
      <c r="AS1627" s="6"/>
      <c r="AT1627" s="6"/>
      <c r="AU1627" s="6"/>
      <c r="AV1627" s="6"/>
      <c r="AW1627" s="6"/>
      <c r="AX1627" s="6"/>
      <c r="AY1627" s="6"/>
      <c r="AZ1627" s="6"/>
      <c r="BA1627" s="6"/>
      <c r="BB1627" s="6"/>
      <c r="BC1627" s="6"/>
      <c r="BD1627" s="6"/>
      <c r="BE1627" s="6"/>
      <c r="BF1627" s="6"/>
      <c r="BG1627" s="6"/>
      <c r="BH1627" s="6"/>
      <c r="BI1627" s="6"/>
      <c r="BJ1627" s="6"/>
      <c r="BK1627" s="6"/>
      <c r="BL1627" s="6"/>
      <c r="BM1627" s="5"/>
      <c r="BN1627" s="7"/>
      <c r="BO1627" s="7"/>
      <c r="BP1627" s="7"/>
    </row>
    <row r="1628" spans="1:68" s="400" customFormat="1" ht="14.25" customHeight="1" x14ac:dyDescent="0.25">
      <c r="A1628" s="5"/>
      <c r="B1628" s="5"/>
      <c r="C1628" s="5"/>
      <c r="D1628" s="5"/>
      <c r="E1628" s="5"/>
      <c r="F1628" s="5"/>
      <c r="G1628" s="5"/>
      <c r="H1628" s="5"/>
      <c r="I1628" s="5"/>
      <c r="J1628" s="5"/>
      <c r="K1628" s="5"/>
      <c r="L1628" s="5"/>
      <c r="M1628" s="5"/>
      <c r="N1628" s="5"/>
      <c r="O1628" s="5"/>
      <c r="P1628" s="5"/>
      <c r="Q1628" s="5"/>
      <c r="R1628" s="5"/>
      <c r="S1628" s="5"/>
      <c r="T1628" s="5"/>
      <c r="U1628" s="5"/>
      <c r="V1628" s="5"/>
      <c r="W1628" s="5"/>
      <c r="X1628" s="5"/>
      <c r="Y1628" s="5"/>
      <c r="Z1628" s="5"/>
      <c r="AA1628" s="5"/>
      <c r="AB1628" s="6"/>
      <c r="AC1628" s="6"/>
      <c r="AD1628" s="6"/>
      <c r="AE1628" s="6"/>
      <c r="AF1628" s="6"/>
      <c r="AG1628" s="6"/>
      <c r="AH1628" s="6"/>
      <c r="AI1628" s="6"/>
      <c r="AJ1628" s="6"/>
      <c r="AK1628" s="6"/>
      <c r="AL1628" s="6"/>
      <c r="AM1628" s="6"/>
      <c r="AN1628" s="6"/>
      <c r="AO1628" s="6"/>
      <c r="AP1628" s="6"/>
      <c r="AQ1628" s="6"/>
      <c r="AR1628" s="6"/>
      <c r="AS1628" s="6"/>
      <c r="AT1628" s="6"/>
      <c r="AU1628" s="6"/>
      <c r="AV1628" s="6"/>
      <c r="AW1628" s="6"/>
      <c r="AX1628" s="6"/>
      <c r="AY1628" s="6"/>
      <c r="AZ1628" s="6"/>
      <c r="BA1628" s="6"/>
      <c r="BB1628" s="6"/>
      <c r="BC1628" s="6"/>
      <c r="BD1628" s="6"/>
      <c r="BE1628" s="6"/>
      <c r="BF1628" s="6"/>
      <c r="BG1628" s="6"/>
      <c r="BH1628" s="6"/>
      <c r="BI1628" s="6"/>
      <c r="BJ1628" s="6"/>
      <c r="BK1628" s="6"/>
      <c r="BL1628" s="6"/>
      <c r="BM1628" s="5"/>
      <c r="BN1628" s="7"/>
      <c r="BO1628" s="7"/>
      <c r="BP1628" s="7"/>
    </row>
    <row r="1629" spans="1:68" s="400" customFormat="1" ht="14.25" customHeight="1" x14ac:dyDescent="0.25">
      <c r="A1629" s="5"/>
      <c r="B1629" s="5"/>
      <c r="C1629" s="5"/>
      <c r="D1629" s="5"/>
      <c r="E1629" s="5"/>
      <c r="F1629" s="5"/>
      <c r="G1629" s="5"/>
      <c r="H1629" s="5"/>
      <c r="I1629" s="5"/>
      <c r="J1629" s="5"/>
      <c r="K1629" s="5"/>
      <c r="L1629" s="5"/>
      <c r="M1629" s="5"/>
      <c r="N1629" s="5"/>
      <c r="O1629" s="5"/>
      <c r="P1629" s="5"/>
      <c r="Q1629" s="5"/>
      <c r="R1629" s="5"/>
      <c r="S1629" s="5"/>
      <c r="T1629" s="5"/>
      <c r="U1629" s="5"/>
      <c r="V1629" s="5"/>
      <c r="W1629" s="5"/>
      <c r="X1629" s="5"/>
      <c r="Y1629" s="5"/>
      <c r="Z1629" s="5"/>
      <c r="AA1629" s="5"/>
      <c r="AB1629" s="6"/>
      <c r="AC1629" s="6"/>
      <c r="AD1629" s="6"/>
      <c r="AE1629" s="6"/>
      <c r="AF1629" s="6"/>
      <c r="AG1629" s="6"/>
      <c r="AH1629" s="6"/>
      <c r="AI1629" s="6"/>
      <c r="AJ1629" s="6"/>
      <c r="AK1629" s="6"/>
      <c r="AL1629" s="6"/>
      <c r="AM1629" s="6"/>
      <c r="AN1629" s="6"/>
      <c r="AO1629" s="6"/>
      <c r="AP1629" s="6"/>
      <c r="AQ1629" s="6"/>
      <c r="AR1629" s="6"/>
      <c r="AS1629" s="6"/>
      <c r="AT1629" s="6"/>
      <c r="AU1629" s="6"/>
      <c r="AV1629" s="6"/>
      <c r="AW1629" s="6"/>
      <c r="AX1629" s="6"/>
      <c r="AY1629" s="6"/>
      <c r="AZ1629" s="6"/>
      <c r="BA1629" s="6"/>
      <c r="BB1629" s="6"/>
      <c r="BC1629" s="6"/>
      <c r="BD1629" s="6"/>
      <c r="BE1629" s="6"/>
      <c r="BF1629" s="6"/>
      <c r="BG1629" s="6"/>
      <c r="BH1629" s="6"/>
      <c r="BI1629" s="6"/>
      <c r="BJ1629" s="6"/>
      <c r="BK1629" s="6"/>
      <c r="BL1629" s="6"/>
      <c r="BM1629" s="5"/>
      <c r="BN1629" s="7"/>
      <c r="BO1629" s="7"/>
      <c r="BP1629" s="7"/>
    </row>
    <row r="1630" spans="1:68" s="400" customFormat="1" ht="14.25" customHeight="1" x14ac:dyDescent="0.25">
      <c r="A1630" s="5"/>
      <c r="B1630" s="5"/>
      <c r="C1630" s="5"/>
      <c r="D1630" s="5"/>
      <c r="E1630" s="5"/>
      <c r="F1630" s="5"/>
      <c r="G1630" s="5"/>
      <c r="H1630" s="5"/>
      <c r="I1630" s="5"/>
      <c r="J1630" s="5"/>
      <c r="K1630" s="5"/>
      <c r="L1630" s="5"/>
      <c r="M1630" s="5"/>
      <c r="N1630" s="5"/>
      <c r="O1630" s="5"/>
      <c r="P1630" s="5"/>
      <c r="Q1630" s="5"/>
      <c r="R1630" s="5"/>
      <c r="S1630" s="5"/>
      <c r="T1630" s="5"/>
      <c r="U1630" s="5"/>
      <c r="V1630" s="5"/>
      <c r="W1630" s="5"/>
      <c r="X1630" s="5"/>
      <c r="Y1630" s="5"/>
      <c r="Z1630" s="5"/>
      <c r="AA1630" s="5"/>
      <c r="AB1630" s="6"/>
      <c r="AC1630" s="6"/>
      <c r="AD1630" s="6"/>
      <c r="AE1630" s="6"/>
      <c r="AF1630" s="6"/>
      <c r="AG1630" s="6"/>
      <c r="AH1630" s="6"/>
      <c r="AI1630" s="6"/>
      <c r="AJ1630" s="6"/>
      <c r="AK1630" s="6"/>
      <c r="AL1630" s="6"/>
      <c r="AM1630" s="6"/>
      <c r="AN1630" s="6"/>
      <c r="AO1630" s="6"/>
      <c r="AP1630" s="6"/>
      <c r="AQ1630" s="6"/>
      <c r="AR1630" s="6"/>
      <c r="AS1630" s="6"/>
      <c r="AT1630" s="6"/>
      <c r="AU1630" s="6"/>
      <c r="AV1630" s="6"/>
      <c r="AW1630" s="6"/>
      <c r="AX1630" s="6"/>
      <c r="AY1630" s="6"/>
      <c r="AZ1630" s="6"/>
      <c r="BA1630" s="6"/>
      <c r="BB1630" s="6"/>
      <c r="BC1630" s="6"/>
      <c r="BD1630" s="6"/>
      <c r="BE1630" s="6"/>
      <c r="BF1630" s="6"/>
      <c r="BG1630" s="6"/>
      <c r="BH1630" s="6"/>
      <c r="BI1630" s="6"/>
      <c r="BJ1630" s="6"/>
      <c r="BK1630" s="6"/>
      <c r="BL1630" s="6"/>
      <c r="BM1630" s="5"/>
      <c r="BN1630" s="7"/>
      <c r="BO1630" s="7"/>
      <c r="BP1630" s="7"/>
    </row>
    <row r="1631" spans="1:68" s="400" customFormat="1" ht="14.25" customHeight="1" x14ac:dyDescent="0.25">
      <c r="A1631" s="5"/>
      <c r="B1631" s="5"/>
      <c r="C1631" s="5"/>
      <c r="D1631" s="5"/>
      <c r="E1631" s="5"/>
      <c r="F1631" s="5"/>
      <c r="G1631" s="5"/>
      <c r="H1631" s="5"/>
      <c r="I1631" s="5"/>
      <c r="J1631" s="5"/>
      <c r="K1631" s="5"/>
      <c r="L1631" s="5"/>
      <c r="M1631" s="5"/>
      <c r="N1631" s="5"/>
      <c r="O1631" s="5"/>
      <c r="P1631" s="5"/>
      <c r="Q1631" s="5"/>
      <c r="R1631" s="5"/>
      <c r="S1631" s="5"/>
      <c r="T1631" s="5"/>
      <c r="U1631" s="5"/>
      <c r="V1631" s="5"/>
      <c r="W1631" s="5"/>
      <c r="X1631" s="5"/>
      <c r="Y1631" s="5"/>
      <c r="Z1631" s="5"/>
      <c r="AA1631" s="5"/>
      <c r="AB1631" s="6"/>
      <c r="AC1631" s="6"/>
      <c r="AD1631" s="6"/>
      <c r="AE1631" s="6"/>
      <c r="AF1631" s="6"/>
      <c r="AG1631" s="6"/>
      <c r="AH1631" s="6"/>
      <c r="AI1631" s="6"/>
      <c r="AJ1631" s="6"/>
      <c r="AK1631" s="6"/>
      <c r="AL1631" s="6"/>
      <c r="AM1631" s="6"/>
      <c r="AN1631" s="6"/>
      <c r="AO1631" s="6"/>
      <c r="AP1631" s="6"/>
      <c r="AQ1631" s="6"/>
      <c r="AR1631" s="6"/>
      <c r="AS1631" s="6"/>
      <c r="AT1631" s="6"/>
      <c r="AU1631" s="6"/>
      <c r="AV1631" s="6"/>
      <c r="AW1631" s="6"/>
      <c r="AX1631" s="6"/>
      <c r="AY1631" s="6"/>
      <c r="AZ1631" s="6"/>
      <c r="BA1631" s="6"/>
      <c r="BB1631" s="6"/>
      <c r="BC1631" s="6"/>
      <c r="BD1631" s="6"/>
      <c r="BE1631" s="6"/>
      <c r="BF1631" s="6"/>
      <c r="BG1631" s="6"/>
      <c r="BH1631" s="6"/>
      <c r="BI1631" s="6"/>
      <c r="BJ1631" s="6"/>
      <c r="BK1631" s="6"/>
      <c r="BL1631" s="6"/>
      <c r="BM1631" s="5"/>
      <c r="BN1631" s="7"/>
      <c r="BO1631" s="7"/>
      <c r="BP1631" s="7"/>
    </row>
    <row r="1632" spans="1:68" s="400" customFormat="1" ht="14.25" customHeight="1" x14ac:dyDescent="0.25">
      <c r="A1632" s="5"/>
      <c r="B1632" s="5"/>
      <c r="C1632" s="5"/>
      <c r="D1632" s="5"/>
      <c r="E1632" s="5"/>
      <c r="F1632" s="5"/>
      <c r="G1632" s="5"/>
      <c r="H1632" s="5"/>
      <c r="I1632" s="5"/>
      <c r="J1632" s="5"/>
      <c r="K1632" s="5"/>
      <c r="L1632" s="5"/>
      <c r="M1632" s="5"/>
      <c r="N1632" s="5"/>
      <c r="O1632" s="5"/>
      <c r="P1632" s="5"/>
      <c r="Q1632" s="5"/>
      <c r="R1632" s="5"/>
      <c r="S1632" s="5"/>
      <c r="T1632" s="5"/>
      <c r="U1632" s="5"/>
      <c r="V1632" s="5"/>
      <c r="W1632" s="5"/>
      <c r="X1632" s="5"/>
      <c r="Y1632" s="5"/>
      <c r="Z1632" s="5"/>
      <c r="AA1632" s="5"/>
      <c r="AB1632" s="6"/>
      <c r="AC1632" s="6"/>
      <c r="AD1632" s="6"/>
      <c r="AE1632" s="6"/>
      <c r="AF1632" s="6"/>
      <c r="AG1632" s="6"/>
      <c r="AH1632" s="6"/>
      <c r="AI1632" s="6"/>
      <c r="AJ1632" s="6"/>
      <c r="AK1632" s="6"/>
      <c r="AL1632" s="6"/>
      <c r="AM1632" s="6"/>
      <c r="AN1632" s="6"/>
      <c r="AO1632" s="6"/>
      <c r="AP1632" s="6"/>
      <c r="AQ1632" s="6"/>
      <c r="AR1632" s="6"/>
      <c r="AS1632" s="6"/>
      <c r="AT1632" s="6"/>
      <c r="AU1632" s="6"/>
      <c r="AV1632" s="6"/>
      <c r="AW1632" s="6"/>
      <c r="AX1632" s="6"/>
      <c r="AY1632" s="6"/>
      <c r="AZ1632" s="6"/>
      <c r="BA1632" s="6"/>
      <c r="BB1632" s="6"/>
      <c r="BC1632" s="6"/>
      <c r="BD1632" s="6"/>
      <c r="BE1632" s="6"/>
      <c r="BF1632" s="6"/>
      <c r="BG1632" s="6"/>
      <c r="BH1632" s="6"/>
      <c r="BI1632" s="6"/>
      <c r="BJ1632" s="6"/>
      <c r="BK1632" s="6"/>
      <c r="BL1632" s="6"/>
      <c r="BM1632" s="5"/>
      <c r="BN1632" s="7"/>
      <c r="BO1632" s="7"/>
      <c r="BP1632" s="7"/>
    </row>
    <row r="1633" spans="1:68" s="400" customFormat="1" ht="14.25" customHeight="1" x14ac:dyDescent="0.25">
      <c r="A1633" s="5"/>
      <c r="B1633" s="5"/>
      <c r="C1633" s="5"/>
      <c r="D1633" s="5"/>
      <c r="E1633" s="5"/>
      <c r="F1633" s="5"/>
      <c r="G1633" s="5"/>
      <c r="H1633" s="5"/>
      <c r="I1633" s="5"/>
      <c r="J1633" s="5"/>
      <c r="K1633" s="5"/>
      <c r="L1633" s="5"/>
      <c r="M1633" s="5"/>
      <c r="N1633" s="5"/>
      <c r="O1633" s="5"/>
      <c r="P1633" s="5"/>
      <c r="Q1633" s="5"/>
      <c r="R1633" s="5"/>
      <c r="S1633" s="5"/>
      <c r="T1633" s="5"/>
      <c r="U1633" s="5"/>
      <c r="V1633" s="5"/>
      <c r="W1633" s="5"/>
      <c r="X1633" s="5"/>
      <c r="Y1633" s="5"/>
      <c r="Z1633" s="5"/>
      <c r="AA1633" s="5"/>
      <c r="AB1633" s="6"/>
      <c r="AC1633" s="6"/>
      <c r="AD1633" s="6"/>
      <c r="AE1633" s="6"/>
      <c r="AF1633" s="6"/>
      <c r="AG1633" s="6"/>
      <c r="AH1633" s="6"/>
      <c r="AI1633" s="6"/>
      <c r="AJ1633" s="6"/>
      <c r="AK1633" s="6"/>
      <c r="AL1633" s="6"/>
      <c r="AM1633" s="6"/>
      <c r="AN1633" s="6"/>
      <c r="AO1633" s="6"/>
      <c r="AP1633" s="6"/>
      <c r="AQ1633" s="6"/>
      <c r="AR1633" s="6"/>
      <c r="AS1633" s="6"/>
      <c r="AT1633" s="6"/>
      <c r="AU1633" s="6"/>
      <c r="AV1633" s="6"/>
      <c r="AW1633" s="6"/>
      <c r="AX1633" s="6"/>
      <c r="AY1633" s="6"/>
      <c r="AZ1633" s="6"/>
      <c r="BA1633" s="6"/>
      <c r="BB1633" s="6"/>
      <c r="BC1633" s="6"/>
      <c r="BD1633" s="6"/>
      <c r="BE1633" s="6"/>
      <c r="BF1633" s="6"/>
      <c r="BG1633" s="6"/>
      <c r="BH1633" s="6"/>
      <c r="BI1633" s="6"/>
      <c r="BJ1633" s="6"/>
      <c r="BK1633" s="6"/>
      <c r="BL1633" s="6"/>
      <c r="BM1633" s="5"/>
      <c r="BN1633" s="7"/>
      <c r="BO1633" s="7"/>
      <c r="BP1633" s="7"/>
    </row>
    <row r="1634" spans="1:68" s="400" customFormat="1" ht="14.25" customHeight="1" x14ac:dyDescent="0.25">
      <c r="A1634" s="5"/>
      <c r="B1634" s="5"/>
      <c r="C1634" s="5"/>
      <c r="D1634" s="5"/>
      <c r="E1634" s="5"/>
      <c r="F1634" s="5"/>
      <c r="G1634" s="5"/>
      <c r="H1634" s="5"/>
      <c r="I1634" s="5"/>
      <c r="J1634" s="5"/>
      <c r="K1634" s="5"/>
      <c r="L1634" s="5"/>
      <c r="M1634" s="5"/>
      <c r="N1634" s="5"/>
      <c r="O1634" s="5"/>
      <c r="P1634" s="5"/>
      <c r="Q1634" s="5"/>
      <c r="R1634" s="5"/>
      <c r="S1634" s="5"/>
      <c r="T1634" s="5"/>
      <c r="U1634" s="5"/>
      <c r="V1634" s="5"/>
      <c r="W1634" s="5"/>
      <c r="X1634" s="5"/>
      <c r="Y1634" s="5"/>
      <c r="Z1634" s="5"/>
      <c r="AA1634" s="5"/>
      <c r="AB1634" s="6"/>
      <c r="AC1634" s="6"/>
      <c r="AD1634" s="6"/>
      <c r="AE1634" s="6"/>
      <c r="AF1634" s="6"/>
      <c r="AG1634" s="6"/>
      <c r="AH1634" s="6"/>
      <c r="AI1634" s="6"/>
      <c r="AJ1634" s="6"/>
      <c r="AK1634" s="6"/>
      <c r="AL1634" s="6"/>
      <c r="AM1634" s="6"/>
      <c r="AN1634" s="6"/>
      <c r="AO1634" s="6"/>
      <c r="AP1634" s="6"/>
      <c r="AQ1634" s="6"/>
      <c r="AR1634" s="6"/>
      <c r="AS1634" s="6"/>
      <c r="AT1634" s="6"/>
      <c r="AU1634" s="6"/>
      <c r="AV1634" s="6"/>
      <c r="AW1634" s="6"/>
      <c r="AX1634" s="6"/>
      <c r="AY1634" s="6"/>
      <c r="AZ1634" s="6"/>
      <c r="BA1634" s="6"/>
      <c r="BB1634" s="6"/>
      <c r="BC1634" s="6"/>
      <c r="BD1634" s="6"/>
      <c r="BE1634" s="6"/>
      <c r="BF1634" s="6"/>
      <c r="BG1634" s="6"/>
      <c r="BH1634" s="6"/>
      <c r="BI1634" s="6"/>
      <c r="BJ1634" s="6"/>
      <c r="BK1634" s="6"/>
      <c r="BL1634" s="6"/>
      <c r="BM1634" s="5"/>
      <c r="BN1634" s="7"/>
      <c r="BO1634" s="7"/>
      <c r="BP1634" s="7"/>
    </row>
    <row r="1635" spans="1:68" s="400" customFormat="1" ht="14.25" customHeight="1" x14ac:dyDescent="0.25">
      <c r="A1635" s="5"/>
      <c r="B1635" s="5"/>
      <c r="C1635" s="5"/>
      <c r="D1635" s="5"/>
      <c r="E1635" s="5"/>
      <c r="F1635" s="5"/>
      <c r="G1635" s="5"/>
      <c r="H1635" s="5"/>
      <c r="I1635" s="5"/>
      <c r="J1635" s="5"/>
      <c r="K1635" s="5"/>
      <c r="L1635" s="5"/>
      <c r="M1635" s="5"/>
      <c r="N1635" s="5"/>
      <c r="O1635" s="5"/>
      <c r="P1635" s="5"/>
      <c r="Q1635" s="5"/>
      <c r="R1635" s="5"/>
      <c r="S1635" s="5"/>
      <c r="T1635" s="5"/>
      <c r="U1635" s="5"/>
      <c r="V1635" s="5"/>
      <c r="W1635" s="5"/>
      <c r="X1635" s="5"/>
      <c r="Y1635" s="5"/>
      <c r="Z1635" s="5"/>
      <c r="AA1635" s="5"/>
      <c r="AB1635" s="6"/>
      <c r="AC1635" s="6"/>
      <c r="AD1635" s="6"/>
      <c r="AE1635" s="6"/>
      <c r="AF1635" s="6"/>
      <c r="AG1635" s="6"/>
      <c r="AH1635" s="6"/>
      <c r="AI1635" s="6"/>
      <c r="AJ1635" s="6"/>
      <c r="AK1635" s="6"/>
      <c r="AL1635" s="6"/>
      <c r="AM1635" s="6"/>
      <c r="AN1635" s="6"/>
      <c r="AO1635" s="6"/>
      <c r="AP1635" s="6"/>
      <c r="AQ1635" s="6"/>
      <c r="AR1635" s="6"/>
      <c r="AS1635" s="6"/>
      <c r="AT1635" s="6"/>
      <c r="AU1635" s="6"/>
      <c r="AV1635" s="6"/>
      <c r="AW1635" s="6"/>
      <c r="AX1635" s="6"/>
      <c r="AY1635" s="6"/>
      <c r="AZ1635" s="6"/>
      <c r="BA1635" s="6"/>
      <c r="BB1635" s="6"/>
      <c r="BC1635" s="6"/>
      <c r="BD1635" s="6"/>
      <c r="BE1635" s="6"/>
      <c r="BF1635" s="6"/>
      <c r="BG1635" s="6"/>
      <c r="BH1635" s="6"/>
      <c r="BI1635" s="6"/>
      <c r="BJ1635" s="6"/>
      <c r="BK1635" s="6"/>
      <c r="BL1635" s="6"/>
      <c r="BM1635" s="5"/>
      <c r="BN1635" s="7"/>
      <c r="BO1635" s="7"/>
      <c r="BP1635" s="7"/>
    </row>
    <row r="1636" spans="1:68" s="400" customFormat="1" ht="14.25" customHeight="1" x14ac:dyDescent="0.25">
      <c r="A1636" s="5"/>
      <c r="B1636" s="5"/>
      <c r="C1636" s="5"/>
      <c r="D1636" s="5"/>
      <c r="E1636" s="5"/>
      <c r="F1636" s="5"/>
      <c r="G1636" s="5"/>
      <c r="H1636" s="5"/>
      <c r="I1636" s="5"/>
      <c r="J1636" s="5"/>
      <c r="K1636" s="5"/>
      <c r="L1636" s="5"/>
      <c r="M1636" s="5"/>
      <c r="N1636" s="5"/>
      <c r="O1636" s="5"/>
      <c r="P1636" s="5"/>
      <c r="Q1636" s="5"/>
      <c r="R1636" s="5"/>
      <c r="S1636" s="5"/>
      <c r="T1636" s="5"/>
      <c r="U1636" s="5"/>
      <c r="V1636" s="5"/>
      <c r="W1636" s="5"/>
      <c r="X1636" s="5"/>
      <c r="Y1636" s="5"/>
      <c r="Z1636" s="5"/>
      <c r="AA1636" s="5"/>
      <c r="AB1636" s="6"/>
      <c r="AC1636" s="6"/>
      <c r="AD1636" s="6"/>
      <c r="AE1636" s="6"/>
      <c r="AF1636" s="6"/>
      <c r="AG1636" s="6"/>
      <c r="AH1636" s="6"/>
      <c r="AI1636" s="6"/>
      <c r="AJ1636" s="6"/>
      <c r="AK1636" s="6"/>
      <c r="AL1636" s="6"/>
      <c r="AM1636" s="6"/>
      <c r="AN1636" s="6"/>
      <c r="AO1636" s="6"/>
      <c r="AP1636" s="6"/>
      <c r="AQ1636" s="6"/>
      <c r="AR1636" s="6"/>
      <c r="AS1636" s="6"/>
      <c r="AT1636" s="6"/>
      <c r="AU1636" s="6"/>
      <c r="AV1636" s="6"/>
      <c r="AW1636" s="6"/>
      <c r="AX1636" s="6"/>
      <c r="AY1636" s="6"/>
      <c r="AZ1636" s="6"/>
      <c r="BA1636" s="6"/>
      <c r="BB1636" s="6"/>
      <c r="BC1636" s="6"/>
      <c r="BD1636" s="6"/>
      <c r="BE1636" s="6"/>
      <c r="BF1636" s="6"/>
      <c r="BG1636" s="6"/>
      <c r="BH1636" s="6"/>
      <c r="BI1636" s="6"/>
      <c r="BJ1636" s="6"/>
      <c r="BK1636" s="6"/>
      <c r="BL1636" s="6"/>
      <c r="BM1636" s="5"/>
      <c r="BN1636" s="7"/>
      <c r="BO1636" s="7"/>
      <c r="BP1636" s="7"/>
    </row>
    <row r="1637" spans="1:68" s="400" customFormat="1" ht="14.25" customHeight="1" x14ac:dyDescent="0.25">
      <c r="A1637" s="5"/>
      <c r="B1637" s="5"/>
      <c r="C1637" s="5"/>
      <c r="D1637" s="5"/>
      <c r="E1637" s="5"/>
      <c r="F1637" s="5"/>
      <c r="G1637" s="5"/>
      <c r="H1637" s="5"/>
      <c r="I1637" s="5"/>
      <c r="J1637" s="5"/>
      <c r="K1637" s="5"/>
      <c r="L1637" s="5"/>
      <c r="M1637" s="5"/>
      <c r="N1637" s="5"/>
      <c r="O1637" s="5"/>
      <c r="P1637" s="5"/>
      <c r="Q1637" s="5"/>
      <c r="R1637" s="5"/>
      <c r="S1637" s="5"/>
      <c r="T1637" s="5"/>
      <c r="U1637" s="5"/>
      <c r="V1637" s="5"/>
      <c r="W1637" s="5"/>
      <c r="X1637" s="5"/>
      <c r="Y1637" s="5"/>
      <c r="Z1637" s="5"/>
      <c r="AA1637" s="5"/>
      <c r="AB1637" s="6"/>
      <c r="AC1637" s="6"/>
      <c r="AD1637" s="6"/>
      <c r="AE1637" s="6"/>
      <c r="AF1637" s="6"/>
      <c r="AG1637" s="6"/>
      <c r="AH1637" s="6"/>
      <c r="AI1637" s="6"/>
      <c r="AJ1637" s="6"/>
      <c r="AK1637" s="6"/>
      <c r="AL1637" s="6"/>
      <c r="AM1637" s="6"/>
      <c r="AN1637" s="6"/>
      <c r="AO1637" s="6"/>
      <c r="AP1637" s="6"/>
      <c r="AQ1637" s="6"/>
      <c r="AR1637" s="6"/>
      <c r="AS1637" s="6"/>
      <c r="AT1637" s="6"/>
      <c r="AU1637" s="6"/>
      <c r="AV1637" s="6"/>
      <c r="AW1637" s="6"/>
      <c r="AX1637" s="6"/>
      <c r="AY1637" s="6"/>
      <c r="AZ1637" s="6"/>
      <c r="BA1637" s="6"/>
      <c r="BB1637" s="6"/>
      <c r="BC1637" s="6"/>
      <c r="BD1637" s="6"/>
      <c r="BE1637" s="6"/>
      <c r="BF1637" s="6"/>
      <c r="BG1637" s="6"/>
      <c r="BH1637" s="6"/>
      <c r="BI1637" s="6"/>
      <c r="BJ1637" s="6"/>
      <c r="BK1637" s="6"/>
      <c r="BL1637" s="6"/>
      <c r="BM1637" s="5"/>
      <c r="BN1637" s="7"/>
      <c r="BO1637" s="7"/>
      <c r="BP1637" s="7"/>
    </row>
    <row r="1638" spans="1:68" s="400" customFormat="1" ht="14.25" customHeight="1" x14ac:dyDescent="0.25">
      <c r="A1638" s="5"/>
      <c r="B1638" s="5"/>
      <c r="C1638" s="5"/>
      <c r="D1638" s="5"/>
      <c r="E1638" s="5"/>
      <c r="F1638" s="5"/>
      <c r="G1638" s="5"/>
      <c r="H1638" s="5"/>
      <c r="I1638" s="5"/>
      <c r="J1638" s="5"/>
      <c r="K1638" s="5"/>
      <c r="L1638" s="5"/>
      <c r="M1638" s="5"/>
      <c r="N1638" s="5"/>
      <c r="O1638" s="5"/>
      <c r="P1638" s="5"/>
      <c r="Q1638" s="5"/>
      <c r="R1638" s="5"/>
      <c r="S1638" s="5"/>
      <c r="T1638" s="5"/>
      <c r="U1638" s="5"/>
      <c r="V1638" s="5"/>
      <c r="W1638" s="5"/>
      <c r="X1638" s="5"/>
      <c r="Y1638" s="5"/>
      <c r="Z1638" s="5"/>
      <c r="AA1638" s="5"/>
      <c r="AB1638" s="6"/>
      <c r="AC1638" s="6"/>
      <c r="AD1638" s="6"/>
      <c r="AE1638" s="6"/>
      <c r="AF1638" s="6"/>
      <c r="AG1638" s="6"/>
      <c r="AH1638" s="6"/>
      <c r="AI1638" s="6"/>
      <c r="AJ1638" s="6"/>
      <c r="AK1638" s="6"/>
      <c r="AL1638" s="6"/>
      <c r="AM1638" s="6"/>
      <c r="AN1638" s="6"/>
      <c r="AO1638" s="6"/>
      <c r="AP1638" s="6"/>
      <c r="AQ1638" s="6"/>
      <c r="AR1638" s="6"/>
      <c r="AS1638" s="6"/>
      <c r="AT1638" s="6"/>
      <c r="AU1638" s="6"/>
      <c r="AV1638" s="6"/>
      <c r="AW1638" s="6"/>
      <c r="AX1638" s="6"/>
      <c r="AY1638" s="6"/>
      <c r="AZ1638" s="6"/>
      <c r="BA1638" s="6"/>
      <c r="BB1638" s="6"/>
      <c r="BC1638" s="6"/>
      <c r="BD1638" s="6"/>
      <c r="BE1638" s="6"/>
      <c r="BF1638" s="6"/>
      <c r="BG1638" s="6"/>
      <c r="BH1638" s="6"/>
      <c r="BI1638" s="6"/>
      <c r="BJ1638" s="6"/>
      <c r="BK1638" s="6"/>
      <c r="BL1638" s="6"/>
      <c r="BM1638" s="5"/>
      <c r="BN1638" s="7"/>
      <c r="BO1638" s="7"/>
      <c r="BP1638" s="7"/>
    </row>
    <row r="1639" spans="1:68" s="400" customFormat="1" ht="14.25" customHeight="1" x14ac:dyDescent="0.25">
      <c r="A1639" s="5"/>
      <c r="B1639" s="5"/>
      <c r="C1639" s="5"/>
      <c r="D1639" s="5"/>
      <c r="E1639" s="5"/>
      <c r="F1639" s="5"/>
      <c r="G1639" s="5"/>
      <c r="H1639" s="5"/>
      <c r="I1639" s="5"/>
      <c r="J1639" s="5"/>
      <c r="K1639" s="5"/>
      <c r="L1639" s="5"/>
      <c r="M1639" s="5"/>
      <c r="N1639" s="5"/>
      <c r="O1639" s="5"/>
      <c r="P1639" s="5"/>
      <c r="Q1639" s="5"/>
      <c r="R1639" s="5"/>
      <c r="S1639" s="5"/>
      <c r="T1639" s="5"/>
      <c r="U1639" s="5"/>
      <c r="V1639" s="5"/>
      <c r="W1639" s="5"/>
      <c r="X1639" s="5"/>
      <c r="Y1639" s="5"/>
      <c r="Z1639" s="5"/>
      <c r="AA1639" s="5"/>
      <c r="AB1639" s="6"/>
      <c r="AC1639" s="6"/>
      <c r="AD1639" s="6"/>
      <c r="AE1639" s="6"/>
      <c r="AF1639" s="6"/>
      <c r="AG1639" s="6"/>
      <c r="AH1639" s="6"/>
      <c r="AI1639" s="6"/>
      <c r="AJ1639" s="6"/>
      <c r="AK1639" s="6"/>
      <c r="AL1639" s="6"/>
      <c r="AM1639" s="6"/>
      <c r="AN1639" s="6"/>
      <c r="AO1639" s="6"/>
      <c r="AP1639" s="6"/>
      <c r="AQ1639" s="6"/>
      <c r="AR1639" s="6"/>
      <c r="AS1639" s="6"/>
      <c r="AT1639" s="6"/>
      <c r="AU1639" s="6"/>
      <c r="AV1639" s="6"/>
      <c r="AW1639" s="6"/>
      <c r="AX1639" s="6"/>
      <c r="AY1639" s="6"/>
      <c r="AZ1639" s="6"/>
      <c r="BA1639" s="6"/>
      <c r="BB1639" s="6"/>
      <c r="BC1639" s="6"/>
      <c r="BD1639" s="6"/>
      <c r="BE1639" s="6"/>
      <c r="BF1639" s="6"/>
      <c r="BG1639" s="6"/>
      <c r="BH1639" s="6"/>
      <c r="BI1639" s="6"/>
      <c r="BJ1639" s="6"/>
      <c r="BK1639" s="6"/>
      <c r="BL1639" s="6"/>
      <c r="BM1639" s="5"/>
      <c r="BN1639" s="7"/>
      <c r="BO1639" s="7"/>
      <c r="BP1639" s="7"/>
    </row>
    <row r="1640" spans="1:68" s="400" customFormat="1" ht="14.25" customHeight="1" x14ac:dyDescent="0.25">
      <c r="A1640" s="5"/>
      <c r="B1640" s="5"/>
      <c r="C1640" s="5"/>
      <c r="D1640" s="5"/>
      <c r="E1640" s="5"/>
      <c r="F1640" s="5"/>
      <c r="G1640" s="5"/>
      <c r="H1640" s="5"/>
      <c r="I1640" s="5"/>
      <c r="J1640" s="5"/>
      <c r="K1640" s="5"/>
      <c r="L1640" s="5"/>
      <c r="M1640" s="5"/>
      <c r="N1640" s="5"/>
      <c r="O1640" s="5"/>
      <c r="P1640" s="5"/>
      <c r="Q1640" s="5"/>
      <c r="R1640" s="5"/>
      <c r="S1640" s="5"/>
      <c r="T1640" s="5"/>
      <c r="U1640" s="5"/>
      <c r="V1640" s="5"/>
      <c r="W1640" s="5"/>
      <c r="X1640" s="5"/>
      <c r="Y1640" s="5"/>
      <c r="Z1640" s="5"/>
      <c r="AA1640" s="5"/>
      <c r="AB1640" s="6"/>
      <c r="AC1640" s="6"/>
      <c r="AD1640" s="6"/>
      <c r="AE1640" s="6"/>
      <c r="AF1640" s="6"/>
      <c r="AG1640" s="6"/>
      <c r="AH1640" s="6"/>
      <c r="AI1640" s="6"/>
      <c r="AJ1640" s="6"/>
      <c r="AK1640" s="6"/>
      <c r="AL1640" s="6"/>
      <c r="AM1640" s="6"/>
      <c r="AN1640" s="6"/>
      <c r="AO1640" s="6"/>
      <c r="AP1640" s="6"/>
      <c r="AQ1640" s="6"/>
      <c r="AR1640" s="6"/>
      <c r="AS1640" s="6"/>
      <c r="AT1640" s="6"/>
      <c r="AU1640" s="6"/>
      <c r="AV1640" s="6"/>
      <c r="AW1640" s="6"/>
      <c r="AX1640" s="6"/>
      <c r="AY1640" s="6"/>
      <c r="AZ1640" s="6"/>
      <c r="BA1640" s="6"/>
      <c r="BB1640" s="6"/>
      <c r="BC1640" s="6"/>
      <c r="BD1640" s="6"/>
      <c r="BE1640" s="6"/>
      <c r="BF1640" s="6"/>
      <c r="BG1640" s="6"/>
      <c r="BH1640" s="6"/>
      <c r="BI1640" s="6"/>
      <c r="BJ1640" s="6"/>
      <c r="BK1640" s="6"/>
      <c r="BL1640" s="6"/>
      <c r="BM1640" s="5"/>
      <c r="BN1640" s="7"/>
      <c r="BO1640" s="7"/>
      <c r="BP1640" s="7"/>
    </row>
    <row r="1641" spans="1:68" s="400" customFormat="1" ht="14.25" customHeight="1" x14ac:dyDescent="0.25">
      <c r="A1641" s="5"/>
      <c r="B1641" s="5"/>
      <c r="C1641" s="5"/>
      <c r="D1641" s="5"/>
      <c r="E1641" s="5"/>
      <c r="F1641" s="5"/>
      <c r="G1641" s="5"/>
      <c r="H1641" s="5"/>
      <c r="I1641" s="5"/>
      <c r="J1641" s="5"/>
      <c r="K1641" s="5"/>
      <c r="L1641" s="5"/>
      <c r="M1641" s="5"/>
      <c r="N1641" s="5"/>
      <c r="O1641" s="5"/>
      <c r="P1641" s="5"/>
      <c r="Q1641" s="5"/>
      <c r="R1641" s="5"/>
      <c r="S1641" s="5"/>
      <c r="T1641" s="5"/>
      <c r="U1641" s="5"/>
      <c r="V1641" s="5"/>
      <c r="W1641" s="5"/>
      <c r="X1641" s="5"/>
      <c r="Y1641" s="5"/>
      <c r="Z1641" s="5"/>
      <c r="AA1641" s="5"/>
      <c r="AB1641" s="6"/>
      <c r="AC1641" s="6"/>
      <c r="AD1641" s="6"/>
      <c r="AE1641" s="6"/>
      <c r="AF1641" s="6"/>
      <c r="AG1641" s="6"/>
      <c r="AH1641" s="6"/>
      <c r="AI1641" s="6"/>
      <c r="AJ1641" s="6"/>
      <c r="AK1641" s="6"/>
      <c r="AL1641" s="6"/>
      <c r="AM1641" s="6"/>
      <c r="AN1641" s="6"/>
      <c r="AO1641" s="6"/>
      <c r="AP1641" s="6"/>
      <c r="AQ1641" s="6"/>
      <c r="AR1641" s="6"/>
      <c r="AS1641" s="6"/>
      <c r="AT1641" s="6"/>
      <c r="AU1641" s="6"/>
      <c r="AV1641" s="6"/>
      <c r="AW1641" s="6"/>
      <c r="AX1641" s="6"/>
      <c r="AY1641" s="6"/>
      <c r="AZ1641" s="6"/>
      <c r="BA1641" s="6"/>
      <c r="BB1641" s="6"/>
      <c r="BC1641" s="6"/>
      <c r="BD1641" s="6"/>
      <c r="BE1641" s="6"/>
      <c r="BF1641" s="6"/>
      <c r="BG1641" s="6"/>
      <c r="BH1641" s="6"/>
      <c r="BI1641" s="6"/>
      <c r="BJ1641" s="6"/>
      <c r="BK1641" s="6"/>
      <c r="BL1641" s="6"/>
      <c r="BM1641" s="5"/>
      <c r="BN1641" s="7"/>
      <c r="BO1641" s="7"/>
      <c r="BP1641" s="7"/>
    </row>
    <row r="1642" spans="1:68" s="400" customFormat="1" ht="14.25" customHeight="1" x14ac:dyDescent="0.25">
      <c r="A1642" s="5"/>
      <c r="B1642" s="5"/>
      <c r="C1642" s="5"/>
      <c r="D1642" s="5"/>
      <c r="E1642" s="5"/>
      <c r="F1642" s="5"/>
      <c r="G1642" s="5"/>
      <c r="H1642" s="5"/>
      <c r="I1642" s="5"/>
      <c r="J1642" s="5"/>
      <c r="K1642" s="5"/>
      <c r="L1642" s="5"/>
      <c r="M1642" s="5"/>
      <c r="N1642" s="5"/>
      <c r="O1642" s="5"/>
      <c r="P1642" s="5"/>
      <c r="Q1642" s="5"/>
      <c r="R1642" s="5"/>
      <c r="S1642" s="5"/>
      <c r="T1642" s="5"/>
      <c r="U1642" s="5"/>
      <c r="V1642" s="5"/>
      <c r="W1642" s="5"/>
      <c r="X1642" s="5"/>
      <c r="Y1642" s="5"/>
      <c r="Z1642" s="5"/>
      <c r="AA1642" s="5"/>
      <c r="AB1642" s="6"/>
      <c r="AC1642" s="6"/>
      <c r="AD1642" s="6"/>
      <c r="AE1642" s="6"/>
      <c r="AF1642" s="6"/>
      <c r="AG1642" s="6"/>
      <c r="AH1642" s="6"/>
      <c r="AI1642" s="6"/>
      <c r="AJ1642" s="6"/>
      <c r="AK1642" s="6"/>
      <c r="AL1642" s="6"/>
      <c r="AM1642" s="6"/>
      <c r="AN1642" s="6"/>
      <c r="AO1642" s="6"/>
      <c r="AP1642" s="6"/>
      <c r="AQ1642" s="6"/>
      <c r="AR1642" s="6"/>
      <c r="AS1642" s="6"/>
      <c r="AT1642" s="6"/>
      <c r="AU1642" s="6"/>
      <c r="AV1642" s="6"/>
      <c r="AW1642" s="6"/>
      <c r="AX1642" s="6"/>
      <c r="AY1642" s="6"/>
      <c r="AZ1642" s="6"/>
      <c r="BA1642" s="6"/>
      <c r="BB1642" s="6"/>
      <c r="BC1642" s="6"/>
      <c r="BD1642" s="6"/>
      <c r="BE1642" s="6"/>
      <c r="BF1642" s="6"/>
      <c r="BG1642" s="6"/>
      <c r="BH1642" s="6"/>
      <c r="BI1642" s="6"/>
      <c r="BJ1642" s="6"/>
      <c r="BK1642" s="6"/>
      <c r="BL1642" s="6"/>
      <c r="BM1642" s="5"/>
      <c r="BN1642" s="7"/>
      <c r="BO1642" s="7"/>
      <c r="BP1642" s="7"/>
    </row>
    <row r="1643" spans="1:68" s="400" customFormat="1" ht="14.25" customHeight="1" x14ac:dyDescent="0.25">
      <c r="A1643" s="5"/>
      <c r="B1643" s="5"/>
      <c r="C1643" s="5"/>
      <c r="D1643" s="5"/>
      <c r="E1643" s="5"/>
      <c r="F1643" s="5"/>
      <c r="G1643" s="5"/>
      <c r="H1643" s="5"/>
      <c r="I1643" s="5"/>
      <c r="J1643" s="5"/>
      <c r="K1643" s="5"/>
      <c r="L1643" s="5"/>
      <c r="M1643" s="5"/>
      <c r="N1643" s="5"/>
      <c r="O1643" s="5"/>
      <c r="P1643" s="5"/>
      <c r="Q1643" s="5"/>
      <c r="R1643" s="5"/>
      <c r="S1643" s="5"/>
      <c r="T1643" s="5"/>
      <c r="U1643" s="5"/>
      <c r="V1643" s="5"/>
      <c r="W1643" s="5"/>
      <c r="X1643" s="5"/>
      <c r="Y1643" s="5"/>
      <c r="Z1643" s="5"/>
      <c r="AA1643" s="5"/>
      <c r="AB1643" s="6"/>
      <c r="AC1643" s="6"/>
      <c r="AD1643" s="6"/>
      <c r="AE1643" s="6"/>
      <c r="AF1643" s="6"/>
      <c r="AG1643" s="6"/>
      <c r="AH1643" s="6"/>
      <c r="AI1643" s="6"/>
      <c r="AJ1643" s="6"/>
      <c r="AK1643" s="6"/>
      <c r="AL1643" s="6"/>
      <c r="AM1643" s="6"/>
      <c r="AN1643" s="6"/>
      <c r="AO1643" s="6"/>
      <c r="AP1643" s="6"/>
      <c r="AQ1643" s="6"/>
      <c r="AR1643" s="6"/>
      <c r="AS1643" s="6"/>
      <c r="AT1643" s="6"/>
      <c r="AU1643" s="6"/>
      <c r="AV1643" s="6"/>
      <c r="AW1643" s="6"/>
      <c r="AX1643" s="6"/>
      <c r="AY1643" s="6"/>
      <c r="AZ1643" s="6"/>
      <c r="BA1643" s="6"/>
      <c r="BB1643" s="6"/>
      <c r="BC1643" s="6"/>
      <c r="BD1643" s="6"/>
      <c r="BE1643" s="6"/>
      <c r="BF1643" s="6"/>
      <c r="BG1643" s="6"/>
      <c r="BH1643" s="6"/>
      <c r="BI1643" s="6"/>
      <c r="BJ1643" s="6"/>
      <c r="BK1643" s="6"/>
      <c r="BL1643" s="6"/>
      <c r="BM1643" s="5"/>
      <c r="BN1643" s="7"/>
      <c r="BO1643" s="7"/>
      <c r="BP1643" s="7"/>
    </row>
    <row r="1644" spans="1:68" s="400" customFormat="1" ht="14.25" customHeight="1" x14ac:dyDescent="0.25">
      <c r="A1644" s="5"/>
      <c r="B1644" s="5"/>
      <c r="C1644" s="5"/>
      <c r="D1644" s="5"/>
      <c r="E1644" s="5"/>
      <c r="F1644" s="5"/>
      <c r="G1644" s="5"/>
      <c r="H1644" s="5"/>
      <c r="I1644" s="5"/>
      <c r="J1644" s="5"/>
      <c r="K1644" s="5"/>
      <c r="L1644" s="5"/>
      <c r="M1644" s="5"/>
      <c r="N1644" s="5"/>
      <c r="O1644" s="5"/>
      <c r="P1644" s="5"/>
      <c r="Q1644" s="5"/>
      <c r="R1644" s="5"/>
      <c r="S1644" s="5"/>
      <c r="T1644" s="5"/>
      <c r="U1644" s="5"/>
      <c r="V1644" s="5"/>
      <c r="W1644" s="5"/>
      <c r="X1644" s="5"/>
      <c r="Y1644" s="5"/>
      <c r="Z1644" s="5"/>
      <c r="AA1644" s="5"/>
      <c r="AB1644" s="6"/>
      <c r="AC1644" s="6"/>
      <c r="AD1644" s="6"/>
      <c r="AE1644" s="6"/>
      <c r="AF1644" s="6"/>
      <c r="AG1644" s="6"/>
      <c r="AH1644" s="6"/>
      <c r="AI1644" s="6"/>
      <c r="AJ1644" s="6"/>
      <c r="AK1644" s="6"/>
      <c r="AL1644" s="6"/>
      <c r="AM1644" s="6"/>
      <c r="AN1644" s="6"/>
      <c r="AO1644" s="6"/>
      <c r="AP1644" s="6"/>
      <c r="AQ1644" s="6"/>
      <c r="AR1644" s="6"/>
      <c r="AS1644" s="6"/>
      <c r="AT1644" s="6"/>
      <c r="AU1644" s="6"/>
      <c r="AV1644" s="6"/>
      <c r="AW1644" s="6"/>
      <c r="AX1644" s="6"/>
      <c r="AY1644" s="6"/>
      <c r="AZ1644" s="6"/>
      <c r="BA1644" s="6"/>
      <c r="BB1644" s="6"/>
      <c r="BC1644" s="6"/>
      <c r="BD1644" s="6"/>
      <c r="BE1644" s="6"/>
      <c r="BF1644" s="6"/>
      <c r="BG1644" s="6"/>
      <c r="BH1644" s="6"/>
      <c r="BI1644" s="6"/>
      <c r="BJ1644" s="6"/>
      <c r="BK1644" s="6"/>
      <c r="BL1644" s="6"/>
      <c r="BM1644" s="5"/>
      <c r="BN1644" s="7"/>
      <c r="BO1644" s="7"/>
      <c r="BP1644" s="7"/>
    </row>
    <row r="1645" spans="1:68" s="400" customFormat="1" ht="14.25" customHeight="1" x14ac:dyDescent="0.25">
      <c r="A1645" s="5"/>
      <c r="B1645" s="5"/>
      <c r="C1645" s="5"/>
      <c r="D1645" s="5"/>
      <c r="E1645" s="5"/>
      <c r="F1645" s="5"/>
      <c r="G1645" s="5"/>
      <c r="H1645" s="5"/>
      <c r="I1645" s="5"/>
      <c r="J1645" s="5"/>
      <c r="K1645" s="5"/>
      <c r="L1645" s="5"/>
      <c r="M1645" s="5"/>
      <c r="N1645" s="5"/>
      <c r="O1645" s="5"/>
      <c r="P1645" s="5"/>
      <c r="Q1645" s="5"/>
      <c r="R1645" s="5"/>
      <c r="S1645" s="5"/>
      <c r="T1645" s="5"/>
      <c r="U1645" s="5"/>
      <c r="V1645" s="5"/>
      <c r="W1645" s="5"/>
      <c r="X1645" s="5"/>
      <c r="Y1645" s="5"/>
      <c r="Z1645" s="5"/>
      <c r="AA1645" s="5"/>
      <c r="AB1645" s="6"/>
      <c r="AC1645" s="6"/>
      <c r="AD1645" s="6"/>
      <c r="AE1645" s="6"/>
      <c r="AF1645" s="6"/>
      <c r="AG1645" s="6"/>
      <c r="AH1645" s="6"/>
      <c r="AI1645" s="6"/>
      <c r="AJ1645" s="6"/>
      <c r="AK1645" s="6"/>
      <c r="AL1645" s="6"/>
      <c r="AM1645" s="6"/>
      <c r="AN1645" s="6"/>
      <c r="AO1645" s="6"/>
      <c r="AP1645" s="6"/>
      <c r="AQ1645" s="6"/>
      <c r="AR1645" s="6"/>
      <c r="AS1645" s="6"/>
      <c r="AT1645" s="6"/>
      <c r="AU1645" s="6"/>
      <c r="AV1645" s="6"/>
      <c r="AW1645" s="6"/>
      <c r="AX1645" s="6"/>
      <c r="AY1645" s="6"/>
      <c r="AZ1645" s="6"/>
      <c r="BA1645" s="6"/>
      <c r="BB1645" s="6"/>
      <c r="BC1645" s="6"/>
      <c r="BD1645" s="6"/>
      <c r="BE1645" s="6"/>
      <c r="BF1645" s="6"/>
      <c r="BG1645" s="6"/>
      <c r="BH1645" s="6"/>
      <c r="BI1645" s="6"/>
      <c r="BJ1645" s="6"/>
      <c r="BK1645" s="6"/>
      <c r="BL1645" s="6"/>
      <c r="BM1645" s="5"/>
      <c r="BN1645" s="7"/>
      <c r="BO1645" s="7"/>
      <c r="BP1645" s="7"/>
    </row>
    <row r="1646" spans="1:68" s="400" customFormat="1" ht="14.25" customHeight="1" x14ac:dyDescent="0.25">
      <c r="A1646" s="5"/>
      <c r="B1646" s="5"/>
      <c r="C1646" s="5"/>
      <c r="D1646" s="5"/>
      <c r="E1646" s="5"/>
      <c r="F1646" s="5"/>
      <c r="G1646" s="5"/>
      <c r="H1646" s="5"/>
      <c r="I1646" s="5"/>
      <c r="J1646" s="5"/>
      <c r="K1646" s="5"/>
      <c r="L1646" s="5"/>
      <c r="M1646" s="5"/>
      <c r="N1646" s="5"/>
      <c r="O1646" s="5"/>
      <c r="P1646" s="5"/>
      <c r="Q1646" s="5"/>
      <c r="R1646" s="5"/>
      <c r="S1646" s="5"/>
      <c r="T1646" s="5"/>
      <c r="U1646" s="5"/>
      <c r="V1646" s="5"/>
      <c r="W1646" s="5"/>
      <c r="X1646" s="5"/>
      <c r="Y1646" s="5"/>
      <c r="Z1646" s="5"/>
      <c r="AA1646" s="5"/>
      <c r="AB1646" s="6"/>
      <c r="AC1646" s="6"/>
      <c r="AD1646" s="6"/>
      <c r="AE1646" s="6"/>
      <c r="AF1646" s="6"/>
      <c r="AG1646" s="6"/>
      <c r="AH1646" s="6"/>
      <c r="AI1646" s="6"/>
      <c r="AJ1646" s="6"/>
      <c r="AK1646" s="6"/>
      <c r="AL1646" s="6"/>
      <c r="AM1646" s="6"/>
      <c r="AN1646" s="6"/>
      <c r="AO1646" s="6"/>
      <c r="AP1646" s="6"/>
      <c r="AQ1646" s="6"/>
      <c r="AR1646" s="6"/>
      <c r="AS1646" s="6"/>
      <c r="AT1646" s="6"/>
      <c r="AU1646" s="6"/>
      <c r="AV1646" s="6"/>
      <c r="AW1646" s="6"/>
      <c r="AX1646" s="6"/>
      <c r="AY1646" s="6"/>
      <c r="AZ1646" s="6"/>
      <c r="BA1646" s="6"/>
      <c r="BB1646" s="6"/>
      <c r="BC1646" s="6"/>
      <c r="BD1646" s="6"/>
      <c r="BE1646" s="6"/>
      <c r="BF1646" s="6"/>
      <c r="BG1646" s="6"/>
      <c r="BH1646" s="6"/>
      <c r="BI1646" s="6"/>
      <c r="BJ1646" s="6"/>
      <c r="BK1646" s="6"/>
      <c r="BL1646" s="6"/>
      <c r="BM1646" s="5"/>
      <c r="BN1646" s="7"/>
      <c r="BO1646" s="7"/>
      <c r="BP1646" s="7"/>
    </row>
    <row r="1647" spans="1:68" s="400" customFormat="1" ht="14.25" customHeight="1" x14ac:dyDescent="0.25">
      <c r="A1647" s="5"/>
      <c r="B1647" s="5"/>
      <c r="C1647" s="5"/>
      <c r="D1647" s="5"/>
      <c r="E1647" s="5"/>
      <c r="F1647" s="5"/>
      <c r="G1647" s="5"/>
      <c r="H1647" s="5"/>
      <c r="I1647" s="5"/>
      <c r="J1647" s="5"/>
      <c r="K1647" s="5"/>
      <c r="L1647" s="5"/>
      <c r="M1647" s="5"/>
      <c r="N1647" s="5"/>
      <c r="O1647" s="5"/>
      <c r="P1647" s="5"/>
      <c r="Q1647" s="5"/>
      <c r="R1647" s="5"/>
      <c r="S1647" s="5"/>
      <c r="T1647" s="5"/>
      <c r="U1647" s="5"/>
      <c r="V1647" s="5"/>
      <c r="W1647" s="5"/>
      <c r="X1647" s="5"/>
      <c r="Y1647" s="5"/>
      <c r="Z1647" s="5"/>
      <c r="AA1647" s="5"/>
      <c r="AB1647" s="6"/>
      <c r="AC1647" s="6"/>
      <c r="AD1647" s="6"/>
      <c r="AE1647" s="6"/>
      <c r="AF1647" s="6"/>
      <c r="AG1647" s="6"/>
      <c r="AH1647" s="6"/>
      <c r="AI1647" s="6"/>
      <c r="AJ1647" s="6"/>
      <c r="AK1647" s="6"/>
      <c r="AL1647" s="6"/>
      <c r="AM1647" s="6"/>
      <c r="AN1647" s="6"/>
      <c r="AO1647" s="6"/>
      <c r="AP1647" s="6"/>
      <c r="AQ1647" s="6"/>
      <c r="AR1647" s="6"/>
      <c r="AS1647" s="6"/>
      <c r="AT1647" s="6"/>
      <c r="AU1647" s="6"/>
      <c r="AV1647" s="6"/>
      <c r="AW1647" s="6"/>
      <c r="AX1647" s="6"/>
      <c r="AY1647" s="6"/>
      <c r="AZ1647" s="6"/>
      <c r="BA1647" s="6"/>
      <c r="BB1647" s="6"/>
      <c r="BC1647" s="6"/>
      <c r="BD1647" s="6"/>
      <c r="BE1647" s="6"/>
      <c r="BF1647" s="6"/>
      <c r="BG1647" s="6"/>
      <c r="BH1647" s="6"/>
      <c r="BI1647" s="6"/>
      <c r="BJ1647" s="6"/>
      <c r="BK1647" s="6"/>
      <c r="BL1647" s="6"/>
      <c r="BM1647" s="5"/>
      <c r="BN1647" s="7"/>
      <c r="BO1647" s="7"/>
      <c r="BP1647" s="7"/>
    </row>
    <row r="1648" spans="1:68" s="400" customFormat="1" ht="14.25" customHeight="1" x14ac:dyDescent="0.25">
      <c r="A1648" s="5"/>
      <c r="B1648" s="5"/>
      <c r="C1648" s="5"/>
      <c r="D1648" s="5"/>
      <c r="E1648" s="5"/>
      <c r="F1648" s="5"/>
      <c r="G1648" s="5"/>
      <c r="H1648" s="5"/>
      <c r="I1648" s="5"/>
      <c r="J1648" s="5"/>
      <c r="K1648" s="5"/>
      <c r="L1648" s="5"/>
      <c r="M1648" s="5"/>
      <c r="N1648" s="5"/>
      <c r="O1648" s="5"/>
      <c r="P1648" s="5"/>
      <c r="Q1648" s="5"/>
      <c r="R1648" s="5"/>
      <c r="S1648" s="5"/>
      <c r="T1648" s="5"/>
      <c r="U1648" s="5"/>
      <c r="V1648" s="5"/>
      <c r="W1648" s="5"/>
      <c r="X1648" s="5"/>
      <c r="Y1648" s="5"/>
      <c r="Z1648" s="5"/>
      <c r="AA1648" s="5"/>
      <c r="AB1648" s="6"/>
      <c r="AC1648" s="6"/>
      <c r="AD1648" s="6"/>
      <c r="AE1648" s="6"/>
      <c r="AF1648" s="6"/>
      <c r="AG1648" s="6"/>
      <c r="AH1648" s="6"/>
      <c r="AI1648" s="6"/>
      <c r="AJ1648" s="6"/>
      <c r="AK1648" s="6"/>
      <c r="AL1648" s="6"/>
      <c r="AM1648" s="6"/>
      <c r="AN1648" s="6"/>
      <c r="AO1648" s="6"/>
      <c r="AP1648" s="6"/>
      <c r="AQ1648" s="6"/>
      <c r="AR1648" s="6"/>
      <c r="AS1648" s="6"/>
      <c r="AT1648" s="6"/>
      <c r="AU1648" s="6"/>
      <c r="AV1648" s="6"/>
      <c r="AW1648" s="6"/>
      <c r="AX1648" s="6"/>
      <c r="AY1648" s="6"/>
      <c r="AZ1648" s="6"/>
      <c r="BA1648" s="6"/>
      <c r="BB1648" s="6"/>
      <c r="BC1648" s="6"/>
      <c r="BD1648" s="6"/>
      <c r="BE1648" s="6"/>
      <c r="BF1648" s="6"/>
      <c r="BG1648" s="6"/>
      <c r="BH1648" s="6"/>
      <c r="BI1648" s="6"/>
      <c r="BJ1648" s="6"/>
      <c r="BK1648" s="6"/>
      <c r="BL1648" s="6"/>
      <c r="BM1648" s="5"/>
      <c r="BN1648" s="7"/>
      <c r="BO1648" s="7"/>
      <c r="BP1648" s="7"/>
    </row>
    <row r="1649" spans="1:68" s="400" customFormat="1" ht="14.25" customHeight="1" x14ac:dyDescent="0.25">
      <c r="A1649" s="5"/>
      <c r="B1649" s="5"/>
      <c r="C1649" s="5"/>
      <c r="D1649" s="5"/>
      <c r="E1649" s="5"/>
      <c r="F1649" s="5"/>
      <c r="G1649" s="5"/>
      <c r="H1649" s="5"/>
      <c r="I1649" s="5"/>
      <c r="J1649" s="5"/>
      <c r="K1649" s="5"/>
      <c r="L1649" s="5"/>
      <c r="M1649" s="5"/>
      <c r="N1649" s="5"/>
      <c r="O1649" s="5"/>
      <c r="P1649" s="5"/>
      <c r="Q1649" s="5"/>
      <c r="R1649" s="5"/>
      <c r="S1649" s="5"/>
      <c r="T1649" s="5"/>
      <c r="U1649" s="5"/>
      <c r="V1649" s="5"/>
      <c r="W1649" s="5"/>
      <c r="X1649" s="5"/>
      <c r="Y1649" s="5"/>
      <c r="Z1649" s="5"/>
      <c r="AA1649" s="5"/>
      <c r="AB1649" s="6"/>
      <c r="AC1649" s="6"/>
      <c r="AD1649" s="6"/>
      <c r="AE1649" s="6"/>
      <c r="AF1649" s="6"/>
      <c r="AG1649" s="6"/>
      <c r="AH1649" s="6"/>
      <c r="AI1649" s="6"/>
      <c r="AJ1649" s="6"/>
      <c r="AK1649" s="6"/>
      <c r="AL1649" s="6"/>
      <c r="AM1649" s="6"/>
      <c r="AN1649" s="6"/>
      <c r="AO1649" s="6"/>
      <c r="AP1649" s="6"/>
      <c r="AQ1649" s="6"/>
      <c r="AR1649" s="6"/>
      <c r="AS1649" s="6"/>
      <c r="AT1649" s="6"/>
      <c r="AU1649" s="6"/>
      <c r="AV1649" s="6"/>
      <c r="AW1649" s="6"/>
      <c r="AX1649" s="6"/>
      <c r="AY1649" s="6"/>
      <c r="AZ1649" s="6"/>
      <c r="BA1649" s="6"/>
      <c r="BB1649" s="6"/>
      <c r="BC1649" s="6"/>
      <c r="BD1649" s="6"/>
      <c r="BE1649" s="6"/>
      <c r="BF1649" s="6"/>
      <c r="BG1649" s="6"/>
      <c r="BH1649" s="6"/>
      <c r="BI1649" s="6"/>
      <c r="BJ1649" s="6"/>
      <c r="BK1649" s="6"/>
      <c r="BL1649" s="6"/>
      <c r="BM1649" s="5"/>
      <c r="BN1649" s="7"/>
      <c r="BO1649" s="7"/>
      <c r="BP1649" s="7"/>
    </row>
    <row r="1650" spans="1:68" s="400" customFormat="1" ht="14.25" customHeight="1" x14ac:dyDescent="0.25">
      <c r="A1650" s="5"/>
      <c r="B1650" s="5"/>
      <c r="C1650" s="5"/>
      <c r="D1650" s="5"/>
      <c r="E1650" s="5"/>
      <c r="F1650" s="5"/>
      <c r="G1650" s="5"/>
      <c r="H1650" s="5"/>
      <c r="I1650" s="5"/>
      <c r="J1650" s="5"/>
      <c r="K1650" s="5"/>
      <c r="L1650" s="5"/>
      <c r="M1650" s="5"/>
      <c r="N1650" s="5"/>
      <c r="O1650" s="5"/>
      <c r="P1650" s="5"/>
      <c r="Q1650" s="5"/>
      <c r="R1650" s="5"/>
      <c r="S1650" s="5"/>
      <c r="T1650" s="5"/>
      <c r="U1650" s="5"/>
      <c r="V1650" s="5"/>
      <c r="W1650" s="5"/>
      <c r="X1650" s="5"/>
      <c r="Y1650" s="5"/>
      <c r="Z1650" s="5"/>
      <c r="AA1650" s="5"/>
      <c r="AB1650" s="6"/>
      <c r="AC1650" s="6"/>
      <c r="AD1650" s="6"/>
      <c r="AE1650" s="6"/>
      <c r="AF1650" s="6"/>
      <c r="AG1650" s="6"/>
      <c r="AH1650" s="6"/>
      <c r="AI1650" s="6"/>
      <c r="AJ1650" s="6"/>
      <c r="AK1650" s="6"/>
      <c r="AL1650" s="6"/>
      <c r="AM1650" s="6"/>
      <c r="AN1650" s="6"/>
      <c r="AO1650" s="6"/>
      <c r="AP1650" s="6"/>
      <c r="AQ1650" s="6"/>
      <c r="AR1650" s="6"/>
      <c r="AS1650" s="6"/>
      <c r="AT1650" s="6"/>
      <c r="AU1650" s="6"/>
      <c r="AV1650" s="6"/>
      <c r="AW1650" s="6"/>
      <c r="AX1650" s="6"/>
      <c r="AY1650" s="6"/>
      <c r="AZ1650" s="6"/>
      <c r="BA1650" s="6"/>
      <c r="BB1650" s="6"/>
      <c r="BC1650" s="6"/>
      <c r="BD1650" s="6"/>
      <c r="BE1650" s="6"/>
      <c r="BF1650" s="6"/>
      <c r="BG1650" s="6"/>
      <c r="BH1650" s="6"/>
      <c r="BI1650" s="6"/>
      <c r="BJ1650" s="6"/>
      <c r="BK1650" s="6"/>
      <c r="BL1650" s="6"/>
      <c r="BM1650" s="5"/>
      <c r="BN1650" s="7"/>
      <c r="BO1650" s="7"/>
      <c r="BP1650" s="7"/>
    </row>
    <row r="1651" spans="1:68" s="400" customFormat="1" ht="14.25" customHeight="1" x14ac:dyDescent="0.25">
      <c r="A1651" s="5"/>
      <c r="B1651" s="5"/>
      <c r="C1651" s="5"/>
      <c r="D1651" s="5"/>
      <c r="E1651" s="5"/>
      <c r="F1651" s="5"/>
      <c r="G1651" s="5"/>
      <c r="H1651" s="5"/>
      <c r="I1651" s="5"/>
      <c r="J1651" s="5"/>
      <c r="K1651" s="5"/>
      <c r="L1651" s="5"/>
      <c r="M1651" s="5"/>
      <c r="N1651" s="5"/>
      <c r="O1651" s="5"/>
      <c r="P1651" s="5"/>
      <c r="Q1651" s="5"/>
      <c r="R1651" s="5"/>
      <c r="S1651" s="5"/>
      <c r="T1651" s="5"/>
      <c r="U1651" s="5"/>
      <c r="V1651" s="5"/>
      <c r="W1651" s="5"/>
      <c r="X1651" s="5"/>
      <c r="Y1651" s="5"/>
      <c r="Z1651" s="5"/>
      <c r="AA1651" s="5"/>
      <c r="AB1651" s="6"/>
      <c r="AC1651" s="6"/>
      <c r="AD1651" s="6"/>
      <c r="AE1651" s="6"/>
      <c r="AF1651" s="6"/>
      <c r="AG1651" s="6"/>
      <c r="AH1651" s="6"/>
      <c r="AI1651" s="6"/>
      <c r="AJ1651" s="6"/>
      <c r="AK1651" s="6"/>
      <c r="AL1651" s="6"/>
      <c r="AM1651" s="6"/>
      <c r="AN1651" s="6"/>
      <c r="AO1651" s="6"/>
      <c r="AP1651" s="6"/>
      <c r="AQ1651" s="6"/>
      <c r="AR1651" s="6"/>
      <c r="AS1651" s="6"/>
      <c r="AT1651" s="6"/>
      <c r="AU1651" s="6"/>
      <c r="AV1651" s="6"/>
      <c r="AW1651" s="6"/>
      <c r="AX1651" s="6"/>
      <c r="AY1651" s="6"/>
      <c r="AZ1651" s="6"/>
      <c r="BA1651" s="6"/>
      <c r="BB1651" s="6"/>
      <c r="BC1651" s="6"/>
      <c r="BD1651" s="6"/>
      <c r="BE1651" s="6"/>
      <c r="BF1651" s="6"/>
      <c r="BG1651" s="6"/>
      <c r="BH1651" s="6"/>
      <c r="BI1651" s="6"/>
      <c r="BJ1651" s="6"/>
      <c r="BK1651" s="6"/>
      <c r="BL1651" s="6"/>
      <c r="BM1651" s="5"/>
      <c r="BN1651" s="7"/>
      <c r="BO1651" s="7"/>
      <c r="BP1651" s="7"/>
    </row>
    <row r="1652" spans="1:68" s="400" customFormat="1" ht="14.25" customHeight="1" x14ac:dyDescent="0.25">
      <c r="A1652" s="5"/>
      <c r="B1652" s="5"/>
      <c r="C1652" s="5"/>
      <c r="D1652" s="5"/>
      <c r="E1652" s="5"/>
      <c r="F1652" s="5"/>
      <c r="G1652" s="5"/>
      <c r="H1652" s="5"/>
      <c r="I1652" s="5"/>
      <c r="J1652" s="5"/>
      <c r="K1652" s="5"/>
      <c r="L1652" s="5"/>
      <c r="M1652" s="5"/>
      <c r="N1652" s="5"/>
      <c r="O1652" s="5"/>
      <c r="P1652" s="5"/>
      <c r="Q1652" s="5"/>
      <c r="R1652" s="5"/>
      <c r="S1652" s="5"/>
      <c r="T1652" s="5"/>
      <c r="U1652" s="5"/>
      <c r="V1652" s="5"/>
      <c r="W1652" s="5"/>
      <c r="X1652" s="5"/>
      <c r="Y1652" s="5"/>
      <c r="Z1652" s="5"/>
      <c r="AA1652" s="5"/>
      <c r="AB1652" s="6"/>
      <c r="AC1652" s="6"/>
      <c r="AD1652" s="6"/>
      <c r="AE1652" s="6"/>
      <c r="AF1652" s="6"/>
      <c r="AG1652" s="6"/>
      <c r="AH1652" s="6"/>
      <c r="AI1652" s="6"/>
      <c r="AJ1652" s="6"/>
      <c r="AK1652" s="6"/>
      <c r="AL1652" s="6"/>
      <c r="AM1652" s="6"/>
      <c r="AN1652" s="6"/>
      <c r="AO1652" s="6"/>
      <c r="AP1652" s="6"/>
      <c r="AQ1652" s="6"/>
      <c r="AR1652" s="6"/>
      <c r="AS1652" s="6"/>
      <c r="AT1652" s="6"/>
      <c r="AU1652" s="6"/>
      <c r="AV1652" s="6"/>
      <c r="AW1652" s="6"/>
      <c r="AX1652" s="6"/>
      <c r="AY1652" s="6"/>
      <c r="AZ1652" s="6"/>
      <c r="BA1652" s="6"/>
      <c r="BB1652" s="6"/>
      <c r="BC1652" s="6"/>
      <c r="BD1652" s="6"/>
      <c r="BE1652" s="6"/>
      <c r="BF1652" s="6"/>
      <c r="BG1652" s="6"/>
      <c r="BH1652" s="6"/>
      <c r="BI1652" s="6"/>
      <c r="BJ1652" s="6"/>
      <c r="BK1652" s="6"/>
      <c r="BL1652" s="6"/>
      <c r="BM1652" s="5"/>
      <c r="BN1652" s="7"/>
      <c r="BO1652" s="7"/>
      <c r="BP1652" s="7"/>
    </row>
    <row r="1653" spans="1:68" s="400" customFormat="1" ht="14.25" customHeight="1" x14ac:dyDescent="0.25">
      <c r="A1653" s="5"/>
      <c r="B1653" s="5"/>
      <c r="C1653" s="5"/>
      <c r="D1653" s="5"/>
      <c r="E1653" s="5"/>
      <c r="F1653" s="5"/>
      <c r="G1653" s="5"/>
      <c r="H1653" s="5"/>
      <c r="I1653" s="5"/>
      <c r="J1653" s="5"/>
      <c r="K1653" s="5"/>
      <c r="L1653" s="5"/>
      <c r="M1653" s="5"/>
      <c r="N1653" s="5"/>
      <c r="O1653" s="5"/>
      <c r="P1653" s="5"/>
      <c r="Q1653" s="5"/>
      <c r="R1653" s="5"/>
      <c r="S1653" s="5"/>
      <c r="T1653" s="5"/>
      <c r="U1653" s="5"/>
      <c r="V1653" s="5"/>
      <c r="W1653" s="5"/>
      <c r="X1653" s="5"/>
      <c r="Y1653" s="5"/>
      <c r="Z1653" s="5"/>
      <c r="AA1653" s="5"/>
      <c r="AB1653" s="6"/>
      <c r="AC1653" s="6"/>
      <c r="AD1653" s="6"/>
      <c r="AE1653" s="6"/>
      <c r="AF1653" s="6"/>
      <c r="AG1653" s="6"/>
      <c r="AH1653" s="6"/>
      <c r="AI1653" s="6"/>
      <c r="AJ1653" s="6"/>
      <c r="AK1653" s="6"/>
      <c r="AL1653" s="6"/>
      <c r="AM1653" s="6"/>
      <c r="AN1653" s="6"/>
      <c r="AO1653" s="6"/>
      <c r="AP1653" s="6"/>
      <c r="AQ1653" s="6"/>
      <c r="AR1653" s="6"/>
      <c r="AS1653" s="6"/>
      <c r="AT1653" s="6"/>
      <c r="AU1653" s="6"/>
      <c r="AV1653" s="6"/>
      <c r="AW1653" s="6"/>
      <c r="AX1653" s="6"/>
      <c r="AY1653" s="6"/>
      <c r="AZ1653" s="6"/>
      <c r="BA1653" s="6"/>
      <c r="BB1653" s="6"/>
      <c r="BC1653" s="6"/>
      <c r="BD1653" s="6"/>
      <c r="BE1653" s="6"/>
      <c r="BF1653" s="6"/>
      <c r="BG1653" s="6"/>
      <c r="BH1653" s="6"/>
      <c r="BI1653" s="6"/>
      <c r="BJ1653" s="6"/>
      <c r="BK1653" s="6"/>
      <c r="BL1653" s="6"/>
      <c r="BM1653" s="5"/>
      <c r="BN1653" s="7"/>
      <c r="BO1653" s="7"/>
      <c r="BP1653" s="7"/>
    </row>
    <row r="1654" spans="1:68" s="400" customFormat="1" ht="14.25" customHeight="1" x14ac:dyDescent="0.25">
      <c r="A1654" s="5"/>
      <c r="B1654" s="5"/>
      <c r="C1654" s="5"/>
      <c r="D1654" s="5"/>
      <c r="E1654" s="5"/>
      <c r="F1654" s="5"/>
      <c r="G1654" s="5"/>
      <c r="H1654" s="5"/>
      <c r="I1654" s="5"/>
      <c r="J1654" s="5"/>
      <c r="K1654" s="5"/>
      <c r="L1654" s="5"/>
      <c r="M1654" s="5"/>
      <c r="N1654" s="5"/>
      <c r="O1654" s="5"/>
      <c r="P1654" s="5"/>
      <c r="Q1654" s="5"/>
      <c r="R1654" s="5"/>
      <c r="S1654" s="5"/>
      <c r="T1654" s="5"/>
      <c r="U1654" s="5"/>
      <c r="V1654" s="5"/>
      <c r="W1654" s="5"/>
      <c r="X1654" s="5"/>
      <c r="Y1654" s="5"/>
      <c r="Z1654" s="5"/>
      <c r="AA1654" s="5"/>
      <c r="AB1654" s="6"/>
      <c r="AC1654" s="6"/>
      <c r="AD1654" s="6"/>
      <c r="AE1654" s="6"/>
      <c r="AF1654" s="6"/>
      <c r="AG1654" s="6"/>
      <c r="AH1654" s="6"/>
      <c r="AI1654" s="6"/>
      <c r="AJ1654" s="6"/>
      <c r="AK1654" s="6"/>
      <c r="AL1654" s="6"/>
      <c r="AM1654" s="6"/>
      <c r="AN1654" s="6"/>
      <c r="AO1654" s="6"/>
      <c r="AP1654" s="6"/>
      <c r="AQ1654" s="6"/>
      <c r="AR1654" s="6"/>
      <c r="AS1654" s="6"/>
      <c r="AT1654" s="6"/>
      <c r="AU1654" s="6"/>
      <c r="AV1654" s="6"/>
      <c r="AW1654" s="6"/>
      <c r="AX1654" s="6"/>
      <c r="AY1654" s="6"/>
      <c r="AZ1654" s="6"/>
      <c r="BA1654" s="6"/>
      <c r="BB1654" s="6"/>
      <c r="BC1654" s="6"/>
      <c r="BD1654" s="6"/>
      <c r="BE1654" s="6"/>
      <c r="BF1654" s="6"/>
      <c r="BG1654" s="6"/>
      <c r="BH1654" s="6"/>
      <c r="BI1654" s="6"/>
      <c r="BJ1654" s="6"/>
      <c r="BK1654" s="6"/>
      <c r="BL1654" s="6"/>
      <c r="BM1654" s="5"/>
      <c r="BN1654" s="7"/>
      <c r="BO1654" s="7"/>
      <c r="BP1654" s="7"/>
    </row>
    <row r="1655" spans="1:68" s="400" customFormat="1" ht="14.25" customHeight="1" x14ac:dyDescent="0.25">
      <c r="A1655" s="5"/>
      <c r="B1655" s="5"/>
      <c r="C1655" s="5"/>
      <c r="D1655" s="5"/>
      <c r="E1655" s="5"/>
      <c r="F1655" s="5"/>
      <c r="G1655" s="5"/>
      <c r="H1655" s="5"/>
      <c r="I1655" s="5"/>
      <c r="J1655" s="5"/>
      <c r="K1655" s="5"/>
      <c r="L1655" s="5"/>
      <c r="M1655" s="5"/>
      <c r="N1655" s="5"/>
      <c r="O1655" s="5"/>
      <c r="P1655" s="5"/>
      <c r="Q1655" s="5"/>
      <c r="R1655" s="5"/>
      <c r="S1655" s="5"/>
      <c r="T1655" s="5"/>
      <c r="U1655" s="5"/>
      <c r="V1655" s="5"/>
      <c r="W1655" s="5"/>
      <c r="X1655" s="5"/>
      <c r="Y1655" s="5"/>
      <c r="Z1655" s="5"/>
      <c r="AA1655" s="5"/>
      <c r="AB1655" s="6"/>
      <c r="AC1655" s="6"/>
      <c r="AD1655" s="6"/>
      <c r="AE1655" s="6"/>
      <c r="AF1655" s="6"/>
      <c r="AG1655" s="6"/>
      <c r="AH1655" s="6"/>
      <c r="AI1655" s="6"/>
      <c r="AJ1655" s="6"/>
      <c r="AK1655" s="6"/>
      <c r="AL1655" s="6"/>
      <c r="AM1655" s="6"/>
      <c r="AN1655" s="6"/>
      <c r="AO1655" s="6"/>
      <c r="AP1655" s="6"/>
      <c r="AQ1655" s="6"/>
      <c r="AR1655" s="6"/>
      <c r="AS1655" s="6"/>
      <c r="AT1655" s="6"/>
      <c r="AU1655" s="6"/>
      <c r="AV1655" s="6"/>
      <c r="AW1655" s="6"/>
      <c r="AX1655" s="6"/>
      <c r="AY1655" s="6"/>
      <c r="AZ1655" s="6"/>
      <c r="BA1655" s="6"/>
      <c r="BB1655" s="6"/>
      <c r="BC1655" s="6"/>
      <c r="BD1655" s="6"/>
      <c r="BE1655" s="6"/>
      <c r="BF1655" s="6"/>
      <c r="BG1655" s="6"/>
      <c r="BH1655" s="6"/>
      <c r="BI1655" s="6"/>
      <c r="BJ1655" s="6"/>
      <c r="BK1655" s="6"/>
      <c r="BL1655" s="6"/>
      <c r="BM1655" s="5"/>
      <c r="BN1655" s="7"/>
      <c r="BO1655" s="7"/>
      <c r="BP1655" s="7"/>
    </row>
    <row r="1656" spans="1:68" s="400" customFormat="1" ht="14.25" customHeight="1" x14ac:dyDescent="0.25">
      <c r="A1656" s="5"/>
      <c r="B1656" s="5"/>
      <c r="C1656" s="5"/>
      <c r="D1656" s="5"/>
      <c r="E1656" s="5"/>
      <c r="F1656" s="5"/>
      <c r="G1656" s="5"/>
      <c r="H1656" s="5"/>
      <c r="I1656" s="5"/>
      <c r="J1656" s="5"/>
      <c r="K1656" s="5"/>
      <c r="L1656" s="5"/>
      <c r="M1656" s="5"/>
      <c r="N1656" s="5"/>
      <c r="O1656" s="5"/>
      <c r="P1656" s="5"/>
      <c r="Q1656" s="5"/>
      <c r="R1656" s="5"/>
      <c r="S1656" s="5"/>
      <c r="T1656" s="5"/>
      <c r="U1656" s="5"/>
      <c r="V1656" s="5"/>
      <c r="W1656" s="5"/>
      <c r="X1656" s="5"/>
      <c r="Y1656" s="5"/>
      <c r="Z1656" s="5"/>
      <c r="AA1656" s="5"/>
      <c r="AB1656" s="6"/>
      <c r="AC1656" s="6"/>
      <c r="AD1656" s="6"/>
      <c r="AE1656" s="6"/>
      <c r="AF1656" s="6"/>
      <c r="AG1656" s="6"/>
      <c r="AH1656" s="6"/>
      <c r="AI1656" s="6"/>
      <c r="AJ1656" s="6"/>
      <c r="AK1656" s="6"/>
      <c r="AL1656" s="6"/>
      <c r="AM1656" s="6"/>
      <c r="AN1656" s="6"/>
      <c r="AO1656" s="6"/>
      <c r="AP1656" s="6"/>
      <c r="AQ1656" s="6"/>
      <c r="AR1656" s="6"/>
      <c r="AS1656" s="6"/>
      <c r="AT1656" s="6"/>
      <c r="AU1656" s="6"/>
      <c r="AV1656" s="6"/>
      <c r="AW1656" s="6"/>
      <c r="AX1656" s="6"/>
      <c r="AY1656" s="6"/>
      <c r="AZ1656" s="6"/>
      <c r="BA1656" s="6"/>
      <c r="BB1656" s="6"/>
      <c r="BC1656" s="6"/>
      <c r="BD1656" s="6"/>
      <c r="BE1656" s="6"/>
      <c r="BF1656" s="6"/>
      <c r="BG1656" s="6"/>
      <c r="BH1656" s="6"/>
      <c r="BI1656" s="6"/>
      <c r="BJ1656" s="6"/>
      <c r="BK1656" s="6"/>
      <c r="BL1656" s="6"/>
      <c r="BM1656" s="5"/>
      <c r="BN1656" s="7"/>
      <c r="BO1656" s="7"/>
      <c r="BP1656" s="7"/>
    </row>
    <row r="1657" spans="1:68" s="400" customFormat="1" ht="14.25" customHeight="1" x14ac:dyDescent="0.25">
      <c r="A1657" s="5"/>
      <c r="B1657" s="5"/>
      <c r="C1657" s="5"/>
      <c r="D1657" s="5"/>
      <c r="E1657" s="5"/>
      <c r="F1657" s="5"/>
      <c r="G1657" s="5"/>
      <c r="H1657" s="5"/>
      <c r="I1657" s="5"/>
      <c r="J1657" s="5"/>
      <c r="K1657" s="5"/>
      <c r="L1657" s="5"/>
      <c r="M1657" s="5"/>
      <c r="N1657" s="5"/>
      <c r="O1657" s="5"/>
      <c r="P1657" s="5"/>
      <c r="Q1657" s="5"/>
      <c r="R1657" s="5"/>
      <c r="S1657" s="5"/>
      <c r="T1657" s="5"/>
      <c r="U1657" s="5"/>
      <c r="V1657" s="5"/>
      <c r="W1657" s="5"/>
      <c r="X1657" s="5"/>
      <c r="Y1657" s="5"/>
      <c r="Z1657" s="5"/>
      <c r="AA1657" s="5"/>
      <c r="AB1657" s="6"/>
      <c r="AC1657" s="6"/>
      <c r="AD1657" s="6"/>
      <c r="AE1657" s="6"/>
      <c r="AF1657" s="6"/>
      <c r="AG1657" s="6"/>
      <c r="AH1657" s="6"/>
      <c r="AI1657" s="6"/>
      <c r="AJ1657" s="6"/>
      <c r="AK1657" s="6"/>
      <c r="AL1657" s="6"/>
      <c r="AM1657" s="6"/>
      <c r="AN1657" s="6"/>
      <c r="AO1657" s="6"/>
      <c r="AP1657" s="6"/>
      <c r="AQ1657" s="6"/>
      <c r="AR1657" s="6"/>
      <c r="AS1657" s="6"/>
      <c r="AT1657" s="6"/>
      <c r="AU1657" s="6"/>
      <c r="AV1657" s="6"/>
      <c r="AW1657" s="6"/>
      <c r="AX1657" s="6"/>
      <c r="AY1657" s="6"/>
      <c r="AZ1657" s="6"/>
      <c r="BA1657" s="6"/>
      <c r="BB1657" s="6"/>
      <c r="BC1657" s="6"/>
      <c r="BD1657" s="6"/>
      <c r="BE1657" s="6"/>
      <c r="BF1657" s="6"/>
      <c r="BG1657" s="6"/>
      <c r="BH1657" s="6"/>
      <c r="BI1657" s="6"/>
      <c r="BJ1657" s="6"/>
      <c r="BK1657" s="6"/>
      <c r="BL1657" s="6"/>
      <c r="BM1657" s="5"/>
      <c r="BN1657" s="7"/>
      <c r="BO1657" s="7"/>
      <c r="BP1657" s="7"/>
    </row>
    <row r="1658" spans="1:68" s="400" customFormat="1" ht="14.25" customHeight="1" x14ac:dyDescent="0.25">
      <c r="A1658" s="5"/>
      <c r="B1658" s="5"/>
      <c r="C1658" s="5"/>
      <c r="D1658" s="5"/>
      <c r="E1658" s="5"/>
      <c r="F1658" s="5"/>
      <c r="G1658" s="5"/>
      <c r="H1658" s="5"/>
      <c r="I1658" s="5"/>
      <c r="J1658" s="5"/>
      <c r="K1658" s="5"/>
      <c r="L1658" s="5"/>
      <c r="M1658" s="5"/>
      <c r="N1658" s="5"/>
      <c r="O1658" s="5"/>
      <c r="P1658" s="5"/>
      <c r="Q1658" s="5"/>
      <c r="R1658" s="5"/>
      <c r="S1658" s="5"/>
      <c r="T1658" s="5"/>
      <c r="U1658" s="5"/>
      <c r="V1658" s="5"/>
      <c r="W1658" s="5"/>
      <c r="X1658" s="5"/>
      <c r="Y1658" s="5"/>
      <c r="Z1658" s="5"/>
      <c r="AA1658" s="5"/>
      <c r="AB1658" s="6"/>
      <c r="AC1658" s="6"/>
      <c r="AD1658" s="6"/>
      <c r="AE1658" s="6"/>
      <c r="AF1658" s="6"/>
      <c r="AG1658" s="6"/>
      <c r="AH1658" s="6"/>
      <c r="AI1658" s="6"/>
      <c r="AJ1658" s="6"/>
      <c r="AK1658" s="6"/>
      <c r="AL1658" s="6"/>
      <c r="AM1658" s="6"/>
      <c r="AN1658" s="6"/>
      <c r="AO1658" s="6"/>
      <c r="AP1658" s="6"/>
      <c r="AQ1658" s="6"/>
      <c r="AR1658" s="6"/>
      <c r="AS1658" s="6"/>
      <c r="AT1658" s="6"/>
      <c r="AU1658" s="6"/>
      <c r="AV1658" s="6"/>
      <c r="AW1658" s="6"/>
      <c r="AX1658" s="6"/>
      <c r="AY1658" s="6"/>
      <c r="AZ1658" s="6"/>
      <c r="BA1658" s="6"/>
      <c r="BB1658" s="6"/>
      <c r="BC1658" s="6"/>
      <c r="BD1658" s="6"/>
      <c r="BE1658" s="6"/>
      <c r="BF1658" s="6"/>
      <c r="BG1658" s="6"/>
      <c r="BH1658" s="6"/>
      <c r="BI1658" s="6"/>
      <c r="BJ1658" s="6"/>
      <c r="BK1658" s="6"/>
      <c r="BL1658" s="6"/>
      <c r="BM1658" s="5"/>
      <c r="BN1658" s="7"/>
      <c r="BO1658" s="7"/>
      <c r="BP1658" s="7"/>
    </row>
    <row r="1659" spans="1:68" s="400" customFormat="1" ht="14.25" customHeight="1" x14ac:dyDescent="0.25">
      <c r="A1659" s="5"/>
      <c r="B1659" s="5"/>
      <c r="C1659" s="5"/>
      <c r="D1659" s="5"/>
      <c r="E1659" s="5"/>
      <c r="F1659" s="5"/>
      <c r="G1659" s="5"/>
      <c r="H1659" s="5"/>
      <c r="I1659" s="5"/>
      <c r="J1659" s="5"/>
      <c r="K1659" s="5"/>
      <c r="L1659" s="5"/>
      <c r="M1659" s="5"/>
      <c r="N1659" s="5"/>
      <c r="O1659" s="5"/>
      <c r="P1659" s="5"/>
      <c r="Q1659" s="5"/>
      <c r="R1659" s="5"/>
      <c r="S1659" s="5"/>
      <c r="T1659" s="5"/>
      <c r="U1659" s="5"/>
      <c r="V1659" s="5"/>
      <c r="W1659" s="5"/>
      <c r="X1659" s="5"/>
      <c r="Y1659" s="5"/>
      <c r="Z1659" s="5"/>
      <c r="AA1659" s="5"/>
      <c r="AB1659" s="6"/>
      <c r="AC1659" s="6"/>
      <c r="AD1659" s="6"/>
      <c r="AE1659" s="6"/>
      <c r="AF1659" s="6"/>
      <c r="AG1659" s="6"/>
      <c r="AH1659" s="6"/>
      <c r="AI1659" s="6"/>
      <c r="AJ1659" s="6"/>
      <c r="AK1659" s="6"/>
      <c r="AL1659" s="6"/>
      <c r="AM1659" s="6"/>
      <c r="AN1659" s="6"/>
      <c r="AO1659" s="6"/>
      <c r="AP1659" s="6"/>
      <c r="AQ1659" s="6"/>
      <c r="AR1659" s="6"/>
      <c r="AS1659" s="6"/>
      <c r="AT1659" s="6"/>
      <c r="AU1659" s="6"/>
      <c r="AV1659" s="6"/>
      <c r="AW1659" s="6"/>
      <c r="AX1659" s="6"/>
      <c r="AY1659" s="6"/>
      <c r="AZ1659" s="6"/>
      <c r="BA1659" s="6"/>
      <c r="BB1659" s="6"/>
      <c r="BC1659" s="6"/>
      <c r="BD1659" s="6"/>
      <c r="BE1659" s="6"/>
      <c r="BF1659" s="6"/>
      <c r="BG1659" s="6"/>
      <c r="BH1659" s="6"/>
      <c r="BI1659" s="6"/>
      <c r="BJ1659" s="6"/>
      <c r="BK1659" s="6"/>
      <c r="BL1659" s="6"/>
      <c r="BM1659" s="5"/>
      <c r="BN1659" s="7"/>
      <c r="BO1659" s="7"/>
      <c r="BP1659" s="7"/>
    </row>
    <row r="1660" spans="1:68" s="400" customFormat="1" ht="14.25" customHeight="1" x14ac:dyDescent="0.25">
      <c r="A1660" s="5"/>
      <c r="B1660" s="5"/>
      <c r="C1660" s="5"/>
      <c r="D1660" s="5"/>
      <c r="E1660" s="5"/>
      <c r="F1660" s="5"/>
      <c r="G1660" s="5"/>
      <c r="H1660" s="5"/>
      <c r="I1660" s="5"/>
      <c r="J1660" s="5"/>
      <c r="K1660" s="5"/>
      <c r="L1660" s="5"/>
      <c r="M1660" s="5"/>
      <c r="N1660" s="5"/>
      <c r="O1660" s="5"/>
      <c r="P1660" s="5"/>
      <c r="Q1660" s="5"/>
      <c r="R1660" s="5"/>
      <c r="S1660" s="5"/>
      <c r="T1660" s="5"/>
      <c r="U1660" s="5"/>
      <c r="V1660" s="5"/>
      <c r="W1660" s="5"/>
      <c r="X1660" s="5"/>
      <c r="Y1660" s="5"/>
      <c r="Z1660" s="5"/>
      <c r="AA1660" s="5"/>
      <c r="AB1660" s="6"/>
      <c r="AC1660" s="6"/>
      <c r="AD1660" s="6"/>
      <c r="AE1660" s="6"/>
      <c r="AF1660" s="6"/>
      <c r="AG1660" s="6"/>
      <c r="AH1660" s="6"/>
      <c r="AI1660" s="6"/>
      <c r="AJ1660" s="6"/>
      <c r="AK1660" s="6"/>
      <c r="AL1660" s="6"/>
      <c r="AM1660" s="6"/>
      <c r="AN1660" s="6"/>
      <c r="AO1660" s="6"/>
      <c r="AP1660" s="6"/>
      <c r="AQ1660" s="6"/>
      <c r="AR1660" s="6"/>
      <c r="AS1660" s="6"/>
      <c r="AT1660" s="6"/>
      <c r="AU1660" s="6"/>
      <c r="AV1660" s="6"/>
      <c r="AW1660" s="6"/>
      <c r="AX1660" s="6"/>
      <c r="AY1660" s="6"/>
      <c r="AZ1660" s="6"/>
      <c r="BA1660" s="6"/>
      <c r="BB1660" s="6"/>
      <c r="BC1660" s="6"/>
      <c r="BD1660" s="6"/>
      <c r="BE1660" s="6"/>
      <c r="BF1660" s="6"/>
      <c r="BG1660" s="6"/>
      <c r="BH1660" s="6"/>
      <c r="BI1660" s="6"/>
      <c r="BJ1660" s="6"/>
      <c r="BK1660" s="6"/>
      <c r="BL1660" s="6"/>
      <c r="BM1660" s="5"/>
      <c r="BN1660" s="7"/>
      <c r="BO1660" s="7"/>
      <c r="BP1660" s="7"/>
    </row>
    <row r="1661" spans="1:68" s="400" customFormat="1" ht="14.25" customHeight="1" x14ac:dyDescent="0.25">
      <c r="A1661" s="5"/>
      <c r="B1661" s="5"/>
      <c r="C1661" s="5"/>
      <c r="D1661" s="5"/>
      <c r="E1661" s="5"/>
      <c r="F1661" s="5"/>
      <c r="G1661" s="5"/>
      <c r="H1661" s="5"/>
      <c r="I1661" s="5"/>
      <c r="J1661" s="5"/>
      <c r="K1661" s="5"/>
      <c r="L1661" s="5"/>
      <c r="M1661" s="5"/>
      <c r="N1661" s="5"/>
      <c r="O1661" s="5"/>
      <c r="P1661" s="5"/>
      <c r="Q1661" s="5"/>
      <c r="R1661" s="5"/>
      <c r="S1661" s="5"/>
      <c r="T1661" s="5"/>
      <c r="U1661" s="5"/>
      <c r="V1661" s="5"/>
      <c r="W1661" s="5"/>
      <c r="X1661" s="5"/>
      <c r="Y1661" s="5"/>
      <c r="Z1661" s="5"/>
      <c r="AA1661" s="5"/>
      <c r="AB1661" s="6"/>
      <c r="AC1661" s="6"/>
      <c r="AD1661" s="6"/>
      <c r="AE1661" s="6"/>
      <c r="AF1661" s="6"/>
      <c r="AG1661" s="6"/>
      <c r="AH1661" s="6"/>
      <c r="AI1661" s="6"/>
      <c r="AJ1661" s="6"/>
      <c r="AK1661" s="6"/>
      <c r="AL1661" s="6"/>
      <c r="AM1661" s="6"/>
      <c r="AN1661" s="6"/>
      <c r="AO1661" s="6"/>
      <c r="AP1661" s="6"/>
      <c r="AQ1661" s="6"/>
      <c r="AR1661" s="6"/>
      <c r="AS1661" s="6"/>
      <c r="AT1661" s="6"/>
      <c r="AU1661" s="6"/>
      <c r="AV1661" s="6"/>
      <c r="AW1661" s="6"/>
      <c r="AX1661" s="6"/>
      <c r="AY1661" s="6"/>
      <c r="AZ1661" s="6"/>
      <c r="BA1661" s="6"/>
      <c r="BB1661" s="6"/>
      <c r="BC1661" s="6"/>
      <c r="BD1661" s="6"/>
      <c r="BE1661" s="6"/>
      <c r="BF1661" s="6"/>
      <c r="BG1661" s="6"/>
      <c r="BH1661" s="6"/>
      <c r="BI1661" s="6"/>
      <c r="BJ1661" s="6"/>
      <c r="BK1661" s="6"/>
      <c r="BL1661" s="6"/>
      <c r="BM1661" s="5"/>
      <c r="BN1661" s="7"/>
      <c r="BO1661" s="7"/>
      <c r="BP1661" s="7"/>
    </row>
    <row r="1662" spans="1:68" s="400" customFormat="1" ht="14.25" customHeight="1" x14ac:dyDescent="0.25">
      <c r="A1662" s="5"/>
      <c r="B1662" s="5"/>
      <c r="C1662" s="5"/>
      <c r="D1662" s="5"/>
      <c r="E1662" s="5"/>
      <c r="F1662" s="5"/>
      <c r="G1662" s="5"/>
      <c r="H1662" s="5"/>
      <c r="I1662" s="5"/>
      <c r="J1662" s="5"/>
      <c r="K1662" s="5"/>
      <c r="L1662" s="5"/>
      <c r="M1662" s="5"/>
      <c r="N1662" s="5"/>
      <c r="O1662" s="5"/>
      <c r="P1662" s="5"/>
      <c r="Q1662" s="5"/>
      <c r="R1662" s="5"/>
      <c r="S1662" s="5"/>
      <c r="T1662" s="5"/>
      <c r="U1662" s="5"/>
      <c r="V1662" s="5"/>
      <c r="W1662" s="5"/>
      <c r="X1662" s="5"/>
      <c r="Y1662" s="5"/>
      <c r="Z1662" s="5"/>
      <c r="AA1662" s="5"/>
      <c r="AB1662" s="6"/>
      <c r="AC1662" s="6"/>
      <c r="AD1662" s="6"/>
      <c r="AE1662" s="6"/>
      <c r="AF1662" s="6"/>
      <c r="AG1662" s="6"/>
      <c r="AH1662" s="6"/>
      <c r="AI1662" s="6"/>
      <c r="AJ1662" s="6"/>
      <c r="AK1662" s="6"/>
      <c r="AL1662" s="6"/>
      <c r="AM1662" s="6"/>
      <c r="AN1662" s="6"/>
      <c r="AO1662" s="6"/>
      <c r="AP1662" s="6"/>
      <c r="AQ1662" s="6"/>
      <c r="AR1662" s="6"/>
      <c r="AS1662" s="6"/>
      <c r="AT1662" s="6"/>
      <c r="AU1662" s="6"/>
      <c r="AV1662" s="6"/>
      <c r="AW1662" s="6"/>
      <c r="AX1662" s="6"/>
      <c r="AY1662" s="6"/>
      <c r="AZ1662" s="6"/>
      <c r="BA1662" s="6"/>
      <c r="BB1662" s="6"/>
      <c r="BC1662" s="6"/>
      <c r="BD1662" s="6"/>
      <c r="BE1662" s="6"/>
      <c r="BF1662" s="6"/>
      <c r="BG1662" s="6"/>
      <c r="BH1662" s="6"/>
      <c r="BI1662" s="6"/>
      <c r="BJ1662" s="6"/>
      <c r="BK1662" s="6"/>
      <c r="BL1662" s="6"/>
      <c r="BM1662" s="5"/>
      <c r="BN1662" s="7"/>
      <c r="BO1662" s="7"/>
      <c r="BP1662" s="7"/>
    </row>
    <row r="1663" spans="1:68" s="400" customFormat="1" ht="14.25" customHeight="1" x14ac:dyDescent="0.25">
      <c r="A1663" s="5"/>
      <c r="B1663" s="5"/>
      <c r="C1663" s="5"/>
      <c r="D1663" s="5"/>
      <c r="E1663" s="5"/>
      <c r="F1663" s="5"/>
      <c r="G1663" s="5"/>
      <c r="H1663" s="5"/>
      <c r="I1663" s="5"/>
      <c r="J1663" s="5"/>
      <c r="K1663" s="5"/>
      <c r="L1663" s="5"/>
      <c r="M1663" s="5"/>
      <c r="N1663" s="5"/>
      <c r="O1663" s="5"/>
      <c r="P1663" s="5"/>
      <c r="Q1663" s="5"/>
      <c r="R1663" s="5"/>
      <c r="S1663" s="5"/>
      <c r="T1663" s="5"/>
      <c r="U1663" s="5"/>
      <c r="V1663" s="5"/>
      <c r="W1663" s="5"/>
      <c r="X1663" s="5"/>
      <c r="Y1663" s="5"/>
      <c r="Z1663" s="5"/>
      <c r="AA1663" s="5"/>
      <c r="AB1663" s="6"/>
      <c r="AC1663" s="6"/>
      <c r="AD1663" s="6"/>
      <c r="AE1663" s="6"/>
      <c r="AF1663" s="6"/>
      <c r="AG1663" s="6"/>
      <c r="AH1663" s="6"/>
      <c r="AI1663" s="6"/>
      <c r="AJ1663" s="6"/>
      <c r="AK1663" s="6"/>
      <c r="AL1663" s="6"/>
      <c r="AM1663" s="6"/>
      <c r="AN1663" s="6"/>
      <c r="AO1663" s="6"/>
      <c r="AP1663" s="6"/>
      <c r="AQ1663" s="6"/>
      <c r="AR1663" s="6"/>
      <c r="AS1663" s="6"/>
      <c r="AT1663" s="6"/>
      <c r="AU1663" s="6"/>
      <c r="AV1663" s="6"/>
      <c r="AW1663" s="6"/>
      <c r="AX1663" s="6"/>
      <c r="AY1663" s="6"/>
      <c r="AZ1663" s="6"/>
      <c r="BA1663" s="6"/>
      <c r="BB1663" s="6"/>
      <c r="BC1663" s="6"/>
      <c r="BD1663" s="6"/>
      <c r="BE1663" s="6"/>
      <c r="BF1663" s="6"/>
      <c r="BG1663" s="6"/>
      <c r="BH1663" s="6"/>
      <c r="BI1663" s="6"/>
      <c r="BJ1663" s="6"/>
      <c r="BK1663" s="6"/>
      <c r="BL1663" s="6"/>
      <c r="BM1663" s="5"/>
      <c r="BN1663" s="7"/>
      <c r="BO1663" s="7"/>
      <c r="BP1663" s="7"/>
    </row>
    <row r="1664" spans="1:68" s="400" customFormat="1" ht="14.25" customHeight="1" x14ac:dyDescent="0.25">
      <c r="A1664" s="5"/>
      <c r="B1664" s="5"/>
      <c r="C1664" s="5"/>
      <c r="D1664" s="5"/>
      <c r="E1664" s="5"/>
      <c r="F1664" s="5"/>
      <c r="G1664" s="5"/>
      <c r="H1664" s="5"/>
      <c r="I1664" s="5"/>
      <c r="J1664" s="5"/>
      <c r="K1664" s="5"/>
      <c r="L1664" s="5"/>
      <c r="M1664" s="5"/>
      <c r="N1664" s="5"/>
      <c r="O1664" s="5"/>
      <c r="P1664" s="5"/>
      <c r="Q1664" s="5"/>
      <c r="R1664" s="5"/>
      <c r="S1664" s="5"/>
      <c r="T1664" s="5"/>
      <c r="U1664" s="5"/>
      <c r="V1664" s="5"/>
      <c r="W1664" s="5"/>
      <c r="X1664" s="5"/>
      <c r="Y1664" s="5"/>
      <c r="Z1664" s="5"/>
      <c r="AA1664" s="5"/>
      <c r="AB1664" s="6"/>
      <c r="AC1664" s="6"/>
      <c r="AD1664" s="6"/>
      <c r="AE1664" s="6"/>
      <c r="AF1664" s="6"/>
      <c r="AG1664" s="6"/>
      <c r="AH1664" s="6"/>
      <c r="AI1664" s="6"/>
      <c r="AJ1664" s="6"/>
      <c r="AK1664" s="6"/>
      <c r="AL1664" s="6"/>
      <c r="AM1664" s="6"/>
      <c r="AN1664" s="6"/>
      <c r="AO1664" s="6"/>
      <c r="AP1664" s="6"/>
      <c r="AQ1664" s="6"/>
      <c r="AR1664" s="6"/>
      <c r="AS1664" s="6"/>
      <c r="AT1664" s="6"/>
      <c r="AU1664" s="6"/>
      <c r="AV1664" s="6"/>
      <c r="AW1664" s="6"/>
      <c r="AX1664" s="6"/>
      <c r="AY1664" s="6"/>
      <c r="AZ1664" s="6"/>
      <c r="BA1664" s="6"/>
      <c r="BB1664" s="6"/>
      <c r="BC1664" s="6"/>
      <c r="BD1664" s="6"/>
      <c r="BE1664" s="6"/>
      <c r="BF1664" s="6"/>
      <c r="BG1664" s="6"/>
      <c r="BH1664" s="6"/>
      <c r="BI1664" s="6"/>
      <c r="BJ1664" s="6"/>
      <c r="BK1664" s="6"/>
      <c r="BL1664" s="6"/>
      <c r="BM1664" s="5"/>
      <c r="BN1664" s="7"/>
      <c r="BO1664" s="7"/>
      <c r="BP1664" s="7"/>
    </row>
    <row r="1665" spans="1:68" s="400" customFormat="1" ht="14.25" customHeight="1" x14ac:dyDescent="0.25">
      <c r="A1665" s="5"/>
      <c r="B1665" s="5"/>
      <c r="C1665" s="5"/>
      <c r="D1665" s="5"/>
      <c r="E1665" s="5"/>
      <c r="F1665" s="5"/>
      <c r="G1665" s="5"/>
      <c r="H1665" s="5"/>
      <c r="I1665" s="5"/>
      <c r="J1665" s="5"/>
      <c r="K1665" s="5"/>
      <c r="L1665" s="5"/>
      <c r="M1665" s="5"/>
      <c r="N1665" s="5"/>
      <c r="O1665" s="5"/>
      <c r="P1665" s="5"/>
      <c r="Q1665" s="5"/>
      <c r="R1665" s="5"/>
      <c r="S1665" s="5"/>
      <c r="T1665" s="5"/>
      <c r="U1665" s="5"/>
      <c r="V1665" s="5"/>
      <c r="W1665" s="5"/>
      <c r="X1665" s="5"/>
      <c r="Y1665" s="5"/>
      <c r="Z1665" s="5"/>
      <c r="AA1665" s="5"/>
      <c r="AB1665" s="6"/>
      <c r="AC1665" s="6"/>
      <c r="AD1665" s="6"/>
      <c r="AE1665" s="6"/>
      <c r="AF1665" s="6"/>
      <c r="AG1665" s="6"/>
      <c r="AH1665" s="6"/>
      <c r="AI1665" s="6"/>
      <c r="AJ1665" s="6"/>
      <c r="AK1665" s="6"/>
      <c r="AL1665" s="6"/>
      <c r="AM1665" s="6"/>
      <c r="AN1665" s="6"/>
      <c r="AO1665" s="6"/>
      <c r="AP1665" s="6"/>
      <c r="AQ1665" s="6"/>
      <c r="AR1665" s="6"/>
      <c r="AS1665" s="6"/>
      <c r="AT1665" s="6"/>
      <c r="AU1665" s="6"/>
      <c r="AV1665" s="6"/>
      <c r="AW1665" s="6"/>
      <c r="AX1665" s="6"/>
      <c r="AY1665" s="6"/>
      <c r="AZ1665" s="6"/>
      <c r="BA1665" s="6"/>
      <c r="BB1665" s="6"/>
      <c r="BC1665" s="6"/>
      <c r="BD1665" s="6"/>
      <c r="BE1665" s="6"/>
      <c r="BF1665" s="6"/>
      <c r="BG1665" s="6"/>
      <c r="BH1665" s="6"/>
      <c r="BI1665" s="6"/>
      <c r="BJ1665" s="6"/>
      <c r="BK1665" s="6"/>
      <c r="BL1665" s="6"/>
      <c r="BM1665" s="5"/>
      <c r="BN1665" s="7"/>
      <c r="BO1665" s="7"/>
      <c r="BP1665" s="7"/>
    </row>
    <row r="1666" spans="1:68" s="400" customFormat="1" ht="14.25" customHeight="1" x14ac:dyDescent="0.25">
      <c r="A1666" s="5"/>
      <c r="B1666" s="5"/>
      <c r="C1666" s="5"/>
      <c r="D1666" s="5"/>
      <c r="E1666" s="5"/>
      <c r="F1666" s="5"/>
      <c r="G1666" s="5"/>
      <c r="H1666" s="5"/>
      <c r="I1666" s="5"/>
      <c r="J1666" s="5"/>
      <c r="K1666" s="5"/>
      <c r="L1666" s="5"/>
      <c r="M1666" s="5"/>
      <c r="N1666" s="5"/>
      <c r="O1666" s="5"/>
      <c r="P1666" s="5"/>
      <c r="Q1666" s="5"/>
      <c r="R1666" s="5"/>
      <c r="S1666" s="5"/>
      <c r="T1666" s="5"/>
      <c r="U1666" s="5"/>
      <c r="V1666" s="5"/>
      <c r="W1666" s="5"/>
      <c r="X1666" s="5"/>
      <c r="Y1666" s="5"/>
      <c r="Z1666" s="5"/>
      <c r="AA1666" s="5"/>
      <c r="AB1666" s="6"/>
      <c r="AC1666" s="6"/>
      <c r="AD1666" s="6"/>
      <c r="AE1666" s="6"/>
      <c r="AF1666" s="6"/>
      <c r="AG1666" s="6"/>
      <c r="AH1666" s="6"/>
      <c r="AI1666" s="6"/>
      <c r="AJ1666" s="6"/>
      <c r="AK1666" s="6"/>
      <c r="AL1666" s="6"/>
      <c r="AM1666" s="6"/>
      <c r="AN1666" s="6"/>
      <c r="AO1666" s="6"/>
      <c r="AP1666" s="6"/>
      <c r="AQ1666" s="6"/>
      <c r="AR1666" s="6"/>
      <c r="AS1666" s="6"/>
      <c r="AT1666" s="6"/>
      <c r="AU1666" s="6"/>
      <c r="AV1666" s="6"/>
      <c r="AW1666" s="6"/>
      <c r="AX1666" s="6"/>
      <c r="AY1666" s="6"/>
      <c r="AZ1666" s="6"/>
      <c r="BA1666" s="6"/>
      <c r="BB1666" s="6"/>
      <c r="BC1666" s="6"/>
      <c r="BD1666" s="6"/>
      <c r="BE1666" s="6"/>
      <c r="BF1666" s="6"/>
      <c r="BG1666" s="6"/>
      <c r="BH1666" s="6"/>
      <c r="BI1666" s="6"/>
      <c r="BJ1666" s="6"/>
      <c r="BK1666" s="6"/>
      <c r="BL1666" s="6"/>
      <c r="BM1666" s="5"/>
      <c r="BN1666" s="7"/>
      <c r="BO1666" s="7"/>
      <c r="BP1666" s="7"/>
    </row>
    <row r="1667" spans="1:68" s="400" customFormat="1" ht="14.25" customHeight="1" x14ac:dyDescent="0.25">
      <c r="A1667" s="5"/>
      <c r="B1667" s="5"/>
      <c r="C1667" s="5"/>
      <c r="D1667" s="5"/>
      <c r="E1667" s="5"/>
      <c r="F1667" s="5"/>
      <c r="G1667" s="5"/>
      <c r="H1667" s="5"/>
      <c r="I1667" s="5"/>
      <c r="J1667" s="5"/>
      <c r="K1667" s="5"/>
      <c r="L1667" s="5"/>
      <c r="M1667" s="5"/>
      <c r="N1667" s="5"/>
      <c r="O1667" s="5"/>
      <c r="P1667" s="5"/>
      <c r="Q1667" s="5"/>
      <c r="R1667" s="5"/>
      <c r="S1667" s="5"/>
      <c r="T1667" s="5"/>
      <c r="U1667" s="5"/>
      <c r="V1667" s="5"/>
      <c r="W1667" s="5"/>
      <c r="X1667" s="5"/>
      <c r="Y1667" s="5"/>
      <c r="Z1667" s="5"/>
      <c r="AA1667" s="5"/>
      <c r="AB1667" s="6"/>
      <c r="AC1667" s="6"/>
      <c r="AD1667" s="6"/>
      <c r="AE1667" s="6"/>
      <c r="AF1667" s="6"/>
      <c r="AG1667" s="6"/>
      <c r="AH1667" s="6"/>
      <c r="AI1667" s="6"/>
      <c r="AJ1667" s="6"/>
      <c r="AK1667" s="6"/>
      <c r="AL1667" s="6"/>
      <c r="AM1667" s="6"/>
      <c r="AN1667" s="6"/>
      <c r="AO1667" s="6"/>
      <c r="AP1667" s="6"/>
      <c r="AQ1667" s="6"/>
      <c r="AR1667" s="6"/>
      <c r="AS1667" s="6"/>
      <c r="AT1667" s="6"/>
      <c r="AU1667" s="6"/>
      <c r="AV1667" s="6"/>
      <c r="AW1667" s="6"/>
      <c r="AX1667" s="6"/>
      <c r="AY1667" s="6"/>
      <c r="AZ1667" s="6"/>
      <c r="BA1667" s="6"/>
      <c r="BB1667" s="6"/>
      <c r="BC1667" s="6"/>
      <c r="BD1667" s="6"/>
      <c r="BE1667" s="6"/>
      <c r="BF1667" s="6"/>
      <c r="BG1667" s="6"/>
      <c r="BH1667" s="6"/>
      <c r="BI1667" s="6"/>
      <c r="BJ1667" s="6"/>
      <c r="BK1667" s="6"/>
      <c r="BL1667" s="6"/>
      <c r="BM1667" s="5"/>
      <c r="BN1667" s="7"/>
      <c r="BO1667" s="7"/>
      <c r="BP1667" s="7"/>
    </row>
    <row r="1668" spans="1:68" s="400" customFormat="1" ht="14.25" customHeight="1" x14ac:dyDescent="0.25">
      <c r="A1668" s="5"/>
      <c r="B1668" s="5"/>
      <c r="C1668" s="5"/>
      <c r="D1668" s="5"/>
      <c r="E1668" s="5"/>
      <c r="F1668" s="5"/>
      <c r="G1668" s="5"/>
      <c r="H1668" s="5"/>
      <c r="I1668" s="5"/>
      <c r="J1668" s="5"/>
      <c r="K1668" s="5"/>
      <c r="L1668" s="5"/>
      <c r="M1668" s="5"/>
      <c r="N1668" s="5"/>
      <c r="O1668" s="5"/>
      <c r="P1668" s="5"/>
      <c r="Q1668" s="5"/>
      <c r="R1668" s="5"/>
      <c r="S1668" s="5"/>
      <c r="T1668" s="5"/>
      <c r="U1668" s="5"/>
      <c r="V1668" s="5"/>
      <c r="W1668" s="5"/>
      <c r="X1668" s="5"/>
      <c r="Y1668" s="5"/>
      <c r="Z1668" s="5"/>
      <c r="AA1668" s="5"/>
      <c r="AB1668" s="6"/>
      <c r="AC1668" s="6"/>
      <c r="AD1668" s="6"/>
      <c r="AE1668" s="6"/>
      <c r="AF1668" s="6"/>
      <c r="AG1668" s="6"/>
      <c r="AH1668" s="6"/>
      <c r="AI1668" s="6"/>
      <c r="AJ1668" s="6"/>
      <c r="AK1668" s="6"/>
      <c r="AL1668" s="6"/>
      <c r="AM1668" s="6"/>
      <c r="AN1668" s="6"/>
      <c r="AO1668" s="6"/>
      <c r="AP1668" s="6"/>
      <c r="AQ1668" s="6"/>
      <c r="AR1668" s="6"/>
      <c r="AS1668" s="6"/>
      <c r="AT1668" s="6"/>
      <c r="AU1668" s="6"/>
      <c r="AV1668" s="6"/>
      <c r="AW1668" s="6"/>
      <c r="AX1668" s="6"/>
      <c r="AY1668" s="6"/>
      <c r="AZ1668" s="6"/>
      <c r="BA1668" s="6"/>
      <c r="BB1668" s="6"/>
      <c r="BC1668" s="6"/>
      <c r="BD1668" s="6"/>
      <c r="BE1668" s="6"/>
      <c r="BF1668" s="6"/>
      <c r="BG1668" s="6"/>
      <c r="BH1668" s="6"/>
      <c r="BI1668" s="6"/>
      <c r="BJ1668" s="6"/>
      <c r="BK1668" s="6"/>
      <c r="BL1668" s="6"/>
      <c r="BM1668" s="5"/>
      <c r="BN1668" s="7"/>
      <c r="BO1668" s="7"/>
      <c r="BP1668" s="7"/>
    </row>
    <row r="1669" spans="1:68" s="400" customFormat="1" ht="14.25" customHeight="1" x14ac:dyDescent="0.25">
      <c r="A1669" s="5"/>
      <c r="B1669" s="5"/>
      <c r="C1669" s="5"/>
      <c r="D1669" s="5"/>
      <c r="E1669" s="5"/>
      <c r="F1669" s="5"/>
      <c r="G1669" s="5"/>
      <c r="H1669" s="5"/>
      <c r="I1669" s="5"/>
      <c r="J1669" s="5"/>
      <c r="K1669" s="5"/>
      <c r="L1669" s="5"/>
      <c r="M1669" s="5"/>
      <c r="N1669" s="5"/>
      <c r="O1669" s="5"/>
      <c r="P1669" s="5"/>
      <c r="Q1669" s="5"/>
      <c r="R1669" s="5"/>
      <c r="S1669" s="5"/>
      <c r="T1669" s="5"/>
      <c r="U1669" s="5"/>
      <c r="V1669" s="5"/>
      <c r="W1669" s="5"/>
      <c r="X1669" s="5"/>
      <c r="Y1669" s="5"/>
      <c r="Z1669" s="5"/>
      <c r="AA1669" s="5"/>
      <c r="AB1669" s="6"/>
      <c r="AC1669" s="6"/>
      <c r="AD1669" s="6"/>
      <c r="AE1669" s="6"/>
      <c r="AF1669" s="6"/>
      <c r="AG1669" s="6"/>
      <c r="AH1669" s="6"/>
      <c r="AI1669" s="6"/>
      <c r="AJ1669" s="6"/>
      <c r="AK1669" s="6"/>
      <c r="AL1669" s="6"/>
      <c r="AM1669" s="6"/>
      <c r="AN1669" s="6"/>
      <c r="AO1669" s="6"/>
      <c r="AP1669" s="6"/>
      <c r="AQ1669" s="6"/>
      <c r="AR1669" s="6"/>
      <c r="AS1669" s="6"/>
      <c r="AT1669" s="6"/>
      <c r="AU1669" s="6"/>
      <c r="AV1669" s="6"/>
      <c r="AW1669" s="6"/>
      <c r="AX1669" s="6"/>
      <c r="AY1669" s="6"/>
      <c r="AZ1669" s="6"/>
      <c r="BA1669" s="6"/>
      <c r="BB1669" s="6"/>
      <c r="BC1669" s="6"/>
      <c r="BD1669" s="6"/>
      <c r="BE1669" s="6"/>
      <c r="BF1669" s="6"/>
      <c r="BG1669" s="6"/>
      <c r="BH1669" s="6"/>
      <c r="BI1669" s="6"/>
      <c r="BJ1669" s="6"/>
      <c r="BK1669" s="6"/>
      <c r="BL1669" s="6"/>
      <c r="BM1669" s="5"/>
      <c r="BN1669" s="7"/>
      <c r="BO1669" s="7"/>
      <c r="BP1669" s="7"/>
    </row>
    <row r="1670" spans="1:68" s="400" customFormat="1" ht="14.25" customHeight="1" x14ac:dyDescent="0.25">
      <c r="A1670" s="5"/>
      <c r="B1670" s="5"/>
      <c r="C1670" s="5"/>
      <c r="D1670" s="5"/>
      <c r="E1670" s="5"/>
      <c r="F1670" s="5"/>
      <c r="G1670" s="5"/>
      <c r="H1670" s="5"/>
      <c r="I1670" s="5"/>
      <c r="J1670" s="5"/>
      <c r="K1670" s="5"/>
      <c r="L1670" s="5"/>
      <c r="M1670" s="5"/>
      <c r="N1670" s="5"/>
      <c r="O1670" s="5"/>
      <c r="P1670" s="5"/>
      <c r="Q1670" s="5"/>
      <c r="R1670" s="5"/>
      <c r="S1670" s="5"/>
      <c r="T1670" s="5"/>
      <c r="U1670" s="5"/>
      <c r="V1670" s="5"/>
      <c r="W1670" s="5"/>
      <c r="X1670" s="5"/>
      <c r="Y1670" s="5"/>
      <c r="Z1670" s="5"/>
      <c r="AA1670" s="5"/>
      <c r="AB1670" s="6"/>
      <c r="AC1670" s="6"/>
      <c r="AD1670" s="6"/>
      <c r="AE1670" s="6"/>
      <c r="AF1670" s="6"/>
      <c r="AG1670" s="6"/>
      <c r="AH1670" s="6"/>
      <c r="AI1670" s="6"/>
      <c r="AJ1670" s="6"/>
      <c r="AK1670" s="6"/>
      <c r="AL1670" s="6"/>
      <c r="AM1670" s="6"/>
      <c r="AN1670" s="6"/>
      <c r="AO1670" s="6"/>
      <c r="AP1670" s="6"/>
      <c r="AQ1670" s="6"/>
      <c r="AR1670" s="6"/>
      <c r="AS1670" s="6"/>
      <c r="AT1670" s="6"/>
      <c r="AU1670" s="6"/>
      <c r="AV1670" s="6"/>
      <c r="AW1670" s="6"/>
      <c r="AX1670" s="6"/>
      <c r="AY1670" s="6"/>
      <c r="AZ1670" s="6"/>
      <c r="BA1670" s="6"/>
      <c r="BB1670" s="6"/>
      <c r="BC1670" s="6"/>
      <c r="BD1670" s="6"/>
      <c r="BE1670" s="6"/>
      <c r="BF1670" s="6"/>
      <c r="BG1670" s="6"/>
      <c r="BH1670" s="6"/>
      <c r="BI1670" s="6"/>
      <c r="BJ1670" s="6"/>
      <c r="BK1670" s="6"/>
      <c r="BL1670" s="6"/>
      <c r="BM1670" s="5"/>
      <c r="BN1670" s="7"/>
      <c r="BO1670" s="7"/>
      <c r="BP1670" s="7"/>
    </row>
    <row r="1671" spans="1:68" s="400" customFormat="1" ht="14.25" customHeight="1" x14ac:dyDescent="0.25">
      <c r="A1671" s="5"/>
      <c r="B1671" s="5"/>
      <c r="C1671" s="5"/>
      <c r="D1671" s="5"/>
      <c r="E1671" s="5"/>
      <c r="F1671" s="5"/>
      <c r="G1671" s="5"/>
      <c r="H1671" s="5"/>
      <c r="I1671" s="5"/>
      <c r="J1671" s="5"/>
      <c r="K1671" s="5"/>
      <c r="L1671" s="5"/>
      <c r="M1671" s="5"/>
      <c r="N1671" s="5"/>
      <c r="O1671" s="5"/>
      <c r="P1671" s="5"/>
      <c r="Q1671" s="5"/>
      <c r="R1671" s="5"/>
      <c r="S1671" s="5"/>
      <c r="T1671" s="5"/>
      <c r="U1671" s="5"/>
      <c r="V1671" s="5"/>
      <c r="W1671" s="5"/>
      <c r="X1671" s="5"/>
      <c r="Y1671" s="5"/>
      <c r="Z1671" s="5"/>
      <c r="AA1671" s="5"/>
      <c r="AB1671" s="6"/>
      <c r="AC1671" s="6"/>
      <c r="AD1671" s="6"/>
      <c r="AE1671" s="6"/>
      <c r="AF1671" s="6"/>
      <c r="AG1671" s="6"/>
      <c r="AH1671" s="6"/>
      <c r="AI1671" s="6"/>
      <c r="AJ1671" s="6"/>
      <c r="AK1671" s="6"/>
      <c r="AL1671" s="6"/>
      <c r="AM1671" s="6"/>
      <c r="AN1671" s="6"/>
      <c r="AO1671" s="6"/>
      <c r="AP1671" s="6"/>
      <c r="AQ1671" s="6"/>
      <c r="AR1671" s="6"/>
      <c r="AS1671" s="6"/>
      <c r="AT1671" s="6"/>
      <c r="AU1671" s="6"/>
      <c r="AV1671" s="6"/>
      <c r="AW1671" s="6"/>
      <c r="AX1671" s="6"/>
      <c r="AY1671" s="6"/>
      <c r="AZ1671" s="6"/>
      <c r="BA1671" s="6"/>
      <c r="BB1671" s="6"/>
      <c r="BC1671" s="6"/>
      <c r="BD1671" s="6"/>
      <c r="BE1671" s="6"/>
      <c r="BF1671" s="6"/>
      <c r="BG1671" s="6"/>
      <c r="BH1671" s="6"/>
      <c r="BI1671" s="6"/>
      <c r="BJ1671" s="6"/>
      <c r="BK1671" s="6"/>
      <c r="BL1671" s="6"/>
      <c r="BM1671" s="5"/>
      <c r="BN1671" s="7"/>
      <c r="BO1671" s="7"/>
      <c r="BP1671" s="7"/>
    </row>
    <row r="1672" spans="1:68" s="400" customFormat="1" ht="14.25" customHeight="1" x14ac:dyDescent="0.25">
      <c r="A1672" s="5"/>
      <c r="B1672" s="5"/>
      <c r="C1672" s="5"/>
      <c r="D1672" s="5"/>
      <c r="E1672" s="5"/>
      <c r="F1672" s="5"/>
      <c r="G1672" s="5"/>
      <c r="H1672" s="5"/>
      <c r="I1672" s="5"/>
      <c r="J1672" s="5"/>
      <c r="K1672" s="5"/>
      <c r="L1672" s="5"/>
      <c r="M1672" s="5"/>
      <c r="N1672" s="5"/>
      <c r="O1672" s="5"/>
      <c r="P1672" s="5"/>
      <c r="Q1672" s="5"/>
      <c r="R1672" s="5"/>
      <c r="S1672" s="5"/>
      <c r="T1672" s="5"/>
      <c r="U1672" s="5"/>
      <c r="V1672" s="5"/>
      <c r="W1672" s="5"/>
      <c r="X1672" s="5"/>
      <c r="Y1672" s="5"/>
      <c r="Z1672" s="5"/>
      <c r="AA1672" s="5"/>
      <c r="AB1672" s="6"/>
      <c r="AC1672" s="6"/>
      <c r="AD1672" s="6"/>
      <c r="AE1672" s="6"/>
      <c r="AF1672" s="6"/>
      <c r="AG1672" s="6"/>
      <c r="AH1672" s="6"/>
      <c r="AI1672" s="6"/>
      <c r="AJ1672" s="6"/>
      <c r="AK1672" s="6"/>
      <c r="AL1672" s="6"/>
      <c r="AM1672" s="6"/>
      <c r="AN1672" s="6"/>
      <c r="AO1672" s="6"/>
      <c r="AP1672" s="6"/>
      <c r="AQ1672" s="6"/>
      <c r="AR1672" s="6"/>
      <c r="AS1672" s="6"/>
      <c r="AT1672" s="6"/>
      <c r="AU1672" s="6"/>
      <c r="AV1672" s="6"/>
      <c r="AW1672" s="6"/>
      <c r="AX1672" s="6"/>
      <c r="AY1672" s="6"/>
      <c r="AZ1672" s="6"/>
      <c r="BA1672" s="6"/>
      <c r="BB1672" s="6"/>
      <c r="BC1672" s="6"/>
      <c r="BD1672" s="6"/>
      <c r="BE1672" s="6"/>
      <c r="BF1672" s="6"/>
      <c r="BG1672" s="6"/>
      <c r="BH1672" s="6"/>
      <c r="BI1672" s="6"/>
      <c r="BJ1672" s="6"/>
      <c r="BK1672" s="6"/>
      <c r="BL1672" s="6"/>
      <c r="BM1672" s="5"/>
      <c r="BN1672" s="7"/>
      <c r="BO1672" s="7"/>
      <c r="BP1672" s="7"/>
    </row>
    <row r="1673" spans="1:68" s="400" customFormat="1" ht="14.25" customHeight="1" x14ac:dyDescent="0.25">
      <c r="A1673" s="5"/>
      <c r="B1673" s="5"/>
      <c r="C1673" s="5"/>
      <c r="D1673" s="5"/>
      <c r="E1673" s="5"/>
      <c r="F1673" s="5"/>
      <c r="G1673" s="5"/>
      <c r="H1673" s="5"/>
      <c r="I1673" s="5"/>
      <c r="J1673" s="5"/>
      <c r="K1673" s="5"/>
      <c r="L1673" s="5"/>
      <c r="M1673" s="5"/>
      <c r="N1673" s="5"/>
      <c r="O1673" s="5"/>
      <c r="P1673" s="5"/>
      <c r="Q1673" s="5"/>
      <c r="R1673" s="5"/>
      <c r="S1673" s="5"/>
      <c r="T1673" s="5"/>
      <c r="U1673" s="5"/>
      <c r="V1673" s="5"/>
      <c r="W1673" s="5"/>
      <c r="X1673" s="5"/>
      <c r="Y1673" s="5"/>
      <c r="Z1673" s="5"/>
      <c r="AA1673" s="5"/>
      <c r="AB1673" s="6"/>
      <c r="AC1673" s="6"/>
      <c r="AD1673" s="6"/>
      <c r="AE1673" s="6"/>
      <c r="AF1673" s="6"/>
      <c r="AG1673" s="6"/>
      <c r="AH1673" s="6"/>
      <c r="AI1673" s="6"/>
      <c r="AJ1673" s="6"/>
      <c r="AK1673" s="6"/>
      <c r="AL1673" s="6"/>
      <c r="AM1673" s="6"/>
      <c r="AN1673" s="6"/>
      <c r="AO1673" s="6"/>
      <c r="AP1673" s="6"/>
      <c r="AQ1673" s="6"/>
      <c r="AR1673" s="6"/>
      <c r="AS1673" s="6"/>
      <c r="AT1673" s="6"/>
      <c r="AU1673" s="6"/>
      <c r="AV1673" s="6"/>
      <c r="AW1673" s="6"/>
      <c r="AX1673" s="6"/>
      <c r="AY1673" s="6"/>
      <c r="AZ1673" s="6"/>
      <c r="BA1673" s="6"/>
      <c r="BB1673" s="6"/>
      <c r="BC1673" s="6"/>
      <c r="BD1673" s="6"/>
      <c r="BE1673" s="6"/>
      <c r="BF1673" s="6"/>
      <c r="BG1673" s="6"/>
      <c r="BH1673" s="6"/>
      <c r="BI1673" s="6"/>
      <c r="BJ1673" s="6"/>
      <c r="BK1673" s="6"/>
      <c r="BL1673" s="6"/>
      <c r="BM1673" s="5"/>
      <c r="BN1673" s="7"/>
      <c r="BO1673" s="7"/>
      <c r="BP1673" s="7"/>
    </row>
    <row r="1674" spans="1:68" s="400" customFormat="1" ht="14.25" customHeight="1" x14ac:dyDescent="0.25">
      <c r="A1674" s="5"/>
      <c r="B1674" s="5"/>
      <c r="C1674" s="5"/>
      <c r="D1674" s="5"/>
      <c r="E1674" s="5"/>
      <c r="F1674" s="5"/>
      <c r="G1674" s="5"/>
      <c r="H1674" s="5"/>
      <c r="I1674" s="5"/>
      <c r="J1674" s="5"/>
      <c r="K1674" s="5"/>
      <c r="L1674" s="5"/>
      <c r="M1674" s="5"/>
      <c r="N1674" s="5"/>
      <c r="O1674" s="5"/>
      <c r="P1674" s="5"/>
      <c r="Q1674" s="5"/>
      <c r="R1674" s="5"/>
      <c r="S1674" s="5"/>
      <c r="T1674" s="5"/>
      <c r="U1674" s="5"/>
      <c r="V1674" s="5"/>
      <c r="W1674" s="5"/>
      <c r="X1674" s="5"/>
      <c r="Y1674" s="5"/>
      <c r="Z1674" s="5"/>
      <c r="AA1674" s="5"/>
      <c r="AB1674" s="6"/>
      <c r="AC1674" s="6"/>
      <c r="AD1674" s="6"/>
      <c r="AE1674" s="6"/>
      <c r="AF1674" s="6"/>
      <c r="AG1674" s="6"/>
      <c r="AH1674" s="6"/>
      <c r="AI1674" s="6"/>
      <c r="AJ1674" s="6"/>
      <c r="AK1674" s="6"/>
      <c r="AL1674" s="6"/>
      <c r="AM1674" s="6"/>
      <c r="AN1674" s="6"/>
      <c r="AO1674" s="6"/>
      <c r="AP1674" s="6"/>
      <c r="AQ1674" s="6"/>
      <c r="AR1674" s="6"/>
      <c r="AS1674" s="6"/>
      <c r="AT1674" s="6"/>
      <c r="AU1674" s="6"/>
      <c r="AV1674" s="6"/>
      <c r="AW1674" s="6"/>
      <c r="AX1674" s="6"/>
      <c r="AY1674" s="6"/>
      <c r="AZ1674" s="6"/>
      <c r="BA1674" s="6"/>
      <c r="BB1674" s="6"/>
      <c r="BC1674" s="6"/>
      <c r="BD1674" s="6"/>
      <c r="BE1674" s="6"/>
      <c r="BF1674" s="6"/>
      <c r="BG1674" s="6"/>
      <c r="BH1674" s="6"/>
      <c r="BI1674" s="6"/>
      <c r="BJ1674" s="6"/>
      <c r="BK1674" s="6"/>
      <c r="BL1674" s="6"/>
      <c r="BM1674" s="5"/>
      <c r="BN1674" s="7"/>
      <c r="BO1674" s="7"/>
      <c r="BP1674" s="7"/>
    </row>
    <row r="1675" spans="1:68" s="400" customFormat="1" ht="14.25" customHeight="1" x14ac:dyDescent="0.25">
      <c r="A1675" s="5"/>
      <c r="B1675" s="5"/>
      <c r="C1675" s="5"/>
      <c r="D1675" s="5"/>
      <c r="E1675" s="5"/>
      <c r="F1675" s="5"/>
      <c r="G1675" s="5"/>
      <c r="H1675" s="5"/>
      <c r="I1675" s="5"/>
      <c r="J1675" s="5"/>
      <c r="K1675" s="5"/>
      <c r="L1675" s="5"/>
      <c r="M1675" s="5"/>
      <c r="N1675" s="5"/>
      <c r="O1675" s="5"/>
      <c r="P1675" s="5"/>
      <c r="Q1675" s="5"/>
      <c r="R1675" s="5"/>
      <c r="S1675" s="5"/>
      <c r="T1675" s="5"/>
      <c r="U1675" s="5"/>
      <c r="V1675" s="5"/>
      <c r="W1675" s="5"/>
      <c r="X1675" s="5"/>
      <c r="Y1675" s="5"/>
      <c r="Z1675" s="5"/>
      <c r="AA1675" s="5"/>
      <c r="AB1675" s="6"/>
      <c r="AC1675" s="6"/>
      <c r="AD1675" s="6"/>
      <c r="AE1675" s="6"/>
      <c r="AF1675" s="6"/>
      <c r="AG1675" s="6"/>
      <c r="AH1675" s="6"/>
      <c r="AI1675" s="6"/>
      <c r="AJ1675" s="6"/>
      <c r="AK1675" s="6"/>
      <c r="AL1675" s="6"/>
      <c r="AM1675" s="6"/>
      <c r="AN1675" s="6"/>
      <c r="AO1675" s="6"/>
      <c r="AP1675" s="6"/>
      <c r="AQ1675" s="6"/>
      <c r="AR1675" s="6"/>
      <c r="AS1675" s="6"/>
      <c r="AT1675" s="6"/>
      <c r="AU1675" s="6"/>
      <c r="AV1675" s="6"/>
      <c r="AW1675" s="6"/>
      <c r="AX1675" s="6"/>
      <c r="AY1675" s="6"/>
      <c r="AZ1675" s="6"/>
      <c r="BA1675" s="6"/>
      <c r="BB1675" s="6"/>
      <c r="BC1675" s="6"/>
      <c r="BD1675" s="6"/>
      <c r="BE1675" s="6"/>
      <c r="BF1675" s="6"/>
      <c r="BG1675" s="6"/>
      <c r="BH1675" s="6"/>
      <c r="BI1675" s="6"/>
      <c r="BJ1675" s="6"/>
      <c r="BK1675" s="6"/>
      <c r="BL1675" s="6"/>
      <c r="BM1675" s="5"/>
      <c r="BN1675" s="7"/>
      <c r="BO1675" s="7"/>
      <c r="BP1675" s="7"/>
    </row>
    <row r="1676" spans="1:68" s="400" customFormat="1" ht="14.25" customHeight="1" x14ac:dyDescent="0.25">
      <c r="A1676" s="5"/>
      <c r="B1676" s="5"/>
      <c r="C1676" s="5"/>
      <c r="D1676" s="5"/>
      <c r="E1676" s="5"/>
      <c r="F1676" s="5"/>
      <c r="G1676" s="5"/>
      <c r="H1676" s="5"/>
      <c r="I1676" s="5"/>
      <c r="J1676" s="5"/>
      <c r="K1676" s="5"/>
      <c r="L1676" s="5"/>
      <c r="M1676" s="5"/>
      <c r="N1676" s="5"/>
      <c r="O1676" s="5"/>
      <c r="P1676" s="5"/>
      <c r="Q1676" s="5"/>
      <c r="R1676" s="5"/>
      <c r="S1676" s="5"/>
      <c r="T1676" s="5"/>
      <c r="U1676" s="5"/>
      <c r="V1676" s="5"/>
      <c r="W1676" s="5"/>
      <c r="X1676" s="5"/>
      <c r="Y1676" s="5"/>
      <c r="Z1676" s="5"/>
      <c r="AA1676" s="5"/>
      <c r="AB1676" s="6"/>
      <c r="AC1676" s="6"/>
      <c r="AD1676" s="6"/>
      <c r="AE1676" s="6"/>
      <c r="AF1676" s="6"/>
      <c r="AG1676" s="6"/>
      <c r="AH1676" s="6"/>
      <c r="AI1676" s="6"/>
      <c r="AJ1676" s="6"/>
      <c r="AK1676" s="6"/>
      <c r="AL1676" s="6"/>
      <c r="AM1676" s="6"/>
      <c r="AN1676" s="6"/>
      <c r="AO1676" s="6"/>
      <c r="AP1676" s="6"/>
      <c r="AQ1676" s="6"/>
      <c r="AR1676" s="6"/>
      <c r="AS1676" s="6"/>
      <c r="AT1676" s="6"/>
      <c r="AU1676" s="6"/>
      <c r="AV1676" s="6"/>
      <c r="AW1676" s="6"/>
      <c r="AX1676" s="6"/>
      <c r="AY1676" s="6"/>
      <c r="AZ1676" s="6"/>
      <c r="BA1676" s="6"/>
      <c r="BB1676" s="6"/>
      <c r="BC1676" s="6"/>
      <c r="BD1676" s="6"/>
      <c r="BE1676" s="6"/>
      <c r="BF1676" s="6"/>
      <c r="BG1676" s="6"/>
      <c r="BH1676" s="6"/>
      <c r="BI1676" s="6"/>
      <c r="BJ1676" s="6"/>
      <c r="BK1676" s="6"/>
      <c r="BL1676" s="6"/>
      <c r="BM1676" s="5"/>
      <c r="BN1676" s="7"/>
      <c r="BO1676" s="7"/>
      <c r="BP1676" s="7"/>
    </row>
    <row r="1677" spans="1:68" s="400" customFormat="1" ht="14.25" customHeight="1" x14ac:dyDescent="0.25">
      <c r="A1677" s="5"/>
      <c r="B1677" s="5"/>
      <c r="C1677" s="5"/>
      <c r="D1677" s="5"/>
      <c r="E1677" s="5"/>
      <c r="F1677" s="5"/>
      <c r="G1677" s="5"/>
      <c r="H1677" s="5"/>
      <c r="I1677" s="5"/>
      <c r="J1677" s="5"/>
      <c r="K1677" s="5"/>
      <c r="L1677" s="5"/>
      <c r="M1677" s="5"/>
      <c r="N1677" s="5"/>
      <c r="O1677" s="5"/>
      <c r="P1677" s="5"/>
      <c r="Q1677" s="5"/>
      <c r="R1677" s="5"/>
      <c r="S1677" s="5"/>
      <c r="T1677" s="5"/>
      <c r="U1677" s="5"/>
      <c r="V1677" s="5"/>
      <c r="W1677" s="5"/>
      <c r="X1677" s="5"/>
      <c r="Y1677" s="5"/>
      <c r="Z1677" s="5"/>
      <c r="AA1677" s="5"/>
      <c r="AB1677" s="6"/>
      <c r="AC1677" s="6"/>
      <c r="AD1677" s="6"/>
      <c r="AE1677" s="6"/>
      <c r="AF1677" s="6"/>
      <c r="AG1677" s="6"/>
      <c r="AH1677" s="6"/>
      <c r="AI1677" s="6"/>
      <c r="AJ1677" s="6"/>
      <c r="AK1677" s="6"/>
      <c r="AL1677" s="6"/>
      <c r="AM1677" s="6"/>
      <c r="AN1677" s="6"/>
      <c r="AO1677" s="6"/>
      <c r="AP1677" s="6"/>
      <c r="AQ1677" s="6"/>
      <c r="AR1677" s="6"/>
      <c r="AS1677" s="6"/>
      <c r="AT1677" s="6"/>
      <c r="AU1677" s="6"/>
      <c r="AV1677" s="6"/>
      <c r="AW1677" s="6"/>
      <c r="AX1677" s="6"/>
      <c r="AY1677" s="6"/>
      <c r="AZ1677" s="6"/>
      <c r="BA1677" s="6"/>
      <c r="BB1677" s="6"/>
      <c r="BC1677" s="6"/>
      <c r="BD1677" s="6"/>
      <c r="BE1677" s="6"/>
      <c r="BF1677" s="6"/>
      <c r="BG1677" s="6"/>
      <c r="BH1677" s="6"/>
      <c r="BI1677" s="6"/>
      <c r="BJ1677" s="6"/>
      <c r="BK1677" s="6"/>
      <c r="BL1677" s="6"/>
      <c r="BM1677" s="5"/>
      <c r="BN1677" s="7"/>
      <c r="BO1677" s="7"/>
      <c r="BP1677" s="7"/>
    </row>
    <row r="1678" spans="1:68" s="400" customFormat="1" ht="14.25" customHeight="1" x14ac:dyDescent="0.25">
      <c r="A1678" s="5"/>
      <c r="B1678" s="5"/>
      <c r="C1678" s="5"/>
      <c r="D1678" s="5"/>
      <c r="E1678" s="5"/>
      <c r="F1678" s="5"/>
      <c r="G1678" s="5"/>
      <c r="H1678" s="5"/>
      <c r="I1678" s="5"/>
      <c r="J1678" s="5"/>
      <c r="K1678" s="5"/>
      <c r="L1678" s="5"/>
      <c r="M1678" s="5"/>
      <c r="N1678" s="5"/>
      <c r="O1678" s="5"/>
      <c r="P1678" s="5"/>
      <c r="Q1678" s="5"/>
      <c r="R1678" s="5"/>
      <c r="S1678" s="5"/>
      <c r="T1678" s="5"/>
      <c r="U1678" s="5"/>
      <c r="V1678" s="5"/>
      <c r="W1678" s="5"/>
      <c r="X1678" s="5"/>
      <c r="Y1678" s="5"/>
      <c r="Z1678" s="5"/>
      <c r="AA1678" s="5"/>
      <c r="AB1678" s="6"/>
      <c r="AC1678" s="6"/>
      <c r="AD1678" s="6"/>
      <c r="AE1678" s="6"/>
      <c r="AF1678" s="6"/>
      <c r="AG1678" s="6"/>
      <c r="AH1678" s="6"/>
      <c r="AI1678" s="6"/>
      <c r="AJ1678" s="6"/>
      <c r="AK1678" s="6"/>
      <c r="AL1678" s="6"/>
      <c r="AM1678" s="6"/>
      <c r="AN1678" s="6"/>
      <c r="AO1678" s="6"/>
      <c r="AP1678" s="6"/>
      <c r="AQ1678" s="6"/>
      <c r="AR1678" s="6"/>
      <c r="AS1678" s="6"/>
      <c r="AT1678" s="6"/>
      <c r="AU1678" s="6"/>
      <c r="AV1678" s="6"/>
      <c r="AW1678" s="6"/>
      <c r="AX1678" s="6"/>
      <c r="AY1678" s="6"/>
      <c r="AZ1678" s="6"/>
      <c r="BA1678" s="6"/>
      <c r="BB1678" s="6"/>
      <c r="BC1678" s="6"/>
      <c r="BD1678" s="6"/>
      <c r="BE1678" s="6"/>
      <c r="BF1678" s="6"/>
      <c r="BG1678" s="6"/>
      <c r="BH1678" s="6"/>
      <c r="BI1678" s="6"/>
      <c r="BJ1678" s="6"/>
      <c r="BK1678" s="6"/>
      <c r="BL1678" s="6"/>
      <c r="BM1678" s="5"/>
      <c r="BN1678" s="7"/>
      <c r="BO1678" s="7"/>
      <c r="BP1678" s="7"/>
    </row>
    <row r="1679" spans="1:68" s="400" customFormat="1" ht="14.25" customHeight="1" x14ac:dyDescent="0.25">
      <c r="A1679" s="5"/>
      <c r="B1679" s="5"/>
      <c r="C1679" s="5"/>
      <c r="D1679" s="5"/>
      <c r="E1679" s="5"/>
      <c r="F1679" s="5"/>
      <c r="G1679" s="5"/>
      <c r="H1679" s="5"/>
      <c r="I1679" s="5"/>
      <c r="J1679" s="5"/>
      <c r="K1679" s="5"/>
      <c r="L1679" s="5"/>
      <c r="M1679" s="5"/>
      <c r="N1679" s="5"/>
      <c r="O1679" s="5"/>
      <c r="P1679" s="5"/>
      <c r="Q1679" s="5"/>
      <c r="R1679" s="5"/>
      <c r="S1679" s="5"/>
      <c r="T1679" s="5"/>
      <c r="U1679" s="5"/>
      <c r="V1679" s="5"/>
      <c r="W1679" s="5"/>
      <c r="X1679" s="5"/>
      <c r="Y1679" s="5"/>
      <c r="Z1679" s="5"/>
      <c r="AA1679" s="5"/>
      <c r="AB1679" s="6"/>
      <c r="AC1679" s="6"/>
      <c r="AD1679" s="6"/>
      <c r="AE1679" s="6"/>
      <c r="AF1679" s="6"/>
      <c r="AG1679" s="6"/>
      <c r="AH1679" s="6"/>
      <c r="AI1679" s="6"/>
      <c r="AJ1679" s="6"/>
      <c r="AK1679" s="6"/>
      <c r="AL1679" s="6"/>
      <c r="AM1679" s="6"/>
      <c r="AN1679" s="6"/>
      <c r="AO1679" s="6"/>
      <c r="AP1679" s="6"/>
      <c r="AQ1679" s="6"/>
      <c r="AR1679" s="6"/>
      <c r="AS1679" s="6"/>
      <c r="AT1679" s="6"/>
      <c r="AU1679" s="6"/>
      <c r="AV1679" s="6"/>
      <c r="AW1679" s="6"/>
      <c r="AX1679" s="6"/>
      <c r="AY1679" s="6"/>
      <c r="AZ1679" s="6"/>
      <c r="BA1679" s="6"/>
      <c r="BB1679" s="6"/>
      <c r="BC1679" s="6"/>
      <c r="BD1679" s="6"/>
      <c r="BE1679" s="6"/>
      <c r="BF1679" s="6"/>
      <c r="BG1679" s="6"/>
      <c r="BH1679" s="6"/>
      <c r="BI1679" s="6"/>
      <c r="BJ1679" s="6"/>
      <c r="BK1679" s="6"/>
      <c r="BL1679" s="6"/>
      <c r="BM1679" s="5"/>
      <c r="BN1679" s="7"/>
      <c r="BO1679" s="7"/>
      <c r="BP1679" s="7"/>
    </row>
    <row r="1680" spans="1:68" s="400" customFormat="1" ht="14.25" customHeight="1" x14ac:dyDescent="0.25">
      <c r="A1680" s="5"/>
      <c r="B1680" s="5"/>
      <c r="C1680" s="5"/>
      <c r="D1680" s="5"/>
      <c r="E1680" s="5"/>
      <c r="F1680" s="5"/>
      <c r="G1680" s="5"/>
      <c r="H1680" s="5"/>
      <c r="I1680" s="5"/>
      <c r="J1680" s="5"/>
      <c r="K1680" s="5"/>
      <c r="L1680" s="5"/>
      <c r="M1680" s="5"/>
      <c r="N1680" s="5"/>
      <c r="O1680" s="5"/>
      <c r="P1680" s="5"/>
      <c r="Q1680" s="5"/>
      <c r="R1680" s="5"/>
      <c r="S1680" s="5"/>
      <c r="T1680" s="5"/>
      <c r="U1680" s="5"/>
      <c r="V1680" s="5"/>
      <c r="W1680" s="5"/>
      <c r="X1680" s="5"/>
      <c r="Y1680" s="5"/>
      <c r="Z1680" s="5"/>
      <c r="AA1680" s="5"/>
      <c r="AB1680" s="6"/>
      <c r="AC1680" s="6"/>
      <c r="AD1680" s="6"/>
      <c r="AE1680" s="6"/>
      <c r="AF1680" s="6"/>
      <c r="AG1680" s="6"/>
      <c r="AH1680" s="6"/>
      <c r="AI1680" s="6"/>
      <c r="AJ1680" s="6"/>
      <c r="AK1680" s="6"/>
      <c r="AL1680" s="6"/>
      <c r="AM1680" s="6"/>
      <c r="AN1680" s="6"/>
      <c r="AO1680" s="6"/>
      <c r="AP1680" s="6"/>
      <c r="AQ1680" s="6"/>
      <c r="AR1680" s="6"/>
      <c r="AS1680" s="6"/>
      <c r="AT1680" s="6"/>
      <c r="AU1680" s="6"/>
      <c r="AV1680" s="6"/>
      <c r="AW1680" s="6"/>
      <c r="AX1680" s="6"/>
      <c r="AY1680" s="6"/>
      <c r="AZ1680" s="6"/>
      <c r="BA1680" s="6"/>
      <c r="BB1680" s="6"/>
      <c r="BC1680" s="6"/>
      <c r="BD1680" s="6"/>
      <c r="BE1680" s="6"/>
      <c r="BF1680" s="6"/>
      <c r="BG1680" s="6"/>
      <c r="BH1680" s="6"/>
      <c r="BI1680" s="6"/>
      <c r="BJ1680" s="6"/>
      <c r="BK1680" s="6"/>
      <c r="BL1680" s="6"/>
      <c r="BM1680" s="5"/>
      <c r="BN1680" s="7"/>
      <c r="BO1680" s="7"/>
      <c r="BP1680" s="7"/>
    </row>
    <row r="1681" spans="1:68" s="400" customFormat="1" ht="14.25" customHeight="1" x14ac:dyDescent="0.25">
      <c r="A1681" s="5"/>
      <c r="B1681" s="5"/>
      <c r="C1681" s="5"/>
      <c r="D1681" s="5"/>
      <c r="E1681" s="5"/>
      <c r="F1681" s="5"/>
      <c r="G1681" s="5"/>
      <c r="H1681" s="5"/>
      <c r="I1681" s="5"/>
      <c r="J1681" s="5"/>
      <c r="K1681" s="5"/>
      <c r="L1681" s="5"/>
      <c r="M1681" s="5"/>
      <c r="N1681" s="5"/>
      <c r="O1681" s="5"/>
      <c r="P1681" s="5"/>
      <c r="Q1681" s="5"/>
      <c r="R1681" s="5"/>
      <c r="S1681" s="5"/>
      <c r="T1681" s="5"/>
      <c r="U1681" s="5"/>
      <c r="V1681" s="5"/>
      <c r="W1681" s="5"/>
      <c r="X1681" s="5"/>
      <c r="Y1681" s="5"/>
      <c r="Z1681" s="5"/>
      <c r="AA1681" s="5"/>
      <c r="AB1681" s="6"/>
      <c r="AC1681" s="6"/>
      <c r="AD1681" s="6"/>
      <c r="AE1681" s="6"/>
      <c r="AF1681" s="6"/>
      <c r="AG1681" s="6"/>
      <c r="AH1681" s="6"/>
      <c r="AI1681" s="6"/>
      <c r="AJ1681" s="6"/>
      <c r="AK1681" s="6"/>
      <c r="AL1681" s="6"/>
      <c r="AM1681" s="6"/>
      <c r="AN1681" s="6"/>
      <c r="AO1681" s="6"/>
      <c r="AP1681" s="6"/>
      <c r="AQ1681" s="6"/>
      <c r="AR1681" s="6"/>
      <c r="AS1681" s="6"/>
      <c r="AT1681" s="6"/>
      <c r="AU1681" s="6"/>
      <c r="AV1681" s="6"/>
      <c r="AW1681" s="6"/>
      <c r="AX1681" s="6"/>
      <c r="AY1681" s="6"/>
      <c r="AZ1681" s="6"/>
      <c r="BA1681" s="6"/>
      <c r="BB1681" s="6"/>
      <c r="BC1681" s="6"/>
      <c r="BD1681" s="6"/>
      <c r="BE1681" s="6"/>
      <c r="BF1681" s="6"/>
      <c r="BG1681" s="6"/>
      <c r="BH1681" s="6"/>
      <c r="BI1681" s="6"/>
      <c r="BJ1681" s="6"/>
      <c r="BK1681" s="6"/>
      <c r="BL1681" s="6"/>
      <c r="BM1681" s="5"/>
      <c r="BN1681" s="7"/>
      <c r="BO1681" s="7"/>
      <c r="BP1681" s="7"/>
    </row>
    <row r="1682" spans="1:68" s="400" customFormat="1" ht="14.25" customHeight="1" x14ac:dyDescent="0.25">
      <c r="A1682" s="5"/>
      <c r="B1682" s="5"/>
      <c r="C1682" s="5"/>
      <c r="D1682" s="5"/>
      <c r="E1682" s="5"/>
      <c r="F1682" s="5"/>
      <c r="G1682" s="5"/>
      <c r="H1682" s="5"/>
      <c r="I1682" s="5"/>
      <c r="J1682" s="5"/>
      <c r="K1682" s="5"/>
      <c r="L1682" s="5"/>
      <c r="M1682" s="5"/>
      <c r="N1682" s="5"/>
      <c r="O1682" s="5"/>
      <c r="P1682" s="5"/>
      <c r="Q1682" s="5"/>
      <c r="R1682" s="5"/>
      <c r="S1682" s="5"/>
      <c r="T1682" s="5"/>
      <c r="U1682" s="5"/>
      <c r="V1682" s="5"/>
      <c r="W1682" s="5"/>
      <c r="X1682" s="5"/>
      <c r="Y1682" s="5"/>
      <c r="Z1682" s="5"/>
      <c r="AA1682" s="5"/>
      <c r="AB1682" s="6"/>
      <c r="AC1682" s="6"/>
      <c r="AD1682" s="6"/>
      <c r="AE1682" s="6"/>
      <c r="AF1682" s="6"/>
      <c r="AG1682" s="6"/>
      <c r="AH1682" s="6"/>
      <c r="AI1682" s="6"/>
      <c r="AJ1682" s="6"/>
      <c r="AK1682" s="6"/>
      <c r="AL1682" s="6"/>
      <c r="AM1682" s="6"/>
      <c r="AN1682" s="6"/>
      <c r="AO1682" s="6"/>
      <c r="AP1682" s="6"/>
      <c r="AQ1682" s="6"/>
      <c r="AR1682" s="6"/>
      <c r="AS1682" s="6"/>
      <c r="AT1682" s="6"/>
      <c r="AU1682" s="6"/>
      <c r="AV1682" s="6"/>
      <c r="AW1682" s="6"/>
      <c r="AX1682" s="6"/>
      <c r="AY1682" s="6"/>
      <c r="AZ1682" s="6"/>
      <c r="BA1682" s="6"/>
      <c r="BB1682" s="6"/>
      <c r="BC1682" s="6"/>
      <c r="BD1682" s="6"/>
      <c r="BE1682" s="6"/>
      <c r="BF1682" s="6"/>
      <c r="BG1682" s="6"/>
      <c r="BH1682" s="6"/>
      <c r="BI1682" s="6"/>
      <c r="BJ1682" s="6"/>
      <c r="BK1682" s="6"/>
      <c r="BL1682" s="6"/>
      <c r="BM1682" s="5"/>
      <c r="BN1682" s="7"/>
      <c r="BO1682" s="7"/>
      <c r="BP1682" s="7"/>
    </row>
    <row r="1683" spans="1:68" s="400" customFormat="1" ht="14.25" customHeight="1" x14ac:dyDescent="0.25">
      <c r="A1683" s="5"/>
      <c r="B1683" s="5"/>
      <c r="C1683" s="5"/>
      <c r="D1683" s="5"/>
      <c r="E1683" s="5"/>
      <c r="F1683" s="5"/>
      <c r="G1683" s="5"/>
      <c r="H1683" s="5"/>
      <c r="I1683" s="5"/>
      <c r="J1683" s="5"/>
      <c r="K1683" s="5"/>
      <c r="L1683" s="5"/>
      <c r="M1683" s="5"/>
      <c r="N1683" s="5"/>
      <c r="O1683" s="5"/>
      <c r="P1683" s="5"/>
      <c r="Q1683" s="5"/>
      <c r="R1683" s="5"/>
      <c r="S1683" s="5"/>
      <c r="T1683" s="5"/>
      <c r="U1683" s="5"/>
      <c r="V1683" s="5"/>
      <c r="W1683" s="5"/>
      <c r="X1683" s="5"/>
      <c r="Y1683" s="5"/>
      <c r="Z1683" s="5"/>
      <c r="AA1683" s="5"/>
      <c r="AB1683" s="6"/>
      <c r="AC1683" s="6"/>
      <c r="AD1683" s="6"/>
      <c r="AE1683" s="6"/>
      <c r="AF1683" s="6"/>
      <c r="AG1683" s="6"/>
      <c r="AH1683" s="6"/>
      <c r="AI1683" s="6"/>
      <c r="AJ1683" s="6"/>
      <c r="AK1683" s="6"/>
      <c r="AL1683" s="6"/>
      <c r="AM1683" s="6"/>
      <c r="AN1683" s="6"/>
      <c r="AO1683" s="6"/>
      <c r="AP1683" s="6"/>
      <c r="AQ1683" s="6"/>
      <c r="AR1683" s="6"/>
      <c r="AS1683" s="6"/>
      <c r="AT1683" s="6"/>
      <c r="AU1683" s="6"/>
      <c r="AV1683" s="6"/>
      <c r="AW1683" s="6"/>
      <c r="AX1683" s="6"/>
      <c r="AY1683" s="6"/>
      <c r="AZ1683" s="6"/>
      <c r="BA1683" s="6"/>
      <c r="BB1683" s="6"/>
      <c r="BC1683" s="6"/>
      <c r="BD1683" s="6"/>
      <c r="BE1683" s="6"/>
      <c r="BF1683" s="6"/>
      <c r="BG1683" s="6"/>
      <c r="BH1683" s="6"/>
      <c r="BI1683" s="6"/>
      <c r="BJ1683" s="6"/>
      <c r="BK1683" s="6"/>
      <c r="BL1683" s="6"/>
      <c r="BM1683" s="5"/>
      <c r="BN1683" s="7"/>
      <c r="BO1683" s="7"/>
      <c r="BP1683" s="7"/>
    </row>
    <row r="1684" spans="1:68" s="400" customFormat="1" ht="14.25" customHeight="1" x14ac:dyDescent="0.25">
      <c r="A1684" s="5"/>
      <c r="B1684" s="5"/>
      <c r="C1684" s="5"/>
      <c r="D1684" s="5"/>
      <c r="E1684" s="5"/>
      <c r="F1684" s="5"/>
      <c r="G1684" s="5"/>
      <c r="H1684" s="5"/>
      <c r="I1684" s="5"/>
      <c r="J1684" s="5"/>
      <c r="K1684" s="5"/>
      <c r="L1684" s="5"/>
      <c r="M1684" s="5"/>
      <c r="N1684" s="5"/>
      <c r="O1684" s="5"/>
      <c r="P1684" s="5"/>
      <c r="Q1684" s="5"/>
      <c r="R1684" s="5"/>
      <c r="S1684" s="5"/>
      <c r="T1684" s="5"/>
      <c r="U1684" s="5"/>
      <c r="V1684" s="5"/>
      <c r="W1684" s="5"/>
      <c r="X1684" s="5"/>
      <c r="Y1684" s="5"/>
      <c r="Z1684" s="5"/>
      <c r="AA1684" s="5"/>
      <c r="AB1684" s="6"/>
      <c r="AC1684" s="6"/>
      <c r="AD1684" s="6"/>
      <c r="AE1684" s="6"/>
      <c r="AF1684" s="6"/>
      <c r="AG1684" s="6"/>
      <c r="AH1684" s="6"/>
      <c r="AI1684" s="6"/>
      <c r="AJ1684" s="6"/>
      <c r="AK1684" s="6"/>
      <c r="AL1684" s="6"/>
      <c r="AM1684" s="6"/>
      <c r="AN1684" s="6"/>
      <c r="AO1684" s="6"/>
      <c r="AP1684" s="6"/>
      <c r="AQ1684" s="6"/>
      <c r="AR1684" s="6"/>
      <c r="AS1684" s="6"/>
      <c r="AT1684" s="6"/>
      <c r="AU1684" s="6"/>
      <c r="AV1684" s="6"/>
      <c r="AW1684" s="6"/>
      <c r="AX1684" s="6"/>
      <c r="AY1684" s="6"/>
      <c r="AZ1684" s="6"/>
      <c r="BA1684" s="6"/>
      <c r="BB1684" s="6"/>
      <c r="BC1684" s="6"/>
      <c r="BD1684" s="6"/>
      <c r="BE1684" s="6"/>
      <c r="BF1684" s="6"/>
      <c r="BG1684" s="6"/>
      <c r="BH1684" s="6"/>
      <c r="BI1684" s="6"/>
      <c r="BJ1684" s="6"/>
      <c r="BK1684" s="6"/>
      <c r="BL1684" s="6"/>
      <c r="BM1684" s="5"/>
      <c r="BN1684" s="7"/>
      <c r="BO1684" s="7"/>
      <c r="BP1684" s="7"/>
    </row>
    <row r="1685" spans="1:68" s="400" customFormat="1" ht="14.25" customHeight="1" x14ac:dyDescent="0.25">
      <c r="A1685" s="5"/>
      <c r="B1685" s="5"/>
      <c r="C1685" s="5"/>
      <c r="D1685" s="5"/>
      <c r="E1685" s="5"/>
      <c r="F1685" s="5"/>
      <c r="G1685" s="5"/>
      <c r="H1685" s="5"/>
      <c r="I1685" s="5"/>
      <c r="J1685" s="5"/>
      <c r="K1685" s="5"/>
      <c r="L1685" s="5"/>
      <c r="M1685" s="5"/>
      <c r="N1685" s="5"/>
      <c r="O1685" s="5"/>
      <c r="P1685" s="5"/>
      <c r="Q1685" s="5"/>
      <c r="R1685" s="5"/>
      <c r="S1685" s="5"/>
      <c r="T1685" s="5"/>
      <c r="U1685" s="5"/>
      <c r="V1685" s="5"/>
      <c r="W1685" s="5"/>
      <c r="X1685" s="5"/>
      <c r="Y1685" s="5"/>
      <c r="Z1685" s="5"/>
      <c r="AA1685" s="5"/>
      <c r="AB1685" s="6"/>
      <c r="AC1685" s="6"/>
      <c r="AD1685" s="6"/>
      <c r="AE1685" s="6"/>
      <c r="AF1685" s="6"/>
      <c r="AG1685" s="6"/>
      <c r="AH1685" s="6"/>
      <c r="AI1685" s="6"/>
      <c r="AJ1685" s="6"/>
      <c r="AK1685" s="6"/>
      <c r="AL1685" s="6"/>
      <c r="AM1685" s="6"/>
      <c r="AN1685" s="6"/>
      <c r="AO1685" s="6"/>
      <c r="AP1685" s="6"/>
      <c r="AQ1685" s="6"/>
      <c r="AR1685" s="6"/>
      <c r="AS1685" s="6"/>
      <c r="AT1685" s="6"/>
      <c r="AU1685" s="6"/>
      <c r="AV1685" s="6"/>
      <c r="AW1685" s="6"/>
      <c r="AX1685" s="6"/>
      <c r="AY1685" s="6"/>
      <c r="AZ1685" s="6"/>
      <c r="BA1685" s="6"/>
      <c r="BB1685" s="6"/>
      <c r="BC1685" s="6"/>
      <c r="BD1685" s="6"/>
      <c r="BE1685" s="6"/>
      <c r="BF1685" s="6"/>
      <c r="BG1685" s="6"/>
      <c r="BH1685" s="6"/>
      <c r="BI1685" s="6"/>
      <c r="BJ1685" s="6"/>
      <c r="BK1685" s="6"/>
      <c r="BL1685" s="6"/>
      <c r="BM1685" s="5"/>
      <c r="BN1685" s="7"/>
      <c r="BO1685" s="7"/>
      <c r="BP1685" s="7"/>
    </row>
    <row r="1686" spans="1:68" s="400" customFormat="1" ht="14.25" customHeight="1" x14ac:dyDescent="0.25">
      <c r="A1686" s="5"/>
      <c r="B1686" s="5"/>
      <c r="C1686" s="5"/>
      <c r="D1686" s="5"/>
      <c r="E1686" s="5"/>
      <c r="F1686" s="5"/>
      <c r="G1686" s="5"/>
      <c r="H1686" s="5"/>
      <c r="I1686" s="5"/>
      <c r="J1686" s="5"/>
      <c r="K1686" s="5"/>
      <c r="L1686" s="5"/>
      <c r="M1686" s="5"/>
      <c r="N1686" s="5"/>
      <c r="O1686" s="5"/>
      <c r="P1686" s="5"/>
      <c r="Q1686" s="5"/>
      <c r="R1686" s="5"/>
      <c r="S1686" s="5"/>
      <c r="T1686" s="5"/>
      <c r="U1686" s="5"/>
      <c r="V1686" s="5"/>
      <c r="W1686" s="5"/>
      <c r="X1686" s="5"/>
      <c r="Y1686" s="5"/>
      <c r="Z1686" s="5"/>
      <c r="AA1686" s="5"/>
      <c r="AB1686" s="6"/>
      <c r="AC1686" s="6"/>
      <c r="AD1686" s="6"/>
      <c r="AE1686" s="6"/>
      <c r="AF1686" s="6"/>
      <c r="AG1686" s="6"/>
      <c r="AH1686" s="6"/>
      <c r="AI1686" s="6"/>
      <c r="AJ1686" s="6"/>
      <c r="AK1686" s="6"/>
      <c r="AL1686" s="6"/>
      <c r="AM1686" s="6"/>
      <c r="AN1686" s="6"/>
      <c r="AO1686" s="6"/>
      <c r="AP1686" s="6"/>
      <c r="AQ1686" s="6"/>
      <c r="AR1686" s="6"/>
      <c r="AS1686" s="6"/>
      <c r="AT1686" s="6"/>
      <c r="AU1686" s="6"/>
      <c r="AV1686" s="6"/>
      <c r="AW1686" s="6"/>
      <c r="AX1686" s="6"/>
      <c r="AY1686" s="6"/>
      <c r="AZ1686" s="6"/>
      <c r="BA1686" s="6"/>
      <c r="BB1686" s="6"/>
      <c r="BC1686" s="6"/>
      <c r="BD1686" s="6"/>
      <c r="BE1686" s="6"/>
      <c r="BF1686" s="6"/>
      <c r="BG1686" s="6"/>
      <c r="BH1686" s="6"/>
      <c r="BI1686" s="6"/>
      <c r="BJ1686" s="6"/>
      <c r="BK1686" s="6"/>
      <c r="BL1686" s="6"/>
      <c r="BM1686" s="5"/>
      <c r="BN1686" s="7"/>
      <c r="BO1686" s="7"/>
      <c r="BP1686" s="7"/>
    </row>
    <row r="1687" spans="1:68" s="400" customFormat="1" ht="14.25" customHeight="1" x14ac:dyDescent="0.25">
      <c r="A1687" s="5"/>
      <c r="B1687" s="5"/>
      <c r="C1687" s="5"/>
      <c r="D1687" s="5"/>
      <c r="E1687" s="5"/>
      <c r="F1687" s="5"/>
      <c r="G1687" s="5"/>
      <c r="H1687" s="5"/>
      <c r="I1687" s="5"/>
      <c r="J1687" s="5"/>
      <c r="K1687" s="5"/>
      <c r="L1687" s="5"/>
      <c r="M1687" s="5"/>
      <c r="N1687" s="5"/>
      <c r="O1687" s="5"/>
      <c r="P1687" s="5"/>
      <c r="Q1687" s="5"/>
      <c r="R1687" s="5"/>
      <c r="S1687" s="5"/>
      <c r="T1687" s="5"/>
      <c r="U1687" s="5"/>
      <c r="V1687" s="5"/>
      <c r="W1687" s="5"/>
      <c r="X1687" s="5"/>
      <c r="Y1687" s="5"/>
      <c r="Z1687" s="5"/>
      <c r="AA1687" s="5"/>
      <c r="AB1687" s="6"/>
      <c r="AC1687" s="6"/>
      <c r="AD1687" s="6"/>
      <c r="AE1687" s="6"/>
      <c r="AF1687" s="6"/>
      <c r="AG1687" s="6"/>
      <c r="AH1687" s="6"/>
      <c r="AI1687" s="6"/>
      <c r="AJ1687" s="6"/>
      <c r="AK1687" s="6"/>
      <c r="AL1687" s="6"/>
      <c r="AM1687" s="6"/>
      <c r="AN1687" s="6"/>
      <c r="AO1687" s="6"/>
      <c r="AP1687" s="6"/>
      <c r="AQ1687" s="6"/>
      <c r="AR1687" s="6"/>
      <c r="AS1687" s="6"/>
      <c r="AT1687" s="6"/>
      <c r="AU1687" s="6"/>
      <c r="AV1687" s="6"/>
      <c r="AW1687" s="6"/>
      <c r="AX1687" s="6"/>
      <c r="AY1687" s="6"/>
      <c r="AZ1687" s="6"/>
      <c r="BA1687" s="6"/>
      <c r="BB1687" s="6"/>
      <c r="BC1687" s="6"/>
      <c r="BD1687" s="6"/>
      <c r="BE1687" s="6"/>
      <c r="BF1687" s="6"/>
      <c r="BG1687" s="6"/>
      <c r="BH1687" s="6"/>
      <c r="BI1687" s="6"/>
      <c r="BJ1687" s="6"/>
      <c r="BK1687" s="6"/>
      <c r="BL1687" s="6"/>
      <c r="BM1687" s="5"/>
      <c r="BN1687" s="7"/>
      <c r="BO1687" s="7"/>
      <c r="BP1687" s="7"/>
    </row>
    <row r="1688" spans="1:68" s="400" customFormat="1" ht="14.25" customHeight="1" x14ac:dyDescent="0.25">
      <c r="A1688" s="5"/>
      <c r="B1688" s="5"/>
      <c r="C1688" s="5"/>
      <c r="D1688" s="5"/>
      <c r="E1688" s="5"/>
      <c r="F1688" s="5"/>
      <c r="G1688" s="5"/>
      <c r="H1688" s="5"/>
      <c r="I1688" s="5"/>
      <c r="J1688" s="5"/>
      <c r="K1688" s="5"/>
      <c r="L1688" s="5"/>
      <c r="M1688" s="5"/>
      <c r="N1688" s="5"/>
      <c r="O1688" s="5"/>
      <c r="P1688" s="5"/>
      <c r="Q1688" s="5"/>
      <c r="R1688" s="5"/>
      <c r="S1688" s="5"/>
      <c r="T1688" s="5"/>
      <c r="U1688" s="5"/>
      <c r="V1688" s="5"/>
      <c r="W1688" s="5"/>
      <c r="X1688" s="5"/>
      <c r="Y1688" s="5"/>
      <c r="Z1688" s="5"/>
      <c r="AA1688" s="5"/>
      <c r="AB1688" s="6"/>
      <c r="AC1688" s="6"/>
      <c r="AD1688" s="6"/>
      <c r="AE1688" s="6"/>
      <c r="AF1688" s="6"/>
      <c r="AG1688" s="6"/>
      <c r="AH1688" s="6"/>
      <c r="AI1688" s="6"/>
      <c r="AJ1688" s="6"/>
      <c r="AK1688" s="6"/>
      <c r="AL1688" s="6"/>
      <c r="AM1688" s="6"/>
      <c r="AN1688" s="6"/>
      <c r="AO1688" s="6"/>
      <c r="AP1688" s="6"/>
      <c r="AQ1688" s="6"/>
      <c r="AR1688" s="6"/>
      <c r="AS1688" s="6"/>
      <c r="AT1688" s="6"/>
      <c r="AU1688" s="6"/>
      <c r="AV1688" s="6"/>
      <c r="AW1688" s="6"/>
      <c r="AX1688" s="6"/>
      <c r="AY1688" s="6"/>
      <c r="AZ1688" s="6"/>
      <c r="BA1688" s="6"/>
      <c r="BB1688" s="6"/>
      <c r="BC1688" s="6"/>
      <c r="BD1688" s="6"/>
      <c r="BE1688" s="6"/>
      <c r="BF1688" s="6"/>
      <c r="BG1688" s="6"/>
      <c r="BH1688" s="6"/>
      <c r="BI1688" s="6"/>
      <c r="BJ1688" s="6"/>
      <c r="BK1688" s="6"/>
      <c r="BL1688" s="6"/>
      <c r="BM1688" s="5"/>
      <c r="BN1688" s="7"/>
      <c r="BO1688" s="7"/>
      <c r="BP1688" s="7"/>
    </row>
    <row r="1689" spans="1:68" s="400" customFormat="1" ht="14.25" customHeight="1" x14ac:dyDescent="0.25">
      <c r="A1689" s="5"/>
      <c r="B1689" s="5"/>
      <c r="C1689" s="5"/>
      <c r="D1689" s="5"/>
      <c r="E1689" s="5"/>
      <c r="F1689" s="5"/>
      <c r="G1689" s="5"/>
      <c r="H1689" s="5"/>
      <c r="I1689" s="5"/>
      <c r="J1689" s="5"/>
      <c r="K1689" s="5"/>
      <c r="L1689" s="5"/>
      <c r="M1689" s="5"/>
      <c r="N1689" s="5"/>
      <c r="O1689" s="5"/>
      <c r="P1689" s="5"/>
      <c r="Q1689" s="5"/>
      <c r="R1689" s="5"/>
      <c r="S1689" s="5"/>
      <c r="T1689" s="5"/>
      <c r="U1689" s="5"/>
      <c r="V1689" s="5"/>
      <c r="W1689" s="5"/>
      <c r="X1689" s="5"/>
      <c r="Y1689" s="5"/>
      <c r="Z1689" s="5"/>
      <c r="AA1689" s="5"/>
      <c r="AB1689" s="6"/>
      <c r="AC1689" s="6"/>
      <c r="AD1689" s="6"/>
      <c r="AE1689" s="6"/>
      <c r="AF1689" s="6"/>
      <c r="AG1689" s="6"/>
      <c r="AH1689" s="6"/>
      <c r="AI1689" s="6"/>
      <c r="AJ1689" s="6"/>
      <c r="AK1689" s="6"/>
      <c r="AL1689" s="6"/>
      <c r="AM1689" s="6"/>
      <c r="AN1689" s="6"/>
      <c r="AO1689" s="6"/>
      <c r="AP1689" s="6"/>
      <c r="AQ1689" s="6"/>
      <c r="AR1689" s="6"/>
      <c r="AS1689" s="6"/>
      <c r="AT1689" s="6"/>
      <c r="AU1689" s="6"/>
      <c r="AV1689" s="6"/>
      <c r="AW1689" s="6"/>
      <c r="AX1689" s="6"/>
      <c r="AY1689" s="6"/>
      <c r="AZ1689" s="6"/>
      <c r="BA1689" s="6"/>
      <c r="BB1689" s="6"/>
      <c r="BC1689" s="6"/>
      <c r="BD1689" s="6"/>
      <c r="BE1689" s="6"/>
      <c r="BF1689" s="6"/>
      <c r="BG1689" s="6"/>
      <c r="BH1689" s="6"/>
      <c r="BI1689" s="6"/>
      <c r="BJ1689" s="6"/>
      <c r="BK1689" s="6"/>
      <c r="BL1689" s="6"/>
      <c r="BM1689" s="5"/>
      <c r="BN1689" s="7"/>
      <c r="BO1689" s="7"/>
      <c r="BP1689" s="7"/>
    </row>
    <row r="1690" spans="1:68" s="400" customFormat="1" ht="14.25" customHeight="1" x14ac:dyDescent="0.25">
      <c r="A1690" s="5"/>
      <c r="B1690" s="5"/>
      <c r="C1690" s="5"/>
      <c r="D1690" s="5"/>
      <c r="E1690" s="5"/>
      <c r="F1690" s="5"/>
      <c r="G1690" s="5"/>
      <c r="H1690" s="5"/>
      <c r="I1690" s="5"/>
      <c r="J1690" s="5"/>
      <c r="K1690" s="5"/>
      <c r="L1690" s="5"/>
      <c r="M1690" s="5"/>
      <c r="N1690" s="5"/>
      <c r="O1690" s="5"/>
      <c r="P1690" s="5"/>
      <c r="Q1690" s="5"/>
      <c r="R1690" s="5"/>
      <c r="S1690" s="5"/>
      <c r="T1690" s="5"/>
      <c r="U1690" s="5"/>
      <c r="V1690" s="5"/>
      <c r="W1690" s="5"/>
      <c r="X1690" s="5"/>
      <c r="Y1690" s="5"/>
      <c r="Z1690" s="5"/>
      <c r="AA1690" s="5"/>
      <c r="AB1690" s="6"/>
      <c r="AC1690" s="6"/>
      <c r="AD1690" s="6"/>
      <c r="AE1690" s="6"/>
      <c r="AF1690" s="6"/>
      <c r="AG1690" s="6"/>
      <c r="AH1690" s="6"/>
      <c r="AI1690" s="6"/>
      <c r="AJ1690" s="6"/>
      <c r="AK1690" s="6"/>
      <c r="AL1690" s="6"/>
      <c r="AM1690" s="6"/>
      <c r="AN1690" s="6"/>
      <c r="AO1690" s="6"/>
      <c r="AP1690" s="6"/>
      <c r="AQ1690" s="6"/>
      <c r="AR1690" s="6"/>
      <c r="AS1690" s="6"/>
      <c r="AT1690" s="6"/>
      <c r="AU1690" s="6"/>
      <c r="AV1690" s="6"/>
      <c r="AW1690" s="6"/>
      <c r="AX1690" s="6"/>
      <c r="AY1690" s="6"/>
      <c r="AZ1690" s="6"/>
      <c r="BA1690" s="6"/>
      <c r="BB1690" s="6"/>
      <c r="BC1690" s="6"/>
      <c r="BD1690" s="6"/>
      <c r="BE1690" s="6"/>
      <c r="BF1690" s="6"/>
      <c r="BG1690" s="6"/>
      <c r="BH1690" s="6"/>
      <c r="BI1690" s="6"/>
      <c r="BJ1690" s="6"/>
      <c r="BK1690" s="6"/>
      <c r="BL1690" s="6"/>
      <c r="BM1690" s="5"/>
      <c r="BN1690" s="7"/>
      <c r="BO1690" s="7"/>
      <c r="BP1690" s="7"/>
    </row>
    <row r="1691" spans="1:68" s="400" customFormat="1" ht="14.25" customHeight="1" x14ac:dyDescent="0.25">
      <c r="A1691" s="5"/>
      <c r="B1691" s="5"/>
      <c r="C1691" s="5"/>
      <c r="D1691" s="5"/>
      <c r="E1691" s="5"/>
      <c r="F1691" s="5"/>
      <c r="G1691" s="5"/>
      <c r="H1691" s="5"/>
      <c r="I1691" s="5"/>
      <c r="J1691" s="5"/>
      <c r="K1691" s="5"/>
      <c r="L1691" s="5"/>
      <c r="M1691" s="5"/>
      <c r="N1691" s="5"/>
      <c r="O1691" s="5"/>
      <c r="P1691" s="5"/>
      <c r="Q1691" s="5"/>
      <c r="R1691" s="5"/>
      <c r="S1691" s="5"/>
      <c r="T1691" s="5"/>
      <c r="U1691" s="5"/>
      <c r="V1691" s="5"/>
      <c r="W1691" s="5"/>
      <c r="X1691" s="5"/>
      <c r="Y1691" s="5"/>
      <c r="Z1691" s="5"/>
      <c r="AA1691" s="5"/>
      <c r="AB1691" s="6"/>
      <c r="AC1691" s="6"/>
      <c r="AD1691" s="6"/>
      <c r="AE1691" s="6"/>
      <c r="AF1691" s="6"/>
      <c r="AG1691" s="6"/>
      <c r="AH1691" s="6"/>
      <c r="AI1691" s="6"/>
      <c r="AJ1691" s="6"/>
      <c r="AK1691" s="6"/>
      <c r="AL1691" s="6"/>
      <c r="AM1691" s="6"/>
      <c r="AN1691" s="6"/>
      <c r="AO1691" s="6"/>
      <c r="AP1691" s="6"/>
      <c r="AQ1691" s="6"/>
      <c r="AR1691" s="6"/>
      <c r="AS1691" s="6"/>
      <c r="AT1691" s="6"/>
      <c r="AU1691" s="6"/>
      <c r="AV1691" s="6"/>
      <c r="AW1691" s="6"/>
      <c r="AX1691" s="6"/>
      <c r="AY1691" s="6"/>
      <c r="AZ1691" s="6"/>
      <c r="BA1691" s="6"/>
      <c r="BB1691" s="6"/>
      <c r="BC1691" s="6"/>
      <c r="BD1691" s="6"/>
      <c r="BE1691" s="6"/>
      <c r="BF1691" s="6"/>
      <c r="BG1691" s="6"/>
      <c r="BH1691" s="6"/>
      <c r="BI1691" s="6"/>
      <c r="BJ1691" s="6"/>
      <c r="BK1691" s="6"/>
      <c r="BL1691" s="6"/>
      <c r="BM1691" s="5"/>
      <c r="BN1691" s="7"/>
      <c r="BO1691" s="7"/>
      <c r="BP1691" s="7"/>
    </row>
    <row r="1692" spans="1:68" s="400" customFormat="1" ht="14.25" customHeight="1" x14ac:dyDescent="0.25">
      <c r="A1692" s="5"/>
      <c r="B1692" s="5"/>
      <c r="C1692" s="5"/>
      <c r="D1692" s="5"/>
      <c r="E1692" s="5"/>
      <c r="F1692" s="5"/>
      <c r="G1692" s="5"/>
      <c r="H1692" s="5"/>
      <c r="I1692" s="5"/>
      <c r="J1692" s="5"/>
      <c r="K1692" s="5"/>
      <c r="L1692" s="5"/>
      <c r="M1692" s="5"/>
      <c r="N1692" s="5"/>
      <c r="O1692" s="5"/>
      <c r="P1692" s="5"/>
      <c r="Q1692" s="5"/>
      <c r="R1692" s="5"/>
      <c r="S1692" s="5"/>
      <c r="T1692" s="5"/>
      <c r="U1692" s="5"/>
      <c r="V1692" s="5"/>
      <c r="W1692" s="5"/>
      <c r="X1692" s="5"/>
      <c r="Y1692" s="5"/>
      <c r="Z1692" s="5"/>
      <c r="AA1692" s="5"/>
      <c r="AB1692" s="6"/>
      <c r="AC1692" s="6"/>
      <c r="AD1692" s="6"/>
      <c r="AE1692" s="6"/>
      <c r="AF1692" s="6"/>
      <c r="AG1692" s="6"/>
      <c r="AH1692" s="6"/>
      <c r="AI1692" s="6"/>
      <c r="AJ1692" s="6"/>
      <c r="AK1692" s="6"/>
      <c r="AL1692" s="6"/>
      <c r="AM1692" s="6"/>
      <c r="AN1692" s="6"/>
      <c r="AO1692" s="6"/>
      <c r="AP1692" s="6"/>
      <c r="AQ1692" s="6"/>
      <c r="AR1692" s="6"/>
      <c r="AS1692" s="6"/>
      <c r="AT1692" s="6"/>
      <c r="AU1692" s="6"/>
      <c r="AV1692" s="6"/>
      <c r="AW1692" s="6"/>
      <c r="AX1692" s="6"/>
      <c r="AY1692" s="6"/>
      <c r="AZ1692" s="6"/>
      <c r="BA1692" s="6"/>
      <c r="BB1692" s="6"/>
      <c r="BC1692" s="6"/>
      <c r="BD1692" s="6"/>
      <c r="BE1692" s="6"/>
      <c r="BF1692" s="6"/>
      <c r="BG1692" s="6"/>
      <c r="BH1692" s="6"/>
      <c r="BI1692" s="6"/>
      <c r="BJ1692" s="6"/>
      <c r="BK1692" s="6"/>
      <c r="BL1692" s="6"/>
      <c r="BM1692" s="5"/>
      <c r="BN1692" s="7"/>
      <c r="BO1692" s="7"/>
      <c r="BP1692" s="7"/>
    </row>
    <row r="1693" spans="1:68" s="400" customFormat="1" ht="14.25" customHeight="1" x14ac:dyDescent="0.25">
      <c r="A1693" s="5"/>
      <c r="B1693" s="5"/>
      <c r="C1693" s="5"/>
      <c r="D1693" s="5"/>
      <c r="E1693" s="5"/>
      <c r="F1693" s="5"/>
      <c r="G1693" s="5"/>
      <c r="H1693" s="5"/>
      <c r="I1693" s="5"/>
      <c r="J1693" s="5"/>
      <c r="K1693" s="5"/>
      <c r="L1693" s="5"/>
      <c r="M1693" s="5"/>
      <c r="N1693" s="5"/>
      <c r="O1693" s="5"/>
      <c r="P1693" s="5"/>
      <c r="Q1693" s="5"/>
      <c r="R1693" s="5"/>
      <c r="S1693" s="5"/>
      <c r="T1693" s="5"/>
      <c r="U1693" s="5"/>
      <c r="V1693" s="5"/>
      <c r="W1693" s="5"/>
      <c r="X1693" s="5"/>
      <c r="Y1693" s="5"/>
      <c r="Z1693" s="5"/>
      <c r="AA1693" s="5"/>
      <c r="AB1693" s="6"/>
      <c r="AC1693" s="6"/>
      <c r="AD1693" s="6"/>
      <c r="AE1693" s="6"/>
      <c r="AF1693" s="6"/>
      <c r="AG1693" s="6"/>
      <c r="AH1693" s="6"/>
      <c r="AI1693" s="6"/>
      <c r="AJ1693" s="6"/>
      <c r="AK1693" s="6"/>
      <c r="AL1693" s="6"/>
      <c r="AM1693" s="6"/>
      <c r="AN1693" s="6"/>
      <c r="AO1693" s="6"/>
      <c r="AP1693" s="6"/>
      <c r="AQ1693" s="6"/>
      <c r="AR1693" s="6"/>
      <c r="AS1693" s="6"/>
      <c r="AT1693" s="6"/>
      <c r="AU1693" s="6"/>
      <c r="AV1693" s="6"/>
      <c r="AW1693" s="6"/>
      <c r="AX1693" s="6"/>
      <c r="AY1693" s="6"/>
      <c r="AZ1693" s="6"/>
      <c r="BA1693" s="6"/>
      <c r="BB1693" s="6"/>
      <c r="BC1693" s="6"/>
      <c r="BD1693" s="6"/>
      <c r="BE1693" s="6"/>
      <c r="BF1693" s="6"/>
      <c r="BG1693" s="6"/>
      <c r="BH1693" s="6"/>
      <c r="BI1693" s="6"/>
      <c r="BJ1693" s="6"/>
      <c r="BK1693" s="6"/>
      <c r="BL1693" s="6"/>
      <c r="BM1693" s="5"/>
      <c r="BN1693" s="7"/>
      <c r="BO1693" s="7"/>
      <c r="BP1693" s="7"/>
    </row>
    <row r="1694" spans="1:68" s="400" customFormat="1" ht="14.25" customHeight="1" x14ac:dyDescent="0.25">
      <c r="A1694" s="5"/>
      <c r="B1694" s="5"/>
      <c r="C1694" s="5"/>
      <c r="D1694" s="5"/>
      <c r="E1694" s="5"/>
      <c r="F1694" s="5"/>
      <c r="G1694" s="5"/>
      <c r="H1694" s="5"/>
      <c r="I1694" s="5"/>
      <c r="J1694" s="5"/>
      <c r="K1694" s="5"/>
      <c r="L1694" s="5"/>
      <c r="M1694" s="5"/>
      <c r="N1694" s="5"/>
      <c r="O1694" s="5"/>
      <c r="P1694" s="5"/>
      <c r="Q1694" s="5"/>
      <c r="R1694" s="5"/>
      <c r="S1694" s="5"/>
      <c r="T1694" s="5"/>
      <c r="U1694" s="5"/>
      <c r="V1694" s="5"/>
      <c r="W1694" s="5"/>
      <c r="X1694" s="5"/>
      <c r="Y1694" s="5"/>
      <c r="Z1694" s="5"/>
      <c r="AA1694" s="5"/>
      <c r="AB1694" s="6"/>
      <c r="AC1694" s="6"/>
      <c r="AD1694" s="6"/>
      <c r="AE1694" s="6"/>
      <c r="AF1694" s="6"/>
      <c r="AG1694" s="6"/>
      <c r="AH1694" s="6"/>
      <c r="AI1694" s="6"/>
      <c r="AJ1694" s="6"/>
      <c r="AK1694" s="6"/>
      <c r="AL1694" s="6"/>
      <c r="AM1694" s="6"/>
      <c r="AN1694" s="6"/>
      <c r="AO1694" s="6"/>
      <c r="AP1694" s="6"/>
      <c r="AQ1694" s="6"/>
      <c r="AR1694" s="6"/>
      <c r="AS1694" s="6"/>
      <c r="AT1694" s="6"/>
      <c r="AU1694" s="6"/>
      <c r="AV1694" s="6"/>
      <c r="AW1694" s="6"/>
      <c r="AX1694" s="6"/>
      <c r="AY1694" s="6"/>
      <c r="AZ1694" s="6"/>
      <c r="BA1694" s="6"/>
      <c r="BB1694" s="6"/>
      <c r="BC1694" s="6"/>
      <c r="BD1694" s="6"/>
      <c r="BE1694" s="6"/>
      <c r="BF1694" s="6"/>
      <c r="BG1694" s="6"/>
      <c r="BH1694" s="6"/>
      <c r="BI1694" s="6"/>
      <c r="BJ1694" s="6"/>
      <c r="BK1694" s="6"/>
      <c r="BL1694" s="6"/>
      <c r="BM1694" s="5"/>
      <c r="BN1694" s="7"/>
      <c r="BO1694" s="7"/>
      <c r="BP1694" s="7"/>
    </row>
    <row r="1695" spans="1:68" s="400" customFormat="1" ht="14.25" customHeight="1" x14ac:dyDescent="0.25">
      <c r="A1695" s="5"/>
      <c r="B1695" s="5"/>
      <c r="C1695" s="5"/>
      <c r="D1695" s="5"/>
      <c r="E1695" s="5"/>
      <c r="F1695" s="5"/>
      <c r="G1695" s="5"/>
      <c r="H1695" s="5"/>
      <c r="I1695" s="5"/>
      <c r="J1695" s="5"/>
      <c r="K1695" s="5"/>
      <c r="L1695" s="5"/>
      <c r="M1695" s="5"/>
      <c r="N1695" s="5"/>
      <c r="O1695" s="5"/>
      <c r="P1695" s="5"/>
      <c r="Q1695" s="5"/>
      <c r="R1695" s="5"/>
      <c r="S1695" s="5"/>
      <c r="T1695" s="5"/>
      <c r="U1695" s="5"/>
      <c r="V1695" s="5"/>
      <c r="W1695" s="5"/>
      <c r="X1695" s="5"/>
      <c r="Y1695" s="5"/>
      <c r="Z1695" s="5"/>
      <c r="AA1695" s="5"/>
      <c r="AB1695" s="6"/>
      <c r="AC1695" s="6"/>
      <c r="AD1695" s="6"/>
      <c r="AE1695" s="6"/>
      <c r="AF1695" s="6"/>
      <c r="AG1695" s="6"/>
      <c r="AH1695" s="6"/>
      <c r="AI1695" s="6"/>
      <c r="AJ1695" s="6"/>
      <c r="AK1695" s="6"/>
      <c r="AL1695" s="6"/>
      <c r="AM1695" s="6"/>
      <c r="AN1695" s="6"/>
      <c r="AO1695" s="6"/>
      <c r="AP1695" s="6"/>
      <c r="AQ1695" s="6"/>
      <c r="AR1695" s="6"/>
      <c r="AS1695" s="6"/>
      <c r="AT1695" s="6"/>
      <c r="AU1695" s="6"/>
      <c r="AV1695" s="6"/>
      <c r="AW1695" s="6"/>
      <c r="AX1695" s="6"/>
      <c r="AY1695" s="6"/>
      <c r="AZ1695" s="6"/>
      <c r="BA1695" s="6"/>
      <c r="BB1695" s="6"/>
      <c r="BC1695" s="6"/>
      <c r="BD1695" s="6"/>
      <c r="BE1695" s="6"/>
      <c r="BF1695" s="6"/>
      <c r="BG1695" s="6"/>
      <c r="BH1695" s="6"/>
      <c r="BI1695" s="6"/>
      <c r="BJ1695" s="6"/>
      <c r="BK1695" s="6"/>
      <c r="BL1695" s="6"/>
      <c r="BM1695" s="5"/>
      <c r="BN1695" s="7"/>
      <c r="BO1695" s="7"/>
      <c r="BP1695" s="7"/>
    </row>
    <row r="1696" spans="1:68" s="400" customFormat="1" ht="14.25" customHeight="1" x14ac:dyDescent="0.25">
      <c r="A1696" s="5"/>
      <c r="B1696" s="5"/>
      <c r="C1696" s="5"/>
      <c r="D1696" s="5"/>
      <c r="E1696" s="5"/>
      <c r="F1696" s="5"/>
      <c r="G1696" s="5"/>
      <c r="H1696" s="5"/>
      <c r="I1696" s="5"/>
      <c r="J1696" s="5"/>
      <c r="K1696" s="5"/>
      <c r="L1696" s="5"/>
      <c r="M1696" s="5"/>
      <c r="N1696" s="5"/>
      <c r="O1696" s="5"/>
      <c r="P1696" s="5"/>
      <c r="Q1696" s="5"/>
      <c r="R1696" s="5"/>
      <c r="S1696" s="5"/>
      <c r="T1696" s="5"/>
      <c r="U1696" s="5"/>
      <c r="V1696" s="5"/>
      <c r="W1696" s="5"/>
      <c r="X1696" s="5"/>
      <c r="Y1696" s="5"/>
      <c r="Z1696" s="5"/>
      <c r="AA1696" s="5"/>
      <c r="AB1696" s="6"/>
      <c r="AC1696" s="6"/>
      <c r="AD1696" s="6"/>
      <c r="AE1696" s="6"/>
      <c r="AF1696" s="6"/>
      <c r="AG1696" s="6"/>
      <c r="AH1696" s="6"/>
      <c r="AI1696" s="6"/>
      <c r="AJ1696" s="6"/>
      <c r="AK1696" s="6"/>
      <c r="AL1696" s="6"/>
      <c r="AM1696" s="6"/>
      <c r="AN1696" s="6"/>
      <c r="AO1696" s="6"/>
      <c r="AP1696" s="6"/>
      <c r="AQ1696" s="6"/>
      <c r="AR1696" s="6"/>
      <c r="AS1696" s="6"/>
      <c r="AT1696" s="6"/>
      <c r="AU1696" s="6"/>
      <c r="AV1696" s="6"/>
      <c r="AW1696" s="6"/>
      <c r="AX1696" s="6"/>
      <c r="AY1696" s="6"/>
      <c r="AZ1696" s="6"/>
      <c r="BA1696" s="6"/>
      <c r="BB1696" s="6"/>
      <c r="BC1696" s="6"/>
      <c r="BD1696" s="6"/>
      <c r="BE1696" s="6"/>
      <c r="BF1696" s="6"/>
      <c r="BG1696" s="6"/>
      <c r="BH1696" s="6"/>
      <c r="BI1696" s="6"/>
      <c r="BJ1696" s="6"/>
      <c r="BK1696" s="6"/>
      <c r="BL1696" s="6"/>
      <c r="BM1696" s="5"/>
      <c r="BN1696" s="7"/>
      <c r="BO1696" s="7"/>
      <c r="BP1696" s="7"/>
    </row>
    <row r="1697" spans="1:68" s="400" customFormat="1" ht="14.25" customHeight="1" x14ac:dyDescent="0.25">
      <c r="A1697" s="5"/>
      <c r="B1697" s="5"/>
      <c r="C1697" s="5"/>
      <c r="D1697" s="5"/>
      <c r="E1697" s="5"/>
      <c r="F1697" s="5"/>
      <c r="G1697" s="5"/>
      <c r="H1697" s="5"/>
      <c r="I1697" s="5"/>
      <c r="J1697" s="5"/>
      <c r="K1697" s="5"/>
      <c r="L1697" s="5"/>
      <c r="M1697" s="5"/>
      <c r="N1697" s="5"/>
      <c r="O1697" s="5"/>
      <c r="P1697" s="5"/>
      <c r="Q1697" s="5"/>
      <c r="R1697" s="5"/>
      <c r="S1697" s="5"/>
      <c r="T1697" s="5"/>
      <c r="U1697" s="5"/>
      <c r="V1697" s="5"/>
      <c r="W1697" s="5"/>
      <c r="X1697" s="5"/>
      <c r="Y1697" s="5"/>
      <c r="Z1697" s="5"/>
      <c r="AA1697" s="5"/>
      <c r="AB1697" s="6"/>
      <c r="AC1697" s="6"/>
      <c r="AD1697" s="6"/>
      <c r="AE1697" s="6"/>
      <c r="AF1697" s="6"/>
      <c r="AG1697" s="6"/>
      <c r="AH1697" s="6"/>
      <c r="AI1697" s="6"/>
      <c r="AJ1697" s="6"/>
      <c r="AK1697" s="6"/>
      <c r="AL1697" s="6"/>
      <c r="AM1697" s="6"/>
      <c r="AN1697" s="6"/>
      <c r="AO1697" s="6"/>
      <c r="AP1697" s="6"/>
      <c r="AQ1697" s="6"/>
      <c r="AR1697" s="6"/>
      <c r="AS1697" s="6"/>
      <c r="AT1697" s="6"/>
      <c r="AU1697" s="6"/>
      <c r="AV1697" s="6"/>
      <c r="AW1697" s="6"/>
      <c r="AX1697" s="6"/>
      <c r="AY1697" s="6"/>
      <c r="AZ1697" s="6"/>
      <c r="BA1697" s="6"/>
      <c r="BB1697" s="6"/>
      <c r="BC1697" s="6"/>
      <c r="BD1697" s="6"/>
      <c r="BE1697" s="6"/>
      <c r="BF1697" s="6"/>
      <c r="BG1697" s="6"/>
      <c r="BH1697" s="6"/>
      <c r="BI1697" s="6"/>
      <c r="BJ1697" s="6"/>
      <c r="BK1697" s="6"/>
      <c r="BL1697" s="6"/>
      <c r="BM1697" s="5"/>
      <c r="BN1697" s="7"/>
      <c r="BO1697" s="7"/>
      <c r="BP1697" s="7"/>
    </row>
    <row r="1698" spans="1:68" s="400" customFormat="1" ht="14.25" customHeight="1" x14ac:dyDescent="0.25">
      <c r="A1698" s="5"/>
      <c r="B1698" s="5"/>
      <c r="C1698" s="5"/>
      <c r="D1698" s="5"/>
      <c r="E1698" s="5"/>
      <c r="F1698" s="5"/>
      <c r="G1698" s="5"/>
      <c r="H1698" s="5"/>
      <c r="I1698" s="5"/>
      <c r="J1698" s="5"/>
      <c r="K1698" s="5"/>
      <c r="L1698" s="5"/>
      <c r="M1698" s="5"/>
      <c r="N1698" s="5"/>
      <c r="O1698" s="5"/>
      <c r="P1698" s="5"/>
      <c r="Q1698" s="5"/>
      <c r="R1698" s="5"/>
      <c r="S1698" s="5"/>
      <c r="T1698" s="5"/>
      <c r="U1698" s="5"/>
      <c r="V1698" s="5"/>
      <c r="W1698" s="5"/>
      <c r="X1698" s="5"/>
      <c r="Y1698" s="5"/>
      <c r="Z1698" s="5"/>
      <c r="AA1698" s="5"/>
      <c r="AB1698" s="6"/>
      <c r="AC1698" s="6"/>
      <c r="AD1698" s="6"/>
      <c r="AE1698" s="6"/>
      <c r="AF1698" s="6"/>
      <c r="AG1698" s="6"/>
      <c r="AH1698" s="6"/>
      <c r="AI1698" s="6"/>
      <c r="AJ1698" s="6"/>
      <c r="AK1698" s="6"/>
      <c r="AL1698" s="6"/>
      <c r="AM1698" s="6"/>
      <c r="AN1698" s="6"/>
      <c r="AO1698" s="6"/>
      <c r="AP1698" s="6"/>
      <c r="AQ1698" s="6"/>
      <c r="AR1698" s="6"/>
      <c r="AS1698" s="6"/>
      <c r="AT1698" s="6"/>
      <c r="AU1698" s="6"/>
      <c r="AV1698" s="6"/>
      <c r="AW1698" s="6"/>
      <c r="AX1698" s="6"/>
      <c r="AY1698" s="6"/>
      <c r="AZ1698" s="6"/>
      <c r="BA1698" s="6"/>
      <c r="BB1698" s="6"/>
      <c r="BC1698" s="6"/>
      <c r="BD1698" s="6"/>
      <c r="BE1698" s="6"/>
      <c r="BF1698" s="6"/>
      <c r="BG1698" s="6"/>
      <c r="BH1698" s="6"/>
      <c r="BI1698" s="6"/>
      <c r="BJ1698" s="6"/>
      <c r="BK1698" s="6"/>
      <c r="BL1698" s="6"/>
      <c r="BM1698" s="5"/>
      <c r="BN1698" s="7"/>
      <c r="BO1698" s="7"/>
      <c r="BP1698" s="7"/>
    </row>
    <row r="1699" spans="1:68" s="400" customFormat="1" ht="14.25" customHeight="1" x14ac:dyDescent="0.25">
      <c r="A1699" s="5"/>
      <c r="B1699" s="5"/>
      <c r="C1699" s="5"/>
      <c r="D1699" s="5"/>
      <c r="E1699" s="5"/>
      <c r="F1699" s="5"/>
      <c r="G1699" s="5"/>
      <c r="H1699" s="5"/>
      <c r="I1699" s="5"/>
      <c r="J1699" s="5"/>
      <c r="K1699" s="5"/>
      <c r="L1699" s="5"/>
      <c r="M1699" s="5"/>
      <c r="N1699" s="5"/>
      <c r="O1699" s="5"/>
      <c r="P1699" s="5"/>
      <c r="Q1699" s="5"/>
      <c r="R1699" s="5"/>
      <c r="S1699" s="5"/>
      <c r="T1699" s="5"/>
      <c r="U1699" s="5"/>
      <c r="V1699" s="5"/>
      <c r="W1699" s="5"/>
      <c r="X1699" s="5"/>
      <c r="Y1699" s="5"/>
      <c r="Z1699" s="5"/>
      <c r="AA1699" s="5"/>
      <c r="AB1699" s="6"/>
      <c r="AC1699" s="6"/>
      <c r="AD1699" s="6"/>
      <c r="AE1699" s="6"/>
      <c r="AF1699" s="6"/>
      <c r="AG1699" s="6"/>
      <c r="AH1699" s="6"/>
      <c r="AI1699" s="6"/>
      <c r="AJ1699" s="6"/>
      <c r="AK1699" s="6"/>
      <c r="AL1699" s="6"/>
      <c r="AM1699" s="6"/>
      <c r="AN1699" s="6"/>
      <c r="AO1699" s="6"/>
      <c r="AP1699" s="6"/>
      <c r="AQ1699" s="6"/>
      <c r="AR1699" s="6"/>
      <c r="AS1699" s="6"/>
      <c r="AT1699" s="6"/>
      <c r="AU1699" s="6"/>
      <c r="AV1699" s="6"/>
      <c r="AW1699" s="6"/>
      <c r="AX1699" s="6"/>
      <c r="AY1699" s="6"/>
      <c r="AZ1699" s="6"/>
      <c r="BA1699" s="6"/>
      <c r="BB1699" s="6"/>
      <c r="BC1699" s="6"/>
      <c r="BD1699" s="6"/>
      <c r="BE1699" s="6"/>
      <c r="BF1699" s="6"/>
      <c r="BG1699" s="6"/>
      <c r="BH1699" s="6"/>
      <c r="BI1699" s="6"/>
      <c r="BJ1699" s="6"/>
      <c r="BK1699" s="6"/>
      <c r="BL1699" s="6"/>
      <c r="BM1699" s="5"/>
      <c r="BN1699" s="7"/>
      <c r="BO1699" s="7"/>
      <c r="BP1699" s="7"/>
    </row>
    <row r="1700" spans="1:68" s="400" customFormat="1" ht="14.25" customHeight="1" x14ac:dyDescent="0.25">
      <c r="A1700" s="5"/>
      <c r="B1700" s="5"/>
      <c r="C1700" s="5"/>
      <c r="D1700" s="5"/>
      <c r="E1700" s="5"/>
      <c r="F1700" s="5"/>
      <c r="G1700" s="5"/>
      <c r="H1700" s="5"/>
      <c r="I1700" s="5"/>
      <c r="J1700" s="5"/>
      <c r="K1700" s="5"/>
      <c r="L1700" s="5"/>
      <c r="M1700" s="5"/>
      <c r="N1700" s="5"/>
      <c r="O1700" s="5"/>
      <c r="P1700" s="5"/>
      <c r="Q1700" s="5"/>
      <c r="R1700" s="5"/>
      <c r="S1700" s="5"/>
      <c r="T1700" s="5"/>
      <c r="U1700" s="5"/>
      <c r="V1700" s="5"/>
      <c r="W1700" s="5"/>
      <c r="X1700" s="5"/>
      <c r="Y1700" s="5"/>
      <c r="Z1700" s="5"/>
      <c r="AA1700" s="5"/>
      <c r="AB1700" s="6"/>
      <c r="AC1700" s="6"/>
      <c r="AD1700" s="6"/>
      <c r="AE1700" s="6"/>
      <c r="AF1700" s="6"/>
      <c r="AG1700" s="6"/>
      <c r="AH1700" s="6"/>
      <c r="AI1700" s="6"/>
      <c r="AJ1700" s="6"/>
      <c r="AK1700" s="6"/>
      <c r="AL1700" s="6"/>
      <c r="AM1700" s="6"/>
      <c r="AN1700" s="6"/>
      <c r="AO1700" s="6"/>
      <c r="AP1700" s="6"/>
      <c r="AQ1700" s="6"/>
      <c r="AR1700" s="6"/>
      <c r="AS1700" s="6"/>
      <c r="AT1700" s="6"/>
      <c r="AU1700" s="6"/>
      <c r="AV1700" s="6"/>
      <c r="AW1700" s="6"/>
      <c r="AX1700" s="6"/>
      <c r="AY1700" s="6"/>
      <c r="AZ1700" s="6"/>
      <c r="BA1700" s="6"/>
      <c r="BB1700" s="6"/>
      <c r="BC1700" s="6"/>
      <c r="BD1700" s="6"/>
      <c r="BE1700" s="6"/>
      <c r="BF1700" s="6"/>
      <c r="BG1700" s="6"/>
      <c r="BH1700" s="6"/>
      <c r="BI1700" s="6"/>
      <c r="BJ1700" s="6"/>
      <c r="BK1700" s="6"/>
      <c r="BL1700" s="6"/>
      <c r="BM1700" s="5"/>
      <c r="BN1700" s="7"/>
      <c r="BO1700" s="7"/>
      <c r="BP1700" s="7"/>
    </row>
    <row r="1701" spans="1:68" s="400" customFormat="1" ht="14.25" customHeight="1" x14ac:dyDescent="0.25">
      <c r="A1701" s="5"/>
      <c r="B1701" s="5"/>
      <c r="C1701" s="5"/>
      <c r="D1701" s="5"/>
      <c r="E1701" s="5"/>
      <c r="F1701" s="5"/>
      <c r="G1701" s="5"/>
      <c r="H1701" s="5"/>
      <c r="I1701" s="5"/>
      <c r="J1701" s="5"/>
      <c r="K1701" s="5"/>
      <c r="L1701" s="5"/>
      <c r="M1701" s="5"/>
      <c r="N1701" s="5"/>
      <c r="O1701" s="5"/>
      <c r="P1701" s="5"/>
      <c r="Q1701" s="5"/>
      <c r="R1701" s="5"/>
      <c r="S1701" s="5"/>
      <c r="T1701" s="5"/>
      <c r="U1701" s="5"/>
      <c r="V1701" s="5"/>
      <c r="W1701" s="5"/>
      <c r="X1701" s="5"/>
      <c r="Y1701" s="5"/>
      <c r="Z1701" s="5"/>
      <c r="AA1701" s="5"/>
      <c r="AB1701" s="6"/>
      <c r="AC1701" s="6"/>
      <c r="AD1701" s="6"/>
      <c r="AE1701" s="6"/>
      <c r="AF1701" s="6"/>
      <c r="AG1701" s="6"/>
      <c r="AH1701" s="6"/>
      <c r="AI1701" s="6"/>
      <c r="AJ1701" s="6"/>
      <c r="AK1701" s="6"/>
      <c r="AL1701" s="6"/>
      <c r="AM1701" s="6"/>
      <c r="AN1701" s="6"/>
      <c r="AO1701" s="6"/>
      <c r="AP1701" s="6"/>
      <c r="AQ1701" s="6"/>
      <c r="AR1701" s="6"/>
      <c r="AS1701" s="6"/>
      <c r="AT1701" s="6"/>
      <c r="AU1701" s="6"/>
      <c r="AV1701" s="6"/>
      <c r="AW1701" s="6"/>
      <c r="AX1701" s="6"/>
      <c r="AY1701" s="6"/>
      <c r="AZ1701" s="6"/>
      <c r="BA1701" s="6"/>
      <c r="BB1701" s="6"/>
      <c r="BC1701" s="6"/>
      <c r="BD1701" s="6"/>
      <c r="BE1701" s="6"/>
      <c r="BF1701" s="6"/>
      <c r="BG1701" s="6"/>
      <c r="BH1701" s="6"/>
      <c r="BI1701" s="6"/>
      <c r="BJ1701" s="6"/>
      <c r="BK1701" s="6"/>
      <c r="BL1701" s="6"/>
      <c r="BM1701" s="5"/>
      <c r="BN1701" s="7"/>
      <c r="BO1701" s="7"/>
      <c r="BP1701" s="7"/>
    </row>
    <row r="1702" spans="1:68" s="400" customFormat="1" ht="14.25" customHeight="1" x14ac:dyDescent="0.25">
      <c r="A1702" s="5"/>
      <c r="B1702" s="5"/>
      <c r="C1702" s="5"/>
      <c r="D1702" s="5"/>
      <c r="E1702" s="5"/>
      <c r="F1702" s="5"/>
      <c r="G1702" s="5"/>
      <c r="H1702" s="5"/>
      <c r="I1702" s="5"/>
      <c r="J1702" s="5"/>
      <c r="K1702" s="5"/>
      <c r="L1702" s="5"/>
      <c r="M1702" s="5"/>
      <c r="N1702" s="5"/>
      <c r="O1702" s="5"/>
      <c r="P1702" s="5"/>
      <c r="Q1702" s="5"/>
      <c r="R1702" s="5"/>
      <c r="S1702" s="5"/>
      <c r="T1702" s="5"/>
      <c r="U1702" s="5"/>
      <c r="V1702" s="5"/>
      <c r="W1702" s="5"/>
      <c r="X1702" s="5"/>
      <c r="Y1702" s="5"/>
      <c r="Z1702" s="5"/>
      <c r="AA1702" s="5"/>
      <c r="AB1702" s="6"/>
      <c r="AC1702" s="6"/>
      <c r="AD1702" s="6"/>
      <c r="AE1702" s="6"/>
      <c r="AF1702" s="6"/>
      <c r="AG1702" s="6"/>
      <c r="AH1702" s="6"/>
      <c r="AI1702" s="6"/>
      <c r="AJ1702" s="6"/>
      <c r="AK1702" s="6"/>
      <c r="AL1702" s="6"/>
      <c r="AM1702" s="6"/>
      <c r="AN1702" s="6"/>
      <c r="AO1702" s="6"/>
      <c r="AP1702" s="6"/>
      <c r="AQ1702" s="6"/>
      <c r="AR1702" s="6"/>
      <c r="AS1702" s="6"/>
      <c r="AT1702" s="6"/>
      <c r="AU1702" s="6"/>
      <c r="AV1702" s="6"/>
      <c r="AW1702" s="6"/>
      <c r="AX1702" s="6"/>
      <c r="AY1702" s="6"/>
      <c r="AZ1702" s="6"/>
      <c r="BA1702" s="6"/>
      <c r="BB1702" s="6"/>
      <c r="BC1702" s="6"/>
      <c r="BD1702" s="6"/>
      <c r="BE1702" s="6"/>
      <c r="BF1702" s="6"/>
      <c r="BG1702" s="6"/>
      <c r="BH1702" s="6"/>
      <c r="BI1702" s="6"/>
      <c r="BJ1702" s="6"/>
      <c r="BK1702" s="6"/>
      <c r="BL1702" s="6"/>
      <c r="BM1702" s="5"/>
      <c r="BN1702" s="7"/>
      <c r="BO1702" s="7"/>
      <c r="BP1702" s="7"/>
    </row>
    <row r="1703" spans="1:68" s="400" customFormat="1" ht="14.25" customHeight="1" x14ac:dyDescent="0.25">
      <c r="A1703" s="5"/>
      <c r="B1703" s="5"/>
      <c r="C1703" s="5"/>
      <c r="D1703" s="5"/>
      <c r="E1703" s="5"/>
      <c r="F1703" s="5"/>
      <c r="G1703" s="5"/>
      <c r="H1703" s="5"/>
      <c r="I1703" s="5"/>
      <c r="J1703" s="5"/>
      <c r="K1703" s="5"/>
      <c r="L1703" s="5"/>
      <c r="M1703" s="5"/>
      <c r="N1703" s="5"/>
      <c r="O1703" s="5"/>
      <c r="P1703" s="5"/>
      <c r="Q1703" s="5"/>
      <c r="R1703" s="5"/>
      <c r="S1703" s="5"/>
      <c r="T1703" s="5"/>
      <c r="U1703" s="5"/>
      <c r="V1703" s="5"/>
      <c r="W1703" s="5"/>
      <c r="X1703" s="5"/>
      <c r="Y1703" s="5"/>
      <c r="Z1703" s="5"/>
      <c r="AA1703" s="5"/>
      <c r="AB1703" s="6"/>
      <c r="AC1703" s="6"/>
      <c r="AD1703" s="6"/>
      <c r="AE1703" s="6"/>
      <c r="AF1703" s="6"/>
      <c r="AG1703" s="6"/>
      <c r="AH1703" s="6"/>
      <c r="AI1703" s="6"/>
      <c r="AJ1703" s="6"/>
      <c r="AK1703" s="6"/>
      <c r="AL1703" s="6"/>
      <c r="AM1703" s="6"/>
      <c r="AN1703" s="6"/>
      <c r="AO1703" s="6"/>
      <c r="AP1703" s="6"/>
      <c r="AQ1703" s="6"/>
      <c r="AR1703" s="6"/>
      <c r="AS1703" s="6"/>
      <c r="AT1703" s="6"/>
      <c r="AU1703" s="6"/>
      <c r="AV1703" s="6"/>
      <c r="AW1703" s="6"/>
      <c r="AX1703" s="6"/>
      <c r="AY1703" s="6"/>
      <c r="AZ1703" s="6"/>
      <c r="BA1703" s="6"/>
      <c r="BB1703" s="6"/>
      <c r="BC1703" s="6"/>
      <c r="BD1703" s="6"/>
      <c r="BE1703" s="6"/>
      <c r="BF1703" s="6"/>
      <c r="BG1703" s="6"/>
      <c r="BH1703" s="6"/>
      <c r="BI1703" s="6"/>
      <c r="BJ1703" s="6"/>
      <c r="BK1703" s="6"/>
      <c r="BL1703" s="6"/>
      <c r="BM1703" s="5"/>
      <c r="BN1703" s="7"/>
      <c r="BO1703" s="7"/>
      <c r="BP1703" s="7"/>
    </row>
    <row r="1704" spans="1:68" s="400" customFormat="1" ht="14.25" customHeight="1" x14ac:dyDescent="0.25">
      <c r="A1704" s="5"/>
      <c r="B1704" s="5"/>
      <c r="C1704" s="5"/>
      <c r="D1704" s="5"/>
      <c r="E1704" s="5"/>
      <c r="F1704" s="5"/>
      <c r="G1704" s="5"/>
      <c r="H1704" s="5"/>
      <c r="I1704" s="5"/>
      <c r="J1704" s="5"/>
      <c r="K1704" s="5"/>
      <c r="L1704" s="5"/>
      <c r="M1704" s="5"/>
      <c r="N1704" s="5"/>
      <c r="O1704" s="5"/>
      <c r="P1704" s="5"/>
      <c r="Q1704" s="5"/>
      <c r="R1704" s="5"/>
      <c r="S1704" s="5"/>
      <c r="T1704" s="5"/>
      <c r="U1704" s="5"/>
      <c r="V1704" s="5"/>
      <c r="W1704" s="5"/>
      <c r="X1704" s="5"/>
      <c r="Y1704" s="5"/>
      <c r="Z1704" s="5"/>
      <c r="AA1704" s="5"/>
      <c r="AB1704" s="6"/>
      <c r="AC1704" s="6"/>
      <c r="AD1704" s="6"/>
      <c r="AE1704" s="6"/>
      <c r="AF1704" s="6"/>
      <c r="AG1704" s="6"/>
      <c r="AH1704" s="6"/>
      <c r="AI1704" s="6"/>
      <c r="AJ1704" s="6"/>
      <c r="AK1704" s="6"/>
      <c r="AL1704" s="6"/>
      <c r="AM1704" s="6"/>
      <c r="AN1704" s="6"/>
      <c r="AO1704" s="6"/>
      <c r="AP1704" s="6"/>
      <c r="AQ1704" s="6"/>
      <c r="AR1704" s="6"/>
      <c r="AS1704" s="6"/>
      <c r="AT1704" s="6"/>
      <c r="AU1704" s="6"/>
      <c r="AV1704" s="6"/>
      <c r="AW1704" s="6"/>
      <c r="AX1704" s="6"/>
      <c r="AY1704" s="6"/>
      <c r="AZ1704" s="6"/>
      <c r="BA1704" s="6"/>
      <c r="BB1704" s="6"/>
      <c r="BC1704" s="6"/>
      <c r="BD1704" s="6"/>
      <c r="BE1704" s="6"/>
      <c r="BF1704" s="6"/>
      <c r="BG1704" s="6"/>
      <c r="BH1704" s="6"/>
      <c r="BI1704" s="6"/>
      <c r="BJ1704" s="6"/>
      <c r="BK1704" s="6"/>
      <c r="BL1704" s="6"/>
      <c r="BM1704" s="5"/>
      <c r="BN1704" s="7"/>
      <c r="BO1704" s="7"/>
      <c r="BP1704" s="7"/>
    </row>
    <row r="1705" spans="1:68" s="400" customFormat="1" ht="14.25" customHeight="1" x14ac:dyDescent="0.25">
      <c r="A1705" s="5"/>
      <c r="B1705" s="5"/>
      <c r="C1705" s="5"/>
      <c r="D1705" s="5"/>
      <c r="E1705" s="5"/>
      <c r="F1705" s="5"/>
      <c r="G1705" s="5"/>
      <c r="H1705" s="5"/>
      <c r="I1705" s="5"/>
      <c r="J1705" s="5"/>
      <c r="K1705" s="5"/>
      <c r="L1705" s="5"/>
      <c r="M1705" s="5"/>
      <c r="N1705" s="5"/>
      <c r="O1705" s="5"/>
      <c r="P1705" s="5"/>
      <c r="Q1705" s="5"/>
      <c r="R1705" s="5"/>
      <c r="S1705" s="5"/>
      <c r="T1705" s="5"/>
      <c r="U1705" s="5"/>
      <c r="V1705" s="5"/>
      <c r="W1705" s="5"/>
      <c r="X1705" s="5"/>
      <c r="Y1705" s="5"/>
      <c r="Z1705" s="5"/>
      <c r="AA1705" s="5"/>
      <c r="AB1705" s="6"/>
      <c r="AC1705" s="6"/>
      <c r="AD1705" s="6"/>
      <c r="AE1705" s="6"/>
      <c r="AF1705" s="6"/>
      <c r="AG1705" s="6"/>
      <c r="AH1705" s="6"/>
      <c r="AI1705" s="6"/>
      <c r="AJ1705" s="6"/>
      <c r="AK1705" s="6"/>
      <c r="AL1705" s="6"/>
      <c r="AM1705" s="6"/>
      <c r="AN1705" s="6"/>
      <c r="AO1705" s="6"/>
      <c r="AP1705" s="6"/>
      <c r="AQ1705" s="6"/>
      <c r="AR1705" s="6"/>
      <c r="AS1705" s="6"/>
      <c r="AT1705" s="6"/>
      <c r="AU1705" s="6"/>
      <c r="AV1705" s="6"/>
      <c r="AW1705" s="6"/>
      <c r="AX1705" s="6"/>
      <c r="AY1705" s="6"/>
      <c r="AZ1705" s="6"/>
      <c r="BA1705" s="6"/>
      <c r="BB1705" s="6"/>
      <c r="BC1705" s="6"/>
      <c r="BD1705" s="6"/>
      <c r="BE1705" s="6"/>
      <c r="BF1705" s="6"/>
      <c r="BG1705" s="6"/>
      <c r="BH1705" s="6"/>
      <c r="BI1705" s="6"/>
      <c r="BJ1705" s="6"/>
      <c r="BK1705" s="6"/>
      <c r="BL1705" s="6"/>
      <c r="BM1705" s="5"/>
      <c r="BN1705" s="7"/>
      <c r="BO1705" s="7"/>
      <c r="BP1705" s="7"/>
    </row>
    <row r="1706" spans="1:68" s="400" customFormat="1" ht="14.25" customHeight="1" x14ac:dyDescent="0.25">
      <c r="A1706" s="5"/>
      <c r="B1706" s="5"/>
      <c r="C1706" s="5"/>
      <c r="D1706" s="5"/>
      <c r="E1706" s="5"/>
      <c r="F1706" s="5"/>
      <c r="G1706" s="5"/>
      <c r="H1706" s="5"/>
      <c r="I1706" s="5"/>
      <c r="J1706" s="5"/>
      <c r="K1706" s="5"/>
      <c r="L1706" s="5"/>
      <c r="M1706" s="5"/>
      <c r="N1706" s="5"/>
      <c r="O1706" s="5"/>
      <c r="P1706" s="5"/>
      <c r="Q1706" s="5"/>
      <c r="R1706" s="5"/>
      <c r="S1706" s="5"/>
      <c r="T1706" s="5"/>
      <c r="U1706" s="5"/>
      <c r="V1706" s="5"/>
      <c r="W1706" s="5"/>
      <c r="X1706" s="5"/>
      <c r="Y1706" s="5"/>
      <c r="Z1706" s="5"/>
      <c r="AA1706" s="5"/>
      <c r="AB1706" s="6"/>
      <c r="AC1706" s="6"/>
      <c r="AD1706" s="6"/>
      <c r="AE1706" s="6"/>
      <c r="AF1706" s="6"/>
      <c r="AG1706" s="6"/>
      <c r="AH1706" s="6"/>
      <c r="AI1706" s="6"/>
      <c r="AJ1706" s="6"/>
      <c r="AK1706" s="6"/>
      <c r="AL1706" s="6"/>
      <c r="AM1706" s="6"/>
      <c r="AN1706" s="6"/>
      <c r="AO1706" s="6"/>
      <c r="AP1706" s="6"/>
      <c r="AQ1706" s="6"/>
      <c r="AR1706" s="6"/>
      <c r="AS1706" s="6"/>
      <c r="AT1706" s="6"/>
      <c r="AU1706" s="6"/>
      <c r="AV1706" s="6"/>
      <c r="AW1706" s="6"/>
      <c r="AX1706" s="6"/>
      <c r="AY1706" s="6"/>
      <c r="AZ1706" s="6"/>
      <c r="BA1706" s="6"/>
      <c r="BB1706" s="6"/>
      <c r="BC1706" s="6"/>
      <c r="BD1706" s="6"/>
      <c r="BE1706" s="6"/>
      <c r="BF1706" s="6"/>
      <c r="BG1706" s="6"/>
      <c r="BH1706" s="6"/>
      <c r="BI1706" s="6"/>
      <c r="BJ1706" s="6"/>
      <c r="BK1706" s="6"/>
      <c r="BL1706" s="6"/>
      <c r="BM1706" s="5"/>
      <c r="BN1706" s="7"/>
      <c r="BO1706" s="7"/>
      <c r="BP1706" s="7"/>
    </row>
    <row r="1707" spans="1:68" s="400" customFormat="1" ht="14.25" customHeight="1" x14ac:dyDescent="0.25">
      <c r="A1707" s="5"/>
      <c r="B1707" s="5"/>
      <c r="C1707" s="5"/>
      <c r="D1707" s="5"/>
      <c r="E1707" s="5"/>
      <c r="F1707" s="5"/>
      <c r="G1707" s="5"/>
      <c r="H1707" s="5"/>
      <c r="I1707" s="5"/>
      <c r="J1707" s="5"/>
      <c r="K1707" s="5"/>
      <c r="L1707" s="5"/>
      <c r="M1707" s="5"/>
      <c r="N1707" s="5"/>
      <c r="O1707" s="5"/>
      <c r="P1707" s="5"/>
      <c r="Q1707" s="5"/>
      <c r="R1707" s="5"/>
      <c r="S1707" s="5"/>
      <c r="T1707" s="5"/>
      <c r="U1707" s="5"/>
      <c r="V1707" s="5"/>
      <c r="W1707" s="5"/>
      <c r="X1707" s="5"/>
      <c r="Y1707" s="5"/>
      <c r="Z1707" s="5"/>
      <c r="AA1707" s="5"/>
      <c r="AB1707" s="6"/>
      <c r="AC1707" s="6"/>
      <c r="AD1707" s="6"/>
      <c r="AE1707" s="6"/>
      <c r="AF1707" s="6"/>
      <c r="AG1707" s="6"/>
      <c r="AH1707" s="6"/>
      <c r="AI1707" s="6"/>
      <c r="AJ1707" s="6"/>
      <c r="AK1707" s="6"/>
      <c r="AL1707" s="6"/>
      <c r="AM1707" s="6"/>
      <c r="AN1707" s="6"/>
      <c r="AO1707" s="6"/>
      <c r="AP1707" s="6"/>
      <c r="AQ1707" s="6"/>
      <c r="AR1707" s="6"/>
      <c r="AS1707" s="6"/>
      <c r="AT1707" s="6"/>
      <c r="AU1707" s="6"/>
      <c r="AV1707" s="6"/>
      <c r="AW1707" s="6"/>
      <c r="AX1707" s="6"/>
      <c r="AY1707" s="6"/>
      <c r="AZ1707" s="6"/>
      <c r="BA1707" s="6"/>
      <c r="BB1707" s="6"/>
      <c r="BC1707" s="6"/>
      <c r="BD1707" s="6"/>
      <c r="BE1707" s="6"/>
      <c r="BF1707" s="6"/>
      <c r="BG1707" s="6"/>
      <c r="BH1707" s="6"/>
      <c r="BI1707" s="6"/>
      <c r="BJ1707" s="6"/>
      <c r="BK1707" s="6"/>
      <c r="BL1707" s="6"/>
      <c r="BM1707" s="5"/>
      <c r="BN1707" s="7"/>
      <c r="BO1707" s="7"/>
      <c r="BP1707" s="7"/>
    </row>
    <row r="1708" spans="1:68" s="400" customFormat="1" ht="14.25" customHeight="1" x14ac:dyDescent="0.25">
      <c r="A1708" s="5"/>
      <c r="B1708" s="5"/>
      <c r="C1708" s="5"/>
      <c r="D1708" s="5"/>
      <c r="E1708" s="5"/>
      <c r="F1708" s="5"/>
      <c r="G1708" s="5"/>
      <c r="H1708" s="5"/>
      <c r="I1708" s="5"/>
      <c r="J1708" s="5"/>
      <c r="K1708" s="5"/>
      <c r="L1708" s="5"/>
      <c r="M1708" s="5"/>
      <c r="N1708" s="5"/>
      <c r="O1708" s="5"/>
      <c r="P1708" s="5"/>
      <c r="Q1708" s="5"/>
      <c r="R1708" s="5"/>
      <c r="S1708" s="5"/>
      <c r="T1708" s="5"/>
      <c r="U1708" s="5"/>
      <c r="V1708" s="5"/>
      <c r="W1708" s="5"/>
      <c r="X1708" s="5"/>
      <c r="Y1708" s="5"/>
      <c r="Z1708" s="5"/>
      <c r="AA1708" s="5"/>
      <c r="AB1708" s="6"/>
      <c r="AC1708" s="6"/>
      <c r="AD1708" s="6"/>
      <c r="AE1708" s="6"/>
      <c r="AF1708" s="6"/>
      <c r="AG1708" s="6"/>
      <c r="AH1708" s="6"/>
      <c r="AI1708" s="6"/>
      <c r="AJ1708" s="6"/>
      <c r="AK1708" s="6"/>
      <c r="AL1708" s="6"/>
      <c r="AM1708" s="6"/>
      <c r="AN1708" s="6"/>
      <c r="AO1708" s="6"/>
      <c r="AP1708" s="6"/>
      <c r="AQ1708" s="6"/>
      <c r="AR1708" s="6"/>
      <c r="AS1708" s="6"/>
      <c r="AT1708" s="6"/>
      <c r="AU1708" s="6"/>
      <c r="AV1708" s="6"/>
      <c r="AW1708" s="6"/>
      <c r="AX1708" s="6"/>
      <c r="AY1708" s="6"/>
      <c r="AZ1708" s="6"/>
      <c r="BA1708" s="6"/>
      <c r="BB1708" s="6"/>
      <c r="BC1708" s="6"/>
      <c r="BD1708" s="6"/>
      <c r="BE1708" s="6"/>
      <c r="BF1708" s="6"/>
      <c r="BG1708" s="6"/>
      <c r="BH1708" s="6"/>
      <c r="BI1708" s="6"/>
      <c r="BJ1708" s="6"/>
      <c r="BK1708" s="6"/>
      <c r="BL1708" s="6"/>
      <c r="BM1708" s="5"/>
      <c r="BN1708" s="7"/>
      <c r="BO1708" s="7"/>
      <c r="BP1708" s="7"/>
    </row>
    <row r="1709" spans="1:68" s="400" customFormat="1" ht="14.25" customHeight="1" x14ac:dyDescent="0.25">
      <c r="A1709" s="5"/>
      <c r="B1709" s="5"/>
      <c r="C1709" s="5"/>
      <c r="D1709" s="5"/>
      <c r="E1709" s="5"/>
      <c r="F1709" s="5"/>
      <c r="G1709" s="5"/>
      <c r="H1709" s="5"/>
      <c r="I1709" s="5"/>
      <c r="J1709" s="5"/>
      <c r="K1709" s="5"/>
      <c r="L1709" s="5"/>
      <c r="M1709" s="5"/>
      <c r="N1709" s="5"/>
      <c r="O1709" s="5"/>
      <c r="P1709" s="5"/>
      <c r="Q1709" s="5"/>
      <c r="R1709" s="5"/>
      <c r="S1709" s="5"/>
      <c r="T1709" s="5"/>
      <c r="U1709" s="5"/>
      <c r="V1709" s="5"/>
      <c r="W1709" s="5"/>
      <c r="X1709" s="5"/>
      <c r="Y1709" s="5"/>
      <c r="Z1709" s="5"/>
      <c r="AA1709" s="5"/>
      <c r="AB1709" s="6"/>
      <c r="AC1709" s="6"/>
      <c r="AD1709" s="6"/>
      <c r="AE1709" s="6"/>
      <c r="AF1709" s="6"/>
      <c r="AG1709" s="6"/>
      <c r="AH1709" s="6"/>
      <c r="AI1709" s="6"/>
      <c r="AJ1709" s="6"/>
      <c r="AK1709" s="6"/>
      <c r="AL1709" s="6"/>
      <c r="AM1709" s="6"/>
      <c r="AN1709" s="6"/>
      <c r="AO1709" s="6"/>
      <c r="AP1709" s="6"/>
      <c r="AQ1709" s="6"/>
      <c r="AR1709" s="6"/>
      <c r="AS1709" s="6"/>
      <c r="AT1709" s="6"/>
      <c r="AU1709" s="6"/>
      <c r="AV1709" s="6"/>
      <c r="AW1709" s="6"/>
      <c r="AX1709" s="6"/>
      <c r="AY1709" s="6"/>
      <c r="AZ1709" s="6"/>
      <c r="BA1709" s="6"/>
      <c r="BB1709" s="6"/>
      <c r="BC1709" s="6"/>
      <c r="BD1709" s="6"/>
      <c r="BE1709" s="6"/>
      <c r="BF1709" s="6"/>
      <c r="BG1709" s="6"/>
      <c r="BH1709" s="6"/>
      <c r="BI1709" s="6"/>
      <c r="BJ1709" s="6"/>
      <c r="BK1709" s="6"/>
      <c r="BL1709" s="6"/>
      <c r="BM1709" s="5"/>
      <c r="BN1709" s="7"/>
      <c r="BO1709" s="7"/>
      <c r="BP1709" s="7"/>
    </row>
    <row r="1710" spans="1:68" s="400" customFormat="1" ht="14.25" customHeight="1" x14ac:dyDescent="0.25">
      <c r="A1710" s="5"/>
      <c r="B1710" s="5"/>
      <c r="C1710" s="5"/>
      <c r="D1710" s="5"/>
      <c r="E1710" s="5"/>
      <c r="F1710" s="5"/>
      <c r="G1710" s="5"/>
      <c r="H1710" s="5"/>
      <c r="I1710" s="5"/>
      <c r="J1710" s="5"/>
      <c r="K1710" s="5"/>
      <c r="L1710" s="5"/>
      <c r="M1710" s="5"/>
      <c r="N1710" s="5"/>
      <c r="O1710" s="5"/>
      <c r="P1710" s="5"/>
      <c r="Q1710" s="5"/>
      <c r="R1710" s="5"/>
      <c r="S1710" s="5"/>
      <c r="T1710" s="5"/>
      <c r="U1710" s="5"/>
      <c r="V1710" s="5"/>
      <c r="W1710" s="5"/>
      <c r="X1710" s="5"/>
      <c r="Y1710" s="5"/>
      <c r="Z1710" s="5"/>
      <c r="AA1710" s="5"/>
      <c r="AB1710" s="6"/>
      <c r="AC1710" s="6"/>
      <c r="AD1710" s="6"/>
      <c r="AE1710" s="4"/>
      <c r="AF1710" s="4"/>
      <c r="AG1710" s="4"/>
      <c r="AH1710" s="6"/>
      <c r="AI1710" s="6"/>
      <c r="AJ1710" s="6"/>
      <c r="AK1710" s="6"/>
      <c r="AL1710" s="6"/>
      <c r="AM1710" s="6"/>
      <c r="AN1710" s="6"/>
      <c r="AO1710" s="6"/>
      <c r="AP1710" s="6"/>
      <c r="AQ1710" s="6"/>
      <c r="AR1710" s="6"/>
      <c r="AS1710" s="6"/>
      <c r="AT1710" s="6"/>
      <c r="AU1710" s="6"/>
      <c r="AV1710" s="6"/>
      <c r="AW1710" s="6"/>
      <c r="AX1710" s="6"/>
      <c r="AY1710" s="6"/>
      <c r="AZ1710" s="6"/>
      <c r="BA1710" s="6"/>
      <c r="BB1710" s="6"/>
      <c r="BC1710" s="6"/>
      <c r="BD1710" s="6"/>
      <c r="BE1710" s="6"/>
      <c r="BF1710" s="6"/>
      <c r="BG1710" s="6"/>
      <c r="BH1710" s="6"/>
      <c r="BI1710" s="6"/>
      <c r="BJ1710" s="6"/>
      <c r="BK1710" s="6"/>
      <c r="BL1710" s="6"/>
      <c r="BM1710" s="5"/>
      <c r="BN1710" s="7"/>
      <c r="BO1710" s="7"/>
      <c r="BP1710" s="7"/>
    </row>
    <row r="1711" spans="1:68" s="400" customFormat="1" ht="14.25" customHeight="1" x14ac:dyDescent="0.25">
      <c r="A1711" s="5"/>
      <c r="B1711" s="5"/>
      <c r="C1711" s="5"/>
      <c r="D1711" s="5"/>
      <c r="E1711" s="5"/>
      <c r="F1711" s="5"/>
      <c r="G1711" s="5"/>
      <c r="H1711" s="5"/>
      <c r="I1711" s="5"/>
      <c r="J1711" s="5"/>
      <c r="K1711" s="5"/>
      <c r="L1711" s="5"/>
      <c r="M1711" s="5"/>
      <c r="N1711" s="5"/>
      <c r="O1711" s="5"/>
      <c r="P1711" s="5"/>
      <c r="Q1711" s="5"/>
      <c r="R1711" s="5"/>
      <c r="S1711" s="5"/>
      <c r="T1711" s="5"/>
      <c r="U1711" s="5"/>
      <c r="V1711" s="5"/>
      <c r="W1711" s="5"/>
      <c r="X1711" s="5"/>
      <c r="Y1711" s="5"/>
      <c r="Z1711" s="5"/>
      <c r="AA1711" s="5"/>
      <c r="AB1711" s="6"/>
      <c r="AC1711" s="6"/>
      <c r="AD1711" s="6"/>
      <c r="AE1711" s="4"/>
      <c r="AF1711" s="4"/>
      <c r="AG1711" s="4"/>
      <c r="AH1711" s="6"/>
      <c r="AI1711" s="6"/>
      <c r="AJ1711" s="6"/>
      <c r="AK1711" s="6"/>
      <c r="AL1711" s="6"/>
      <c r="AM1711" s="6"/>
      <c r="AN1711" s="6"/>
      <c r="AO1711" s="6"/>
      <c r="AP1711" s="6"/>
      <c r="AQ1711" s="6"/>
      <c r="AR1711" s="6"/>
      <c r="AS1711" s="6"/>
      <c r="AT1711" s="6"/>
      <c r="AU1711" s="6"/>
      <c r="AV1711" s="6"/>
      <c r="AW1711" s="6"/>
      <c r="AX1711" s="6"/>
      <c r="AY1711" s="6"/>
      <c r="AZ1711" s="6"/>
      <c r="BA1711" s="6"/>
      <c r="BB1711" s="6"/>
      <c r="BC1711" s="6"/>
      <c r="BD1711" s="6"/>
      <c r="BE1711" s="6"/>
      <c r="BF1711" s="6"/>
      <c r="BG1711" s="6"/>
      <c r="BH1711" s="6"/>
      <c r="BI1711" s="6"/>
      <c r="BJ1711" s="6"/>
      <c r="BK1711" s="6"/>
      <c r="BL1711" s="6"/>
      <c r="BM1711" s="5"/>
      <c r="BN1711" s="7"/>
      <c r="BO1711" s="7"/>
      <c r="BP1711" s="7"/>
    </row>
    <row r="1712" spans="1:68" s="400" customFormat="1" ht="14.25" customHeight="1" x14ac:dyDescent="0.25">
      <c r="A1712" s="5"/>
      <c r="B1712" s="5"/>
      <c r="C1712" s="5"/>
      <c r="D1712" s="5"/>
      <c r="E1712" s="5"/>
      <c r="F1712" s="5"/>
      <c r="G1712" s="5"/>
      <c r="H1712" s="5"/>
      <c r="I1712" s="5"/>
      <c r="J1712" s="5"/>
      <c r="K1712" s="5"/>
      <c r="L1712" s="5"/>
      <c r="M1712" s="5"/>
      <c r="N1712" s="5"/>
      <c r="O1712" s="5"/>
      <c r="P1712" s="5"/>
      <c r="Q1712" s="5"/>
      <c r="R1712" s="5"/>
      <c r="S1712" s="5"/>
      <c r="T1712" s="5"/>
      <c r="U1712" s="5"/>
      <c r="V1712" s="5"/>
      <c r="W1712" s="5"/>
      <c r="X1712" s="5"/>
      <c r="Y1712" s="5"/>
      <c r="Z1712" s="5"/>
      <c r="AA1712" s="5"/>
      <c r="AB1712" s="6"/>
      <c r="AC1712" s="6"/>
      <c r="AD1712" s="6"/>
      <c r="AE1712" s="4"/>
      <c r="AF1712" s="4"/>
      <c r="AG1712" s="4"/>
      <c r="AH1712" s="6"/>
      <c r="AI1712" s="6"/>
      <c r="AJ1712" s="6"/>
      <c r="AK1712" s="6"/>
      <c r="AL1712" s="6"/>
      <c r="AM1712" s="6"/>
      <c r="AN1712" s="6"/>
      <c r="AO1712" s="6"/>
      <c r="AP1712" s="6"/>
      <c r="AQ1712" s="6"/>
      <c r="AR1712" s="6"/>
      <c r="AS1712" s="6"/>
      <c r="AT1712" s="6"/>
      <c r="AU1712" s="6"/>
      <c r="AV1712" s="6"/>
      <c r="AW1712" s="6"/>
      <c r="AX1712" s="6"/>
      <c r="AY1712" s="6"/>
      <c r="AZ1712" s="6"/>
      <c r="BA1712" s="6"/>
      <c r="BB1712" s="6"/>
      <c r="BC1712" s="6"/>
      <c r="BD1712" s="6"/>
      <c r="BE1712" s="6"/>
      <c r="BF1712" s="6"/>
      <c r="BG1712" s="6"/>
      <c r="BH1712" s="6"/>
      <c r="BI1712" s="6"/>
      <c r="BJ1712" s="6"/>
      <c r="BK1712" s="6"/>
      <c r="BL1712" s="6"/>
      <c r="BM1712" s="5"/>
      <c r="BN1712" s="7"/>
      <c r="BO1712" s="7"/>
      <c r="BP1712" s="7"/>
    </row>
  </sheetData>
  <mergeCells count="64">
    <mergeCell ref="AE33:AF33"/>
    <mergeCell ref="AB73:AD73"/>
    <mergeCell ref="AE73:AG73"/>
    <mergeCell ref="AH73:AJ73"/>
    <mergeCell ref="AK73:AM73"/>
    <mergeCell ref="BC73:BE73"/>
    <mergeCell ref="BF73:BH73"/>
    <mergeCell ref="BI73:BK73"/>
    <mergeCell ref="BN73:BP73"/>
    <mergeCell ref="AB74:AB77"/>
    <mergeCell ref="AC74:AC77"/>
    <mergeCell ref="AD74:AD77"/>
    <mergeCell ref="AN73:AP73"/>
    <mergeCell ref="AQ73:AS73"/>
    <mergeCell ref="AT73:AV73"/>
    <mergeCell ref="AW73:AY73"/>
    <mergeCell ref="AZ73:BB73"/>
    <mergeCell ref="BF436:BH436"/>
    <mergeCell ref="BI436:BK436"/>
    <mergeCell ref="BN436:BP436"/>
    <mergeCell ref="AB437:AB441"/>
    <mergeCell ref="AC437:AC441"/>
    <mergeCell ref="AD437:AD441"/>
    <mergeCell ref="AQ436:AS436"/>
    <mergeCell ref="AT436:AV436"/>
    <mergeCell ref="AW436:AY436"/>
    <mergeCell ref="AZ436:BB436"/>
    <mergeCell ref="BC436:BE436"/>
    <mergeCell ref="AB436:AD436"/>
    <mergeCell ref="AE436:AG436"/>
    <mergeCell ref="AH436:AJ436"/>
    <mergeCell ref="AK436:AM436"/>
    <mergeCell ref="AN436:AP436"/>
    <mergeCell ref="AB749:AB750"/>
    <mergeCell ref="AB783:AD783"/>
    <mergeCell ref="AE783:AG783"/>
    <mergeCell ref="AH783:AJ783"/>
    <mergeCell ref="AK783:AM783"/>
    <mergeCell ref="BC783:BE783"/>
    <mergeCell ref="BF783:BH783"/>
    <mergeCell ref="BI783:BK783"/>
    <mergeCell ref="BN783:BP783"/>
    <mergeCell ref="AB784:AB787"/>
    <mergeCell ref="AC784:AC787"/>
    <mergeCell ref="AD784:AD787"/>
    <mergeCell ref="AN783:AP783"/>
    <mergeCell ref="AQ783:AS783"/>
    <mergeCell ref="AT783:AV783"/>
    <mergeCell ref="AW783:AY783"/>
    <mergeCell ref="AZ783:BB783"/>
    <mergeCell ref="AC1150:AC1152"/>
    <mergeCell ref="AD1150:AD1152"/>
    <mergeCell ref="AE1150:AG1150"/>
    <mergeCell ref="AH1150:AJ1150"/>
    <mergeCell ref="AK1150:AM1150"/>
    <mergeCell ref="BC1150:BE1150"/>
    <mergeCell ref="BF1150:BH1150"/>
    <mergeCell ref="BI1150:BK1150"/>
    <mergeCell ref="BN1150:BP1150"/>
    <mergeCell ref="AN1150:AP1150"/>
    <mergeCell ref="AQ1150:AS1150"/>
    <mergeCell ref="AT1150:AV1150"/>
    <mergeCell ref="AW1150:AY1150"/>
    <mergeCell ref="AZ1150:BB1150"/>
  </mergeCells>
  <dataValidations count="2">
    <dataValidation type="list" allowBlank="1" showInputMessage="1" showErrorMessage="1" sqref="AC4" xr:uid="{00000000-0002-0000-0000-000000000000}">
      <formula1>razm_predz</formula1>
      <formula2>0</formula2>
    </dataValidation>
    <dataValidation type="list" allowBlank="1" showInputMessage="1" showErrorMessage="1" sqref="AG415 AG1129" xr:uid="{00000000-0002-0000-0000-000001000000}">
      <formula1>List_calc_diff_tariff</formula1>
      <formula2>0</formula2>
    </dataValidation>
  </dataValidations>
  <pageMargins left="0.25" right="0.25" top="0.59722222222222199" bottom="0.59722222222222199" header="0.511811023622047" footer="0.511811023622047"/>
  <pageSetup fitToHeight="0" orientation="portrait" horizontalDpi="300" verticalDpi="300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44546A"/>
  </sheetPr>
  <dimension ref="A1:CH1728"/>
  <sheetViews>
    <sheetView showGridLines="0" tabSelected="1" topLeftCell="AA71" zoomScale="60" zoomScaleNormal="60" workbookViewId="0">
      <pane xSplit="4" ySplit="39" topLeftCell="AF582" activePane="bottomRight" state="frozen"/>
      <selection activeCell="AA71" sqref="AA71"/>
      <selection pane="topRight" activeCell="AE71" sqref="AE71"/>
      <selection pane="bottomLeft" activeCell="AA796" sqref="AA796"/>
      <selection pane="bottomRight" activeCell="AR600" sqref="AR600"/>
    </sheetView>
  </sheetViews>
  <sheetFormatPr defaultColWidth="9.140625" defaultRowHeight="15.75" outlineLevelRow="6" x14ac:dyDescent="0.25"/>
  <cols>
    <col min="1" max="1" width="8.85546875" style="5" hidden="1" customWidth="1"/>
    <col min="2" max="2" width="8.5703125" style="5" hidden="1" customWidth="1"/>
    <col min="3" max="3" width="12.5703125" style="5" hidden="1" customWidth="1"/>
    <col min="4" max="6" width="3.7109375" style="5" hidden="1" customWidth="1"/>
    <col min="7" max="7" width="10.140625" style="5" hidden="1" customWidth="1"/>
    <col min="8" max="11" width="3.7109375" style="5" hidden="1" customWidth="1"/>
    <col min="12" max="12" width="8.7109375" style="5" hidden="1" customWidth="1"/>
    <col min="13" max="26" width="3.7109375" style="5" hidden="1" customWidth="1"/>
    <col min="27" max="27" width="3.7109375" style="5" customWidth="1"/>
    <col min="28" max="28" width="19.5703125" style="4" customWidth="1"/>
    <col min="29" max="29" width="66.7109375" style="4" customWidth="1"/>
    <col min="30" max="30" width="13.85546875" style="4" customWidth="1"/>
    <col min="31" max="34" width="20.7109375" style="4" customWidth="1"/>
    <col min="35" max="74" width="20.7109375" style="6" customWidth="1"/>
    <col min="75" max="75" width="12.7109375" style="6" customWidth="1"/>
    <col min="76" max="76" width="12.42578125" style="5" customWidth="1"/>
    <col min="77" max="80" width="23.140625" style="7" customWidth="1"/>
    <col min="81" max="81" width="11.5703125" style="739" hidden="1" customWidth="1"/>
    <col min="82" max="82" width="13.85546875" customWidth="1"/>
    <col min="83" max="83" width="11" customWidth="1"/>
    <col min="84" max="84" width="12.28515625" customWidth="1"/>
    <col min="85" max="85" width="14.140625" customWidth="1"/>
  </cols>
  <sheetData>
    <row r="1" spans="3:44" ht="11.25" hidden="1" customHeight="1" x14ac:dyDescent="0.25">
      <c r="AE1" s="8">
        <f t="array" ref="AE1">INDEX([1]Столбцы!$H$3:$H$104,MATCH(AE$21,[1]Столбцы!$A$3:$A$104,0),)</f>
        <v>1</v>
      </c>
      <c r="AF1" s="8">
        <f t="array" ref="AF1">INDEX([1]Столбцы!$H$3:$H$104,MATCH(AF$21,[1]Столбцы!$A$3:$A$104,0),)</f>
        <v>1</v>
      </c>
      <c r="AG1" s="8">
        <f t="array" ref="AG1">INDEX([1]Столбцы!$H$3:$H$104,MATCH(AG$21,[1]Столбцы!$A$3:$A$104,0),)</f>
        <v>1</v>
      </c>
      <c r="AH1" s="8"/>
      <c r="AR1" s="9"/>
    </row>
    <row r="2" spans="3:44" ht="11.25" hidden="1" customHeight="1" x14ac:dyDescent="0.25">
      <c r="AE2" s="8">
        <f t="array" ref="AE2">INDEX([1]Столбцы!$I$3:$I$104,MATCH(AE$21,[1]Столбцы!$A$3:$A$104,0),)</f>
        <v>1</v>
      </c>
      <c r="AF2" s="8">
        <f t="array" ref="AF2">INDEX([1]Столбцы!$I$3:$I$104,MATCH(AF$21,[1]Столбцы!$A$3:$A$104,0),)</f>
        <v>1</v>
      </c>
      <c r="AG2" s="8">
        <f t="array" ref="AG2">INDEX([1]Столбцы!$I$3:$I$104,MATCH(AG$21,[1]Столбцы!$A$3:$A$104,0),)</f>
        <v>1</v>
      </c>
      <c r="AH2" s="8"/>
      <c r="AR2" s="9"/>
    </row>
    <row r="3" spans="3:44" ht="11.25" hidden="1" customHeight="1" x14ac:dyDescent="0.25">
      <c r="E3" s="10" t="s">
        <v>0</v>
      </c>
      <c r="F3" s="11" t="s">
        <v>1</v>
      </c>
      <c r="G3" s="10" t="s">
        <v>2</v>
      </c>
      <c r="H3" s="10" t="s">
        <v>3</v>
      </c>
      <c r="I3" s="10" t="s">
        <v>4</v>
      </c>
      <c r="J3" s="10" t="s">
        <v>5</v>
      </c>
      <c r="K3" s="12" t="s">
        <v>6</v>
      </c>
      <c r="L3" s="11" t="s">
        <v>1</v>
      </c>
      <c r="M3" s="13" t="s">
        <v>7</v>
      </c>
      <c r="AR3" s="9"/>
    </row>
    <row r="4" spans="3:44" ht="11.25" hidden="1" customHeight="1" x14ac:dyDescent="0.25">
      <c r="AR4" s="9"/>
    </row>
    <row r="5" spans="3:44" ht="11.25" hidden="1" customHeight="1" x14ac:dyDescent="0.25">
      <c r="C5" s="10" t="s">
        <v>8</v>
      </c>
      <c r="AE5" s="8">
        <f t="array" ref="AE5">INDEX(IF(mark="Разметка",[1]Столбцы!$K$3:$N$104,[1]Столбцы!$P$3:$S$104),MATCH(AE$21,[1]Столбцы!$A$3:$A$104,0),MATCH($C5,IF(mark="Разметка",[1]Столбцы!$K$2:$N$2,[1]Столбцы!$P$2:$S$2),0))</f>
        <v>2024</v>
      </c>
      <c r="AF5" s="8">
        <f t="array" ref="AF5">INDEX(IF(mark="Разметка",[1]Столбцы!$K$3:$N$104,[1]Столбцы!$P$3:$S$104),MATCH(AF$21,[1]Столбцы!$A$3:$A$104,0),MATCH($C5,IF(mark="Разметка",[1]Столбцы!$K$2:$N$2,[1]Столбцы!$P$2:$S$2),0))</f>
        <v>2025</v>
      </c>
      <c r="AG5" s="8">
        <f t="array" ref="AG5">INDEX(IF(mark="Разметка",[1]Столбцы!$K$3:$N$104,[1]Столбцы!$P$3:$S$104),MATCH(AG$21,[1]Столбцы!$A$3:$A$104,0),MATCH($C5,IF(mark="Разметка",[1]Столбцы!$K$2:$N$2,[1]Столбцы!$P$2:$S$2),0))</f>
        <v>2026</v>
      </c>
      <c r="AH5" s="8"/>
      <c r="AR5" s="9"/>
    </row>
    <row r="6" spans="3:44" ht="11.25" hidden="1" customHeight="1" x14ac:dyDescent="0.25">
      <c r="C6" s="10" t="s">
        <v>9</v>
      </c>
      <c r="AE6" s="8" t="str">
        <f t="array" ref="AE6">INDEX(IF(mark="Разметка",[1]Столбцы!$K$3:$N$104,[1]Столбцы!$P$3:$S$104),MATCH(AE$21,[1]Столбцы!$A$3:$A$104,0),MATCH($C6,IF(mark="Разметка",[1]Столбцы!$K$2:$N$2,[1]Столбцы!$P$2:$S$2),0))</f>
        <v>Факт</v>
      </c>
      <c r="AF6" s="8" t="str">
        <f t="array" ref="AF6">INDEX(IF(mark="Разметка",[1]Столбцы!$K$3:$N$104,[1]Столбцы!$P$3:$S$104),MATCH(AF$21,[1]Столбцы!$A$3:$A$104,0),MATCH($C6,IF(mark="Разметка",[1]Столбцы!$K$2:$N$2,[1]Столбцы!$P$2:$S$2),0))</f>
        <v>План</v>
      </c>
      <c r="AG6" s="8" t="str">
        <f t="array" ref="AG6">INDEX(IF(mark="Разметка",[1]Столбцы!$K$3:$N$104,[1]Столбцы!$P$3:$S$104),MATCH(AG$21,[1]Столбцы!$A$3:$A$104,0),MATCH($C6,IF(mark="Разметка",[1]Столбцы!$K$2:$N$2,[1]Столбцы!$P$2:$S$2),0))</f>
        <v>План</v>
      </c>
      <c r="AH6" s="8"/>
      <c r="AR6" s="9"/>
    </row>
    <row r="7" spans="3:44" ht="11.25" hidden="1" customHeight="1" x14ac:dyDescent="0.25">
      <c r="C7" s="10" t="s">
        <v>10</v>
      </c>
      <c r="AE7" s="8" t="s">
        <v>11</v>
      </c>
      <c r="AF7" s="8" t="s">
        <v>11</v>
      </c>
      <c r="AG7" s="8" t="s">
        <v>11</v>
      </c>
      <c r="AH7" s="8"/>
      <c r="AR7" s="9"/>
    </row>
    <row r="8" spans="3:44" ht="11.25" hidden="1" customHeight="1" x14ac:dyDescent="0.25">
      <c r="C8" s="10" t="s">
        <v>12</v>
      </c>
      <c r="AE8" s="8" t="str">
        <f t="array" ref="AE8">INDEX(IF(mark="Разметка",[1]Столбцы!$K$3:$N$104,[1]Столбцы!$P$3:$S$104),MATCH(AE$21,[1]Столбцы!$A$3:$A$104,0),MATCH($C8,IF(mark="Разметка",[1]Столбцы!$K$2:$N$2,[1]Столбцы!$P$2:$S$2),0))</f>
        <v>Версия организации</v>
      </c>
      <c r="AF8" s="8" t="str">
        <f t="array" ref="AF8">INDEX(IF(mark="Разметка",[1]Столбцы!$K$3:$N$104,[1]Столбцы!$P$3:$S$104),MATCH(AF$21,[1]Столбцы!$A$3:$A$104,0),MATCH($C8,IF(mark="Разметка",[1]Столбцы!$K$2:$N$2,[1]Столбцы!$P$2:$S$2),0))</f>
        <v>Версия организации</v>
      </c>
      <c r="AG8" s="8" t="str">
        <f t="array" ref="AG8">INDEX(IF(mark="Разметка",[1]Столбцы!$K$3:$N$104,[1]Столбцы!$P$3:$S$104),MATCH(AG$21,[1]Столбцы!$A$3:$A$104,0),MATCH($C8,IF(mark="Разметка",[1]Столбцы!$K$2:$N$2,[1]Столбцы!$P$2:$S$2),0))</f>
        <v>Версия организации</v>
      </c>
      <c r="AH8" s="8"/>
      <c r="AR8" s="9"/>
    </row>
    <row r="9" spans="3:44" ht="14.25" hidden="1" customHeight="1" x14ac:dyDescent="0.25">
      <c r="C9" s="10" t="s">
        <v>13</v>
      </c>
      <c r="AE9" s="8" t="str">
        <f t="array" ref="AE9">INDEX(IF(mark="Разметка",[1]Столбцы!$K$3:$N$104,[1]Столбцы!$P$3:$S$104),MATCH(AE$21,[1]Столбцы!$A$3:$A$104,0),MATCH($C9,IF(mark="Разметка",[1]Столбцы!$K$2:$N$2,[1]Столбцы!$P$2:$S$2),0))</f>
        <v>Год</v>
      </c>
      <c r="AF9" s="8" t="str">
        <f t="array" ref="AF9">INDEX(IF(mark="Разметка",[1]Столбцы!$K$3:$N$104,[1]Столбцы!$P$3:$S$104),MATCH(AF$21,[1]Столбцы!$A$3:$A$104,0),MATCH($C9,IF(mark="Разметка",[1]Столбцы!$K$2:$N$2,[1]Столбцы!$P$2:$S$2),0))</f>
        <v>Год</v>
      </c>
      <c r="AG9" s="8" t="str">
        <f t="array" ref="AG9">INDEX(IF(mark="Разметка",[1]Столбцы!$K$3:$N$104,[1]Столбцы!$P$3:$S$104),MATCH(AG$21,[1]Столбцы!$A$3:$A$104,0),MATCH($C9,IF(mark="Разметка",[1]Столбцы!$K$2:$N$2,[1]Столбцы!$P$2:$S$2),0))</f>
        <v>Год</v>
      </c>
      <c r="AH9" s="8"/>
      <c r="AR9" s="9"/>
    </row>
    <row r="10" spans="3:44" ht="14.25" hidden="1" customHeight="1" x14ac:dyDescent="0.25">
      <c r="AR10" s="9"/>
    </row>
    <row r="11" spans="3:44" ht="14.25" hidden="1" customHeight="1" x14ac:dyDescent="0.25">
      <c r="AR11" s="9"/>
    </row>
    <row r="12" spans="3:44" ht="14.25" hidden="1" customHeight="1" x14ac:dyDescent="0.25">
      <c r="AR12" s="9"/>
    </row>
    <row r="13" spans="3:44" ht="14.25" hidden="1" customHeight="1" x14ac:dyDescent="0.25">
      <c r="AR13" s="9"/>
    </row>
    <row r="14" spans="3:44" ht="14.25" hidden="1" customHeight="1" x14ac:dyDescent="0.25">
      <c r="AR14" s="9"/>
    </row>
    <row r="15" spans="3:44" ht="14.25" hidden="1" customHeight="1" x14ac:dyDescent="0.25">
      <c r="AR15" s="9"/>
    </row>
    <row r="16" spans="3:44" ht="14.25" hidden="1" customHeight="1" x14ac:dyDescent="0.25">
      <c r="AR16" s="9"/>
    </row>
    <row r="17" spans="29:44" ht="14.25" hidden="1" customHeight="1" x14ac:dyDescent="0.25">
      <c r="AR17" s="9"/>
    </row>
    <row r="18" spans="29:44" ht="14.25" hidden="1" customHeight="1" x14ac:dyDescent="0.25">
      <c r="AR18" s="9"/>
    </row>
    <row r="19" spans="29:44" ht="14.25" hidden="1" customHeight="1" x14ac:dyDescent="0.25">
      <c r="AR19" s="9"/>
    </row>
    <row r="20" spans="29:44" ht="14.25" hidden="1" customHeight="1" x14ac:dyDescent="0.25">
      <c r="AR20" s="9"/>
    </row>
    <row r="21" spans="29:44" ht="11.25" hidden="1" customHeight="1" x14ac:dyDescent="0.25">
      <c r="AE21" s="8" t="str">
        <f t="array" ref="AE21">[1]Столбцы!A39</f>
        <v>Версия организации2024фактгод</v>
      </c>
      <c r="AF21" s="8" t="str">
        <f t="array" ref="AF21">[1]Столбцы!A45</f>
        <v>Версия организации2025план Органа регулирования скорректированныйгод</v>
      </c>
      <c r="AG21" s="8" t="str">
        <f t="array" ref="AG21">[1]Столбцы!A64</f>
        <v>Версия организации2026план организации (корректировка)год</v>
      </c>
      <c r="AH21" s="8"/>
      <c r="AR21" s="9"/>
    </row>
    <row r="22" spans="29:44" ht="11.25" hidden="1" customHeight="1" x14ac:dyDescent="0.25">
      <c r="AC22" s="8" t="s">
        <v>14</v>
      </c>
      <c r="AD22" s="8">
        <f t="array" ref="AD22">'[1]Список листов'!$A$26</f>
        <v>1</v>
      </c>
      <c r="AR22" s="9"/>
    </row>
    <row r="23" spans="29:44" ht="11.25" hidden="1" customHeight="1" x14ac:dyDescent="0.25">
      <c r="AC23" s="8" t="s">
        <v>15</v>
      </c>
      <c r="AD23" s="8" t="str">
        <f>IF(AND('[1]СиМ (детально)'!$A$241,'[1]СиМ (детально)'!$B$241),"да","нет")</f>
        <v>нет</v>
      </c>
      <c r="AR23" s="9"/>
    </row>
    <row r="24" spans="29:44" ht="11.25" hidden="1" customHeight="1" x14ac:dyDescent="0.25">
      <c r="AC24" s="8" t="s">
        <v>16</v>
      </c>
      <c r="AD24" s="14" t="str">
        <f t="array" ref="AD24">'[1]Общие настройки'!$G$80</f>
        <v>нет</v>
      </c>
      <c r="AR24" s="9"/>
    </row>
    <row r="25" spans="29:44" ht="11.25" hidden="1" customHeight="1" x14ac:dyDescent="0.25">
      <c r="AC25" s="8" t="s">
        <v>17</v>
      </c>
      <c r="AD25" s="8">
        <f t="array" ref="AD25">'[1]Список листов'!$A$44</f>
        <v>0</v>
      </c>
      <c r="AR25" s="9"/>
    </row>
    <row r="26" spans="29:44" ht="11.25" hidden="1" customHeight="1" x14ac:dyDescent="0.25">
      <c r="AC26" s="8" t="s">
        <v>18</v>
      </c>
      <c r="AD26" s="8">
        <f t="array" ref="AD26">'[1]Список листов'!$A41</f>
        <v>1</v>
      </c>
      <c r="AR26" s="9"/>
    </row>
    <row r="27" spans="29:44" ht="11.25" hidden="1" customHeight="1" x14ac:dyDescent="0.25">
      <c r="AC27" s="8" t="s">
        <v>19</v>
      </c>
      <c r="AD27" s="8">
        <f t="array" ref="AD27">'[1]Список листов'!$A42</f>
        <v>1</v>
      </c>
      <c r="AR27" s="9"/>
    </row>
    <row r="28" spans="29:44" ht="11.25" hidden="1" customHeight="1" x14ac:dyDescent="0.25">
      <c r="AC28" s="8" t="s">
        <v>20</v>
      </c>
      <c r="AD28" s="8">
        <f t="array" ref="AD28">'[1]Список листов'!$A43</f>
        <v>1</v>
      </c>
      <c r="AR28" s="9"/>
    </row>
    <row r="29" spans="29:44" ht="11.25" hidden="1" customHeight="1" x14ac:dyDescent="0.25">
      <c r="AC29" s="8" t="s">
        <v>21</v>
      </c>
      <c r="AD29" s="8">
        <f t="array" ref="AD29">'[1]Список листов'!$A$47</f>
        <v>1</v>
      </c>
      <c r="AR29" s="9"/>
    </row>
    <row r="30" spans="29:44" ht="11.25" hidden="1" customHeight="1" x14ac:dyDescent="0.25">
      <c r="AC30" s="8" t="s">
        <v>22</v>
      </c>
      <c r="AD30" s="8">
        <f t="array" ref="AD30">'[1]Список листов'!$A$46</f>
        <v>1</v>
      </c>
      <c r="AR30" s="9"/>
    </row>
    <row r="31" spans="29:44" ht="11.25" hidden="1" customHeight="1" x14ac:dyDescent="0.25">
      <c r="AC31" s="8" t="s">
        <v>23</v>
      </c>
      <c r="AD31" s="8">
        <f t="array" ref="AD31">'[1]Список листов'!$A$45</f>
        <v>1</v>
      </c>
      <c r="AR31" s="9"/>
    </row>
    <row r="32" spans="29:44" ht="11.25" hidden="1" customHeight="1" x14ac:dyDescent="0.25">
      <c r="AC32" s="8" t="s">
        <v>24</v>
      </c>
      <c r="AD32" s="8">
        <f t="array" ref="AD32">'[1]Список листов'!$A$51</f>
        <v>1</v>
      </c>
      <c r="AR32" s="9"/>
    </row>
    <row r="33" spans="29:44" ht="11.25" hidden="1" customHeight="1" x14ac:dyDescent="0.25">
      <c r="AC33" s="8" t="s">
        <v>25</v>
      </c>
      <c r="AD33" s="8">
        <f t="array" ref="AD33">'[1]Список листов'!$A$49</f>
        <v>1</v>
      </c>
      <c r="AE33" s="1115"/>
      <c r="AF33" s="1115"/>
      <c r="AR33" s="9"/>
    </row>
    <row r="34" spans="29:44" ht="11.25" hidden="1" customHeight="1" x14ac:dyDescent="0.25">
      <c r="AC34" s="8" t="s">
        <v>26</v>
      </c>
      <c r="AD34" s="8">
        <f t="array" ref="AD34">'[1]Список листов'!$A$48</f>
        <v>1</v>
      </c>
      <c r="AR34" s="9"/>
    </row>
    <row r="35" spans="29:44" ht="11.25" hidden="1" customHeight="1" x14ac:dyDescent="0.25">
      <c r="AC35" s="8" t="s">
        <v>27</v>
      </c>
      <c r="AD35" s="8">
        <f t="array" ref="AD35">'[1]Список листов'!$A$31</f>
        <v>1</v>
      </c>
      <c r="AR35" s="9"/>
    </row>
    <row r="36" spans="29:44" ht="11.25" hidden="1" customHeight="1" x14ac:dyDescent="0.25">
      <c r="AC36" s="8" t="s">
        <v>28</v>
      </c>
      <c r="AD36" s="14" t="str">
        <f t="array" ref="AD36">'[1]Общие настройки'!$G$138</f>
        <v>нет</v>
      </c>
      <c r="AR36" s="9"/>
    </row>
    <row r="37" spans="29:44" ht="11.25" hidden="1" customHeight="1" x14ac:dyDescent="0.25">
      <c r="AC37" s="8" t="s">
        <v>29</v>
      </c>
      <c r="AD37" s="14" t="str">
        <f t="array" ref="AD37">'[1]Общие настройки'!$G$127</f>
        <v>да</v>
      </c>
      <c r="AR37" s="9"/>
    </row>
    <row r="38" spans="29:44" ht="11.25" hidden="1" customHeight="1" x14ac:dyDescent="0.25">
      <c r="AC38" s="8" t="s">
        <v>30</v>
      </c>
      <c r="AD38" s="8" t="str">
        <f t="array" ref="AD38">'[1]Общие настройки'!G134</f>
        <v>Подано воды в сеть</v>
      </c>
      <c r="AR38" s="9"/>
    </row>
    <row r="39" spans="29:44" ht="11.25" hidden="1" customHeight="1" x14ac:dyDescent="0.25">
      <c r="AC39" s="8" t="s">
        <v>31</v>
      </c>
      <c r="AD39" s="8" t="str">
        <f t="array" ref="AD39">'[1]Общие настройки'!G135</f>
        <v>Подано воды в сеть</v>
      </c>
      <c r="AR39" s="9"/>
    </row>
    <row r="40" spans="29:44" ht="11.25" hidden="1" customHeight="1" x14ac:dyDescent="0.25">
      <c r="AC40" s="8" t="s">
        <v>32</v>
      </c>
      <c r="AD40" s="8" t="str">
        <f t="array" ref="AD40">'[1]Общие настройки'!G136</f>
        <v>Подано воды в сеть</v>
      </c>
      <c r="AR40" s="9"/>
    </row>
    <row r="41" spans="29:44" ht="11.25" hidden="1" customHeight="1" x14ac:dyDescent="0.25">
      <c r="AC41" s="8" t="s">
        <v>33</v>
      </c>
      <c r="AD41" s="8" t="str">
        <f>SETTING_VIEW_CALC_NALOG</f>
        <v>да</v>
      </c>
      <c r="AR41" s="9"/>
    </row>
    <row r="42" spans="29:44" ht="11.25" hidden="1" customHeight="1" x14ac:dyDescent="0.25">
      <c r="AC42" s="8" t="s">
        <v>34</v>
      </c>
      <c r="AD42" s="14" t="str">
        <f t="array" ref="AD42">'[1]Общие настройки'!$G$86</f>
        <v>да</v>
      </c>
      <c r="AR42" s="9"/>
    </row>
    <row r="43" spans="29:44" ht="11.25" hidden="1" customHeight="1" x14ac:dyDescent="0.25">
      <c r="AC43" s="8" t="s">
        <v>35</v>
      </c>
      <c r="AD43" s="8" t="str">
        <f t="array" ref="AD43">[1]Амортизация!AF23</f>
        <v>да</v>
      </c>
      <c r="AR43" s="9"/>
    </row>
    <row r="44" spans="29:44" ht="11.25" hidden="1" customHeight="1" x14ac:dyDescent="0.25">
      <c r="AC44" s="8" t="s">
        <v>36</v>
      </c>
      <c r="AD44" s="8" t="str">
        <f t="array" ref="AD44">[1]Амортизация!AF24</f>
        <v>да</v>
      </c>
      <c r="AR44" s="9"/>
    </row>
    <row r="45" spans="29:44" ht="11.25" hidden="1" customHeight="1" x14ac:dyDescent="0.25">
      <c r="AC45" s="8" t="s">
        <v>37</v>
      </c>
      <c r="AD45" s="14" t="str">
        <f t="array" ref="AD45">'[1]Общие настройки'!$G$43</f>
        <v>да</v>
      </c>
      <c r="AR45" s="9"/>
    </row>
    <row r="46" spans="29:44" ht="11.25" hidden="1" customHeight="1" x14ac:dyDescent="0.25">
      <c r="AC46" s="8" t="s">
        <v>38</v>
      </c>
      <c r="AD46" s="14" t="str">
        <f t="array" ref="AD46">'[1]Общие настройки'!$G$130</f>
        <v>нет</v>
      </c>
      <c r="AR46" s="9"/>
    </row>
    <row r="47" spans="29:44" ht="11.25" hidden="1" customHeight="1" x14ac:dyDescent="0.25">
      <c r="AC47" s="8" t="s">
        <v>39</v>
      </c>
      <c r="AD47" s="14" t="str">
        <f t="array" ref="AD47">'[1]Общие настройки'!$G$142</f>
        <v>нет</v>
      </c>
      <c r="AR47" s="9"/>
    </row>
    <row r="48" spans="29:44" ht="11.25" hidden="1" customHeight="1" x14ac:dyDescent="0.25">
      <c r="AC48" s="8" t="s">
        <v>40</v>
      </c>
      <c r="AD48" s="14" t="str">
        <f t="array" ref="AD48">'[1]Общие настройки'!$G$77</f>
        <v>да</v>
      </c>
      <c r="AR48" s="9"/>
    </row>
    <row r="49" spans="29:44" ht="11.25" hidden="1" customHeight="1" x14ac:dyDescent="0.25">
      <c r="AC49" s="8" t="s">
        <v>41</v>
      </c>
      <c r="AD49" s="14" t="str">
        <f t="array" ref="AD49">'[1]Общие настройки'!$G$78</f>
        <v>да</v>
      </c>
      <c r="AR49" s="9"/>
    </row>
    <row r="50" spans="29:44" ht="11.25" hidden="1" customHeight="1" x14ac:dyDescent="0.25">
      <c r="AC50" s="8" t="s">
        <v>42</v>
      </c>
      <c r="AD50" s="14" t="str">
        <f t="array" ref="AD50">'[1]Общие настройки'!$G$79</f>
        <v>да</v>
      </c>
      <c r="AR50" s="9"/>
    </row>
    <row r="51" spans="29:44" ht="11.25" hidden="1" customHeight="1" x14ac:dyDescent="0.25">
      <c r="AC51" s="8" t="s">
        <v>43</v>
      </c>
      <c r="AD51" s="14" t="str">
        <f t="array" ref="AD51">'[1]Общие настройки'!$G$157</f>
        <v>ФАС</v>
      </c>
      <c r="AR51" s="9"/>
    </row>
    <row r="52" spans="29:44" ht="11.25" hidden="1" customHeight="1" x14ac:dyDescent="0.25">
      <c r="AC52" s="8" t="s">
        <v>44</v>
      </c>
      <c r="AD52" s="14" t="str">
        <f t="array" ref="AD52">'[1]Общие настройки'!$G$85</f>
        <v>нет</v>
      </c>
      <c r="AR52" s="9"/>
    </row>
    <row r="53" spans="29:44" ht="11.25" hidden="1" customHeight="1" x14ac:dyDescent="0.25">
      <c r="AC53" s="8" t="s">
        <v>45</v>
      </c>
      <c r="AD53" s="14">
        <f t="array" ref="AD53">'[1]СиМ (детально)'!A241</f>
        <v>0</v>
      </c>
      <c r="AR53" s="9"/>
    </row>
    <row r="54" spans="29:44" ht="10.5" hidden="1" customHeight="1" x14ac:dyDescent="0.25">
      <c r="AC54" s="8" t="s">
        <v>46</v>
      </c>
      <c r="AD54" s="8" t="str">
        <f>IF('[1]Общие настройки'!$G$162="нет","нет","да")</f>
        <v>нет</v>
      </c>
      <c r="AR54" s="9"/>
    </row>
    <row r="55" spans="29:44" ht="10.5" hidden="1" customHeight="1" x14ac:dyDescent="0.25">
      <c r="AC55" s="15" t="s">
        <v>47</v>
      </c>
      <c r="AD55" s="8" t="str">
        <f>IF(region_name="Белгородская область","да","нет")</f>
        <v>нет</v>
      </c>
      <c r="AR55" s="9"/>
    </row>
    <row r="56" spans="29:44" ht="10.5" hidden="1" customHeight="1" x14ac:dyDescent="0.25">
      <c r="AC56" s="8" t="s">
        <v>48</v>
      </c>
      <c r="AD56" s="8" t="str">
        <f t="array" ref="AD56">'[1]Общие настройки'!G65</f>
        <v>нет</v>
      </c>
      <c r="AR56" s="9"/>
    </row>
    <row r="57" spans="29:44" ht="14.25" hidden="1" customHeight="1" x14ac:dyDescent="0.25">
      <c r="AC57" s="8"/>
      <c r="AD57" s="14"/>
      <c r="AR57" s="9"/>
    </row>
    <row r="58" spans="29:44" ht="14.25" hidden="1" customHeight="1" x14ac:dyDescent="0.25">
      <c r="AC58" s="8"/>
      <c r="AD58" s="14"/>
      <c r="AR58" s="9"/>
    </row>
    <row r="59" spans="29:44" ht="14.25" hidden="1" customHeight="1" x14ac:dyDescent="0.25">
      <c r="AC59" s="8"/>
      <c r="AD59" s="14"/>
      <c r="AR59" s="9"/>
    </row>
    <row r="60" spans="29:44" ht="14.25" hidden="1" customHeight="1" x14ac:dyDescent="0.25">
      <c r="AC60" s="8"/>
      <c r="AD60" s="14"/>
      <c r="AR60" s="9"/>
    </row>
    <row r="61" spans="29:44" ht="14.25" hidden="1" customHeight="1" x14ac:dyDescent="0.25">
      <c r="AC61" s="8"/>
      <c r="AD61" s="14"/>
      <c r="AR61" s="9"/>
    </row>
    <row r="62" spans="29:44" ht="14.25" hidden="1" customHeight="1" x14ac:dyDescent="0.25">
      <c r="AC62" s="8"/>
      <c r="AD62" s="14"/>
      <c r="AR62" s="9"/>
    </row>
    <row r="63" spans="29:44" ht="14.25" hidden="1" customHeight="1" x14ac:dyDescent="0.25">
      <c r="AC63" s="8"/>
      <c r="AD63" s="14"/>
      <c r="AR63" s="9"/>
    </row>
    <row r="64" spans="29:44" ht="14.25" hidden="1" customHeight="1" x14ac:dyDescent="0.25">
      <c r="AC64" s="8"/>
      <c r="AD64" s="14"/>
      <c r="AR64" s="9"/>
    </row>
    <row r="65" spans="1:80" ht="14.25" hidden="1" customHeight="1" x14ac:dyDescent="0.25">
      <c r="AC65" s="8"/>
      <c r="AD65" s="14"/>
      <c r="AR65" s="9"/>
    </row>
    <row r="66" spans="1:80" ht="14.25" hidden="1" customHeight="1" x14ac:dyDescent="0.25">
      <c r="AC66" s="8"/>
      <c r="AD66" s="14"/>
      <c r="AR66" s="9"/>
    </row>
    <row r="67" spans="1:80" ht="14.25" hidden="1" customHeight="1" x14ac:dyDescent="0.25">
      <c r="AC67" s="8"/>
      <c r="AD67" s="14"/>
      <c r="AR67" s="9"/>
    </row>
    <row r="68" spans="1:80" ht="14.25" hidden="1" customHeight="1" x14ac:dyDescent="0.25">
      <c r="AC68" s="8"/>
      <c r="AD68" s="14"/>
      <c r="AR68" s="9"/>
    </row>
    <row r="69" spans="1:80" ht="14.25" hidden="1" customHeight="1" x14ac:dyDescent="0.25">
      <c r="AC69" s="8"/>
      <c r="AD69" s="14"/>
      <c r="AR69" s="9"/>
    </row>
    <row r="70" spans="1:80" ht="14.25" hidden="1" customHeight="1" x14ac:dyDescent="0.25">
      <c r="AC70" s="8"/>
      <c r="AD70" s="14"/>
      <c r="AR70" s="9"/>
    </row>
    <row r="71" spans="1:80" ht="14.25" customHeight="1" x14ac:dyDescent="0.25">
      <c r="AB71" s="16" t="s">
        <v>49</v>
      </c>
      <c r="AC71" s="17"/>
      <c r="AD71" s="14"/>
      <c r="AR71" s="1090"/>
      <c r="AV71" s="698"/>
    </row>
    <row r="72" spans="1:80" ht="30" customHeight="1" thickBot="1" x14ac:dyDescent="0.3">
      <c r="AB72" s="16"/>
      <c r="AC72" s="17"/>
      <c r="AD72" s="14"/>
      <c r="BH72" s="740">
        <f>BH661+BH664</f>
        <v>1.1034999999999999</v>
      </c>
      <c r="BX72" s="19"/>
      <c r="BY72" s="20"/>
    </row>
    <row r="73" spans="1:80" ht="25.5" customHeight="1" thickBot="1" x14ac:dyDescent="0.3">
      <c r="AB73" s="1145" t="s">
        <v>50</v>
      </c>
      <c r="AC73" s="1146"/>
      <c r="AD73" s="1147"/>
      <c r="AE73" s="1139" t="s">
        <v>51</v>
      </c>
      <c r="AF73" s="1139"/>
      <c r="AG73" s="1139"/>
      <c r="AH73" s="1139"/>
      <c r="AI73" s="1139" t="s">
        <v>52</v>
      </c>
      <c r="AJ73" s="1139"/>
      <c r="AK73" s="1139"/>
      <c r="AL73" s="1139"/>
      <c r="AM73" s="1139" t="s">
        <v>53</v>
      </c>
      <c r="AN73" s="1139"/>
      <c r="AO73" s="1139"/>
      <c r="AP73" s="1139"/>
      <c r="AQ73" s="1139" t="s">
        <v>54</v>
      </c>
      <c r="AR73" s="1139"/>
      <c r="AS73" s="1139"/>
      <c r="AT73" s="1139"/>
      <c r="AU73" s="1139" t="s">
        <v>55</v>
      </c>
      <c r="AV73" s="1139"/>
      <c r="AW73" s="1139"/>
      <c r="AX73" s="1139"/>
      <c r="AY73" s="1139" t="s">
        <v>56</v>
      </c>
      <c r="AZ73" s="1139"/>
      <c r="BA73" s="1139"/>
      <c r="BB73" s="1139"/>
      <c r="BC73" s="1142" t="s">
        <v>57</v>
      </c>
      <c r="BD73" s="1143"/>
      <c r="BE73" s="1143"/>
      <c r="BF73" s="1144"/>
      <c r="BG73" s="1139" t="s">
        <v>58</v>
      </c>
      <c r="BH73" s="1139"/>
      <c r="BI73" s="1139"/>
      <c r="BJ73" s="1139"/>
      <c r="BK73" s="1139" t="s">
        <v>59</v>
      </c>
      <c r="BL73" s="1139"/>
      <c r="BM73" s="1139"/>
      <c r="BN73" s="1139"/>
      <c r="BO73" s="1139" t="s">
        <v>60</v>
      </c>
      <c r="BP73" s="1139"/>
      <c r="BQ73" s="1139"/>
      <c r="BR73" s="1139"/>
      <c r="BS73" s="1139" t="s">
        <v>61</v>
      </c>
      <c r="BT73" s="1139"/>
      <c r="BU73" s="1139"/>
      <c r="BV73" s="1139"/>
      <c r="BY73" s="1140" t="s">
        <v>62</v>
      </c>
      <c r="BZ73" s="1140"/>
      <c r="CA73" s="1140"/>
      <c r="CB73" s="1140"/>
    </row>
    <row r="74" spans="1:80" ht="29.25" customHeight="1" x14ac:dyDescent="0.25">
      <c r="AB74" s="1100" t="s">
        <v>63</v>
      </c>
      <c r="AC74" s="1101" t="s">
        <v>64</v>
      </c>
      <c r="AD74" s="1113" t="s">
        <v>65</v>
      </c>
      <c r="AE74" s="21">
        <f>god-2</f>
        <v>2024</v>
      </c>
      <c r="AF74" s="22">
        <v>2025</v>
      </c>
      <c r="AG74" s="741">
        <f>god</f>
        <v>2026</v>
      </c>
      <c r="AH74" s="743">
        <v>2026</v>
      </c>
      <c r="AI74" s="930">
        <f>god-2</f>
        <v>2024</v>
      </c>
      <c r="AJ74" s="22">
        <f>god-1</f>
        <v>2025</v>
      </c>
      <c r="AK74" s="741">
        <f>god</f>
        <v>2026</v>
      </c>
      <c r="AL74" s="742">
        <v>2026</v>
      </c>
      <c r="AM74" s="21">
        <f>god-2</f>
        <v>2024</v>
      </c>
      <c r="AN74" s="22">
        <f>god-1</f>
        <v>2025</v>
      </c>
      <c r="AO74" s="741">
        <f>god</f>
        <v>2026</v>
      </c>
      <c r="AP74" s="743">
        <v>2026</v>
      </c>
      <c r="AQ74" s="930">
        <f>god-2</f>
        <v>2024</v>
      </c>
      <c r="AR74" s="22">
        <f>god-1</f>
        <v>2025</v>
      </c>
      <c r="AS74" s="741">
        <f>god</f>
        <v>2026</v>
      </c>
      <c r="AT74" s="742">
        <v>2026</v>
      </c>
      <c r="AU74" s="21">
        <f>god-2</f>
        <v>2024</v>
      </c>
      <c r="AV74" s="22">
        <f>god-1</f>
        <v>2025</v>
      </c>
      <c r="AW74" s="741">
        <f>god</f>
        <v>2026</v>
      </c>
      <c r="AX74" s="742">
        <v>2026</v>
      </c>
      <c r="AY74" s="21">
        <f>god-2</f>
        <v>2024</v>
      </c>
      <c r="AZ74" s="22">
        <f>god-1</f>
        <v>2025</v>
      </c>
      <c r="BA74" s="741">
        <f>god</f>
        <v>2026</v>
      </c>
      <c r="BB74" s="742">
        <v>2026</v>
      </c>
      <c r="BC74" s="21">
        <v>2024</v>
      </c>
      <c r="BD74" s="22">
        <v>2025</v>
      </c>
      <c r="BE74" s="741">
        <v>2026</v>
      </c>
      <c r="BF74" s="742">
        <v>2026</v>
      </c>
      <c r="BG74" s="21">
        <v>2024</v>
      </c>
      <c r="BH74" s="22">
        <v>2025</v>
      </c>
      <c r="BI74" s="741">
        <v>2026</v>
      </c>
      <c r="BJ74" s="742">
        <v>2026</v>
      </c>
      <c r="BK74" s="21">
        <f>god-2</f>
        <v>2024</v>
      </c>
      <c r="BL74" s="22">
        <f>god-1</f>
        <v>2025</v>
      </c>
      <c r="BM74" s="741">
        <f>god</f>
        <v>2026</v>
      </c>
      <c r="BN74" s="742">
        <v>2026</v>
      </c>
      <c r="BO74" s="21">
        <f>god-2</f>
        <v>2024</v>
      </c>
      <c r="BP74" s="22">
        <f>god-1</f>
        <v>2025</v>
      </c>
      <c r="BQ74" s="741">
        <f>god</f>
        <v>2026</v>
      </c>
      <c r="BR74" s="743">
        <v>2026</v>
      </c>
      <c r="BS74" s="21">
        <f>god-2</f>
        <v>2024</v>
      </c>
      <c r="BT74" s="22">
        <f>god-1</f>
        <v>2025</v>
      </c>
      <c r="BU74" s="741">
        <f>god</f>
        <v>2026</v>
      </c>
      <c r="BV74" s="743">
        <v>2026</v>
      </c>
      <c r="BY74" s="21">
        <f>god-2</f>
        <v>2024</v>
      </c>
      <c r="BZ74" s="22">
        <f>god-1</f>
        <v>2025</v>
      </c>
      <c r="CA74" s="741">
        <f>god</f>
        <v>2026</v>
      </c>
      <c r="CB74" s="743">
        <v>2026</v>
      </c>
    </row>
    <row r="75" spans="1:80" ht="36" customHeight="1" thickBot="1" x14ac:dyDescent="0.3">
      <c r="AB75" s="1100"/>
      <c r="AC75" s="1101"/>
      <c r="AD75" s="1113"/>
      <c r="AE75" s="29" t="s">
        <v>66</v>
      </c>
      <c r="AF75" s="30" t="s">
        <v>67</v>
      </c>
      <c r="AG75" s="1002" t="str">
        <f>"план организации"&amp;IF(TYPE="Корректировка"," (корректировка)","")</f>
        <v>план организации (корректировка)</v>
      </c>
      <c r="AH75" s="619" t="s">
        <v>67</v>
      </c>
      <c r="AI75" s="33" t="s">
        <v>66</v>
      </c>
      <c r="AJ75" s="30" t="s">
        <v>67</v>
      </c>
      <c r="AK75" s="1002" t="str">
        <f>"план организации"&amp;IF(TYPE="Корректировка"," (корректировка)","")</f>
        <v>план организации (корректировка)</v>
      </c>
      <c r="AL75" s="118" t="s">
        <v>67</v>
      </c>
      <c r="AM75" s="29" t="s">
        <v>66</v>
      </c>
      <c r="AN75" s="30" t="s">
        <v>67</v>
      </c>
      <c r="AO75" s="1002" t="str">
        <f>"план организации"&amp;IF(TYPE="Корректировка"," (корректировка)","")</f>
        <v>план организации (корректировка)</v>
      </c>
      <c r="AP75" s="619" t="s">
        <v>67</v>
      </c>
      <c r="AQ75" s="33" t="s">
        <v>66</v>
      </c>
      <c r="AR75" s="30" t="s">
        <v>67</v>
      </c>
      <c r="AS75" s="1002" t="str">
        <f>"план организации"&amp;IF(TYPE="Корректировка"," (корректировка)","")</f>
        <v>план организации (корректировка)</v>
      </c>
      <c r="AT75" s="118" t="s">
        <v>67</v>
      </c>
      <c r="AU75" s="29" t="s">
        <v>66</v>
      </c>
      <c r="AV75" s="30" t="s">
        <v>67</v>
      </c>
      <c r="AW75" s="1002" t="str">
        <f>"план организации"&amp;IF(TYPE="Корректировка"," (корректировка)","")</f>
        <v>план организации (корректировка)</v>
      </c>
      <c r="AX75" s="118" t="s">
        <v>67</v>
      </c>
      <c r="AY75" s="29" t="s">
        <v>66</v>
      </c>
      <c r="AZ75" s="30" t="s">
        <v>67</v>
      </c>
      <c r="BA75" s="1002" t="str">
        <f>"план организации"&amp;IF(TYPE="Корректировка"," (корректировка)","")</f>
        <v>план организации (корректировка)</v>
      </c>
      <c r="BB75" s="118" t="s">
        <v>67</v>
      </c>
      <c r="BC75" s="29" t="s">
        <v>66</v>
      </c>
      <c r="BD75" s="30" t="s">
        <v>67</v>
      </c>
      <c r="BE75" s="1002" t="str">
        <f>"план организации"&amp;IF(TYPE="Корректировка"," (корректировка)","")</f>
        <v>план организации (корректировка)</v>
      </c>
      <c r="BF75" s="118" t="s">
        <v>67</v>
      </c>
      <c r="BG75" s="29" t="s">
        <v>66</v>
      </c>
      <c r="BH75" s="30" t="s">
        <v>67</v>
      </c>
      <c r="BI75" s="1002" t="str">
        <f>"план организации"&amp;IF(TYPE="Корректировка"," (корректировка)","")</f>
        <v>план организации (корректировка)</v>
      </c>
      <c r="BJ75" s="118" t="s">
        <v>67</v>
      </c>
      <c r="BK75" s="29" t="s">
        <v>66</v>
      </c>
      <c r="BL75" s="30" t="s">
        <v>67</v>
      </c>
      <c r="BM75" s="1002" t="str">
        <f>"план организации"&amp;IF(TYPE="Корректировка"," (корректировка)","")</f>
        <v>план организации (корректировка)</v>
      </c>
      <c r="BN75" s="118" t="s">
        <v>67</v>
      </c>
      <c r="BO75" s="29" t="s">
        <v>66</v>
      </c>
      <c r="BP75" s="30" t="s">
        <v>67</v>
      </c>
      <c r="BQ75" s="1002" t="str">
        <f>"план организации"&amp;IF(TYPE="Корректировка"," (корректировка)","")</f>
        <v>план организации (корректировка)</v>
      </c>
      <c r="BR75" s="619" t="s">
        <v>67</v>
      </c>
      <c r="BS75" s="29" t="s">
        <v>66</v>
      </c>
      <c r="BT75" s="30" t="s">
        <v>67</v>
      </c>
      <c r="BU75" s="1002" t="str">
        <f>"план организации"&amp;IF(TYPE="Корректировка"," (корректировка)","")</f>
        <v>план организации (корректировка)</v>
      </c>
      <c r="BV75" s="619" t="s">
        <v>67</v>
      </c>
      <c r="BY75" s="744" t="s">
        <v>66</v>
      </c>
      <c r="BZ75" s="745" t="s">
        <v>67</v>
      </c>
      <c r="CA75" s="1002" t="str">
        <f>"план организации"&amp;IF(TYPE="Корректировка"," (корректировка)","")</f>
        <v>план организации (корректировка)</v>
      </c>
      <c r="CB75" s="746" t="s">
        <v>67</v>
      </c>
    </row>
    <row r="76" spans="1:80" ht="19.5" customHeight="1" thickBot="1" x14ac:dyDescent="0.3">
      <c r="B76" s="5" t="b">
        <f>$AD$56="да"</f>
        <v>0</v>
      </c>
      <c r="AB76" s="1100"/>
      <c r="AC76" s="1101"/>
      <c r="AD76" s="1113"/>
      <c r="AE76" s="37" t="s">
        <v>68</v>
      </c>
      <c r="AF76" s="38" t="s">
        <v>68</v>
      </c>
      <c r="AG76" s="38" t="s">
        <v>68</v>
      </c>
      <c r="AH76" s="39" t="s">
        <v>68</v>
      </c>
      <c r="AI76" s="44"/>
      <c r="AJ76" s="41"/>
      <c r="AK76" s="41"/>
      <c r="AL76" s="43"/>
      <c r="AM76" s="40"/>
      <c r="AN76" s="41"/>
      <c r="AO76" s="41"/>
      <c r="AP76" s="42"/>
      <c r="AQ76" s="44"/>
      <c r="AR76" s="41"/>
      <c r="AS76" s="41"/>
      <c r="AT76" s="43"/>
      <c r="AU76" s="40"/>
      <c r="AV76" s="41"/>
      <c r="AW76" s="41"/>
      <c r="AX76" s="43"/>
      <c r="AY76" s="40"/>
      <c r="AZ76" s="41"/>
      <c r="BA76" s="41"/>
      <c r="BB76" s="43"/>
      <c r="BC76" s="40"/>
      <c r="BD76" s="41"/>
      <c r="BE76" s="41"/>
      <c r="BF76" s="747"/>
      <c r="BG76" s="40"/>
      <c r="BH76" s="41"/>
      <c r="BI76" s="41"/>
      <c r="BJ76" s="43"/>
      <c r="BK76" s="40"/>
      <c r="BL76" s="41"/>
      <c r="BM76" s="41"/>
      <c r="BN76" s="43"/>
      <c r="BO76" s="40"/>
      <c r="BP76" s="41"/>
      <c r="BQ76" s="41"/>
      <c r="BR76" s="42"/>
      <c r="BS76" s="40"/>
      <c r="BT76" s="41"/>
      <c r="BU76" s="41"/>
      <c r="BV76" s="42"/>
      <c r="BY76" s="748"/>
      <c r="BZ76" s="749"/>
      <c r="CA76" s="749"/>
      <c r="CB76" s="750"/>
    </row>
    <row r="77" spans="1:80" ht="12" hidden="1" customHeight="1" outlineLevel="1" x14ac:dyDescent="0.25">
      <c r="B77" s="10" t="b">
        <f>FALSE()</f>
        <v>0</v>
      </c>
      <c r="AB77" s="29"/>
      <c r="AC77" s="38" t="s">
        <v>69</v>
      </c>
      <c r="AD77" s="51"/>
      <c r="AE77" s="48" t="b">
        <f>FALSE()</f>
        <v>0</v>
      </c>
      <c r="AF77" s="49" t="b">
        <f>OR(AND(PREVIOUS_REGULATION_METHODS="Метод индексации",TYPE="Базовый"),AND(AF74&gt;FIRST_PERIOD_IN_LT,TYPE="Корректировка",AF74&lt;&gt;[1]Титульный!$AD$93))</f>
        <v>1</v>
      </c>
      <c r="AG77" s="49" t="b">
        <f>AND(TYPE="Корректировка",AG74&lt;&gt;[1]Титульный!$AD$93)</f>
        <v>1</v>
      </c>
      <c r="AH77" s="50"/>
      <c r="AI77" s="44"/>
      <c r="AJ77" s="41"/>
      <c r="AK77" s="41"/>
      <c r="AL77" s="43"/>
      <c r="AM77" s="40"/>
      <c r="AN77" s="41"/>
      <c r="AO77" s="41"/>
      <c r="AP77" s="42"/>
      <c r="AQ77" s="44"/>
      <c r="AR77" s="41"/>
      <c r="AS77" s="41"/>
      <c r="AT77" s="43"/>
      <c r="AU77" s="40"/>
      <c r="AV77" s="41"/>
      <c r="AW77" s="41"/>
      <c r="AX77" s="43"/>
      <c r="AY77" s="40"/>
      <c r="AZ77" s="41"/>
      <c r="BA77" s="41"/>
      <c r="BB77" s="43"/>
      <c r="BC77" s="40"/>
      <c r="BD77" s="41"/>
      <c r="BE77" s="41"/>
      <c r="BF77" s="43"/>
      <c r="BG77" s="40"/>
      <c r="BH77" s="41"/>
      <c r="BI77" s="41"/>
      <c r="BJ77" s="43"/>
      <c r="BK77" s="40"/>
      <c r="BL77" s="41"/>
      <c r="BM77" s="41"/>
      <c r="BN77" s="43"/>
      <c r="BO77" s="40"/>
      <c r="BP77" s="41"/>
      <c r="BQ77" s="41"/>
      <c r="BR77" s="42"/>
      <c r="BS77" s="40"/>
      <c r="BT77" s="41"/>
      <c r="BU77" s="41"/>
      <c r="BV77" s="42"/>
      <c r="BY77" s="751"/>
      <c r="BZ77" s="752"/>
      <c r="CA77" s="753"/>
      <c r="CB77" s="398"/>
    </row>
    <row r="78" spans="1:80" ht="12" hidden="1" customHeight="1" outlineLevel="1" x14ac:dyDescent="0.25">
      <c r="B78" s="10" t="b">
        <f>FALSE()</f>
        <v>0</v>
      </c>
      <c r="AB78" s="29"/>
      <c r="AC78" s="52" t="s">
        <v>70</v>
      </c>
      <c r="AD78" s="51"/>
      <c r="AE78" s="53">
        <f t="array" ref="AE78">[1]Индексы!$AH$92</f>
        <v>12</v>
      </c>
      <c r="AF78" s="54">
        <f t="array" ref="AF78">[1]Индексы!$AI$92</f>
        <v>12</v>
      </c>
      <c r="AG78" s="54">
        <f t="array" ref="AG78">[1]Индексы!$AK$92</f>
        <v>12</v>
      </c>
      <c r="AH78" s="55"/>
      <c r="AI78" s="44"/>
      <c r="AJ78" s="41"/>
      <c r="AK78" s="41"/>
      <c r="AL78" s="43"/>
      <c r="AM78" s="40"/>
      <c r="AN78" s="41"/>
      <c r="AO78" s="41"/>
      <c r="AP78" s="42"/>
      <c r="AQ78" s="44"/>
      <c r="AR78" s="41"/>
      <c r="AS78" s="41"/>
      <c r="AT78" s="43"/>
      <c r="AU78" s="40"/>
      <c r="AV78" s="41"/>
      <c r="AW78" s="41"/>
      <c r="AX78" s="43"/>
      <c r="AY78" s="40"/>
      <c r="AZ78" s="41"/>
      <c r="BA78" s="41"/>
      <c r="BB78" s="43"/>
      <c r="BC78" s="40"/>
      <c r="BD78" s="41"/>
      <c r="BE78" s="41"/>
      <c r="BF78" s="43"/>
      <c r="BG78" s="40"/>
      <c r="BH78" s="41"/>
      <c r="BI78" s="41"/>
      <c r="BJ78" s="43"/>
      <c r="BK78" s="40"/>
      <c r="BL78" s="41"/>
      <c r="BM78" s="41"/>
      <c r="BN78" s="43"/>
      <c r="BO78" s="40"/>
      <c r="BP78" s="41"/>
      <c r="BQ78" s="41"/>
      <c r="BR78" s="42"/>
      <c r="BS78" s="40"/>
      <c r="BT78" s="41"/>
      <c r="BU78" s="41"/>
      <c r="BV78" s="42"/>
      <c r="BY78" s="45"/>
      <c r="BZ78" s="46"/>
      <c r="CA78" s="47"/>
      <c r="CB78" s="398"/>
    </row>
    <row r="79" spans="1:80" ht="6.75" hidden="1" customHeight="1" outlineLevel="1" x14ac:dyDescent="0.25">
      <c r="A79" s="5" t="b">
        <f>$AD$56="да"</f>
        <v>0</v>
      </c>
      <c r="B79" s="5" t="b">
        <f t="array" ref="B79">A79</f>
        <v>0</v>
      </c>
      <c r="C79" s="5" t="s">
        <v>71</v>
      </c>
      <c r="D79" s="5" t="s">
        <v>72</v>
      </c>
      <c r="E79" s="5" t="s">
        <v>73</v>
      </c>
      <c r="F79" s="5" t="s">
        <v>74</v>
      </c>
      <c r="G79" s="5" t="s">
        <v>73</v>
      </c>
      <c r="H79" s="5" t="s">
        <v>73</v>
      </c>
      <c r="I79" s="5" t="s">
        <v>73</v>
      </c>
      <c r="J79" s="5" t="s">
        <v>73</v>
      </c>
      <c r="K79" s="5" t="s">
        <v>73</v>
      </c>
      <c r="M79" s="5">
        <f t="shared" ref="M79:M94" si="0">$AC$80</f>
        <v>0</v>
      </c>
      <c r="Z79" s="6"/>
      <c r="AA79" s="6"/>
      <c r="AB79" s="56"/>
      <c r="AC79" s="52"/>
      <c r="AD79" s="57"/>
      <c r="AE79" s="58"/>
      <c r="AF79" s="59"/>
      <c r="AG79" s="59"/>
      <c r="AH79" s="60"/>
      <c r="AI79" s="44"/>
      <c r="AJ79" s="41"/>
      <c r="AK79" s="41"/>
      <c r="AL79" s="43"/>
      <c r="AM79" s="40"/>
      <c r="AN79" s="41"/>
      <c r="AO79" s="41"/>
      <c r="AP79" s="42"/>
      <c r="AQ79" s="44"/>
      <c r="AR79" s="41"/>
      <c r="AS79" s="41"/>
      <c r="AT79" s="43"/>
      <c r="AU79" s="40"/>
      <c r="AV79" s="41"/>
      <c r="AW79" s="41"/>
      <c r="AX79" s="43"/>
      <c r="AY79" s="40"/>
      <c r="AZ79" s="41"/>
      <c r="BA79" s="41"/>
      <c r="BB79" s="43"/>
      <c r="BC79" s="40"/>
      <c r="BD79" s="41"/>
      <c r="BE79" s="41"/>
      <c r="BF79" s="43"/>
      <c r="BG79" s="40"/>
      <c r="BH79" s="41"/>
      <c r="BI79" s="41"/>
      <c r="BJ79" s="43"/>
      <c r="BK79" s="40"/>
      <c r="BL79" s="41"/>
      <c r="BM79" s="41"/>
      <c r="BN79" s="43"/>
      <c r="BO79" s="40"/>
      <c r="BP79" s="41"/>
      <c r="BQ79" s="41"/>
      <c r="BR79" s="42"/>
      <c r="BS79" s="40"/>
      <c r="BT79" s="41"/>
      <c r="BU79" s="41"/>
      <c r="BV79" s="42"/>
      <c r="BY79" s="45"/>
      <c r="BZ79" s="46"/>
      <c r="CA79" s="47"/>
      <c r="CB79" s="398"/>
    </row>
    <row r="80" spans="1:80" ht="13.5" hidden="1" customHeight="1" outlineLevel="1" x14ac:dyDescent="0.25">
      <c r="A80" s="10" t="e">
        <f>COUNTIF([1]Тарифы!$AK$87:$AK$90,"с дифференциацией (несколько смет)")&gt;0</f>
        <v>#VALUE!</v>
      </c>
      <c r="B80" s="10" t="e">
        <f t="array" ref="B80">A80</f>
        <v>#VALUE!</v>
      </c>
      <c r="M80" s="5">
        <f t="shared" si="0"/>
        <v>0</v>
      </c>
      <c r="Z80" s="6"/>
      <c r="AA80" s="6"/>
      <c r="AB80" s="61"/>
      <c r="AC80" s="62"/>
      <c r="AD80" s="63"/>
      <c r="AE80" s="61"/>
      <c r="AF80" s="62"/>
      <c r="AG80" s="62"/>
      <c r="AH80" s="64"/>
      <c r="AI80" s="44"/>
      <c r="AJ80" s="41"/>
      <c r="AK80" s="41"/>
      <c r="AL80" s="43"/>
      <c r="AM80" s="40"/>
      <c r="AN80" s="41"/>
      <c r="AO80" s="41"/>
      <c r="AP80" s="42"/>
      <c r="AQ80" s="44"/>
      <c r="AR80" s="41"/>
      <c r="AS80" s="41"/>
      <c r="AT80" s="43"/>
      <c r="AU80" s="40"/>
      <c r="AV80" s="41"/>
      <c r="AW80" s="41"/>
      <c r="AX80" s="43"/>
      <c r="AY80" s="40"/>
      <c r="AZ80" s="41"/>
      <c r="BA80" s="41"/>
      <c r="BB80" s="43"/>
      <c r="BC80" s="40"/>
      <c r="BD80" s="41"/>
      <c r="BE80" s="41"/>
      <c r="BF80" s="43"/>
      <c r="BG80" s="40"/>
      <c r="BH80" s="41"/>
      <c r="BI80" s="41"/>
      <c r="BJ80" s="43"/>
      <c r="BK80" s="40"/>
      <c r="BL80" s="41"/>
      <c r="BM80" s="41"/>
      <c r="BN80" s="43"/>
      <c r="BO80" s="40"/>
      <c r="BP80" s="41"/>
      <c r="BQ80" s="41"/>
      <c r="BR80" s="42"/>
      <c r="BS80" s="40"/>
      <c r="BT80" s="41"/>
      <c r="BU80" s="41"/>
      <c r="BV80" s="42"/>
      <c r="BY80" s="45"/>
      <c r="BZ80" s="46"/>
      <c r="CA80" s="47"/>
      <c r="CB80" s="398"/>
    </row>
    <row r="81" spans="1:80" ht="14.25" hidden="1" customHeight="1" outlineLevel="2" x14ac:dyDescent="0.25">
      <c r="A81" s="10" t="e">
        <f>COUNTIF([1]Тарифы!$AK$87:$AK$90,"с дифференциацией (несколько смет)")&gt;0</f>
        <v>#VALUE!</v>
      </c>
      <c r="B81" s="10" t="e">
        <f t="array" ref="B81">A81</f>
        <v>#VALUE!</v>
      </c>
      <c r="C81" s="5" t="s">
        <v>75</v>
      </c>
      <c r="D81" s="10" t="s">
        <v>76</v>
      </c>
      <c r="E81" s="5" t="s">
        <v>73</v>
      </c>
      <c r="F81" s="5" t="s">
        <v>73</v>
      </c>
      <c r="G81" s="5" t="s">
        <v>73</v>
      </c>
      <c r="H81" s="5" t="s">
        <v>73</v>
      </c>
      <c r="I81" s="5" t="s">
        <v>73</v>
      </c>
      <c r="J81" s="5" t="s">
        <v>73</v>
      </c>
      <c r="K81" s="5" t="s">
        <v>77</v>
      </c>
      <c r="M81" s="5">
        <f t="shared" si="0"/>
        <v>0</v>
      </c>
      <c r="Z81" s="6"/>
      <c r="AA81" s="6"/>
      <c r="AB81" s="65"/>
      <c r="AC81" s="62"/>
      <c r="AD81" s="51"/>
      <c r="AE81" s="66"/>
      <c r="AF81" s="67"/>
      <c r="AG81" s="67"/>
      <c r="AH81" s="68"/>
      <c r="AI81" s="44"/>
      <c r="AJ81" s="41"/>
      <c r="AK81" s="41"/>
      <c r="AL81" s="43"/>
      <c r="AM81" s="40"/>
      <c r="AN81" s="41"/>
      <c r="AO81" s="41"/>
      <c r="AP81" s="42"/>
      <c r="AQ81" s="44"/>
      <c r="AR81" s="41"/>
      <c r="AS81" s="41"/>
      <c r="AT81" s="43"/>
      <c r="AU81" s="40"/>
      <c r="AV81" s="41"/>
      <c r="AW81" s="41"/>
      <c r="AX81" s="43"/>
      <c r="AY81" s="40"/>
      <c r="AZ81" s="41"/>
      <c r="BA81" s="41"/>
      <c r="BB81" s="43"/>
      <c r="BC81" s="40"/>
      <c r="BD81" s="41"/>
      <c r="BE81" s="41"/>
      <c r="BF81" s="43"/>
      <c r="BG81" s="40"/>
      <c r="BH81" s="41"/>
      <c r="BI81" s="41"/>
      <c r="BJ81" s="43"/>
      <c r="BK81" s="40"/>
      <c r="BL81" s="41"/>
      <c r="BM81" s="41"/>
      <c r="BN81" s="43"/>
      <c r="BO81" s="40"/>
      <c r="BP81" s="41"/>
      <c r="BQ81" s="41"/>
      <c r="BR81" s="42"/>
      <c r="BS81" s="40"/>
      <c r="BT81" s="41"/>
      <c r="BU81" s="41"/>
      <c r="BV81" s="42"/>
      <c r="BY81" s="45"/>
      <c r="BZ81" s="46"/>
      <c r="CA81" s="47"/>
      <c r="CB81" s="398"/>
    </row>
    <row r="82" spans="1:80" ht="14.25" hidden="1" customHeight="1" outlineLevel="2" x14ac:dyDescent="0.25">
      <c r="A82" s="10" t="e">
        <f>COUNTIF([1]Тарифы!$AK$87:$AK$90,"с дифференциацией (несколько смет)")&gt;0</f>
        <v>#VALUE!</v>
      </c>
      <c r="B82" s="10" t="e">
        <f t="array" ref="B82">A82</f>
        <v>#VALUE!</v>
      </c>
      <c r="C82" s="69" t="s">
        <v>78</v>
      </c>
      <c r="D82" s="70" t="s">
        <v>79</v>
      </c>
      <c r="E82" s="70" t="s">
        <v>80</v>
      </c>
      <c r="F82" s="70" t="s">
        <v>80</v>
      </c>
      <c r="G82" s="70" t="s">
        <v>80</v>
      </c>
      <c r="H82" s="70" t="s">
        <v>80</v>
      </c>
      <c r="I82" s="70" t="s">
        <v>80</v>
      </c>
      <c r="J82" s="70" t="s">
        <v>80</v>
      </c>
      <c r="K82" s="5" t="s">
        <v>77</v>
      </c>
      <c r="M82" s="5">
        <f t="shared" si="0"/>
        <v>0</v>
      </c>
      <c r="Z82" s="6"/>
      <c r="AA82" s="6"/>
      <c r="AB82" s="29"/>
      <c r="AC82" s="71"/>
      <c r="AD82" s="51"/>
      <c r="AE82" s="66"/>
      <c r="AF82" s="67"/>
      <c r="AG82" s="67"/>
      <c r="AH82" s="68"/>
      <c r="AI82" s="44"/>
      <c r="AJ82" s="41"/>
      <c r="AK82" s="41"/>
      <c r="AL82" s="43"/>
      <c r="AM82" s="40"/>
      <c r="AN82" s="41"/>
      <c r="AO82" s="41"/>
      <c r="AP82" s="42"/>
      <c r="AQ82" s="44"/>
      <c r="AR82" s="41"/>
      <c r="AS82" s="41"/>
      <c r="AT82" s="43"/>
      <c r="AU82" s="40"/>
      <c r="AV82" s="41"/>
      <c r="AW82" s="41"/>
      <c r="AX82" s="43"/>
      <c r="AY82" s="40"/>
      <c r="AZ82" s="41"/>
      <c r="BA82" s="41"/>
      <c r="BB82" s="43"/>
      <c r="BC82" s="40"/>
      <c r="BD82" s="41"/>
      <c r="BE82" s="41"/>
      <c r="BF82" s="43"/>
      <c r="BG82" s="40"/>
      <c r="BH82" s="41"/>
      <c r="BI82" s="41"/>
      <c r="BJ82" s="43"/>
      <c r="BK82" s="40"/>
      <c r="BL82" s="41"/>
      <c r="BM82" s="41"/>
      <c r="BN82" s="43"/>
      <c r="BO82" s="40"/>
      <c r="BP82" s="41"/>
      <c r="BQ82" s="41"/>
      <c r="BR82" s="42"/>
      <c r="BS82" s="40"/>
      <c r="BT82" s="41"/>
      <c r="BU82" s="41"/>
      <c r="BV82" s="42"/>
      <c r="BY82" s="45"/>
      <c r="BZ82" s="46"/>
      <c r="CA82" s="47"/>
      <c r="CB82" s="398"/>
    </row>
    <row r="83" spans="1:80" ht="14.25" hidden="1" customHeight="1" outlineLevel="2" x14ac:dyDescent="0.25">
      <c r="A83" s="10" t="e">
        <f>COUNTIF([1]Тарифы!$AK$87:$AK$90,"с дифференциацией (несколько смет)")&gt;0</f>
        <v>#VALUE!</v>
      </c>
      <c r="B83" s="10" t="e">
        <f t="array" ref="B83">A83</f>
        <v>#VALUE!</v>
      </c>
      <c r="C83" s="69" t="s">
        <v>81</v>
      </c>
      <c r="D83" s="70" t="s">
        <v>82</v>
      </c>
      <c r="E83" s="70" t="s">
        <v>73</v>
      </c>
      <c r="F83" s="70" t="s">
        <v>73</v>
      </c>
      <c r="G83" s="70" t="s">
        <v>73</v>
      </c>
      <c r="H83" s="70" t="s">
        <v>73</v>
      </c>
      <c r="I83" s="70" t="s">
        <v>73</v>
      </c>
      <c r="J83" s="70" t="s">
        <v>73</v>
      </c>
      <c r="K83" s="5" t="s">
        <v>77</v>
      </c>
      <c r="M83" s="5">
        <f t="shared" si="0"/>
        <v>0</v>
      </c>
      <c r="Z83" s="6"/>
      <c r="AA83" s="6"/>
      <c r="AB83" s="29"/>
      <c r="AC83" s="71"/>
      <c r="AD83" s="51"/>
      <c r="AE83" s="66"/>
      <c r="AF83" s="67"/>
      <c r="AG83" s="67"/>
      <c r="AH83" s="68"/>
      <c r="AI83" s="44"/>
      <c r="AJ83" s="41"/>
      <c r="AK83" s="41"/>
      <c r="AL83" s="43"/>
      <c r="AM83" s="40"/>
      <c r="AN83" s="41"/>
      <c r="AO83" s="41"/>
      <c r="AP83" s="42"/>
      <c r="AQ83" s="44"/>
      <c r="AR83" s="41"/>
      <c r="AS83" s="41"/>
      <c r="AT83" s="43"/>
      <c r="AU83" s="40"/>
      <c r="AV83" s="41"/>
      <c r="AW83" s="41"/>
      <c r="AX83" s="43"/>
      <c r="AY83" s="40"/>
      <c r="AZ83" s="41"/>
      <c r="BA83" s="41"/>
      <c r="BB83" s="43"/>
      <c r="BC83" s="40"/>
      <c r="BD83" s="41"/>
      <c r="BE83" s="41"/>
      <c r="BF83" s="43"/>
      <c r="BG83" s="40"/>
      <c r="BH83" s="41"/>
      <c r="BI83" s="41"/>
      <c r="BJ83" s="43"/>
      <c r="BK83" s="40"/>
      <c r="BL83" s="41"/>
      <c r="BM83" s="41"/>
      <c r="BN83" s="43"/>
      <c r="BO83" s="40"/>
      <c r="BP83" s="41"/>
      <c r="BQ83" s="41"/>
      <c r="BR83" s="42"/>
      <c r="BS83" s="40"/>
      <c r="BT83" s="41"/>
      <c r="BU83" s="41"/>
      <c r="BV83" s="42"/>
      <c r="BY83" s="45"/>
      <c r="BZ83" s="46"/>
      <c r="CA83" s="47"/>
      <c r="CB83" s="398"/>
    </row>
    <row r="84" spans="1:80" ht="14.25" hidden="1" customHeight="1" outlineLevel="2" x14ac:dyDescent="0.25">
      <c r="A84" s="10" t="e">
        <f>COUNTIF([1]Тарифы!$AK$87:$AK$90,"с дифференциацией (несколько смет)")&gt;0</f>
        <v>#VALUE!</v>
      </c>
      <c r="B84" s="10" t="e">
        <f t="array" ref="B84">A84</f>
        <v>#VALUE!</v>
      </c>
      <c r="C84" s="10" t="s">
        <v>83</v>
      </c>
      <c r="D84" s="10" t="s">
        <v>84</v>
      </c>
      <c r="E84" s="10" t="s">
        <v>73</v>
      </c>
      <c r="F84" s="10" t="s">
        <v>74</v>
      </c>
      <c r="G84" s="10" t="s">
        <v>85</v>
      </c>
      <c r="H84" s="10" t="s">
        <v>73</v>
      </c>
      <c r="I84" s="10" t="s">
        <v>73</v>
      </c>
      <c r="J84" s="10" t="s">
        <v>73</v>
      </c>
      <c r="K84" s="5" t="s">
        <v>77</v>
      </c>
      <c r="M84" s="5">
        <f t="shared" si="0"/>
        <v>0</v>
      </c>
      <c r="Z84" s="6"/>
      <c r="AA84" s="6"/>
      <c r="AB84" s="65"/>
      <c r="AC84" s="62"/>
      <c r="AD84" s="51"/>
      <c r="AE84" s="72"/>
      <c r="AF84" s="73"/>
      <c r="AG84" s="73"/>
      <c r="AH84" s="74"/>
      <c r="AI84" s="44"/>
      <c r="AJ84" s="41"/>
      <c r="AK84" s="41"/>
      <c r="AL84" s="43"/>
      <c r="AM84" s="40"/>
      <c r="AN84" s="41"/>
      <c r="AO84" s="41"/>
      <c r="AP84" s="42"/>
      <c r="AQ84" s="44"/>
      <c r="AR84" s="41"/>
      <c r="AS84" s="41"/>
      <c r="AT84" s="43"/>
      <c r="AU84" s="40"/>
      <c r="AV84" s="41"/>
      <c r="AW84" s="41"/>
      <c r="AX84" s="43"/>
      <c r="AY84" s="40"/>
      <c r="AZ84" s="41"/>
      <c r="BA84" s="41"/>
      <c r="BB84" s="43"/>
      <c r="BC84" s="40"/>
      <c r="BD84" s="41"/>
      <c r="BE84" s="41"/>
      <c r="BF84" s="43"/>
      <c r="BG84" s="40"/>
      <c r="BH84" s="41"/>
      <c r="BI84" s="41"/>
      <c r="BJ84" s="43"/>
      <c r="BK84" s="40"/>
      <c r="BL84" s="41"/>
      <c r="BM84" s="41"/>
      <c r="BN84" s="43"/>
      <c r="BO84" s="40"/>
      <c r="BP84" s="41"/>
      <c r="BQ84" s="41"/>
      <c r="BR84" s="42"/>
      <c r="BS84" s="40"/>
      <c r="BT84" s="41"/>
      <c r="BU84" s="41"/>
      <c r="BV84" s="42"/>
      <c r="BY84" s="45"/>
      <c r="BZ84" s="46"/>
      <c r="CA84" s="47"/>
      <c r="CB84" s="398"/>
    </row>
    <row r="85" spans="1:80" ht="14.25" hidden="1" customHeight="1" outlineLevel="2" x14ac:dyDescent="0.25">
      <c r="A85" s="10" t="e">
        <f>COUNTIF([1]Тарифы!$AK$87:$AK$90,"с дифференциацией (несколько смет)")&gt;0</f>
        <v>#VALUE!</v>
      </c>
      <c r="B85" s="10" t="e">
        <f t="array" ref="B85">A85</f>
        <v>#VALUE!</v>
      </c>
      <c r="C85" s="75" t="s">
        <v>86</v>
      </c>
      <c r="D85" s="5" t="s">
        <v>87</v>
      </c>
      <c r="E85" s="10" t="s">
        <v>73</v>
      </c>
      <c r="F85" s="10" t="s">
        <v>74</v>
      </c>
      <c r="G85" s="10" t="s">
        <v>73</v>
      </c>
      <c r="H85" s="10" t="s">
        <v>73</v>
      </c>
      <c r="I85" s="10" t="s">
        <v>73</v>
      </c>
      <c r="J85" s="10" t="s">
        <v>73</v>
      </c>
      <c r="K85" s="5" t="s">
        <v>77</v>
      </c>
      <c r="M85" s="5">
        <f t="shared" si="0"/>
        <v>0</v>
      </c>
      <c r="Z85" s="6"/>
      <c r="AA85" s="6"/>
      <c r="AB85" s="29"/>
      <c r="AC85" s="71"/>
      <c r="AD85" s="51"/>
      <c r="AE85" s="56"/>
      <c r="AF85" s="73"/>
      <c r="AG85" s="73"/>
      <c r="AH85" s="74"/>
      <c r="AI85" s="44"/>
      <c r="AJ85" s="41"/>
      <c r="AK85" s="41"/>
      <c r="AL85" s="43"/>
      <c r="AM85" s="40"/>
      <c r="AN85" s="41"/>
      <c r="AO85" s="41"/>
      <c r="AP85" s="42"/>
      <c r="AQ85" s="44"/>
      <c r="AR85" s="41"/>
      <c r="AS85" s="41"/>
      <c r="AT85" s="43"/>
      <c r="AU85" s="40"/>
      <c r="AV85" s="41"/>
      <c r="AW85" s="41"/>
      <c r="AX85" s="43"/>
      <c r="AY85" s="40"/>
      <c r="AZ85" s="41"/>
      <c r="BA85" s="41"/>
      <c r="BB85" s="43"/>
      <c r="BC85" s="40"/>
      <c r="BD85" s="41"/>
      <c r="BE85" s="41"/>
      <c r="BF85" s="43"/>
      <c r="BG85" s="40"/>
      <c r="BH85" s="41"/>
      <c r="BI85" s="41"/>
      <c r="BJ85" s="43"/>
      <c r="BK85" s="40"/>
      <c r="BL85" s="41"/>
      <c r="BM85" s="41"/>
      <c r="BN85" s="43"/>
      <c r="BO85" s="40"/>
      <c r="BP85" s="41"/>
      <c r="BQ85" s="41"/>
      <c r="BR85" s="42"/>
      <c r="BS85" s="40"/>
      <c r="BT85" s="41"/>
      <c r="BU85" s="41"/>
      <c r="BV85" s="42"/>
      <c r="BY85" s="45"/>
      <c r="BZ85" s="46"/>
      <c r="CA85" s="47"/>
      <c r="CB85" s="398"/>
    </row>
    <row r="86" spans="1:80" ht="14.25" hidden="1" customHeight="1" outlineLevel="2" x14ac:dyDescent="0.25">
      <c r="A86" s="10" t="e">
        <f>COUNTIF([1]Тарифы!$AK$87:$AK$90,"с дифференциацией (несколько смет)")&gt;0</f>
        <v>#VALUE!</v>
      </c>
      <c r="B86" s="10" t="e">
        <f t="array" ref="B86">A86</f>
        <v>#VALUE!</v>
      </c>
      <c r="C86" s="75" t="s">
        <v>88</v>
      </c>
      <c r="D86" s="5" t="s">
        <v>89</v>
      </c>
      <c r="E86" s="10" t="s">
        <v>73</v>
      </c>
      <c r="F86" s="10" t="s">
        <v>74</v>
      </c>
      <c r="G86" s="10" t="s">
        <v>73</v>
      </c>
      <c r="H86" s="10" t="s">
        <v>73</v>
      </c>
      <c r="I86" s="10" t="s">
        <v>73</v>
      </c>
      <c r="J86" s="10" t="s">
        <v>73</v>
      </c>
      <c r="K86" s="5" t="s">
        <v>77</v>
      </c>
      <c r="M86" s="5">
        <f t="shared" si="0"/>
        <v>0</v>
      </c>
      <c r="Z86" s="6"/>
      <c r="AA86" s="6"/>
      <c r="AB86" s="29"/>
      <c r="AC86" s="71"/>
      <c r="AD86" s="51"/>
      <c r="AE86" s="56"/>
      <c r="AF86" s="73"/>
      <c r="AG86" s="73"/>
      <c r="AH86" s="74"/>
      <c r="AI86" s="44"/>
      <c r="AJ86" s="41"/>
      <c r="AK86" s="41"/>
      <c r="AL86" s="43"/>
      <c r="AM86" s="40"/>
      <c r="AN86" s="41"/>
      <c r="AO86" s="41"/>
      <c r="AP86" s="42"/>
      <c r="AQ86" s="44"/>
      <c r="AR86" s="41"/>
      <c r="AS86" s="41"/>
      <c r="AT86" s="43"/>
      <c r="AU86" s="40"/>
      <c r="AV86" s="41"/>
      <c r="AW86" s="41"/>
      <c r="AX86" s="43"/>
      <c r="AY86" s="40"/>
      <c r="AZ86" s="41"/>
      <c r="BA86" s="41"/>
      <c r="BB86" s="43"/>
      <c r="BC86" s="40"/>
      <c r="BD86" s="41"/>
      <c r="BE86" s="41"/>
      <c r="BF86" s="43"/>
      <c r="BG86" s="40"/>
      <c r="BH86" s="41"/>
      <c r="BI86" s="41"/>
      <c r="BJ86" s="43"/>
      <c r="BK86" s="40"/>
      <c r="BL86" s="41"/>
      <c r="BM86" s="41"/>
      <c r="BN86" s="43"/>
      <c r="BO86" s="40"/>
      <c r="BP86" s="41"/>
      <c r="BQ86" s="41"/>
      <c r="BR86" s="42"/>
      <c r="BS86" s="40"/>
      <c r="BT86" s="41"/>
      <c r="BU86" s="41"/>
      <c r="BV86" s="42"/>
      <c r="BY86" s="45"/>
      <c r="BZ86" s="46"/>
      <c r="CA86" s="47"/>
      <c r="CB86" s="398"/>
    </row>
    <row r="87" spans="1:80" ht="14.25" hidden="1" customHeight="1" outlineLevel="2" x14ac:dyDescent="0.25">
      <c r="A87" s="10" t="e">
        <f>COUNTIF([1]Тарифы!$AK$87:$AK$90,"с дифференциацией (несколько смет)")&gt;0</f>
        <v>#VALUE!</v>
      </c>
      <c r="B87" s="10" t="e">
        <f t="array" ref="B87">A87</f>
        <v>#VALUE!</v>
      </c>
      <c r="C87" s="10" t="s">
        <v>90</v>
      </c>
      <c r="D87" s="10" t="s">
        <v>91</v>
      </c>
      <c r="E87" s="10" t="s">
        <v>73</v>
      </c>
      <c r="F87" s="10" t="s">
        <v>74</v>
      </c>
      <c r="G87" s="10" t="s">
        <v>73</v>
      </c>
      <c r="H87" s="10" t="s">
        <v>73</v>
      </c>
      <c r="I87" s="10" t="s">
        <v>73</v>
      </c>
      <c r="J87" s="10" t="s">
        <v>73</v>
      </c>
      <c r="K87" s="5" t="s">
        <v>77</v>
      </c>
      <c r="M87" s="5">
        <f t="shared" si="0"/>
        <v>0</v>
      </c>
      <c r="Z87" s="6"/>
      <c r="AA87" s="6"/>
      <c r="AB87" s="65"/>
      <c r="AC87" s="62"/>
      <c r="AD87" s="51"/>
      <c r="AE87" s="72"/>
      <c r="AF87" s="73"/>
      <c r="AG87" s="73"/>
      <c r="AH87" s="74"/>
      <c r="AI87" s="44"/>
      <c r="AJ87" s="41"/>
      <c r="AK87" s="41"/>
      <c r="AL87" s="43"/>
      <c r="AM87" s="40"/>
      <c r="AN87" s="41"/>
      <c r="AO87" s="41"/>
      <c r="AP87" s="42"/>
      <c r="AQ87" s="44"/>
      <c r="AR87" s="41"/>
      <c r="AS87" s="41"/>
      <c r="AT87" s="43"/>
      <c r="AU87" s="40"/>
      <c r="AV87" s="41"/>
      <c r="AW87" s="41"/>
      <c r="AX87" s="43"/>
      <c r="AY87" s="40"/>
      <c r="AZ87" s="41"/>
      <c r="BA87" s="41"/>
      <c r="BB87" s="43"/>
      <c r="BC87" s="40"/>
      <c r="BD87" s="41"/>
      <c r="BE87" s="41"/>
      <c r="BF87" s="43"/>
      <c r="BG87" s="40"/>
      <c r="BH87" s="41"/>
      <c r="BI87" s="41"/>
      <c r="BJ87" s="43"/>
      <c r="BK87" s="40"/>
      <c r="BL87" s="41"/>
      <c r="BM87" s="41"/>
      <c r="BN87" s="43"/>
      <c r="BO87" s="40"/>
      <c r="BP87" s="41"/>
      <c r="BQ87" s="41"/>
      <c r="BR87" s="42"/>
      <c r="BS87" s="40"/>
      <c r="BT87" s="41"/>
      <c r="BU87" s="41"/>
      <c r="BV87" s="42"/>
      <c r="BY87" s="45"/>
      <c r="BZ87" s="46"/>
      <c r="CA87" s="47"/>
      <c r="CB87" s="398"/>
    </row>
    <row r="88" spans="1:80" ht="14.25" hidden="1" customHeight="1" outlineLevel="2" x14ac:dyDescent="0.25">
      <c r="A88" s="10" t="e">
        <f>COUNTIF([1]Тарифы!$AK$87:$AK$90,"с дифференциацией (несколько смет)")&gt;0</f>
        <v>#VALUE!</v>
      </c>
      <c r="B88" s="10" t="e">
        <f t="array" ref="B88">A88</f>
        <v>#VALUE!</v>
      </c>
      <c r="C88" s="10" t="s">
        <v>92</v>
      </c>
      <c r="D88" s="10" t="s">
        <v>93</v>
      </c>
      <c r="E88" s="10" t="s">
        <v>73</v>
      </c>
      <c r="F88" s="10" t="s">
        <v>74</v>
      </c>
      <c r="G88" s="10" t="s">
        <v>73</v>
      </c>
      <c r="H88" s="10" t="s">
        <v>73</v>
      </c>
      <c r="I88" s="10" t="s">
        <v>73</v>
      </c>
      <c r="J88" s="10" t="s">
        <v>73</v>
      </c>
      <c r="K88" s="5" t="s">
        <v>77</v>
      </c>
      <c r="M88" s="5">
        <f t="shared" si="0"/>
        <v>0</v>
      </c>
      <c r="Z88" s="6"/>
      <c r="AA88" s="6"/>
      <c r="AB88" s="29"/>
      <c r="AC88" s="71"/>
      <c r="AD88" s="51"/>
      <c r="AE88" s="56"/>
      <c r="AF88" s="73"/>
      <c r="AG88" s="73"/>
      <c r="AH88" s="74"/>
      <c r="AI88" s="44"/>
      <c r="AJ88" s="41"/>
      <c r="AK88" s="41"/>
      <c r="AL88" s="43"/>
      <c r="AM88" s="40"/>
      <c r="AN88" s="41"/>
      <c r="AO88" s="41"/>
      <c r="AP88" s="42"/>
      <c r="AQ88" s="44"/>
      <c r="AR88" s="41"/>
      <c r="AS88" s="41"/>
      <c r="AT88" s="43"/>
      <c r="AU88" s="40"/>
      <c r="AV88" s="41"/>
      <c r="AW88" s="41"/>
      <c r="AX88" s="43"/>
      <c r="AY88" s="40"/>
      <c r="AZ88" s="41"/>
      <c r="BA88" s="41"/>
      <c r="BB88" s="43"/>
      <c r="BC88" s="40"/>
      <c r="BD88" s="41"/>
      <c r="BE88" s="41"/>
      <c r="BF88" s="43"/>
      <c r="BG88" s="40"/>
      <c r="BH88" s="41"/>
      <c r="BI88" s="41"/>
      <c r="BJ88" s="43"/>
      <c r="BK88" s="40"/>
      <c r="BL88" s="41"/>
      <c r="BM88" s="41"/>
      <c r="BN88" s="43"/>
      <c r="BO88" s="40"/>
      <c r="BP88" s="41"/>
      <c r="BQ88" s="41"/>
      <c r="BR88" s="42"/>
      <c r="BS88" s="40"/>
      <c r="BT88" s="41"/>
      <c r="BU88" s="41"/>
      <c r="BV88" s="42"/>
      <c r="BY88" s="45"/>
      <c r="BZ88" s="46"/>
      <c r="CA88" s="47"/>
      <c r="CB88" s="398"/>
    </row>
    <row r="89" spans="1:80" ht="14.25" hidden="1" customHeight="1" outlineLevel="2" x14ac:dyDescent="0.25">
      <c r="A89" s="10" t="e">
        <f>COUNTIF([1]Тарифы!$AK$87:$AK$90,"с дифференциацией (несколько смет)")&gt;0</f>
        <v>#VALUE!</v>
      </c>
      <c r="B89" s="10" t="e">
        <f t="array" ref="B89">A89</f>
        <v>#VALUE!</v>
      </c>
      <c r="C89" s="10" t="s">
        <v>94</v>
      </c>
      <c r="D89" s="10" t="s">
        <v>95</v>
      </c>
      <c r="E89" s="10" t="s">
        <v>73</v>
      </c>
      <c r="F89" s="10" t="s">
        <v>74</v>
      </c>
      <c r="G89" s="10" t="s">
        <v>73</v>
      </c>
      <c r="H89" s="10" t="s">
        <v>73</v>
      </c>
      <c r="I89" s="10" t="s">
        <v>73</v>
      </c>
      <c r="J89" s="10" t="s">
        <v>73</v>
      </c>
      <c r="K89" s="5" t="s">
        <v>77</v>
      </c>
      <c r="M89" s="5">
        <f t="shared" si="0"/>
        <v>0</v>
      </c>
      <c r="Z89" s="6"/>
      <c r="AA89" s="6"/>
      <c r="AB89" s="29"/>
      <c r="AC89" s="71"/>
      <c r="AD89" s="51"/>
      <c r="AE89" s="56"/>
      <c r="AF89" s="73"/>
      <c r="AG89" s="73"/>
      <c r="AH89" s="74"/>
      <c r="AI89" s="44"/>
      <c r="AJ89" s="41"/>
      <c r="AK89" s="41"/>
      <c r="AL89" s="43"/>
      <c r="AM89" s="40"/>
      <c r="AN89" s="41"/>
      <c r="AO89" s="41"/>
      <c r="AP89" s="42"/>
      <c r="AQ89" s="44"/>
      <c r="AR89" s="41"/>
      <c r="AS89" s="41"/>
      <c r="AT89" s="43"/>
      <c r="AU89" s="40"/>
      <c r="AV89" s="41"/>
      <c r="AW89" s="41"/>
      <c r="AX89" s="43"/>
      <c r="AY89" s="40"/>
      <c r="AZ89" s="41"/>
      <c r="BA89" s="41"/>
      <c r="BB89" s="43"/>
      <c r="BC89" s="40"/>
      <c r="BD89" s="41"/>
      <c r="BE89" s="41"/>
      <c r="BF89" s="43"/>
      <c r="BG89" s="40"/>
      <c r="BH89" s="41"/>
      <c r="BI89" s="41"/>
      <c r="BJ89" s="43"/>
      <c r="BK89" s="40"/>
      <c r="BL89" s="41"/>
      <c r="BM89" s="41"/>
      <c r="BN89" s="43"/>
      <c r="BO89" s="40"/>
      <c r="BP89" s="41"/>
      <c r="BQ89" s="41"/>
      <c r="BR89" s="42"/>
      <c r="BS89" s="40"/>
      <c r="BT89" s="41"/>
      <c r="BU89" s="41"/>
      <c r="BV89" s="42"/>
      <c r="BY89" s="45"/>
      <c r="BZ89" s="46"/>
      <c r="CA89" s="47"/>
      <c r="CB89" s="398"/>
    </row>
    <row r="90" spans="1:80" ht="14.25" hidden="1" customHeight="1" outlineLevel="2" x14ac:dyDescent="0.25">
      <c r="A90" s="10" t="e">
        <f>COUNTIF([1]Тарифы!$AK$87:$AK$90,"с дифференциацией (несколько смет)")&gt;0</f>
        <v>#VALUE!</v>
      </c>
      <c r="B90" s="10" t="e">
        <f t="array" ref="B90">A90</f>
        <v>#VALUE!</v>
      </c>
      <c r="C90" s="10" t="s">
        <v>96</v>
      </c>
      <c r="D90" s="10" t="s">
        <v>97</v>
      </c>
      <c r="E90" s="10" t="s">
        <v>73</v>
      </c>
      <c r="F90" s="10" t="s">
        <v>74</v>
      </c>
      <c r="G90" s="10" t="s">
        <v>73</v>
      </c>
      <c r="H90" s="10" t="s">
        <v>73</v>
      </c>
      <c r="I90" s="10" t="s">
        <v>73</v>
      </c>
      <c r="J90" s="10" t="s">
        <v>73</v>
      </c>
      <c r="K90" s="5" t="s">
        <v>77</v>
      </c>
      <c r="M90" s="5">
        <f t="shared" si="0"/>
        <v>0</v>
      </c>
      <c r="Z90" s="6"/>
      <c r="AA90" s="6"/>
      <c r="AB90" s="29"/>
      <c r="AC90" s="71"/>
      <c r="AD90" s="51"/>
      <c r="AE90" s="72"/>
      <c r="AF90" s="73"/>
      <c r="AG90" s="73"/>
      <c r="AH90" s="74"/>
      <c r="AI90" s="44"/>
      <c r="AJ90" s="41"/>
      <c r="AK90" s="41"/>
      <c r="AL90" s="43"/>
      <c r="AM90" s="40"/>
      <c r="AN90" s="41"/>
      <c r="AO90" s="41"/>
      <c r="AP90" s="42"/>
      <c r="AQ90" s="44"/>
      <c r="AR90" s="41"/>
      <c r="AS90" s="41"/>
      <c r="AT90" s="43"/>
      <c r="AU90" s="40"/>
      <c r="AV90" s="41"/>
      <c r="AW90" s="41"/>
      <c r="AX90" s="43"/>
      <c r="AY90" s="40"/>
      <c r="AZ90" s="41"/>
      <c r="BA90" s="41"/>
      <c r="BB90" s="43"/>
      <c r="BC90" s="40"/>
      <c r="BD90" s="41"/>
      <c r="BE90" s="41"/>
      <c r="BF90" s="43"/>
      <c r="BG90" s="40"/>
      <c r="BH90" s="41"/>
      <c r="BI90" s="41"/>
      <c r="BJ90" s="43"/>
      <c r="BK90" s="40"/>
      <c r="BL90" s="41"/>
      <c r="BM90" s="41"/>
      <c r="BN90" s="43"/>
      <c r="BO90" s="40"/>
      <c r="BP90" s="41"/>
      <c r="BQ90" s="41"/>
      <c r="BR90" s="42"/>
      <c r="BS90" s="40"/>
      <c r="BT90" s="41"/>
      <c r="BU90" s="41"/>
      <c r="BV90" s="42"/>
      <c r="BY90" s="45"/>
      <c r="BZ90" s="46"/>
      <c r="CA90" s="47"/>
      <c r="CB90" s="398"/>
    </row>
    <row r="91" spans="1:80" ht="14.25" hidden="1" customHeight="1" outlineLevel="2" x14ac:dyDescent="0.25">
      <c r="A91" s="10" t="e">
        <f>COUNTIF([1]Тарифы!$AK$87:$AK$90,"с дифференциацией (несколько смет)")&gt;0</f>
        <v>#VALUE!</v>
      </c>
      <c r="B91" s="76" t="e">
        <f>AND(NOT(NDS="нет"),A91)</f>
        <v>#VALUE!</v>
      </c>
      <c r="C91" s="10" t="s">
        <v>98</v>
      </c>
      <c r="D91" s="10" t="s">
        <v>99</v>
      </c>
      <c r="E91" s="10" t="s">
        <v>73</v>
      </c>
      <c r="F91" s="10" t="s">
        <v>74</v>
      </c>
      <c r="G91" s="10" t="s">
        <v>73</v>
      </c>
      <c r="H91" s="10" t="s">
        <v>73</v>
      </c>
      <c r="I91" s="10" t="s">
        <v>73</v>
      </c>
      <c r="J91" s="10" t="s">
        <v>73</v>
      </c>
      <c r="K91" s="5" t="s">
        <v>77</v>
      </c>
      <c r="M91" s="5">
        <f t="shared" si="0"/>
        <v>0</v>
      </c>
      <c r="Z91" s="6"/>
      <c r="AA91" s="6"/>
      <c r="AB91" s="65"/>
      <c r="AC91" s="62"/>
      <c r="AD91" s="51"/>
      <c r="AE91" s="72"/>
      <c r="AF91" s="73"/>
      <c r="AG91" s="73"/>
      <c r="AH91" s="74"/>
      <c r="AI91" s="44"/>
      <c r="AJ91" s="41"/>
      <c r="AK91" s="41"/>
      <c r="AL91" s="43"/>
      <c r="AM91" s="40"/>
      <c r="AN91" s="41"/>
      <c r="AO91" s="41"/>
      <c r="AP91" s="42"/>
      <c r="AQ91" s="44"/>
      <c r="AR91" s="41"/>
      <c r="AS91" s="41"/>
      <c r="AT91" s="43"/>
      <c r="AU91" s="40"/>
      <c r="AV91" s="41"/>
      <c r="AW91" s="41"/>
      <c r="AX91" s="43"/>
      <c r="AY91" s="40"/>
      <c r="AZ91" s="41"/>
      <c r="BA91" s="41"/>
      <c r="BB91" s="43"/>
      <c r="BC91" s="40"/>
      <c r="BD91" s="41"/>
      <c r="BE91" s="41"/>
      <c r="BF91" s="43"/>
      <c r="BG91" s="40"/>
      <c r="BH91" s="41"/>
      <c r="BI91" s="41"/>
      <c r="BJ91" s="43"/>
      <c r="BK91" s="40"/>
      <c r="BL91" s="41"/>
      <c r="BM91" s="41"/>
      <c r="BN91" s="43"/>
      <c r="BO91" s="40"/>
      <c r="BP91" s="41"/>
      <c r="BQ91" s="41"/>
      <c r="BR91" s="42"/>
      <c r="BS91" s="40"/>
      <c r="BT91" s="41"/>
      <c r="BU91" s="41"/>
      <c r="BV91" s="42"/>
      <c r="BY91" s="45"/>
      <c r="BZ91" s="46"/>
      <c r="CA91" s="47"/>
      <c r="CB91" s="398"/>
    </row>
    <row r="92" spans="1:80" ht="14.25" hidden="1" customHeight="1" outlineLevel="2" x14ac:dyDescent="0.25">
      <c r="A92" s="10" t="e">
        <f>COUNTIF([1]Тарифы!$AK$87:$AK$90,"с дифференциацией (несколько смет)")&gt;0</f>
        <v>#VALUE!</v>
      </c>
      <c r="B92" s="76" t="e">
        <f>AND(NOT(NDS="нет"),A92)</f>
        <v>#VALUE!</v>
      </c>
      <c r="C92" s="10" t="s">
        <v>100</v>
      </c>
      <c r="D92" s="10" t="s">
        <v>101</v>
      </c>
      <c r="E92" s="10" t="s">
        <v>73</v>
      </c>
      <c r="F92" s="10" t="s">
        <v>74</v>
      </c>
      <c r="G92" s="10" t="s">
        <v>73</v>
      </c>
      <c r="H92" s="10" t="s">
        <v>73</v>
      </c>
      <c r="I92" s="10" t="s">
        <v>73</v>
      </c>
      <c r="J92" s="10" t="s">
        <v>73</v>
      </c>
      <c r="K92" s="5" t="s">
        <v>77</v>
      </c>
      <c r="M92" s="5">
        <f t="shared" si="0"/>
        <v>0</v>
      </c>
      <c r="Z92" s="6"/>
      <c r="AA92" s="6"/>
      <c r="AB92" s="29"/>
      <c r="AC92" s="71"/>
      <c r="AD92" s="51"/>
      <c r="AE92" s="72"/>
      <c r="AF92" s="73"/>
      <c r="AG92" s="73"/>
      <c r="AH92" s="74"/>
      <c r="AI92" s="44"/>
      <c r="AJ92" s="41"/>
      <c r="AK92" s="41"/>
      <c r="AL92" s="43"/>
      <c r="AM92" s="40"/>
      <c r="AN92" s="41"/>
      <c r="AO92" s="41"/>
      <c r="AP92" s="42"/>
      <c r="AQ92" s="44"/>
      <c r="AR92" s="41"/>
      <c r="AS92" s="41"/>
      <c r="AT92" s="43"/>
      <c r="AU92" s="40"/>
      <c r="AV92" s="41"/>
      <c r="AW92" s="41"/>
      <c r="AX92" s="43"/>
      <c r="AY92" s="40"/>
      <c r="AZ92" s="41"/>
      <c r="BA92" s="41"/>
      <c r="BB92" s="43"/>
      <c r="BC92" s="40"/>
      <c r="BD92" s="41"/>
      <c r="BE92" s="41"/>
      <c r="BF92" s="43"/>
      <c r="BG92" s="40"/>
      <c r="BH92" s="41"/>
      <c r="BI92" s="41"/>
      <c r="BJ92" s="43"/>
      <c r="BK92" s="40"/>
      <c r="BL92" s="41"/>
      <c r="BM92" s="41"/>
      <c r="BN92" s="43"/>
      <c r="BO92" s="40"/>
      <c r="BP92" s="41"/>
      <c r="BQ92" s="41"/>
      <c r="BR92" s="42"/>
      <c r="BS92" s="40"/>
      <c r="BT92" s="41"/>
      <c r="BU92" s="41"/>
      <c r="BV92" s="42"/>
      <c r="BY92" s="45"/>
      <c r="BZ92" s="46"/>
      <c r="CA92" s="47"/>
      <c r="CB92" s="398"/>
    </row>
    <row r="93" spans="1:80" ht="14.25" hidden="1" customHeight="1" outlineLevel="2" x14ac:dyDescent="0.25">
      <c r="A93" s="10" t="e">
        <f>COUNTIF([1]Тарифы!$AK$87:$AK$90,"с дифференциацией (несколько смет)")&gt;0</f>
        <v>#VALUE!</v>
      </c>
      <c r="B93" s="76" t="e">
        <f>AND(NOT(NDS="нет"),A93)</f>
        <v>#VALUE!</v>
      </c>
      <c r="C93" s="10" t="s">
        <v>102</v>
      </c>
      <c r="D93" s="10" t="s">
        <v>103</v>
      </c>
      <c r="E93" s="10" t="s">
        <v>73</v>
      </c>
      <c r="F93" s="10" t="s">
        <v>74</v>
      </c>
      <c r="G93" s="10" t="s">
        <v>73</v>
      </c>
      <c r="H93" s="10" t="s">
        <v>73</v>
      </c>
      <c r="I93" s="10" t="s">
        <v>73</v>
      </c>
      <c r="J93" s="10" t="s">
        <v>73</v>
      </c>
      <c r="K93" s="5" t="s">
        <v>77</v>
      </c>
      <c r="M93" s="5">
        <f t="shared" si="0"/>
        <v>0</v>
      </c>
      <c r="Z93" s="6"/>
      <c r="AA93" s="6"/>
      <c r="AB93" s="29"/>
      <c r="AC93" s="71"/>
      <c r="AD93" s="51"/>
      <c r="AE93" s="72"/>
      <c r="AF93" s="73"/>
      <c r="AG93" s="73"/>
      <c r="AH93" s="74"/>
      <c r="AI93" s="44"/>
      <c r="AJ93" s="41"/>
      <c r="AK93" s="41"/>
      <c r="AL93" s="43"/>
      <c r="AM93" s="40"/>
      <c r="AN93" s="41"/>
      <c r="AO93" s="41"/>
      <c r="AP93" s="42"/>
      <c r="AQ93" s="44"/>
      <c r="AR93" s="41"/>
      <c r="AS93" s="41"/>
      <c r="AT93" s="43"/>
      <c r="AU93" s="40"/>
      <c r="AV93" s="41"/>
      <c r="AW93" s="41"/>
      <c r="AX93" s="43"/>
      <c r="AY93" s="40"/>
      <c r="AZ93" s="41"/>
      <c r="BA93" s="41"/>
      <c r="BB93" s="43"/>
      <c r="BC93" s="40"/>
      <c r="BD93" s="41"/>
      <c r="BE93" s="41"/>
      <c r="BF93" s="43"/>
      <c r="BG93" s="40"/>
      <c r="BH93" s="41"/>
      <c r="BI93" s="41"/>
      <c r="BJ93" s="43"/>
      <c r="BK93" s="40"/>
      <c r="BL93" s="41"/>
      <c r="BM93" s="41"/>
      <c r="BN93" s="43"/>
      <c r="BO93" s="40"/>
      <c r="BP93" s="41"/>
      <c r="BQ93" s="41"/>
      <c r="BR93" s="42"/>
      <c r="BS93" s="40"/>
      <c r="BT93" s="41"/>
      <c r="BU93" s="41"/>
      <c r="BV93" s="42"/>
      <c r="BY93" s="45"/>
      <c r="BZ93" s="46"/>
      <c r="CA93" s="47"/>
      <c r="CB93" s="398"/>
    </row>
    <row r="94" spans="1:80" ht="14.25" hidden="1" customHeight="1" outlineLevel="2" x14ac:dyDescent="0.25">
      <c r="A94" s="10" t="e">
        <f>COUNTIF([1]Тарифы!$AK$87:$AK$90,"с дифференциацией (несколько смет)")&gt;0</f>
        <v>#VALUE!</v>
      </c>
      <c r="B94" s="76" t="e">
        <f>AND(NOT(NDS="нет"),A94)</f>
        <v>#VALUE!</v>
      </c>
      <c r="C94" s="10" t="s">
        <v>104</v>
      </c>
      <c r="D94" s="10" t="s">
        <v>105</v>
      </c>
      <c r="E94" s="10" t="s">
        <v>73</v>
      </c>
      <c r="F94" s="10" t="s">
        <v>74</v>
      </c>
      <c r="G94" s="10" t="s">
        <v>73</v>
      </c>
      <c r="H94" s="10" t="s">
        <v>73</v>
      </c>
      <c r="I94" s="10" t="s">
        <v>73</v>
      </c>
      <c r="J94" s="10" t="s">
        <v>73</v>
      </c>
      <c r="K94" s="5" t="s">
        <v>77</v>
      </c>
      <c r="M94" s="5">
        <f t="shared" si="0"/>
        <v>0</v>
      </c>
      <c r="Z94" s="6"/>
      <c r="AA94" s="6"/>
      <c r="AB94" s="29"/>
      <c r="AC94" s="71"/>
      <c r="AD94" s="51"/>
      <c r="AE94" s="72"/>
      <c r="AF94" s="73"/>
      <c r="AG94" s="73"/>
      <c r="AH94" s="74"/>
      <c r="AI94" s="44"/>
      <c r="AJ94" s="41"/>
      <c r="AK94" s="41"/>
      <c r="AL94" s="43"/>
      <c r="AM94" s="40"/>
      <c r="AN94" s="41"/>
      <c r="AO94" s="41"/>
      <c r="AP94" s="42"/>
      <c r="AQ94" s="44"/>
      <c r="AR94" s="41"/>
      <c r="AS94" s="41"/>
      <c r="AT94" s="43"/>
      <c r="AU94" s="40"/>
      <c r="AV94" s="41"/>
      <c r="AW94" s="41"/>
      <c r="AX94" s="43"/>
      <c r="AY94" s="40"/>
      <c r="AZ94" s="41"/>
      <c r="BA94" s="41"/>
      <c r="BB94" s="43"/>
      <c r="BC94" s="40"/>
      <c r="BD94" s="41"/>
      <c r="BE94" s="41"/>
      <c r="BF94" s="43"/>
      <c r="BG94" s="40"/>
      <c r="BH94" s="41"/>
      <c r="BI94" s="41"/>
      <c r="BJ94" s="43"/>
      <c r="BK94" s="40"/>
      <c r="BL94" s="41"/>
      <c r="BM94" s="41"/>
      <c r="BN94" s="43"/>
      <c r="BO94" s="40"/>
      <c r="BP94" s="41"/>
      <c r="BQ94" s="41"/>
      <c r="BR94" s="42"/>
      <c r="BS94" s="40"/>
      <c r="BT94" s="41"/>
      <c r="BU94" s="41"/>
      <c r="BV94" s="42"/>
      <c r="BY94" s="45"/>
      <c r="BZ94" s="46"/>
      <c r="CA94" s="47"/>
      <c r="CB94" s="398"/>
    </row>
    <row r="95" spans="1:80" ht="13.5" hidden="1" customHeight="1" outlineLevel="1" x14ac:dyDescent="0.25">
      <c r="B95" s="10" t="b">
        <f>SETTING_BASE="да"</f>
        <v>0</v>
      </c>
      <c r="M95" s="5" t="str">
        <f t="array" ref="M95">Y95</f>
        <v>1ХВС::1.1</v>
      </c>
      <c r="S95" s="10" t="str">
        <f t="array" ref="S95">INDEX([1]Тарифы!$AM$86:$AM$99,MATCH($X95,[1]Тарифы!$Y$86:$Y$99,0))</f>
        <v>да</v>
      </c>
      <c r="T95" s="10" t="str">
        <f t="array" ref="T95">INDEX([1]Тарифы!$AC$86:$AC$99,MATCH($X95,[1]Тарифы!$Y$86:$Y$99,0))</f>
        <v>Тариф на питьевую воду</v>
      </c>
      <c r="U95" s="10" t="str">
        <f t="array" ref="U95">INDEX([1]Тарифы!$AB$86:$AB$99,MATCH($X95,[1]Тарифы!$Y$86:$Y$99,0))</f>
        <v>Водоснабжение</v>
      </c>
      <c r="V95" s="10" t="str">
        <f t="array" ref="V95">INDEX([1]Тарифы!$AK$86:$AK$99,MATCH($X95,[1]Тарифы!$Y$86:$Y$99,0))</f>
        <v>без дифференциации</v>
      </c>
      <c r="W95" s="10" t="str">
        <f t="array" ref="W95">INDEX([1]Тарифы!$AD$86:$AD$99,MATCH($X95,[1]Тарифы!$Y$86:$Y$99,0))</f>
        <v>одноставочный</v>
      </c>
      <c r="X95" s="10" t="str">
        <f t="array" ref="X95">INDEX([1]Тарифы!$Y$86:$Y$99,MATCH($Y95,[1]Тарифы!$X$86:$X$99,0))</f>
        <v>1ХВС</v>
      </c>
      <c r="Y95" s="77" t="str">
        <f t="array" ref="Y95">[1]Тарифы!$X$87</f>
        <v>1ХВС::1.1</v>
      </c>
      <c r="AB95" s="61"/>
      <c r="AC95" s="62" t="str">
        <f t="array" ref="AC95">INDEX([1]Тарифы!$U$86:$U$99,MATCH($Y95,[1]Тарифы!$X$86:$X$99,0))</f>
        <v>1ХВС - Тариф на питьевую воду</v>
      </c>
      <c r="AD95" s="63"/>
      <c r="AE95" s="61"/>
      <c r="AF95" s="62"/>
      <c r="AG95" s="62"/>
      <c r="AH95" s="64"/>
      <c r="AI95" s="44"/>
      <c r="AJ95" s="41"/>
      <c r="AK95" s="41"/>
      <c r="AL95" s="43"/>
      <c r="AM95" s="40"/>
      <c r="AN95" s="41"/>
      <c r="AO95" s="41"/>
      <c r="AP95" s="42"/>
      <c r="AQ95" s="44"/>
      <c r="AR95" s="41"/>
      <c r="AS95" s="41"/>
      <c r="AT95" s="43"/>
      <c r="AU95" s="40"/>
      <c r="AV95" s="41"/>
      <c r="AW95" s="41"/>
      <c r="AX95" s="43"/>
      <c r="AY95" s="40"/>
      <c r="AZ95" s="41"/>
      <c r="BA95" s="41"/>
      <c r="BB95" s="43"/>
      <c r="BC95" s="40"/>
      <c r="BD95" s="41"/>
      <c r="BE95" s="41"/>
      <c r="BF95" s="43"/>
      <c r="BG95" s="40"/>
      <c r="BH95" s="41"/>
      <c r="BI95" s="41"/>
      <c r="BJ95" s="43"/>
      <c r="BK95" s="40"/>
      <c r="BL95" s="41"/>
      <c r="BM95" s="41"/>
      <c r="BN95" s="43"/>
      <c r="BO95" s="40"/>
      <c r="BP95" s="41"/>
      <c r="BQ95" s="41"/>
      <c r="BR95" s="42"/>
      <c r="BS95" s="40"/>
      <c r="BT95" s="41"/>
      <c r="BU95" s="41"/>
      <c r="BV95" s="42"/>
      <c r="BY95" s="45"/>
      <c r="BZ95" s="46"/>
      <c r="CA95" s="47"/>
      <c r="CB95" s="398"/>
    </row>
    <row r="96" spans="1:80" ht="14.25" hidden="1" customHeight="1" outlineLevel="1" x14ac:dyDescent="0.25">
      <c r="A96" s="10" t="b">
        <f>REGULATION_METHODS="Метод индексации"</f>
        <v>1</v>
      </c>
      <c r="B96" s="5" t="b">
        <f t="array" ref="B96">A96</f>
        <v>1</v>
      </c>
      <c r="M96" s="5" t="str">
        <f t="array" ref="M96">Y95</f>
        <v>1ХВС::1.1</v>
      </c>
      <c r="AB96" s="29">
        <v>0</v>
      </c>
      <c r="AC96" s="78" t="s">
        <v>106</v>
      </c>
      <c r="AD96" s="63"/>
      <c r="AE96" s="61"/>
      <c r="AF96" s="62"/>
      <c r="AG96" s="62"/>
      <c r="AH96" s="64"/>
      <c r="AI96" s="44"/>
      <c r="AJ96" s="41"/>
      <c r="AK96" s="41"/>
      <c r="AL96" s="43"/>
      <c r="AM96" s="40"/>
      <c r="AN96" s="41"/>
      <c r="AO96" s="41"/>
      <c r="AP96" s="42"/>
      <c r="AQ96" s="44"/>
      <c r="AR96" s="41"/>
      <c r="AS96" s="41"/>
      <c r="AT96" s="43"/>
      <c r="AU96" s="40"/>
      <c r="AV96" s="41"/>
      <c r="AW96" s="41"/>
      <c r="AX96" s="43"/>
      <c r="AY96" s="40"/>
      <c r="AZ96" s="41"/>
      <c r="BA96" s="41"/>
      <c r="BB96" s="43"/>
      <c r="BC96" s="40"/>
      <c r="BD96" s="41"/>
      <c r="BE96" s="41"/>
      <c r="BF96" s="43"/>
      <c r="BG96" s="40"/>
      <c r="BH96" s="41"/>
      <c r="BI96" s="41"/>
      <c r="BJ96" s="43"/>
      <c r="BK96" s="40"/>
      <c r="BL96" s="41"/>
      <c r="BM96" s="41"/>
      <c r="BN96" s="43"/>
      <c r="BO96" s="40"/>
      <c r="BP96" s="41"/>
      <c r="BQ96" s="41"/>
      <c r="BR96" s="42"/>
      <c r="BS96" s="40"/>
      <c r="BT96" s="41"/>
      <c r="BU96" s="41"/>
      <c r="BV96" s="42"/>
      <c r="BY96" s="45"/>
      <c r="BZ96" s="46"/>
      <c r="CA96" s="47"/>
      <c r="CB96" s="398"/>
    </row>
    <row r="97" spans="1:81" ht="14.25" hidden="1" customHeight="1" outlineLevel="2" x14ac:dyDescent="0.25">
      <c r="A97" s="10" t="b">
        <f t="array" ref="A97">A96</f>
        <v>1</v>
      </c>
      <c r="C97" s="79" t="s">
        <v>107</v>
      </c>
      <c r="D97" s="79" t="s">
        <v>108</v>
      </c>
      <c r="E97" s="10" t="s">
        <v>73</v>
      </c>
      <c r="F97" s="11" t="s">
        <v>74</v>
      </c>
      <c r="G97" s="79" t="s">
        <v>109</v>
      </c>
      <c r="H97" s="10" t="s">
        <v>73</v>
      </c>
      <c r="I97" s="10" t="s">
        <v>73</v>
      </c>
      <c r="K97" s="12" t="s">
        <v>73</v>
      </c>
      <c r="M97" s="5" t="str">
        <f t="array" ref="M97">Y95</f>
        <v>1ХВС::1.1</v>
      </c>
      <c r="AB97" s="29" t="str">
        <f>AB96&amp;".1"</f>
        <v>0.1</v>
      </c>
      <c r="AC97" s="80" t="s">
        <v>110</v>
      </c>
      <c r="AD97" s="51" t="s">
        <v>111</v>
      </c>
      <c r="AE97" s="72">
        <f>AE144+AE304+AE245+AE254-AE143</f>
        <v>0</v>
      </c>
      <c r="AF97" s="73">
        <f>AF144+AF304+AF245+AF254-AF143</f>
        <v>0</v>
      </c>
      <c r="AG97" s="73">
        <f>AG144+AG304+AG245+AG254-AG143</f>
        <v>0</v>
      </c>
      <c r="AH97" s="74"/>
      <c r="AI97" s="44"/>
      <c r="AJ97" s="41"/>
      <c r="AK97" s="41"/>
      <c r="AL97" s="43"/>
      <c r="AM97" s="40"/>
      <c r="AN97" s="41"/>
      <c r="AO97" s="41"/>
      <c r="AP97" s="42"/>
      <c r="AQ97" s="44"/>
      <c r="AR97" s="41"/>
      <c r="AS97" s="41"/>
      <c r="AT97" s="43"/>
      <c r="AU97" s="40"/>
      <c r="AV97" s="41"/>
      <c r="AW97" s="41"/>
      <c r="AX97" s="43"/>
      <c r="AY97" s="40"/>
      <c r="AZ97" s="41"/>
      <c r="BA97" s="41"/>
      <c r="BB97" s="43"/>
      <c r="BC97" s="40"/>
      <c r="BD97" s="41"/>
      <c r="BE97" s="41"/>
      <c r="BF97" s="43"/>
      <c r="BG97" s="40"/>
      <c r="BH97" s="41"/>
      <c r="BI97" s="41"/>
      <c r="BJ97" s="43"/>
      <c r="BK97" s="40"/>
      <c r="BL97" s="41"/>
      <c r="BM97" s="41"/>
      <c r="BN97" s="43"/>
      <c r="BO97" s="40"/>
      <c r="BP97" s="41"/>
      <c r="BQ97" s="41"/>
      <c r="BR97" s="42"/>
      <c r="BS97" s="40"/>
      <c r="BT97" s="41"/>
      <c r="BU97" s="41"/>
      <c r="BV97" s="42"/>
      <c r="BY97" s="45"/>
      <c r="BZ97" s="46"/>
      <c r="CA97" s="47"/>
      <c r="CB97" s="398"/>
    </row>
    <row r="98" spans="1:81" ht="12" hidden="1" customHeight="1" outlineLevel="1" x14ac:dyDescent="0.25">
      <c r="A98" s="10" t="b">
        <f t="array" ref="A98">A97</f>
        <v>1</v>
      </c>
      <c r="M98" s="5" t="str">
        <f t="array" ref="M98">Y95</f>
        <v>1ХВС::1.1</v>
      </c>
      <c r="AB98" s="29">
        <v>1</v>
      </c>
      <c r="AC98" s="78" t="s">
        <v>112</v>
      </c>
      <c r="AD98" s="63"/>
      <c r="AE98" s="61"/>
      <c r="AF98" s="62"/>
      <c r="AG98" s="62"/>
      <c r="AH98" s="64"/>
      <c r="AI98" s="44"/>
      <c r="AJ98" s="41"/>
      <c r="AK98" s="41"/>
      <c r="AL98" s="43"/>
      <c r="AM98" s="40"/>
      <c r="AN98" s="41"/>
      <c r="AO98" s="41"/>
      <c r="AP98" s="42"/>
      <c r="AQ98" s="44"/>
      <c r="AR98" s="41"/>
      <c r="AS98" s="41"/>
      <c r="AT98" s="43"/>
      <c r="AU98" s="40"/>
      <c r="AV98" s="41"/>
      <c r="AW98" s="41"/>
      <c r="AX98" s="43"/>
      <c r="AY98" s="40"/>
      <c r="AZ98" s="41"/>
      <c r="BA98" s="41"/>
      <c r="BB98" s="43"/>
      <c r="BC98" s="40"/>
      <c r="BD98" s="41"/>
      <c r="BE98" s="41"/>
      <c r="BF98" s="43"/>
      <c r="BG98" s="40"/>
      <c r="BH98" s="41"/>
      <c r="BI98" s="41"/>
      <c r="BJ98" s="43"/>
      <c r="BK98" s="40"/>
      <c r="BL98" s="41"/>
      <c r="BM98" s="41"/>
      <c r="BN98" s="43"/>
      <c r="BO98" s="40"/>
      <c r="BP98" s="41"/>
      <c r="BQ98" s="41"/>
      <c r="BR98" s="42"/>
      <c r="BS98" s="40"/>
      <c r="BT98" s="41"/>
      <c r="BU98" s="41"/>
      <c r="BV98" s="42"/>
      <c r="BY98" s="45"/>
      <c r="BZ98" s="46"/>
      <c r="CA98" s="47"/>
      <c r="CB98" s="398"/>
    </row>
    <row r="99" spans="1:81" ht="14.25" hidden="1" customHeight="1" outlineLevel="2" x14ac:dyDescent="0.25">
      <c r="A99" s="10" t="b">
        <f t="array" ref="A99">A98</f>
        <v>1</v>
      </c>
      <c r="C99" s="10" t="s">
        <v>113</v>
      </c>
      <c r="D99" s="10" t="s">
        <v>114</v>
      </c>
      <c r="E99" s="5" t="str">
        <f t="array" ref="E99">AC99</f>
        <v>Коэффициент операционных расходов</v>
      </c>
      <c r="F99" s="11" t="s">
        <v>74</v>
      </c>
      <c r="G99" s="10" t="s">
        <v>73</v>
      </c>
      <c r="H99" s="10" t="s">
        <v>73</v>
      </c>
      <c r="I99" s="10" t="s">
        <v>73</v>
      </c>
      <c r="K99" s="12" t="s">
        <v>73</v>
      </c>
      <c r="L99" s="10" t="s">
        <v>115</v>
      </c>
      <c r="M99" s="5" t="str">
        <f t="array" ref="M99">Y95</f>
        <v>1ХВС::1.1</v>
      </c>
      <c r="AB99" s="29" t="str">
        <f>AB98&amp;".1"</f>
        <v>1.1</v>
      </c>
      <c r="AC99" s="80" t="s">
        <v>116</v>
      </c>
      <c r="AD99" s="51"/>
      <c r="AE99" s="81" t="e">
        <f>(1-AE101)*(1+AE102)*(1+AE103)*AE107</f>
        <v>#REF!</v>
      </c>
      <c r="AF99" s="82" t="e">
        <f>(1-AF101)*(1+AF102)*(1+AF103)*AF107</f>
        <v>#REF!</v>
      </c>
      <c r="AG99" s="82" t="e">
        <f>(1-AG101)*(1+AG102)*(1+AG103)*AG107</f>
        <v>#REF!</v>
      </c>
      <c r="AH99" s="83"/>
      <c r="AI99" s="44"/>
      <c r="AJ99" s="41"/>
      <c r="AK99" s="41"/>
      <c r="AL99" s="43"/>
      <c r="AM99" s="40"/>
      <c r="AN99" s="41"/>
      <c r="AO99" s="41"/>
      <c r="AP99" s="42"/>
      <c r="AQ99" s="44"/>
      <c r="AR99" s="41"/>
      <c r="AS99" s="41"/>
      <c r="AT99" s="43"/>
      <c r="AU99" s="40"/>
      <c r="AV99" s="41"/>
      <c r="AW99" s="41"/>
      <c r="AX99" s="43"/>
      <c r="AY99" s="40"/>
      <c r="AZ99" s="41"/>
      <c r="BA99" s="41"/>
      <c r="BB99" s="43"/>
      <c r="BC99" s="40"/>
      <c r="BD99" s="41"/>
      <c r="BE99" s="41"/>
      <c r="BF99" s="43"/>
      <c r="BG99" s="40"/>
      <c r="BH99" s="41"/>
      <c r="BI99" s="41"/>
      <c r="BJ99" s="43"/>
      <c r="BK99" s="40"/>
      <c r="BL99" s="41"/>
      <c r="BM99" s="41"/>
      <c r="BN99" s="43"/>
      <c r="BO99" s="40"/>
      <c r="BP99" s="41"/>
      <c r="BQ99" s="41"/>
      <c r="BR99" s="42"/>
      <c r="BS99" s="40"/>
      <c r="BT99" s="41"/>
      <c r="BU99" s="41"/>
      <c r="BV99" s="42"/>
      <c r="BY99" s="45"/>
      <c r="BZ99" s="46"/>
      <c r="CA99" s="47"/>
      <c r="CB99" s="398"/>
    </row>
    <row r="100" spans="1:81" ht="14.25" hidden="1" customHeight="1" outlineLevel="2" x14ac:dyDescent="0.25">
      <c r="A100" s="10" t="b">
        <f t="array" ref="A100">A99</f>
        <v>1</v>
      </c>
      <c r="C100" s="84" t="s">
        <v>113</v>
      </c>
      <c r="D100" s="84" t="s">
        <v>114</v>
      </c>
      <c r="E100" s="85" t="str">
        <f t="array" ref="E100">AC100</f>
        <v>Коэффициент роста ОР к значению прошлого года</v>
      </c>
      <c r="F100" s="84" t="s">
        <v>74</v>
      </c>
      <c r="G100" s="84" t="s">
        <v>73</v>
      </c>
      <c r="H100" s="84" t="s">
        <v>73</v>
      </c>
      <c r="I100" s="84" t="s">
        <v>73</v>
      </c>
      <c r="J100" s="85"/>
      <c r="K100" s="86" t="s">
        <v>73</v>
      </c>
      <c r="L100" s="84" t="s">
        <v>115</v>
      </c>
      <c r="M100" s="5" t="str">
        <f t="array" ref="M100">Y95</f>
        <v>1ХВС::1.1</v>
      </c>
      <c r="AB100" s="29" t="str">
        <f>AB98&amp;".1*"</f>
        <v>1.1*</v>
      </c>
      <c r="AC100" s="80" t="s">
        <v>117</v>
      </c>
      <c r="AD100" s="51"/>
      <c r="AE100" s="81" t="e">
        <f>IF(#REF!=0,0,AE143/#REF!)</f>
        <v>#REF!</v>
      </c>
      <c r="AF100" s="82" t="e">
        <f>IF(#REF!=0,0,AF143/#REF!)</f>
        <v>#REF!</v>
      </c>
      <c r="AG100" s="82">
        <f>IF('ИТОГ (Утв. 2026-верно'!AF143=0,0,'ИТОГ (Утв. 2026-верно'!AG143/'ИТОГ (Утв. 2026-верно'!AF143)</f>
        <v>1.3647582306942736</v>
      </c>
      <c r="AH100" s="83"/>
      <c r="AI100" s="44"/>
      <c r="AJ100" s="41"/>
      <c r="AK100" s="41"/>
      <c r="AL100" s="43"/>
      <c r="AM100" s="40"/>
      <c r="AN100" s="41"/>
      <c r="AO100" s="41"/>
      <c r="AP100" s="42"/>
      <c r="AQ100" s="44"/>
      <c r="AR100" s="41"/>
      <c r="AS100" s="41"/>
      <c r="AT100" s="43"/>
      <c r="AU100" s="40"/>
      <c r="AV100" s="41"/>
      <c r="AW100" s="41"/>
      <c r="AX100" s="43"/>
      <c r="AY100" s="40"/>
      <c r="AZ100" s="41"/>
      <c r="BA100" s="41"/>
      <c r="BB100" s="43"/>
      <c r="BC100" s="40"/>
      <c r="BD100" s="41"/>
      <c r="BE100" s="41"/>
      <c r="BF100" s="43"/>
      <c r="BG100" s="40"/>
      <c r="BH100" s="41"/>
      <c r="BI100" s="41"/>
      <c r="BJ100" s="43"/>
      <c r="BK100" s="40"/>
      <c r="BL100" s="41"/>
      <c r="BM100" s="41"/>
      <c r="BN100" s="43"/>
      <c r="BO100" s="40"/>
      <c r="BP100" s="41"/>
      <c r="BQ100" s="41"/>
      <c r="BR100" s="42"/>
      <c r="BS100" s="40"/>
      <c r="BT100" s="41"/>
      <c r="BU100" s="41"/>
      <c r="BV100" s="42"/>
      <c r="BY100" s="45"/>
      <c r="BZ100" s="46"/>
      <c r="CA100" s="47"/>
      <c r="CB100" s="398"/>
    </row>
    <row r="101" spans="1:81" ht="14.25" hidden="1" customHeight="1" outlineLevel="3" x14ac:dyDescent="0.25">
      <c r="A101" s="10" t="b">
        <f t="array" ref="A101">A99</f>
        <v>1</v>
      </c>
      <c r="C101" s="10" t="s">
        <v>113</v>
      </c>
      <c r="D101" s="10" t="s">
        <v>114</v>
      </c>
      <c r="E101" s="10" t="s">
        <v>118</v>
      </c>
      <c r="F101" s="11" t="s">
        <v>74</v>
      </c>
      <c r="G101" s="10" t="s">
        <v>73</v>
      </c>
      <c r="H101" s="10" t="s">
        <v>73</v>
      </c>
      <c r="I101" s="10" t="s">
        <v>73</v>
      </c>
      <c r="K101" s="12" t="s">
        <v>73</v>
      </c>
      <c r="L101" s="10" t="s">
        <v>115</v>
      </c>
      <c r="M101" s="5" t="str">
        <f t="array" ref="M101">Y95</f>
        <v>1ХВС::1.1</v>
      </c>
      <c r="AB101" s="29" t="str">
        <f>AB99&amp;".1"</f>
        <v>1.1.1</v>
      </c>
      <c r="AC101" s="87" t="s">
        <v>118</v>
      </c>
      <c r="AD101" s="51" t="s">
        <v>119</v>
      </c>
      <c r="AE101" s="88" t="e">
        <f t="array" ref="AE101">#REF!</f>
        <v>#REF!</v>
      </c>
      <c r="AF101" s="89">
        <v>0.01</v>
      </c>
      <c r="AG101" s="89" t="e">
        <f t="array" ref="AG101">'ИТОГ (Утв. 2026-верно'!#REF!</f>
        <v>#REF!</v>
      </c>
      <c r="AH101" s="90"/>
      <c r="AI101" s="44"/>
      <c r="AJ101" s="41"/>
      <c r="AK101" s="41"/>
      <c r="AL101" s="43"/>
      <c r="AM101" s="40"/>
      <c r="AN101" s="41"/>
      <c r="AO101" s="41"/>
      <c r="AP101" s="42"/>
      <c r="AQ101" s="44"/>
      <c r="AR101" s="41"/>
      <c r="AS101" s="41"/>
      <c r="AT101" s="43"/>
      <c r="AU101" s="40"/>
      <c r="AV101" s="41"/>
      <c r="AW101" s="41"/>
      <c r="AX101" s="43"/>
      <c r="AY101" s="40"/>
      <c r="AZ101" s="41"/>
      <c r="BA101" s="41"/>
      <c r="BB101" s="43"/>
      <c r="BC101" s="40"/>
      <c r="BD101" s="41"/>
      <c r="BE101" s="41"/>
      <c r="BF101" s="43"/>
      <c r="BG101" s="40"/>
      <c r="BH101" s="41"/>
      <c r="BI101" s="41"/>
      <c r="BJ101" s="43"/>
      <c r="BK101" s="40"/>
      <c r="BL101" s="41"/>
      <c r="BM101" s="41"/>
      <c r="BN101" s="43"/>
      <c r="BO101" s="40"/>
      <c r="BP101" s="41"/>
      <c r="BQ101" s="41"/>
      <c r="BR101" s="42"/>
      <c r="BS101" s="40"/>
      <c r="BT101" s="41"/>
      <c r="BU101" s="41"/>
      <c r="BV101" s="42"/>
      <c r="BY101" s="45"/>
      <c r="BZ101" s="46"/>
      <c r="CA101" s="47"/>
      <c r="CB101" s="398"/>
    </row>
    <row r="102" spans="1:81" ht="14.25" hidden="1" customHeight="1" outlineLevel="3" x14ac:dyDescent="0.25">
      <c r="A102" s="10" t="b">
        <f t="array" ref="A102">A101</f>
        <v>1</v>
      </c>
      <c r="C102" s="10" t="s">
        <v>113</v>
      </c>
      <c r="D102" s="10" t="s">
        <v>114</v>
      </c>
      <c r="E102" s="10" t="s">
        <v>120</v>
      </c>
      <c r="F102" s="11" t="s">
        <v>74</v>
      </c>
      <c r="G102" s="10" t="s">
        <v>73</v>
      </c>
      <c r="H102" s="10" t="s">
        <v>73</v>
      </c>
      <c r="I102" s="10" t="s">
        <v>73</v>
      </c>
      <c r="K102" s="12" t="s">
        <v>73</v>
      </c>
      <c r="L102" s="10" t="s">
        <v>115</v>
      </c>
      <c r="M102" s="5" t="str">
        <f t="array" ref="M102">Y95</f>
        <v>1ХВС::1.1</v>
      </c>
      <c r="AB102" s="29" t="str">
        <f>AB99&amp;".2"</f>
        <v>1.1.2</v>
      </c>
      <c r="AC102" s="87" t="s">
        <v>121</v>
      </c>
      <c r="AD102" s="51"/>
      <c r="AE102" s="53">
        <f>[1]Индексы!AH93-1</f>
        <v>5.8000000000000052E-2</v>
      </c>
      <c r="AF102" s="54">
        <f>[1]Индексы!AI93-1</f>
        <v>4.2000000000000037E-2</v>
      </c>
      <c r="AG102" s="54">
        <f>[1]Индексы!AK93-1</f>
        <v>4.2000000000000037E-2</v>
      </c>
      <c r="AH102" s="55"/>
      <c r="AI102" s="44"/>
      <c r="AJ102" s="41"/>
      <c r="AK102" s="41"/>
      <c r="AL102" s="43"/>
      <c r="AM102" s="40"/>
      <c r="AN102" s="41"/>
      <c r="AO102" s="41"/>
      <c r="AP102" s="42"/>
      <c r="AQ102" s="44"/>
      <c r="AR102" s="41"/>
      <c r="AS102" s="41"/>
      <c r="AT102" s="43"/>
      <c r="AU102" s="40"/>
      <c r="AV102" s="41"/>
      <c r="AW102" s="41"/>
      <c r="AX102" s="43"/>
      <c r="AY102" s="40"/>
      <c r="AZ102" s="41"/>
      <c r="BA102" s="41"/>
      <c r="BB102" s="43"/>
      <c r="BC102" s="40"/>
      <c r="BD102" s="41"/>
      <c r="BE102" s="41"/>
      <c r="BF102" s="43"/>
      <c r="BG102" s="40"/>
      <c r="BH102" s="41"/>
      <c r="BI102" s="41"/>
      <c r="BJ102" s="43"/>
      <c r="BK102" s="40"/>
      <c r="BL102" s="41"/>
      <c r="BM102" s="41"/>
      <c r="BN102" s="43"/>
      <c r="BO102" s="40"/>
      <c r="BP102" s="41"/>
      <c r="BQ102" s="41"/>
      <c r="BR102" s="42"/>
      <c r="BS102" s="40"/>
      <c r="BT102" s="41"/>
      <c r="BU102" s="41"/>
      <c r="BV102" s="42"/>
      <c r="BY102" s="45"/>
      <c r="BZ102" s="46"/>
      <c r="CA102" s="47"/>
      <c r="CB102" s="398"/>
    </row>
    <row r="103" spans="1:81" ht="14.25" hidden="1" customHeight="1" outlineLevel="3" x14ac:dyDescent="0.25">
      <c r="A103" s="10" t="b">
        <f t="array" ref="A103">A102</f>
        <v>1</v>
      </c>
      <c r="C103" s="10" t="s">
        <v>113</v>
      </c>
      <c r="D103" s="10" t="s">
        <v>114</v>
      </c>
      <c r="E103" s="10" t="s">
        <v>122</v>
      </c>
      <c r="F103" s="11" t="s">
        <v>74</v>
      </c>
      <c r="G103" s="10" t="s">
        <v>73</v>
      </c>
      <c r="H103" s="10" t="s">
        <v>73</v>
      </c>
      <c r="I103" s="10" t="s">
        <v>73</v>
      </c>
      <c r="K103" s="12" t="s">
        <v>73</v>
      </c>
      <c r="L103" s="10" t="s">
        <v>115</v>
      </c>
      <c r="M103" s="5" t="str">
        <f t="array" ref="M103">Y95</f>
        <v>1ХВС::1.1</v>
      </c>
      <c r="AB103" s="29" t="str">
        <f>AB99&amp;".3"</f>
        <v>1.1.3</v>
      </c>
      <c r="AC103" s="87" t="s">
        <v>123</v>
      </c>
      <c r="AD103" s="51"/>
      <c r="AE103" s="66" t="e">
        <f>IF((#REF!*(1-AE101)*(1+AE102))=0,0,0.75*$AE$106*AE104+(AE105/(#REF!*(1-AE101)*(1+AE102))))</f>
        <v>#REF!</v>
      </c>
      <c r="AF103" s="91"/>
      <c r="AG103" s="67" t="e">
        <f>IF((AF143*(1-AG101)*(1+AG102))=0,0,0.75*$AE$106*AG104+(AG105/(AF143*(1-AG101)*(1+AG102))))</f>
        <v>#REF!</v>
      </c>
      <c r="AH103" s="68"/>
      <c r="AI103" s="44"/>
      <c r="AJ103" s="41"/>
      <c r="AK103" s="41"/>
      <c r="AL103" s="43"/>
      <c r="AM103" s="40"/>
      <c r="AN103" s="41"/>
      <c r="AO103" s="41"/>
      <c r="AP103" s="42"/>
      <c r="AQ103" s="44"/>
      <c r="AR103" s="41"/>
      <c r="AS103" s="41"/>
      <c r="AT103" s="43"/>
      <c r="AU103" s="40"/>
      <c r="AV103" s="41"/>
      <c r="AW103" s="41"/>
      <c r="AX103" s="43"/>
      <c r="AY103" s="40"/>
      <c r="AZ103" s="41"/>
      <c r="BA103" s="41"/>
      <c r="BB103" s="43"/>
      <c r="BC103" s="40"/>
      <c r="BD103" s="41"/>
      <c r="BE103" s="41"/>
      <c r="BF103" s="43"/>
      <c r="BG103" s="40"/>
      <c r="BH103" s="41"/>
      <c r="BI103" s="41"/>
      <c r="BJ103" s="43"/>
      <c r="BK103" s="40"/>
      <c r="BL103" s="41"/>
      <c r="BM103" s="41"/>
      <c r="BN103" s="43"/>
      <c r="BO103" s="40"/>
      <c r="BP103" s="41"/>
      <c r="BQ103" s="41"/>
      <c r="BR103" s="42"/>
      <c r="BS103" s="40"/>
      <c r="BT103" s="41"/>
      <c r="BU103" s="41"/>
      <c r="BV103" s="42"/>
      <c r="BY103" s="45"/>
      <c r="BZ103" s="46"/>
      <c r="CA103" s="47"/>
      <c r="CB103" s="398"/>
    </row>
    <row r="104" spans="1:81" ht="14.25" hidden="1" customHeight="1" outlineLevel="4" x14ac:dyDescent="0.25">
      <c r="A104" s="10" t="b">
        <f t="array" ref="A104">A103</f>
        <v>1</v>
      </c>
      <c r="C104" s="10" t="s">
        <v>113</v>
      </c>
      <c r="D104" s="10" t="s">
        <v>114</v>
      </c>
      <c r="E104" s="10" t="s">
        <v>124</v>
      </c>
      <c r="F104" s="11" t="s">
        <v>74</v>
      </c>
      <c r="G104" s="10" t="s">
        <v>73</v>
      </c>
      <c r="H104" s="10" t="s">
        <v>73</v>
      </c>
      <c r="I104" s="10" t="s">
        <v>73</v>
      </c>
      <c r="K104" s="12" t="s">
        <v>73</v>
      </c>
      <c r="L104" s="10" t="s">
        <v>115</v>
      </c>
      <c r="M104" s="5" t="str">
        <f t="array" ref="M104">Y95</f>
        <v>1ХВС::1.1</v>
      </c>
      <c r="AB104" s="29" t="str">
        <f>AB103&amp;".1"</f>
        <v>1.1.3.1</v>
      </c>
      <c r="AC104" s="92" t="s">
        <v>125</v>
      </c>
      <c r="AD104" s="51" t="s">
        <v>119</v>
      </c>
      <c r="AE104" s="88">
        <f t="array" ref="AE104">'[1]Условные метры'!AU92</f>
        <v>0</v>
      </c>
      <c r="AF104" s="93"/>
      <c r="AG104" s="755">
        <f>1*'[1]Условные метры'!BE92</f>
        <v>0</v>
      </c>
      <c r="AH104" s="94"/>
      <c r="AI104" s="44"/>
      <c r="AJ104" s="41"/>
      <c r="AK104" s="41"/>
      <c r="AL104" s="43"/>
      <c r="AM104" s="40"/>
      <c r="AN104" s="41"/>
      <c r="AO104" s="41"/>
      <c r="AP104" s="42"/>
      <c r="AQ104" s="44"/>
      <c r="AR104" s="41"/>
      <c r="AS104" s="41"/>
      <c r="AT104" s="43"/>
      <c r="AU104" s="40"/>
      <c r="AV104" s="41"/>
      <c r="AW104" s="41"/>
      <c r="AX104" s="43"/>
      <c r="AY104" s="40"/>
      <c r="AZ104" s="41"/>
      <c r="BA104" s="41"/>
      <c r="BB104" s="43"/>
      <c r="BC104" s="40"/>
      <c r="BD104" s="41"/>
      <c r="BE104" s="41"/>
      <c r="BF104" s="43"/>
      <c r="BG104" s="40"/>
      <c r="BH104" s="41"/>
      <c r="BI104" s="41"/>
      <c r="BJ104" s="43"/>
      <c r="BK104" s="40"/>
      <c r="BL104" s="41"/>
      <c r="BM104" s="41"/>
      <c r="BN104" s="43"/>
      <c r="BO104" s="40"/>
      <c r="BP104" s="41"/>
      <c r="BQ104" s="41"/>
      <c r="BR104" s="42"/>
      <c r="BS104" s="40"/>
      <c r="BT104" s="41"/>
      <c r="BU104" s="41"/>
      <c r="BV104" s="42"/>
      <c r="BY104" s="45"/>
      <c r="BZ104" s="46"/>
      <c r="CA104" s="47"/>
      <c r="CB104" s="398"/>
    </row>
    <row r="105" spans="1:81" ht="39" hidden="1" customHeight="1" outlineLevel="4" x14ac:dyDescent="0.25">
      <c r="A105" s="10" t="b">
        <f t="array" ref="A105">A104</f>
        <v>1</v>
      </c>
      <c r="C105" s="10" t="s">
        <v>126</v>
      </c>
      <c r="D105" s="10" t="s">
        <v>127</v>
      </c>
      <c r="E105" s="10" t="s">
        <v>73</v>
      </c>
      <c r="F105" s="11" t="s">
        <v>74</v>
      </c>
      <c r="G105" s="10" t="s">
        <v>73</v>
      </c>
      <c r="H105" s="10" t="s">
        <v>73</v>
      </c>
      <c r="I105" s="10" t="s">
        <v>73</v>
      </c>
      <c r="K105" s="12" t="s">
        <v>73</v>
      </c>
      <c r="L105" s="10" t="s">
        <v>115</v>
      </c>
      <c r="M105" s="5" t="str">
        <f t="array" ref="M105">Y95</f>
        <v>1ХВС::1.1</v>
      </c>
      <c r="AB105" s="29" t="str">
        <f>AB103&amp;".2"</f>
        <v>1.1.3.2</v>
      </c>
      <c r="AC105" s="92" t="s">
        <v>128</v>
      </c>
      <c r="AD105" s="51" t="s">
        <v>111</v>
      </c>
      <c r="AE105" s="95"/>
      <c r="AF105" s="93"/>
      <c r="AG105" s="178"/>
      <c r="AH105" s="96"/>
      <c r="AI105" s="44"/>
      <c r="AJ105" s="41"/>
      <c r="AK105" s="41"/>
      <c r="AL105" s="43"/>
      <c r="AM105" s="40"/>
      <c r="AN105" s="41"/>
      <c r="AO105" s="41"/>
      <c r="AP105" s="42"/>
      <c r="AQ105" s="44"/>
      <c r="AR105" s="41"/>
      <c r="AS105" s="41"/>
      <c r="AT105" s="43"/>
      <c r="AU105" s="40"/>
      <c r="AV105" s="41"/>
      <c r="AW105" s="41"/>
      <c r="AX105" s="43"/>
      <c r="AY105" s="40"/>
      <c r="AZ105" s="41"/>
      <c r="BA105" s="41"/>
      <c r="BB105" s="43"/>
      <c r="BC105" s="40"/>
      <c r="BD105" s="41"/>
      <c r="BE105" s="41"/>
      <c r="BF105" s="43"/>
      <c r="BG105" s="40"/>
      <c r="BH105" s="41"/>
      <c r="BI105" s="41"/>
      <c r="BJ105" s="43"/>
      <c r="BK105" s="40"/>
      <c r="BL105" s="41"/>
      <c r="BM105" s="41"/>
      <c r="BN105" s="43"/>
      <c r="BO105" s="40"/>
      <c r="BP105" s="41"/>
      <c r="BQ105" s="41"/>
      <c r="BR105" s="42"/>
      <c r="BS105" s="40"/>
      <c r="BT105" s="41"/>
      <c r="BU105" s="41"/>
      <c r="BV105" s="42"/>
      <c r="BY105" s="45"/>
      <c r="BZ105" s="46"/>
      <c r="CA105" s="47"/>
      <c r="CB105" s="398"/>
    </row>
    <row r="106" spans="1:81" ht="14.25" hidden="1" customHeight="1" outlineLevel="4" x14ac:dyDescent="0.25">
      <c r="A106" s="10" t="b">
        <f t="array" ref="A106">A105</f>
        <v>1</v>
      </c>
      <c r="C106" s="10" t="s">
        <v>129</v>
      </c>
      <c r="D106" s="10" t="s">
        <v>130</v>
      </c>
      <c r="E106" s="10" t="s">
        <v>73</v>
      </c>
      <c r="F106" s="11" t="s">
        <v>74</v>
      </c>
      <c r="G106" s="10" t="s">
        <v>73</v>
      </c>
      <c r="H106" s="10" t="s">
        <v>73</v>
      </c>
      <c r="I106" s="10" t="s">
        <v>73</v>
      </c>
      <c r="K106" s="12" t="s">
        <v>73</v>
      </c>
      <c r="L106" s="10" t="s">
        <v>115</v>
      </c>
      <c r="M106" s="5" t="str">
        <f t="array" ref="M106">Y95</f>
        <v>1ХВС::1.1</v>
      </c>
      <c r="AB106" s="29" t="str">
        <f>AB103&amp;".3"</f>
        <v>1.1.3.3</v>
      </c>
      <c r="AC106" s="92" t="s">
        <v>131</v>
      </c>
      <c r="AD106" s="51"/>
      <c r="AE106" s="97"/>
      <c r="AF106" s="93"/>
      <c r="AG106" s="93"/>
      <c r="AH106" s="98"/>
      <c r="AI106" s="44"/>
      <c r="AJ106" s="41"/>
      <c r="AK106" s="41"/>
      <c r="AL106" s="43"/>
      <c r="AM106" s="40"/>
      <c r="AN106" s="41"/>
      <c r="AO106" s="41"/>
      <c r="AP106" s="42"/>
      <c r="AQ106" s="44"/>
      <c r="AR106" s="41"/>
      <c r="AS106" s="41"/>
      <c r="AT106" s="43"/>
      <c r="AU106" s="40"/>
      <c r="AV106" s="41"/>
      <c r="AW106" s="41"/>
      <c r="AX106" s="43"/>
      <c r="AY106" s="40"/>
      <c r="AZ106" s="41"/>
      <c r="BA106" s="41"/>
      <c r="BB106" s="43"/>
      <c r="BC106" s="40"/>
      <c r="BD106" s="41"/>
      <c r="BE106" s="41"/>
      <c r="BF106" s="43"/>
      <c r="BG106" s="40"/>
      <c r="BH106" s="41"/>
      <c r="BI106" s="41"/>
      <c r="BJ106" s="43"/>
      <c r="BK106" s="40"/>
      <c r="BL106" s="41"/>
      <c r="BM106" s="41"/>
      <c r="BN106" s="43"/>
      <c r="BO106" s="40"/>
      <c r="BP106" s="41"/>
      <c r="BQ106" s="41"/>
      <c r="BR106" s="42"/>
      <c r="BS106" s="40"/>
      <c r="BT106" s="41"/>
      <c r="BU106" s="41"/>
      <c r="BV106" s="42"/>
      <c r="BY106" s="45"/>
      <c r="BZ106" s="46"/>
      <c r="CA106" s="47"/>
      <c r="CB106" s="398"/>
    </row>
    <row r="107" spans="1:81" ht="14.25" hidden="1" customHeight="1" outlineLevel="3" x14ac:dyDescent="0.25">
      <c r="A107" s="10" t="b">
        <f t="array" ref="A107">A106</f>
        <v>1</v>
      </c>
      <c r="C107" s="10" t="s">
        <v>113</v>
      </c>
      <c r="D107" s="10" t="s">
        <v>114</v>
      </c>
      <c r="E107" s="10" t="s">
        <v>132</v>
      </c>
      <c r="F107" s="11" t="s">
        <v>74</v>
      </c>
      <c r="G107" s="10" t="s">
        <v>73</v>
      </c>
      <c r="H107" s="10" t="s">
        <v>73</v>
      </c>
      <c r="I107" s="10" t="s">
        <v>73</v>
      </c>
      <c r="K107" s="12" t="s">
        <v>73</v>
      </c>
      <c r="L107" s="10" t="s">
        <v>133</v>
      </c>
      <c r="M107" s="5" t="str">
        <f t="array" ref="M107">Y95</f>
        <v>1ХВС::1.1</v>
      </c>
      <c r="AB107" s="29" t="str">
        <f>AB99&amp;".4"</f>
        <v>1.1.4</v>
      </c>
      <c r="AC107" s="87" t="s">
        <v>132</v>
      </c>
      <c r="AD107" s="51"/>
      <c r="AE107" s="66" t="e">
        <f t="array" ref="AE107">#REF!</f>
        <v>#REF!</v>
      </c>
      <c r="AF107" s="67" t="e">
        <f>IF(#REF!=0,0,AF78/#REF!)</f>
        <v>#REF!</v>
      </c>
      <c r="AG107" s="67">
        <f>IF(AF78=0,0,AG78/AF78)</f>
        <v>1</v>
      </c>
      <c r="AH107" s="68"/>
      <c r="AI107" s="44"/>
      <c r="AJ107" s="41"/>
      <c r="AK107" s="41"/>
      <c r="AL107" s="43"/>
      <c r="AM107" s="40"/>
      <c r="AN107" s="41"/>
      <c r="AO107" s="41"/>
      <c r="AP107" s="42"/>
      <c r="AQ107" s="44"/>
      <c r="AR107" s="41"/>
      <c r="AS107" s="41"/>
      <c r="AT107" s="43"/>
      <c r="AU107" s="40"/>
      <c r="AV107" s="41"/>
      <c r="AW107" s="41"/>
      <c r="AX107" s="43"/>
      <c r="AY107" s="40"/>
      <c r="AZ107" s="41"/>
      <c r="BA107" s="41"/>
      <c r="BB107" s="43"/>
      <c r="BC107" s="40"/>
      <c r="BD107" s="41"/>
      <c r="BE107" s="41"/>
      <c r="BF107" s="43"/>
      <c r="BG107" s="40"/>
      <c r="BH107" s="41"/>
      <c r="BI107" s="41"/>
      <c r="BJ107" s="43"/>
      <c r="BK107" s="40"/>
      <c r="BL107" s="41"/>
      <c r="BM107" s="41"/>
      <c r="BN107" s="43"/>
      <c r="BO107" s="40"/>
      <c r="BP107" s="41"/>
      <c r="BQ107" s="41"/>
      <c r="BR107" s="42"/>
      <c r="BS107" s="40"/>
      <c r="BT107" s="41"/>
      <c r="BU107" s="41"/>
      <c r="BV107" s="42"/>
      <c r="BY107" s="45"/>
      <c r="BZ107" s="46"/>
      <c r="CA107" s="47"/>
      <c r="CB107" s="398"/>
    </row>
    <row r="108" spans="1:81" ht="9.75" hidden="1" customHeight="1" outlineLevel="2" thickBot="1" x14ac:dyDescent="0.3">
      <c r="A108" s="10" t="b">
        <f t="array" ref="A108">A107</f>
        <v>1</v>
      </c>
      <c r="C108" s="10" t="s">
        <v>113</v>
      </c>
      <c r="D108" s="10" t="s">
        <v>114</v>
      </c>
      <c r="E108" s="10" t="s">
        <v>134</v>
      </c>
      <c r="F108" s="11" t="s">
        <v>74</v>
      </c>
      <c r="G108" s="10" t="s">
        <v>73</v>
      </c>
      <c r="H108" s="10" t="s">
        <v>73</v>
      </c>
      <c r="I108" s="10" t="s">
        <v>73</v>
      </c>
      <c r="K108" s="12" t="s">
        <v>73</v>
      </c>
      <c r="L108" s="10" t="s">
        <v>135</v>
      </c>
      <c r="M108" s="5" t="str">
        <f t="array" ref="M108">Y95</f>
        <v>1ХВС::1.1</v>
      </c>
      <c r="AB108" s="29" t="str">
        <f>AB98&amp;".2"</f>
        <v>1.2</v>
      </c>
      <c r="AC108" s="80" t="s">
        <v>134</v>
      </c>
      <c r="AD108" s="51"/>
      <c r="AE108" s="53">
        <f>[1]Индексы!AH95-1</f>
        <v>9.000000000000008E-2</v>
      </c>
      <c r="AF108" s="54">
        <f>[1]Индексы!AI95-1</f>
        <v>6.0000000000000053E-2</v>
      </c>
      <c r="AG108" s="54">
        <f>[1]Индексы!AK95-1</f>
        <v>6.0000000000000053E-2</v>
      </c>
      <c r="AH108" s="55"/>
      <c r="AI108" s="44"/>
      <c r="AJ108" s="41"/>
      <c r="AK108" s="41"/>
      <c r="AL108" s="43"/>
      <c r="AM108" s="40"/>
      <c r="AN108" s="41"/>
      <c r="AO108" s="41"/>
      <c r="AP108" s="42"/>
      <c r="AQ108" s="44"/>
      <c r="AR108" s="41"/>
      <c r="AS108" s="41"/>
      <c r="AT108" s="43"/>
      <c r="AU108" s="40"/>
      <c r="AV108" s="41"/>
      <c r="AW108" s="41"/>
      <c r="AX108" s="43"/>
      <c r="AY108" s="40"/>
      <c r="AZ108" s="41"/>
      <c r="BA108" s="41"/>
      <c r="BB108" s="43"/>
      <c r="BC108" s="40"/>
      <c r="BD108" s="41"/>
      <c r="BE108" s="41"/>
      <c r="BF108" s="43"/>
      <c r="BG108" s="40"/>
      <c r="BH108" s="41"/>
      <c r="BI108" s="41"/>
      <c r="BJ108" s="43"/>
      <c r="BK108" s="40"/>
      <c r="BL108" s="41"/>
      <c r="BM108" s="41"/>
      <c r="BN108" s="43"/>
      <c r="BO108" s="40"/>
      <c r="BP108" s="41"/>
      <c r="BQ108" s="41"/>
      <c r="BR108" s="42"/>
      <c r="BS108" s="40"/>
      <c r="BT108" s="41"/>
      <c r="BU108" s="41"/>
      <c r="BV108" s="42"/>
      <c r="BY108" s="718"/>
      <c r="BZ108" s="719"/>
      <c r="CA108" s="720"/>
      <c r="CB108" s="398"/>
    </row>
    <row r="109" spans="1:81" s="115" customFormat="1" ht="19.899999999999999" customHeight="1" collapsed="1" x14ac:dyDescent="0.25">
      <c r="A109" s="99" t="b">
        <f>$U95="Водоснабжение"</f>
        <v>1</v>
      </c>
      <c r="B109" s="100"/>
      <c r="C109" s="100" t="s">
        <v>75</v>
      </c>
      <c r="D109" s="99" t="s">
        <v>76</v>
      </c>
      <c r="E109" s="100"/>
      <c r="F109" s="101" t="s">
        <v>74</v>
      </c>
      <c r="G109" s="99" t="s">
        <v>73</v>
      </c>
      <c r="H109" s="99" t="s">
        <v>73</v>
      </c>
      <c r="I109" s="99" t="s">
        <v>73</v>
      </c>
      <c r="J109" s="100"/>
      <c r="K109" s="102" t="s">
        <v>73</v>
      </c>
      <c r="L109" s="100"/>
      <c r="M109" s="100" t="str">
        <f t="array" ref="M109">Y95</f>
        <v>1ХВС::1.1</v>
      </c>
      <c r="N109" s="100"/>
      <c r="O109" s="100"/>
      <c r="P109" s="100"/>
      <c r="Q109" s="100"/>
      <c r="R109" s="100"/>
      <c r="S109" s="100"/>
      <c r="T109" s="100"/>
      <c r="U109" s="100"/>
      <c r="V109" s="100"/>
      <c r="W109" s="100"/>
      <c r="X109" s="100"/>
      <c r="Y109" s="100"/>
      <c r="Z109" s="100"/>
      <c r="AA109" s="100"/>
      <c r="AB109" s="103">
        <f>AB98+1</f>
        <v>2</v>
      </c>
      <c r="AC109" s="104" t="s">
        <v>136</v>
      </c>
      <c r="AD109" s="105" t="s">
        <v>137</v>
      </c>
      <c r="AE109" s="106">
        <f>AE119</f>
        <v>38698.873999999996</v>
      </c>
      <c r="AF109" s="107">
        <f t="array" ref="AF109">AF119</f>
        <v>39968.152999999998</v>
      </c>
      <c r="AG109" s="107">
        <f t="array" ref="AG109">AG119</f>
        <v>39196.345999999998</v>
      </c>
      <c r="AH109" s="108">
        <f t="array" ref="AH109">AH119</f>
        <v>40741.613000000005</v>
      </c>
      <c r="AI109" s="110">
        <v>43.671999999999997</v>
      </c>
      <c r="AJ109" s="107">
        <f t="array" ref="AJ109">AJ119</f>
        <v>146.62</v>
      </c>
      <c r="AK109" s="107">
        <v>48.451999999999998</v>
      </c>
      <c r="AL109" s="109">
        <f>AL112</f>
        <v>162.69200000000001</v>
      </c>
      <c r="AM109" s="106">
        <f>AM119</f>
        <v>963.97199999999998</v>
      </c>
      <c r="AN109" s="107">
        <f t="array" ref="AN109">AN119</f>
        <v>1256.9399999999998</v>
      </c>
      <c r="AO109" s="107">
        <f t="array" ref="AO109">AO119</f>
        <v>1181.3140000000001</v>
      </c>
      <c r="AP109" s="108">
        <f t="array" ref="AP109">AP119</f>
        <v>1133.7800000000002</v>
      </c>
      <c r="AQ109" s="110">
        <f>AQ119</f>
        <v>2074.3290000000002</v>
      </c>
      <c r="AR109" s="107">
        <f t="array" ref="AR109">AR119</f>
        <v>2015.32</v>
      </c>
      <c r="AS109" s="107">
        <f t="array" ref="AS109">AS119</f>
        <v>1989.98</v>
      </c>
      <c r="AT109" s="109">
        <f t="array" ref="AT109">AT119</f>
        <v>2156.98</v>
      </c>
      <c r="AU109" s="106">
        <f>AU119</f>
        <v>397.2</v>
      </c>
      <c r="AV109" s="107">
        <f t="array" ref="AV109">AV119</f>
        <v>451.38</v>
      </c>
      <c r="AW109" s="107">
        <f t="array" ref="AW109">AW119</f>
        <v>404.13</v>
      </c>
      <c r="AX109" s="109">
        <f t="array" ref="AX109">AX119</f>
        <v>436.24</v>
      </c>
      <c r="AY109" s="106">
        <f>AY119</f>
        <v>2405.29</v>
      </c>
      <c r="AZ109" s="107">
        <f t="array" ref="AZ109">AZ119</f>
        <v>3069.1800000000003</v>
      </c>
      <c r="BA109" s="107">
        <f>BA119</f>
        <v>2263</v>
      </c>
      <c r="BB109" s="109">
        <f>BB119</f>
        <v>3069.1800000000003</v>
      </c>
      <c r="BC109" s="106">
        <f>BC119</f>
        <v>690.21</v>
      </c>
      <c r="BD109" s="107">
        <f t="array" ref="BD109">BD119</f>
        <v>711.46</v>
      </c>
      <c r="BE109" s="107">
        <f t="array" ref="BE109">BE119</f>
        <v>698.69400000000007</v>
      </c>
      <c r="BF109" s="109">
        <f>BF119</f>
        <v>747.7059999999999</v>
      </c>
      <c r="BG109" s="106">
        <f>BG119</f>
        <v>3021.7509999999997</v>
      </c>
      <c r="BH109" s="107">
        <f t="array" ref="BH109">BH119</f>
        <v>3131.2299999999996</v>
      </c>
      <c r="BI109" s="107">
        <f t="array" ref="BI109">BI119</f>
        <v>3087.08</v>
      </c>
      <c r="BJ109" s="109">
        <f t="array" ref="BJ109">BJ119</f>
        <v>3131.2299999999996</v>
      </c>
      <c r="BK109" s="106">
        <f>BK119</f>
        <v>2860.13</v>
      </c>
      <c r="BL109" s="107">
        <f t="array" ref="BL109">BL119</f>
        <v>2622.1080000000002</v>
      </c>
      <c r="BM109" s="107">
        <f t="array" ref="BM109">BM119</f>
        <v>2901.5319999999997</v>
      </c>
      <c r="BN109" s="109">
        <f>BN119</f>
        <v>3337.67</v>
      </c>
      <c r="BO109" s="106">
        <f>BO119</f>
        <v>147.51999999999998</v>
      </c>
      <c r="BP109" s="107">
        <f t="array" ref="BP109">BP119</f>
        <v>176.34000000000003</v>
      </c>
      <c r="BQ109" s="107">
        <f t="array" ref="BQ109">BQ119</f>
        <v>149.10000000000002</v>
      </c>
      <c r="BR109" s="108">
        <f>BR119</f>
        <v>176.34000000000003</v>
      </c>
      <c r="BS109" s="106">
        <f>BS119</f>
        <v>288.71999999999997</v>
      </c>
      <c r="BT109" s="107">
        <f t="array" ref="BT109">BT119</f>
        <v>366.76</v>
      </c>
      <c r="BU109" s="107">
        <f t="array" ref="BU109">BU119</f>
        <v>291.03999999999996</v>
      </c>
      <c r="BV109" s="108">
        <f>BV119</f>
        <v>366.76</v>
      </c>
      <c r="BW109" s="111"/>
      <c r="BX109" s="100"/>
      <c r="BY109" s="756">
        <f t="shared" ref="BY109:BY151" si="1">AE109+AI109+AM109+AQ109+AU109+AY109+BC109+BG109+BK109+BO109+BS109</f>
        <v>51591.667999999983</v>
      </c>
      <c r="BZ109" s="757">
        <f t="shared" ref="BZ109:BZ151" si="2">AF109+AJ109+AN109+AR109+AV109+AZ109+BD109+BH109+BL109+BP109+BT109</f>
        <v>53915.490999999995</v>
      </c>
      <c r="CA109" s="757">
        <f t="shared" ref="CA109:CA151" si="3">AG109+AK109+AO109+AS109+AW109+BA109+BE109+BI109+BM109+BQ109+BU109</f>
        <v>52210.667999999998</v>
      </c>
      <c r="CB109" s="758">
        <f t="shared" ref="CB109:CB151" si="4">AH109+AL109+AP109+AT109+AX109+BB109+BF109+BJ109+BN109+BR109+BV109</f>
        <v>55460.190999999999</v>
      </c>
      <c r="CC109" s="759"/>
    </row>
    <row r="110" spans="1:81" ht="14.25" customHeight="1" outlineLevel="2" x14ac:dyDescent="0.25">
      <c r="A110" s="10" t="b">
        <f>AND(A109)</f>
        <v>1</v>
      </c>
      <c r="B110" s="5" t="b">
        <f>AND(OR(isFIRST_PERIOD="да",$AD$56="нет"),A109)</f>
        <v>1</v>
      </c>
      <c r="C110" s="69" t="s">
        <v>78</v>
      </c>
      <c r="D110" s="70" t="s">
        <v>79</v>
      </c>
      <c r="E110" s="70" t="s">
        <v>73</v>
      </c>
      <c r="F110" s="116" t="s">
        <v>74</v>
      </c>
      <c r="G110" s="70" t="s">
        <v>73</v>
      </c>
      <c r="H110" s="70" t="s">
        <v>73</v>
      </c>
      <c r="I110" s="70" t="s">
        <v>73</v>
      </c>
      <c r="J110" s="70" t="s">
        <v>73</v>
      </c>
      <c r="K110" s="70" t="s">
        <v>73</v>
      </c>
      <c r="L110" s="70"/>
      <c r="M110" s="5" t="str">
        <f t="array" ref="M110">Y95</f>
        <v>1ХВС::1.1</v>
      </c>
      <c r="N110" s="70"/>
      <c r="AB110" s="29" t="str">
        <f>AB109&amp;".I"</f>
        <v>2.I</v>
      </c>
      <c r="AC110" s="117" t="s">
        <v>138</v>
      </c>
      <c r="AD110" s="118" t="s">
        <v>137</v>
      </c>
      <c r="AE110" s="66">
        <v>19593.026999999998</v>
      </c>
      <c r="AF110" s="67">
        <v>19106.952000000001</v>
      </c>
      <c r="AG110" s="67">
        <v>19850.718000000001</v>
      </c>
      <c r="AH110" s="68">
        <v>19850.718000000001</v>
      </c>
      <c r="AI110" s="146">
        <v>72.802000000000007</v>
      </c>
      <c r="AJ110" s="67">
        <f>AJ109/2</f>
        <v>73.31</v>
      </c>
      <c r="AK110" s="67">
        <v>80.861999999999995</v>
      </c>
      <c r="AL110" s="119">
        <f>AL109/2</f>
        <v>81.346000000000004</v>
      </c>
      <c r="AM110" s="66">
        <v>517.48599999999999</v>
      </c>
      <c r="AN110" s="67">
        <v>514.5</v>
      </c>
      <c r="AO110" s="67">
        <v>626.15700000000004</v>
      </c>
      <c r="AP110" s="68">
        <f>AP112/12*9</f>
        <v>953.41500000000019</v>
      </c>
      <c r="AQ110" s="146">
        <v>1037.165</v>
      </c>
      <c r="AR110" s="67">
        <v>1007.66</v>
      </c>
      <c r="AS110" s="67">
        <v>994.99</v>
      </c>
      <c r="AT110" s="119">
        <f>AT112/12*9</f>
        <v>1772.64</v>
      </c>
      <c r="AU110" s="66">
        <v>198.6</v>
      </c>
      <c r="AV110" s="67">
        <v>225.65</v>
      </c>
      <c r="AW110" s="67">
        <v>202.065</v>
      </c>
      <c r="AX110" s="119">
        <f>AX112/12*9</f>
        <v>394.42499999999995</v>
      </c>
      <c r="AY110" s="66">
        <v>1202.645</v>
      </c>
      <c r="AZ110" s="67">
        <v>1534.59</v>
      </c>
      <c r="BA110" s="67">
        <v>1131.5</v>
      </c>
      <c r="BB110" s="119">
        <f>BB112/12*9</f>
        <v>2626.5225000000005</v>
      </c>
      <c r="BC110" s="66">
        <v>345.10500000000002</v>
      </c>
      <c r="BD110" s="67">
        <f>BD109/2</f>
        <v>355.73</v>
      </c>
      <c r="BE110" s="67">
        <v>349.34699999999998</v>
      </c>
      <c r="BF110" s="119">
        <v>566.11699999999996</v>
      </c>
      <c r="BG110" s="66">
        <f>BG109/2</f>
        <v>1510.8754999999999</v>
      </c>
      <c r="BH110" s="67">
        <f>BH109/2</f>
        <v>1565.6149999999998</v>
      </c>
      <c r="BI110" s="67">
        <f>BI109/2</f>
        <v>1543.54</v>
      </c>
      <c r="BJ110" s="67">
        <f>BJ109/2</f>
        <v>1565.6149999999998</v>
      </c>
      <c r="BK110" s="66">
        <v>1430.02</v>
      </c>
      <c r="BL110" s="67">
        <v>1311.0540000000001</v>
      </c>
      <c r="BM110" s="67">
        <v>1450.7660000000001</v>
      </c>
      <c r="BN110" s="119">
        <f>BN109/2</f>
        <v>1668.835</v>
      </c>
      <c r="BO110" s="123">
        <v>73.760000000000005</v>
      </c>
      <c r="BP110" s="121">
        <v>88.17</v>
      </c>
      <c r="BQ110" s="121">
        <v>74.55</v>
      </c>
      <c r="BR110" s="124">
        <v>88.17</v>
      </c>
      <c r="BS110" s="123">
        <v>144.36000000000001</v>
      </c>
      <c r="BT110" s="121">
        <v>183.38</v>
      </c>
      <c r="BU110" s="121">
        <v>145.52000000000001</v>
      </c>
      <c r="BV110" s="124">
        <v>208.315</v>
      </c>
      <c r="BY110" s="125">
        <f t="shared" si="1"/>
        <v>26125.845499999996</v>
      </c>
      <c r="BZ110" s="126">
        <f t="shared" si="2"/>
        <v>25966.611000000004</v>
      </c>
      <c r="CA110" s="126">
        <f t="shared" si="3"/>
        <v>26450.015000000003</v>
      </c>
      <c r="CB110" s="127">
        <f t="shared" si="4"/>
        <v>29776.118499999993</v>
      </c>
    </row>
    <row r="111" spans="1:81" ht="14.85" customHeight="1" outlineLevel="2" x14ac:dyDescent="0.25">
      <c r="A111" s="10" t="b">
        <f>AND(A109)</f>
        <v>1</v>
      </c>
      <c r="B111" s="5" t="b">
        <f>AND(OR(isFIRST_PERIOD="да",$AD$56="нет"),A109)</f>
        <v>1</v>
      </c>
      <c r="C111" s="69" t="s">
        <v>81</v>
      </c>
      <c r="D111" s="70" t="s">
        <v>82</v>
      </c>
      <c r="E111" s="70" t="s">
        <v>73</v>
      </c>
      <c r="F111" s="116" t="s">
        <v>74</v>
      </c>
      <c r="G111" s="70" t="s">
        <v>73</v>
      </c>
      <c r="H111" s="70" t="s">
        <v>73</v>
      </c>
      <c r="I111" s="70" t="s">
        <v>73</v>
      </c>
      <c r="J111" s="70" t="s">
        <v>73</v>
      </c>
      <c r="K111" s="70" t="s">
        <v>73</v>
      </c>
      <c r="L111" s="70"/>
      <c r="M111" s="5" t="str">
        <f t="array" ref="M111">Y95</f>
        <v>1ХВС::1.1</v>
      </c>
      <c r="N111" s="70"/>
      <c r="AB111" s="29" t="str">
        <f>AB109&amp;".II"</f>
        <v>2.II</v>
      </c>
      <c r="AC111" s="117" t="s">
        <v>139</v>
      </c>
      <c r="AD111" s="118" t="s">
        <v>137</v>
      </c>
      <c r="AE111" s="66">
        <v>19593.026999999998</v>
      </c>
      <c r="AF111" s="67">
        <v>20861.201000000001</v>
      </c>
      <c r="AG111" s="67">
        <v>19850.718000000001</v>
      </c>
      <c r="AH111" s="68">
        <v>19850.718000000001</v>
      </c>
      <c r="AI111" s="146">
        <v>72.802000000000007</v>
      </c>
      <c r="AJ111" s="67">
        <f>AJ109-AJ110</f>
        <v>73.31</v>
      </c>
      <c r="AK111" s="67">
        <v>80.861999999999995</v>
      </c>
      <c r="AL111" s="119">
        <f>AL109/2</f>
        <v>81.346000000000004</v>
      </c>
      <c r="AM111" s="66">
        <v>517.48599999999999</v>
      </c>
      <c r="AN111" s="67">
        <v>813.44</v>
      </c>
      <c r="AO111" s="67">
        <v>626.15700000000004</v>
      </c>
      <c r="AP111" s="68">
        <f>AP112-AP110</f>
        <v>317.80500000000006</v>
      </c>
      <c r="AQ111" s="146">
        <v>1037.165</v>
      </c>
      <c r="AR111" s="67">
        <v>1007.66</v>
      </c>
      <c r="AS111" s="67">
        <v>994.99</v>
      </c>
      <c r="AT111" s="119">
        <f>AT112/12*3</f>
        <v>590.88</v>
      </c>
      <c r="AU111" s="66">
        <v>198.6</v>
      </c>
      <c r="AV111" s="67">
        <v>225.73</v>
      </c>
      <c r="AW111" s="67">
        <v>202.065</v>
      </c>
      <c r="AX111" s="119">
        <f>AX112/12*3</f>
        <v>131.47499999999999</v>
      </c>
      <c r="AY111" s="66">
        <v>1202.645</v>
      </c>
      <c r="AZ111" s="67">
        <v>1534.59</v>
      </c>
      <c r="BA111" s="67">
        <v>1131.5</v>
      </c>
      <c r="BB111" s="119">
        <f>BB112/12*3</f>
        <v>875.50750000000016</v>
      </c>
      <c r="BC111" s="66">
        <v>345.10500000000002</v>
      </c>
      <c r="BD111" s="67">
        <f>BD109-BD110</f>
        <v>355.73</v>
      </c>
      <c r="BE111" s="67">
        <v>349.34699999999998</v>
      </c>
      <c r="BF111" s="119">
        <v>181.589</v>
      </c>
      <c r="BG111" s="66">
        <f>BG109-BG110</f>
        <v>1510.8754999999999</v>
      </c>
      <c r="BH111" s="67">
        <f>BH109-BH110</f>
        <v>1565.6149999999998</v>
      </c>
      <c r="BI111" s="67">
        <f>BI109-BI110</f>
        <v>1543.54</v>
      </c>
      <c r="BJ111" s="67">
        <f>BJ109-BJ110</f>
        <v>1565.6149999999998</v>
      </c>
      <c r="BK111" s="66">
        <v>1430.11</v>
      </c>
      <c r="BL111" s="67">
        <v>1311.0540000000001</v>
      </c>
      <c r="BM111" s="67">
        <v>1450.7660000000001</v>
      </c>
      <c r="BN111" s="119">
        <f>BN109/2</f>
        <v>1668.835</v>
      </c>
      <c r="BO111" s="123">
        <v>76.73</v>
      </c>
      <c r="BP111" s="121">
        <v>88.17</v>
      </c>
      <c r="BQ111" s="121">
        <v>74.55</v>
      </c>
      <c r="BR111" s="124">
        <v>88.17</v>
      </c>
      <c r="BS111" s="123">
        <v>144.36000000000001</v>
      </c>
      <c r="BT111" s="121">
        <v>183.38</v>
      </c>
      <c r="BU111" s="121">
        <v>145.52000000000001</v>
      </c>
      <c r="BV111" s="124">
        <v>208.315</v>
      </c>
      <c r="BY111" s="125">
        <f t="shared" si="1"/>
        <v>26128.905499999997</v>
      </c>
      <c r="BZ111" s="126">
        <f t="shared" si="2"/>
        <v>28019.879999999997</v>
      </c>
      <c r="CA111" s="126">
        <f t="shared" si="3"/>
        <v>26450.015000000003</v>
      </c>
      <c r="CB111" s="127">
        <f t="shared" si="4"/>
        <v>25560.255499999996</v>
      </c>
    </row>
    <row r="112" spans="1:81" s="115" customFormat="1" ht="18.75" customHeight="1" outlineLevel="3" x14ac:dyDescent="0.25">
      <c r="A112" s="99" t="b">
        <f>AND($U95="Водоснабжение",$T95&lt;&gt;"Тариф на транспортировку воды")</f>
        <v>1</v>
      </c>
      <c r="B112" s="100"/>
      <c r="C112" s="128" t="s">
        <v>140</v>
      </c>
      <c r="D112" s="128" t="s">
        <v>141</v>
      </c>
      <c r="E112" s="129" t="s">
        <v>142</v>
      </c>
      <c r="F112" s="129" t="s">
        <v>74</v>
      </c>
      <c r="G112" s="129" t="s">
        <v>73</v>
      </c>
      <c r="H112" s="129" t="s">
        <v>73</v>
      </c>
      <c r="I112" s="129" t="s">
        <v>73</v>
      </c>
      <c r="J112" s="129" t="s">
        <v>73</v>
      </c>
      <c r="K112" s="129" t="s">
        <v>73</v>
      </c>
      <c r="L112" s="129"/>
      <c r="M112" s="100" t="str">
        <f t="array" ref="M112">Y95</f>
        <v>1ХВС::1.1</v>
      </c>
      <c r="N112" s="129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99">
        <v>1</v>
      </c>
      <c r="Z112" s="100"/>
      <c r="AA112" s="100"/>
      <c r="AB112" s="103" t="str">
        <f>AB109&amp;".1"</f>
        <v>2.1</v>
      </c>
      <c r="AC112" s="130" t="s">
        <v>143</v>
      </c>
      <c r="AD112" s="105" t="s">
        <v>137</v>
      </c>
      <c r="AE112" s="106">
        <f>AE113+AE115-AE114</f>
        <v>51921.39699999999</v>
      </c>
      <c r="AF112" s="107">
        <f>AF113+AF115-AF114</f>
        <v>53402.006000000001</v>
      </c>
      <c r="AG112" s="107">
        <f>AG113+AG115-AG114</f>
        <v>52582.745999999999</v>
      </c>
      <c r="AH112" s="108">
        <f>AH113+AH115-AH114</f>
        <v>54403.249000000003</v>
      </c>
      <c r="AI112" s="110">
        <v>50.241</v>
      </c>
      <c r="AJ112" s="107">
        <v>186.62</v>
      </c>
      <c r="AK112" s="107">
        <v>60.101999999999997</v>
      </c>
      <c r="AL112" s="109">
        <v>162.69200000000001</v>
      </c>
      <c r="AM112" s="106">
        <f t="shared" ref="AM112:AT112" si="5">AM113+AM115-AM114</f>
        <v>1082.2929999999999</v>
      </c>
      <c r="AN112" s="107">
        <f>AN113+AN115-AN114</f>
        <v>1314.34</v>
      </c>
      <c r="AO112" s="107">
        <f t="shared" si="5"/>
        <v>1277.3260000000002</v>
      </c>
      <c r="AP112" s="108">
        <f t="shared" si="5"/>
        <v>1271.2200000000003</v>
      </c>
      <c r="AQ112" s="110">
        <f t="shared" si="5"/>
        <v>2656.7220000000002</v>
      </c>
      <c r="AR112" s="107">
        <f t="shared" si="5"/>
        <v>2231.19</v>
      </c>
      <c r="AS112" s="107">
        <f t="shared" si="5"/>
        <v>2540.08</v>
      </c>
      <c r="AT112" s="109">
        <f t="shared" si="5"/>
        <v>2363.52</v>
      </c>
      <c r="AU112" s="106">
        <f>AU115</f>
        <v>399.11</v>
      </c>
      <c r="AV112" s="107">
        <f>AV115</f>
        <v>493.2</v>
      </c>
      <c r="AW112" s="107">
        <f>AW115</f>
        <v>415.79</v>
      </c>
      <c r="AX112" s="109">
        <f>AX113+AX115-AX114</f>
        <v>525.9</v>
      </c>
      <c r="AY112" s="106">
        <f>AY113+AY115-AY114</f>
        <v>7733.2</v>
      </c>
      <c r="AZ112" s="107">
        <f>AZ113+AZ115-AZ114</f>
        <v>3502.03</v>
      </c>
      <c r="BA112" s="107">
        <f>BA113+BA115-BA114</f>
        <v>7474.4679999999998</v>
      </c>
      <c r="BB112" s="109">
        <f>BB113+BB115-BB114</f>
        <v>3502.03</v>
      </c>
      <c r="BC112" s="106">
        <v>1228.79</v>
      </c>
      <c r="BD112" s="107">
        <f>BD113+BD115-BD114</f>
        <v>711.46</v>
      </c>
      <c r="BE112" s="107">
        <v>1207.6300000000001</v>
      </c>
      <c r="BF112" s="109">
        <v>817.03</v>
      </c>
      <c r="BG112" s="106">
        <f t="shared" ref="BG112:BM112" si="6">BG113+BG115-BG114</f>
        <v>7622.241</v>
      </c>
      <c r="BH112" s="107">
        <f t="shared" si="6"/>
        <v>3559.0279999999993</v>
      </c>
      <c r="BI112" s="107">
        <f t="shared" si="6"/>
        <v>6937.8570000000009</v>
      </c>
      <c r="BJ112" s="109">
        <f t="shared" si="6"/>
        <v>3559.0279999999993</v>
      </c>
      <c r="BK112" s="106">
        <f t="shared" si="6"/>
        <v>4600.8900000000003</v>
      </c>
      <c r="BL112" s="107">
        <f t="shared" si="6"/>
        <v>4542.6880000000001</v>
      </c>
      <c r="BM112" s="107">
        <f t="shared" si="6"/>
        <v>4639.9389999999994</v>
      </c>
      <c r="BN112" s="109">
        <v>4387.62</v>
      </c>
      <c r="BO112" s="134">
        <f t="shared" ref="BO112:BV112" si="7">BO113+BO115-BO114</f>
        <v>266.57</v>
      </c>
      <c r="BP112" s="132">
        <f t="shared" si="7"/>
        <v>204.50000000000003</v>
      </c>
      <c r="BQ112" s="132">
        <f t="shared" si="7"/>
        <v>256.42400000000004</v>
      </c>
      <c r="BR112" s="135">
        <f t="shared" si="7"/>
        <v>209.95400000000001</v>
      </c>
      <c r="BS112" s="134">
        <f t="shared" si="7"/>
        <v>467.52</v>
      </c>
      <c r="BT112" s="132">
        <f t="shared" si="7"/>
        <v>400</v>
      </c>
      <c r="BU112" s="132">
        <f t="shared" si="7"/>
        <v>450.05799999999999</v>
      </c>
      <c r="BV112" s="135">
        <f t="shared" si="7"/>
        <v>416.63</v>
      </c>
      <c r="BW112" s="111"/>
      <c r="BX112" s="100"/>
      <c r="BY112" s="112">
        <f t="shared" si="1"/>
        <v>78028.974000000002</v>
      </c>
      <c r="BZ112" s="113">
        <f t="shared" si="2"/>
        <v>70547.061999999991</v>
      </c>
      <c r="CA112" s="113">
        <f t="shared" si="3"/>
        <v>77842.420000000013</v>
      </c>
      <c r="CB112" s="114">
        <f t="shared" si="4"/>
        <v>71618.873000000007</v>
      </c>
      <c r="CC112" s="759"/>
    </row>
    <row r="113" spans="1:81" ht="14.25" customHeight="1" outlineLevel="3" x14ac:dyDescent="0.25">
      <c r="A113" s="10" t="b">
        <f>AND($U95="Водоснабжение",$T95&lt;&gt;"Тариф на транспортировку воды",region_name&lt;&gt;"Белгородская область")</f>
        <v>1</v>
      </c>
      <c r="C113" s="136" t="s">
        <v>140</v>
      </c>
      <c r="D113" s="136" t="s">
        <v>141</v>
      </c>
      <c r="E113" s="116" t="s">
        <v>144</v>
      </c>
      <c r="F113" s="116" t="s">
        <v>74</v>
      </c>
      <c r="G113" s="116" t="s">
        <v>73</v>
      </c>
      <c r="H113" s="116" t="s">
        <v>73</v>
      </c>
      <c r="I113" s="116" t="s">
        <v>73</v>
      </c>
      <c r="J113" s="116" t="s">
        <v>73</v>
      </c>
      <c r="K113" s="116" t="s">
        <v>73</v>
      </c>
      <c r="L113" s="116"/>
      <c r="M113" s="5" t="str">
        <f t="array" ref="M113">Y95</f>
        <v>1ХВС::1.1</v>
      </c>
      <c r="N113" s="116"/>
      <c r="Y113" s="10">
        <f>COUNT($Y112:Y112)+1</f>
        <v>2</v>
      </c>
      <c r="AB113" s="29" t="str">
        <f>AB109&amp;"."&amp;Y113</f>
        <v>2.2</v>
      </c>
      <c r="AC113" s="71" t="str">
        <f>IF($AD$51="ФАС","Расходы на технологические нужды","Расходы и потери воды при производстве воды")</f>
        <v>Расходы на технологические нужды</v>
      </c>
      <c r="AD113" s="118" t="s">
        <v>137</v>
      </c>
      <c r="AE113" s="66">
        <v>3118.1640000000002</v>
      </c>
      <c r="AF113" s="67">
        <v>2943.7669999999998</v>
      </c>
      <c r="AG113" s="67">
        <v>3176.8029999999999</v>
      </c>
      <c r="AH113" s="68">
        <v>2943.7669999999998</v>
      </c>
      <c r="AI113" s="146">
        <v>3.137</v>
      </c>
      <c r="AJ113" s="67">
        <v>33.200000000000003</v>
      </c>
      <c r="AK113" s="67">
        <v>6.0090000000000003</v>
      </c>
      <c r="AL113" s="119"/>
      <c r="AM113" s="66">
        <v>1.76</v>
      </c>
      <c r="AN113" s="67">
        <v>15.98</v>
      </c>
      <c r="AO113" s="67">
        <v>1.776</v>
      </c>
      <c r="AP113" s="68">
        <v>1.78</v>
      </c>
      <c r="AQ113" s="146">
        <v>34.5</v>
      </c>
      <c r="AR113" s="67">
        <v>1</v>
      </c>
      <c r="AS113" s="67">
        <v>30</v>
      </c>
      <c r="AT113" s="119">
        <v>30</v>
      </c>
      <c r="AU113" s="66">
        <v>0</v>
      </c>
      <c r="AV113" s="67">
        <v>0</v>
      </c>
      <c r="AW113" s="67">
        <v>0</v>
      </c>
      <c r="AX113" s="119">
        <v>3.6</v>
      </c>
      <c r="AY113" s="66">
        <v>0</v>
      </c>
      <c r="AZ113" s="67">
        <v>0</v>
      </c>
      <c r="BA113" s="67">
        <v>0</v>
      </c>
      <c r="BB113" s="119"/>
      <c r="BC113" s="66">
        <v>0</v>
      </c>
      <c r="BD113" s="67">
        <v>0</v>
      </c>
      <c r="BE113" s="67">
        <v>6.5000000000000002E-2</v>
      </c>
      <c r="BF113" s="119">
        <v>7.0000000000000007E-2</v>
      </c>
      <c r="BG113" s="66">
        <v>52.74</v>
      </c>
      <c r="BH113" s="67">
        <v>28.097999999999999</v>
      </c>
      <c r="BI113" s="67">
        <v>54.06</v>
      </c>
      <c r="BJ113" s="119">
        <v>28.097999999999999</v>
      </c>
      <c r="BK113" s="66">
        <v>47.612000000000002</v>
      </c>
      <c r="BL113" s="67">
        <v>45.877000000000002</v>
      </c>
      <c r="BM113" s="67">
        <v>46</v>
      </c>
      <c r="BN113" s="119">
        <v>251.21</v>
      </c>
      <c r="BO113" s="123"/>
      <c r="BP113" s="121"/>
      <c r="BQ113" s="121"/>
      <c r="BR113" s="124"/>
      <c r="BS113" s="123">
        <v>10.9</v>
      </c>
      <c r="BT113" s="121"/>
      <c r="BU113" s="121">
        <v>5.8000000000000003E-2</v>
      </c>
      <c r="BV113" s="124">
        <v>0</v>
      </c>
      <c r="BY113" s="125">
        <f t="shared" si="1"/>
        <v>3268.8130000000006</v>
      </c>
      <c r="BZ113" s="126">
        <f t="shared" si="2"/>
        <v>3067.9219999999996</v>
      </c>
      <c r="CA113" s="126">
        <f t="shared" si="3"/>
        <v>3314.7709999999997</v>
      </c>
      <c r="CB113" s="127">
        <f t="shared" si="4"/>
        <v>3258.5250000000001</v>
      </c>
    </row>
    <row r="114" spans="1:81" ht="14.25" customHeight="1" outlineLevel="3" x14ac:dyDescent="0.25">
      <c r="A114" s="10" t="b">
        <f>$U95="Водоснабжение"</f>
        <v>1</v>
      </c>
      <c r="C114" s="136" t="s">
        <v>140</v>
      </c>
      <c r="D114" s="136" t="s">
        <v>141</v>
      </c>
      <c r="E114" s="116" t="s">
        <v>145</v>
      </c>
      <c r="F114" s="116" t="s">
        <v>74</v>
      </c>
      <c r="G114" s="116" t="s">
        <v>73</v>
      </c>
      <c r="H114" s="116" t="s">
        <v>73</v>
      </c>
      <c r="I114" s="116" t="s">
        <v>73</v>
      </c>
      <c r="J114" s="116" t="s">
        <v>73</v>
      </c>
      <c r="K114" s="116" t="s">
        <v>73</v>
      </c>
      <c r="L114" s="116"/>
      <c r="M114" s="5" t="str">
        <f t="array" ref="M114">Y95</f>
        <v>1ХВС::1.1</v>
      </c>
      <c r="N114" s="116"/>
      <c r="Y114" s="10">
        <f>COUNT($Y112:Y113)+1</f>
        <v>3</v>
      </c>
      <c r="AB114" s="29" t="str">
        <f>AB109&amp;"."&amp;Y114</f>
        <v>2.3</v>
      </c>
      <c r="AC114" s="71" t="str">
        <f>IF($T95="Тариф на транспортировку воды","Принято воды для передачи (транспортировки)","Получено воды со стороны")</f>
        <v>Получено воды со стороны</v>
      </c>
      <c r="AD114" s="118" t="s">
        <v>137</v>
      </c>
      <c r="AE114" s="66">
        <v>1069.5930000000001</v>
      </c>
      <c r="AF114" s="67">
        <v>1280.47</v>
      </c>
      <c r="AG114" s="67">
        <v>1066.671</v>
      </c>
      <c r="AH114" s="68">
        <v>1280.47</v>
      </c>
      <c r="AI114" s="146"/>
      <c r="AJ114" s="67"/>
      <c r="AK114" s="67"/>
      <c r="AL114" s="119"/>
      <c r="AM114" s="66">
        <v>0</v>
      </c>
      <c r="AN114" s="67">
        <v>0</v>
      </c>
      <c r="AO114" s="67">
        <v>0</v>
      </c>
      <c r="AP114" s="68"/>
      <c r="AQ114" s="146">
        <v>0</v>
      </c>
      <c r="AR114" s="67">
        <v>0</v>
      </c>
      <c r="AS114" s="67">
        <v>0</v>
      </c>
      <c r="AT114" s="119">
        <v>71</v>
      </c>
      <c r="AU114" s="66">
        <v>399.11</v>
      </c>
      <c r="AV114" s="67">
        <v>493.2</v>
      </c>
      <c r="AW114" s="67">
        <v>415.79</v>
      </c>
      <c r="AX114" s="119"/>
      <c r="AY114" s="66">
        <v>0</v>
      </c>
      <c r="AZ114" s="67">
        <v>0</v>
      </c>
      <c r="BA114" s="67">
        <v>0</v>
      </c>
      <c r="BB114" s="119"/>
      <c r="BC114" s="66">
        <v>0</v>
      </c>
      <c r="BD114" s="67">
        <v>0</v>
      </c>
      <c r="BE114" s="67">
        <v>0</v>
      </c>
      <c r="BF114" s="119">
        <v>0</v>
      </c>
      <c r="BG114" s="66">
        <v>0</v>
      </c>
      <c r="BH114" s="67">
        <v>0</v>
      </c>
      <c r="BI114" s="67">
        <v>0</v>
      </c>
      <c r="BJ114" s="119">
        <v>0</v>
      </c>
      <c r="BK114" s="66">
        <v>0</v>
      </c>
      <c r="BL114" s="67">
        <v>0</v>
      </c>
      <c r="BM114" s="67">
        <v>0</v>
      </c>
      <c r="BN114" s="119"/>
      <c r="BO114" s="123"/>
      <c r="BP114" s="121"/>
      <c r="BQ114" s="121"/>
      <c r="BR114" s="124"/>
      <c r="BS114" s="123"/>
      <c r="BT114" s="121"/>
      <c r="BU114" s="121"/>
      <c r="BV114" s="124"/>
      <c r="BY114" s="125">
        <f t="shared" si="1"/>
        <v>1468.703</v>
      </c>
      <c r="BZ114" s="126">
        <f t="shared" si="2"/>
        <v>1773.67</v>
      </c>
      <c r="CA114" s="126">
        <f t="shared" si="3"/>
        <v>1482.461</v>
      </c>
      <c r="CB114" s="127">
        <f t="shared" si="4"/>
        <v>1351.47</v>
      </c>
    </row>
    <row r="115" spans="1:81" ht="13.5" customHeight="1" outlineLevel="3" x14ac:dyDescent="0.25">
      <c r="A115" s="10" t="b">
        <f t="array" ref="A115">A114</f>
        <v>1</v>
      </c>
      <c r="C115" s="136" t="s">
        <v>140</v>
      </c>
      <c r="D115" s="136" t="s">
        <v>141</v>
      </c>
      <c r="E115" s="116" t="s">
        <v>146</v>
      </c>
      <c r="F115" s="116" t="s">
        <v>74</v>
      </c>
      <c r="G115" s="116" t="s">
        <v>73</v>
      </c>
      <c r="H115" s="116" t="s">
        <v>73</v>
      </c>
      <c r="I115" s="116" t="s">
        <v>73</v>
      </c>
      <c r="J115" s="116" t="s">
        <v>73</v>
      </c>
      <c r="K115" s="116" t="s">
        <v>73</v>
      </c>
      <c r="L115" s="116"/>
      <c r="M115" s="5" t="str">
        <f t="array" ref="M115">Y95</f>
        <v>1ХВС::1.1</v>
      </c>
      <c r="N115" s="116"/>
      <c r="Y115" s="10">
        <f>COUNT($Y112:Y114)+1</f>
        <v>4</v>
      </c>
      <c r="AB115" s="29" t="str">
        <f>AB109&amp;"."&amp;Y115</f>
        <v>2.4</v>
      </c>
      <c r="AC115" s="80" t="s">
        <v>146</v>
      </c>
      <c r="AD115" s="118" t="s">
        <v>137</v>
      </c>
      <c r="AE115" s="66">
        <f>AE119+AE116+AE117</f>
        <v>49872.825999999994</v>
      </c>
      <c r="AF115" s="67">
        <f>AF119+AF116+AF117</f>
        <v>51738.709000000003</v>
      </c>
      <c r="AG115" s="67">
        <f>AG119+AG116+AG117</f>
        <v>50472.614000000001</v>
      </c>
      <c r="AH115" s="68">
        <f>AH119+AH116+AH117</f>
        <v>52739.952000000005</v>
      </c>
      <c r="AI115" s="146">
        <v>47.103999999999999</v>
      </c>
      <c r="AJ115" s="67">
        <f t="shared" ref="AJ115:AP115" si="8">AJ119+AJ116+AJ117</f>
        <v>153.42000000000002</v>
      </c>
      <c r="AK115" s="67">
        <f t="shared" si="8"/>
        <v>54.092999999999996</v>
      </c>
      <c r="AL115" s="119">
        <v>162.69200000000001</v>
      </c>
      <c r="AM115" s="66">
        <f t="shared" si="8"/>
        <v>1080.5329999999999</v>
      </c>
      <c r="AN115" s="67">
        <f t="shared" si="8"/>
        <v>1298.3599999999999</v>
      </c>
      <c r="AO115" s="67">
        <f t="shared" si="8"/>
        <v>1275.5500000000002</v>
      </c>
      <c r="AP115" s="68">
        <f t="shared" si="8"/>
        <v>1269.4400000000003</v>
      </c>
      <c r="AQ115" s="146">
        <v>2622.2220000000002</v>
      </c>
      <c r="AR115" s="67">
        <v>2230.19</v>
      </c>
      <c r="AS115" s="67">
        <v>2510.08</v>
      </c>
      <c r="AT115" s="119">
        <v>2404.52</v>
      </c>
      <c r="AU115" s="66">
        <f>AU119+AU116+AU117</f>
        <v>399.11</v>
      </c>
      <c r="AV115" s="67">
        <f>AV119+AV116+AV117</f>
        <v>493.2</v>
      </c>
      <c r="AW115" s="67">
        <f>AW119+AW116+AW117</f>
        <v>415.79</v>
      </c>
      <c r="AX115" s="119">
        <v>522.29999999999995</v>
      </c>
      <c r="AY115" s="66">
        <v>7733.2</v>
      </c>
      <c r="AZ115" s="67">
        <v>3502.03</v>
      </c>
      <c r="BA115" s="67">
        <v>7474.4679999999998</v>
      </c>
      <c r="BB115" s="119">
        <v>3502.03</v>
      </c>
      <c r="BC115" s="66">
        <v>1228.79</v>
      </c>
      <c r="BD115" s="67">
        <f>BD119+BD116+BD117</f>
        <v>711.46</v>
      </c>
      <c r="BE115" s="67">
        <f>BE119+BE116+BE117</f>
        <v>1207.5650000000001</v>
      </c>
      <c r="BF115" s="119">
        <v>816.96</v>
      </c>
      <c r="BG115" s="66">
        <f t="shared" ref="BG115:BM115" si="9">BG119+BG116+BG117</f>
        <v>7569.5010000000002</v>
      </c>
      <c r="BH115" s="67">
        <f t="shared" si="9"/>
        <v>3530.9299999999994</v>
      </c>
      <c r="BI115" s="67">
        <f t="shared" si="9"/>
        <v>6883.7970000000005</v>
      </c>
      <c r="BJ115" s="119">
        <f t="shared" si="9"/>
        <v>3530.9299999999994</v>
      </c>
      <c r="BK115" s="66">
        <f t="shared" si="9"/>
        <v>4553.2780000000002</v>
      </c>
      <c r="BL115" s="67">
        <f t="shared" si="9"/>
        <v>4496.8109999999997</v>
      </c>
      <c r="BM115" s="67">
        <f t="shared" si="9"/>
        <v>4593.9389999999994</v>
      </c>
      <c r="BN115" s="119">
        <v>3337.67</v>
      </c>
      <c r="BO115" s="123">
        <f>BO119+BO116+BO117</f>
        <v>266.57</v>
      </c>
      <c r="BP115" s="121">
        <f>BP119+BP116+BP117</f>
        <v>204.50000000000003</v>
      </c>
      <c r="BQ115" s="121">
        <f>BQ119+BQ116+BQ117</f>
        <v>256.42400000000004</v>
      </c>
      <c r="BR115" s="124">
        <v>209.95400000000001</v>
      </c>
      <c r="BS115" s="123">
        <f>BS119+BS116+BS117</f>
        <v>456.62</v>
      </c>
      <c r="BT115" s="121">
        <f>BT119+BT116+BT117</f>
        <v>400</v>
      </c>
      <c r="BU115" s="121">
        <f>BU119+BU116+BU117</f>
        <v>450</v>
      </c>
      <c r="BV115" s="124">
        <f>BV119+BV116+BV117</f>
        <v>416.63</v>
      </c>
      <c r="BY115" s="125">
        <f t="shared" si="1"/>
        <v>75829.754000000001</v>
      </c>
      <c r="BZ115" s="126">
        <f t="shared" si="2"/>
        <v>68759.61</v>
      </c>
      <c r="CA115" s="126">
        <f t="shared" si="3"/>
        <v>75594.320000000007</v>
      </c>
      <c r="CB115" s="127">
        <f t="shared" si="4"/>
        <v>68913.078000000009</v>
      </c>
    </row>
    <row r="116" spans="1:81" ht="14.25" customHeight="1" outlineLevel="3" x14ac:dyDescent="0.25">
      <c r="A116" s="10" t="b">
        <f>AND($U95="Водоснабжение",$AD$51&lt;&gt;"ФАС")</f>
        <v>0</v>
      </c>
      <c r="C116" s="136" t="s">
        <v>140</v>
      </c>
      <c r="D116" s="136" t="s">
        <v>141</v>
      </c>
      <c r="E116" s="116" t="s">
        <v>147</v>
      </c>
      <c r="F116" s="116" t="s">
        <v>74</v>
      </c>
      <c r="G116" s="116" t="s">
        <v>73</v>
      </c>
      <c r="H116" s="116" t="s">
        <v>73</v>
      </c>
      <c r="I116" s="116" t="s">
        <v>73</v>
      </c>
      <c r="J116" s="116" t="s">
        <v>73</v>
      </c>
      <c r="K116" s="116" t="s">
        <v>73</v>
      </c>
      <c r="L116" s="116"/>
      <c r="M116" s="5" t="str">
        <f t="array" ref="M116">Y95</f>
        <v>1ХВС::1.1</v>
      </c>
      <c r="N116" s="116"/>
      <c r="Z116" s="6"/>
      <c r="AA116" s="6"/>
      <c r="AB116" s="29"/>
      <c r="AC116" s="87"/>
      <c r="AD116" s="51"/>
      <c r="AE116" s="66"/>
      <c r="AF116" s="67"/>
      <c r="AG116" s="67"/>
      <c r="AH116" s="68"/>
      <c r="AI116" s="146"/>
      <c r="AJ116" s="67"/>
      <c r="AK116" s="67"/>
      <c r="AL116" s="119"/>
      <c r="AM116" s="66"/>
      <c r="AN116" s="67"/>
      <c r="AO116" s="67"/>
      <c r="AP116" s="68"/>
      <c r="AQ116" s="146"/>
      <c r="AR116" s="67"/>
      <c r="AS116" s="67"/>
      <c r="AT116" s="119"/>
      <c r="AU116" s="66"/>
      <c r="AV116" s="67"/>
      <c r="AW116" s="67"/>
      <c r="AX116" s="119"/>
      <c r="AY116" s="66"/>
      <c r="AZ116" s="67"/>
      <c r="BA116" s="67"/>
      <c r="BB116" s="119"/>
      <c r="BC116" s="66"/>
      <c r="BD116" s="67"/>
      <c r="BE116" s="67"/>
      <c r="BF116" s="119"/>
      <c r="BG116" s="66"/>
      <c r="BH116" s="67"/>
      <c r="BI116" s="67"/>
      <c r="BJ116" s="119"/>
      <c r="BK116" s="66"/>
      <c r="BL116" s="67"/>
      <c r="BM116" s="67"/>
      <c r="BN116" s="119"/>
      <c r="BO116" s="123"/>
      <c r="BP116" s="121"/>
      <c r="BQ116" s="121"/>
      <c r="BR116" s="124"/>
      <c r="BS116" s="123"/>
      <c r="BT116" s="121"/>
      <c r="BU116" s="121"/>
      <c r="BV116" s="124"/>
      <c r="BY116" s="125">
        <f t="shared" si="1"/>
        <v>0</v>
      </c>
      <c r="BZ116" s="126">
        <f t="shared" si="2"/>
        <v>0</v>
      </c>
      <c r="CA116" s="126">
        <f t="shared" si="3"/>
        <v>0</v>
      </c>
      <c r="CB116" s="127">
        <f t="shared" si="4"/>
        <v>0</v>
      </c>
    </row>
    <row r="117" spans="1:81" ht="14.25" customHeight="1" outlineLevel="3" x14ac:dyDescent="0.25">
      <c r="A117" s="10" t="b">
        <f>$U95="Водоснабжение"</f>
        <v>1</v>
      </c>
      <c r="C117" s="136" t="s">
        <v>140</v>
      </c>
      <c r="D117" s="136" t="s">
        <v>141</v>
      </c>
      <c r="E117" s="116" t="s">
        <v>148</v>
      </c>
      <c r="F117" s="116" t="s">
        <v>74</v>
      </c>
      <c r="G117" s="116" t="s">
        <v>73</v>
      </c>
      <c r="H117" s="116" t="s">
        <v>73</v>
      </c>
      <c r="I117" s="116" t="s">
        <v>73</v>
      </c>
      <c r="J117" s="116" t="s">
        <v>73</v>
      </c>
      <c r="K117" s="116" t="s">
        <v>73</v>
      </c>
      <c r="L117" s="116"/>
      <c r="M117" s="5" t="str">
        <f t="array" ref="M117">Y95</f>
        <v>1ХВС::1.1</v>
      </c>
      <c r="N117" s="116"/>
      <c r="AB117" s="29" t="str">
        <f>IF($AD$51="ФАС",AB115&amp;".1",AB115&amp;".2")</f>
        <v>2.4.1</v>
      </c>
      <c r="AC117" s="87" t="s">
        <v>148</v>
      </c>
      <c r="AD117" s="118" t="s">
        <v>137</v>
      </c>
      <c r="AE117" s="66">
        <v>11173.951999999999</v>
      </c>
      <c r="AF117" s="67">
        <v>11770.556</v>
      </c>
      <c r="AG117" s="67">
        <v>11276.268</v>
      </c>
      <c r="AH117" s="68">
        <v>11998.339</v>
      </c>
      <c r="AI117" s="146">
        <v>3.4319999999999999</v>
      </c>
      <c r="AJ117" s="67">
        <v>6.8</v>
      </c>
      <c r="AK117" s="67">
        <v>5.641</v>
      </c>
      <c r="AL117" s="119">
        <v>2.1640000000000001</v>
      </c>
      <c r="AM117" s="66">
        <v>116.56100000000001</v>
      </c>
      <c r="AN117" s="67">
        <v>41.42</v>
      </c>
      <c r="AO117" s="67">
        <v>94.236000000000004</v>
      </c>
      <c r="AP117" s="68">
        <v>135.66</v>
      </c>
      <c r="AQ117" s="146">
        <v>547.89300000000003</v>
      </c>
      <c r="AR117" s="67">
        <v>214.87</v>
      </c>
      <c r="AS117" s="67">
        <v>520.1</v>
      </c>
      <c r="AT117" s="119">
        <v>247.54</v>
      </c>
      <c r="AU117" s="66">
        <v>1.91</v>
      </c>
      <c r="AV117" s="67">
        <v>41.82</v>
      </c>
      <c r="AW117" s="67">
        <v>11.66</v>
      </c>
      <c r="AX117" s="119">
        <v>86.06</v>
      </c>
      <c r="AY117" s="66">
        <v>5327.91</v>
      </c>
      <c r="AZ117" s="67">
        <v>432.85</v>
      </c>
      <c r="BA117" s="67">
        <v>5211.4679999999998</v>
      </c>
      <c r="BB117" s="119">
        <v>432.85</v>
      </c>
      <c r="BC117" s="66">
        <v>538.58000000000004</v>
      </c>
      <c r="BD117" s="67">
        <v>0</v>
      </c>
      <c r="BE117" s="67">
        <v>508.87099999999998</v>
      </c>
      <c r="BF117" s="119">
        <v>69.260000000000005</v>
      </c>
      <c r="BG117" s="66">
        <v>4547.75</v>
      </c>
      <c r="BH117" s="67">
        <v>399.7</v>
      </c>
      <c r="BI117" s="67">
        <v>3796.7170000000001</v>
      </c>
      <c r="BJ117" s="119">
        <v>399.7</v>
      </c>
      <c r="BK117" s="66">
        <v>1693.1479999999999</v>
      </c>
      <c r="BL117" s="67">
        <v>1874.703</v>
      </c>
      <c r="BM117" s="67">
        <v>1692.4069999999999</v>
      </c>
      <c r="BN117" s="119">
        <v>798.74</v>
      </c>
      <c r="BO117" s="123">
        <v>119.05</v>
      </c>
      <c r="BP117" s="121">
        <v>28.16</v>
      </c>
      <c r="BQ117" s="121">
        <v>107.324</v>
      </c>
      <c r="BR117" s="124">
        <v>33.613999999999997</v>
      </c>
      <c r="BS117" s="123">
        <v>167.9</v>
      </c>
      <c r="BT117" s="121">
        <v>33.24</v>
      </c>
      <c r="BU117" s="121">
        <v>158.96</v>
      </c>
      <c r="BV117" s="124">
        <v>49.87</v>
      </c>
      <c r="BY117" s="125">
        <f t="shared" si="1"/>
        <v>24238.086000000003</v>
      </c>
      <c r="BZ117" s="126">
        <f t="shared" si="2"/>
        <v>14844.119000000001</v>
      </c>
      <c r="CA117" s="126">
        <f t="shared" si="3"/>
        <v>23383.651999999998</v>
      </c>
      <c r="CB117" s="127">
        <f t="shared" si="4"/>
        <v>14253.797000000002</v>
      </c>
    </row>
    <row r="118" spans="1:81" ht="14.25" customHeight="1" outlineLevel="3" x14ac:dyDescent="0.25">
      <c r="A118" s="10" t="b">
        <f t="array" ref="A118">A117</f>
        <v>1</v>
      </c>
      <c r="C118" s="136" t="s">
        <v>149</v>
      </c>
      <c r="D118" s="136" t="s">
        <v>150</v>
      </c>
      <c r="E118" s="116" t="s">
        <v>73</v>
      </c>
      <c r="F118" s="116" t="s">
        <v>74</v>
      </c>
      <c r="G118" s="116" t="s">
        <v>73</v>
      </c>
      <c r="H118" s="116" t="s">
        <v>73</v>
      </c>
      <c r="I118" s="116" t="s">
        <v>73</v>
      </c>
      <c r="J118" s="116" t="s">
        <v>73</v>
      </c>
      <c r="K118" s="116" t="s">
        <v>73</v>
      </c>
      <c r="L118" s="116"/>
      <c r="M118" s="5" t="str">
        <f t="array" ref="M118">Y95</f>
        <v>1ХВС::1.1</v>
      </c>
      <c r="N118" s="116"/>
      <c r="AB118" s="29" t="str">
        <f>AB117&amp;".1"</f>
        <v>2.4.1.1</v>
      </c>
      <c r="AC118" s="137" t="s">
        <v>151</v>
      </c>
      <c r="AD118" s="118" t="s">
        <v>119</v>
      </c>
      <c r="AE118" s="72">
        <f t="shared" ref="AE118:AL118" si="10">(AE117*100)/AE115</f>
        <v>22.404890390610714</v>
      </c>
      <c r="AF118" s="73">
        <f t="shared" si="10"/>
        <v>22.749999424995316</v>
      </c>
      <c r="AG118" s="73">
        <f t="shared" si="10"/>
        <v>22.341359217099395</v>
      </c>
      <c r="AH118" s="74">
        <f t="shared" si="10"/>
        <v>22.749999848312335</v>
      </c>
      <c r="AI118" s="179">
        <f t="shared" si="10"/>
        <v>7.2860054347826084</v>
      </c>
      <c r="AJ118" s="73">
        <f t="shared" si="10"/>
        <v>4.432277408421327</v>
      </c>
      <c r="AK118" s="73">
        <f t="shared" si="10"/>
        <v>10.428336383635592</v>
      </c>
      <c r="AL118" s="138">
        <f t="shared" si="10"/>
        <v>1.3301207189044328</v>
      </c>
      <c r="AM118" s="72">
        <f t="shared" ref="AM118:BE118" si="11">(AM117*100)/AM115</f>
        <v>10.787361422557202</v>
      </c>
      <c r="AN118" s="73">
        <f t="shared" si="11"/>
        <v>3.1901783788779694</v>
      </c>
      <c r="AO118" s="73">
        <f t="shared" si="11"/>
        <v>7.3878718983967691</v>
      </c>
      <c r="AP118" s="74">
        <f t="shared" si="11"/>
        <v>10.686601966221323</v>
      </c>
      <c r="AQ118" s="179">
        <f t="shared" si="11"/>
        <v>20.894226346968335</v>
      </c>
      <c r="AR118" s="73">
        <f t="shared" si="11"/>
        <v>9.6346051233302994</v>
      </c>
      <c r="AS118" s="73">
        <f t="shared" si="11"/>
        <v>20.720455124936258</v>
      </c>
      <c r="AT118" s="138">
        <f t="shared" si="11"/>
        <v>10.294778167784006</v>
      </c>
      <c r="AU118" s="72">
        <f t="shared" si="11"/>
        <v>0.47856480669489615</v>
      </c>
      <c r="AV118" s="73">
        <f t="shared" si="11"/>
        <v>8.4793187347931873</v>
      </c>
      <c r="AW118" s="73">
        <f t="shared" si="11"/>
        <v>2.8043002477212053</v>
      </c>
      <c r="AX118" s="138">
        <f t="shared" si="11"/>
        <v>16.477120428872297</v>
      </c>
      <c r="AY118" s="72">
        <f t="shared" si="11"/>
        <v>68.896575803031084</v>
      </c>
      <c r="AZ118" s="73">
        <f t="shared" si="11"/>
        <v>12.359974072180991</v>
      </c>
      <c r="BA118" s="73">
        <f t="shared" si="11"/>
        <v>69.723597719596896</v>
      </c>
      <c r="BB118" s="138">
        <f t="shared" si="11"/>
        <v>12.359974072180991</v>
      </c>
      <c r="BC118" s="72">
        <f t="shared" si="11"/>
        <v>43.830109294509242</v>
      </c>
      <c r="BD118" s="73">
        <f t="shared" si="11"/>
        <v>0</v>
      </c>
      <c r="BE118" s="73">
        <f t="shared" si="11"/>
        <v>42.140257460260933</v>
      </c>
      <c r="BF118" s="138">
        <f>BF117*100/BF115</f>
        <v>8.477771249510381</v>
      </c>
      <c r="BG118" s="72">
        <f t="shared" ref="BG118:BM118" si="12">(BG117*100)/BG115</f>
        <v>60.079918081786367</v>
      </c>
      <c r="BH118" s="73">
        <f t="shared" si="12"/>
        <v>11.319963862211941</v>
      </c>
      <c r="BI118" s="73">
        <f t="shared" si="12"/>
        <v>55.154400979575662</v>
      </c>
      <c r="BJ118" s="138">
        <f t="shared" si="12"/>
        <v>11.319963862211941</v>
      </c>
      <c r="BK118" s="72">
        <f t="shared" si="12"/>
        <v>37.185254227833219</v>
      </c>
      <c r="BL118" s="73">
        <f t="shared" si="12"/>
        <v>41.689610704118984</v>
      </c>
      <c r="BM118" s="73">
        <f t="shared" si="12"/>
        <v>36.839997222427201</v>
      </c>
      <c r="BN118" s="138">
        <f>(BN117*100)/BN115</f>
        <v>23.931065683545707</v>
      </c>
      <c r="BO118" s="142">
        <f t="shared" ref="BO118:BV118" si="13">(BO117*100)/BO115</f>
        <v>44.659939227970142</v>
      </c>
      <c r="BP118" s="140">
        <f t="shared" si="13"/>
        <v>13.770171149144252</v>
      </c>
      <c r="BQ118" s="140">
        <f t="shared" si="13"/>
        <v>41.854116619349199</v>
      </c>
      <c r="BR118" s="143">
        <f t="shared" si="13"/>
        <v>16.010173657086789</v>
      </c>
      <c r="BS118" s="142">
        <f t="shared" si="13"/>
        <v>36.770180894397967</v>
      </c>
      <c r="BT118" s="140">
        <f t="shared" si="13"/>
        <v>8.31</v>
      </c>
      <c r="BU118" s="140">
        <f t="shared" si="13"/>
        <v>35.324444444444445</v>
      </c>
      <c r="BV118" s="143">
        <f t="shared" si="13"/>
        <v>11.969853347094544</v>
      </c>
      <c r="BY118" s="125">
        <f t="shared" si="1"/>
        <v>353.27302593114177</v>
      </c>
      <c r="BZ118" s="126">
        <f t="shared" si="2"/>
        <v>135.93609885807425</v>
      </c>
      <c r="CA118" s="126">
        <f t="shared" si="3"/>
        <v>344.71913731744354</v>
      </c>
      <c r="CB118" s="127">
        <f t="shared" si="4"/>
        <v>145.60742300172475</v>
      </c>
    </row>
    <row r="119" spans="1:81" s="115" customFormat="1" ht="15" customHeight="1" outlineLevel="3" x14ac:dyDescent="0.25">
      <c r="A119" s="99" t="b">
        <f t="array" ref="A119">A118</f>
        <v>1</v>
      </c>
      <c r="B119" s="100"/>
      <c r="C119" s="128" t="s">
        <v>140</v>
      </c>
      <c r="D119" s="128" t="s">
        <v>141</v>
      </c>
      <c r="E119" s="129" t="s">
        <v>152</v>
      </c>
      <c r="F119" s="129" t="s">
        <v>74</v>
      </c>
      <c r="G119" s="129" t="s">
        <v>73</v>
      </c>
      <c r="H119" s="129" t="s">
        <v>73</v>
      </c>
      <c r="I119" s="129" t="s">
        <v>73</v>
      </c>
      <c r="J119" s="129" t="s">
        <v>73</v>
      </c>
      <c r="K119" s="129" t="s">
        <v>73</v>
      </c>
      <c r="L119" s="129"/>
      <c r="M119" s="100" t="str">
        <f t="array" ref="M119">Y95</f>
        <v>1ХВС::1.1</v>
      </c>
      <c r="N119" s="129"/>
      <c r="O119" s="100"/>
      <c r="P119" s="100"/>
      <c r="Q119" s="100"/>
      <c r="R119" s="100"/>
      <c r="S119" s="100"/>
      <c r="T119" s="100"/>
      <c r="U119" s="100"/>
      <c r="V119" s="100"/>
      <c r="W119" s="100"/>
      <c r="X119" s="100"/>
      <c r="Y119" s="99">
        <f>COUNT($Y112:Y118)+1</f>
        <v>5</v>
      </c>
      <c r="Z119" s="100"/>
      <c r="AA119" s="100"/>
      <c r="AB119" s="103" t="str">
        <f>AB109&amp;"."&amp;Y119</f>
        <v>2.5</v>
      </c>
      <c r="AC119" s="130" t="s">
        <v>153</v>
      </c>
      <c r="AD119" s="105" t="s">
        <v>137</v>
      </c>
      <c r="AE119" s="106">
        <f>AE120+AE121</f>
        <v>38698.873999999996</v>
      </c>
      <c r="AF119" s="107">
        <f>AF120+AF121</f>
        <v>39968.152999999998</v>
      </c>
      <c r="AG119" s="107">
        <f>AG120+AG121</f>
        <v>39196.345999999998</v>
      </c>
      <c r="AH119" s="108">
        <f>AH120+AH121</f>
        <v>40741.613000000005</v>
      </c>
      <c r="AI119" s="110">
        <v>43.671999999999997</v>
      </c>
      <c r="AJ119" s="107">
        <v>146.62</v>
      </c>
      <c r="AK119" s="107">
        <f t="shared" ref="AK119:BN119" si="14">AK120+AK121</f>
        <v>48.451999999999998</v>
      </c>
      <c r="AL119" s="109">
        <f t="shared" si="14"/>
        <v>160.52799999999999</v>
      </c>
      <c r="AM119" s="106">
        <f t="shared" si="14"/>
        <v>963.97199999999998</v>
      </c>
      <c r="AN119" s="107">
        <f t="shared" si="14"/>
        <v>1256.9399999999998</v>
      </c>
      <c r="AO119" s="107">
        <f t="shared" si="14"/>
        <v>1181.3140000000001</v>
      </c>
      <c r="AP119" s="108">
        <f t="shared" si="14"/>
        <v>1133.7800000000002</v>
      </c>
      <c r="AQ119" s="110">
        <f t="shared" si="14"/>
        <v>2074.3290000000002</v>
      </c>
      <c r="AR119" s="107">
        <f t="shared" si="14"/>
        <v>2015.32</v>
      </c>
      <c r="AS119" s="107">
        <f t="shared" si="14"/>
        <v>1989.98</v>
      </c>
      <c r="AT119" s="109">
        <f t="shared" si="14"/>
        <v>2156.98</v>
      </c>
      <c r="AU119" s="106">
        <f t="shared" si="14"/>
        <v>397.2</v>
      </c>
      <c r="AV119" s="107">
        <f t="shared" si="14"/>
        <v>451.38</v>
      </c>
      <c r="AW119" s="107">
        <f t="shared" si="14"/>
        <v>404.13</v>
      </c>
      <c r="AX119" s="109">
        <f t="shared" si="14"/>
        <v>436.24</v>
      </c>
      <c r="AY119" s="106">
        <f t="shared" si="14"/>
        <v>2405.29</v>
      </c>
      <c r="AZ119" s="107">
        <f t="shared" si="14"/>
        <v>3069.1800000000003</v>
      </c>
      <c r="BA119" s="107">
        <f t="shared" si="14"/>
        <v>2263</v>
      </c>
      <c r="BB119" s="109">
        <f t="shared" si="14"/>
        <v>3069.1800000000003</v>
      </c>
      <c r="BC119" s="106">
        <f t="shared" si="14"/>
        <v>690.21</v>
      </c>
      <c r="BD119" s="107">
        <f t="shared" si="14"/>
        <v>711.46</v>
      </c>
      <c r="BE119" s="107">
        <f t="shared" si="14"/>
        <v>698.69400000000007</v>
      </c>
      <c r="BF119" s="109">
        <f t="shared" si="14"/>
        <v>747.7059999999999</v>
      </c>
      <c r="BG119" s="106">
        <f t="shared" si="14"/>
        <v>3021.7509999999997</v>
      </c>
      <c r="BH119" s="107">
        <f t="shared" si="14"/>
        <v>3131.2299999999996</v>
      </c>
      <c r="BI119" s="107">
        <f t="shared" si="14"/>
        <v>3087.08</v>
      </c>
      <c r="BJ119" s="109">
        <f t="shared" si="14"/>
        <v>3131.2299999999996</v>
      </c>
      <c r="BK119" s="106">
        <f t="shared" si="14"/>
        <v>2860.13</v>
      </c>
      <c r="BL119" s="107">
        <f t="shared" si="14"/>
        <v>2622.1080000000002</v>
      </c>
      <c r="BM119" s="107">
        <f t="shared" si="14"/>
        <v>2901.5319999999997</v>
      </c>
      <c r="BN119" s="109">
        <f t="shared" si="14"/>
        <v>3337.67</v>
      </c>
      <c r="BO119" s="134">
        <f t="shared" ref="BO119:BV119" si="15">BO120+BO121</f>
        <v>147.51999999999998</v>
      </c>
      <c r="BP119" s="132">
        <f t="shared" si="15"/>
        <v>176.34000000000003</v>
      </c>
      <c r="BQ119" s="132">
        <f t="shared" si="15"/>
        <v>149.10000000000002</v>
      </c>
      <c r="BR119" s="135">
        <f t="shared" si="15"/>
        <v>176.34000000000003</v>
      </c>
      <c r="BS119" s="134">
        <f t="shared" si="15"/>
        <v>288.71999999999997</v>
      </c>
      <c r="BT119" s="132">
        <f t="shared" si="15"/>
        <v>366.76</v>
      </c>
      <c r="BU119" s="132">
        <f t="shared" si="15"/>
        <v>291.03999999999996</v>
      </c>
      <c r="BV119" s="135">
        <f t="shared" si="15"/>
        <v>366.76</v>
      </c>
      <c r="BW119" s="111"/>
      <c r="BX119" s="100"/>
      <c r="BY119" s="112">
        <f t="shared" si="1"/>
        <v>51591.667999999983</v>
      </c>
      <c r="BZ119" s="113">
        <f t="shared" si="2"/>
        <v>53915.490999999995</v>
      </c>
      <c r="CA119" s="113">
        <f t="shared" si="3"/>
        <v>52210.667999999998</v>
      </c>
      <c r="CB119" s="114">
        <f t="shared" si="4"/>
        <v>55458.026999999995</v>
      </c>
      <c r="CC119" s="759"/>
    </row>
    <row r="120" spans="1:81" ht="14.25" customHeight="1" outlineLevel="3" x14ac:dyDescent="0.25">
      <c r="A120" s="10" t="b">
        <f t="array" ref="A120">A119</f>
        <v>1</v>
      </c>
      <c r="C120" s="136" t="s">
        <v>140</v>
      </c>
      <c r="D120" s="136" t="s">
        <v>141</v>
      </c>
      <c r="E120" s="116" t="s">
        <v>154</v>
      </c>
      <c r="F120" s="116" t="s">
        <v>74</v>
      </c>
      <c r="G120" s="116" t="s">
        <v>73</v>
      </c>
      <c r="H120" s="116" t="s">
        <v>73</v>
      </c>
      <c r="I120" s="116" t="s">
        <v>73</v>
      </c>
      <c r="J120" s="116" t="s">
        <v>73</v>
      </c>
      <c r="K120" s="116" t="s">
        <v>73</v>
      </c>
      <c r="L120" s="116"/>
      <c r="M120" s="5" t="str">
        <f t="array" ref="M120">Y95</f>
        <v>1ХВС::1.1</v>
      </c>
      <c r="N120" s="116"/>
      <c r="AB120" s="29" t="str">
        <f>AB119&amp;".1"</f>
        <v>2.5.1</v>
      </c>
      <c r="AC120" s="87" t="s">
        <v>155</v>
      </c>
      <c r="AD120" s="118" t="s">
        <v>137</v>
      </c>
      <c r="AE120" s="66">
        <v>31.957999999999998</v>
      </c>
      <c r="AF120" s="67">
        <v>0</v>
      </c>
      <c r="AG120" s="67">
        <v>31.347999999999999</v>
      </c>
      <c r="AH120" s="68"/>
      <c r="AI120" s="146"/>
      <c r="AJ120" s="67"/>
      <c r="AK120" s="67"/>
      <c r="AL120" s="119"/>
      <c r="AM120" s="66">
        <v>0</v>
      </c>
      <c r="AN120" s="67">
        <v>0</v>
      </c>
      <c r="AO120" s="67">
        <v>0</v>
      </c>
      <c r="AP120" s="68"/>
      <c r="AQ120" s="146">
        <v>0</v>
      </c>
      <c r="AR120" s="67">
        <v>0</v>
      </c>
      <c r="AS120" s="67">
        <v>0</v>
      </c>
      <c r="AT120" s="119"/>
      <c r="AU120" s="66">
        <v>0</v>
      </c>
      <c r="AV120" s="67">
        <v>0</v>
      </c>
      <c r="AW120" s="67">
        <v>0</v>
      </c>
      <c r="AX120" s="119"/>
      <c r="AY120" s="66">
        <v>0</v>
      </c>
      <c r="AZ120" s="67">
        <v>0</v>
      </c>
      <c r="BA120" s="67">
        <v>0</v>
      </c>
      <c r="BB120" s="119"/>
      <c r="BC120" s="66">
        <v>0</v>
      </c>
      <c r="BD120" s="67">
        <v>0</v>
      </c>
      <c r="BE120" s="67">
        <v>0.47399999999999998</v>
      </c>
      <c r="BF120" s="119">
        <v>0.47299999999999998</v>
      </c>
      <c r="BG120" s="66">
        <v>0</v>
      </c>
      <c r="BH120" s="67">
        <v>0</v>
      </c>
      <c r="BI120" s="67">
        <v>0</v>
      </c>
      <c r="BJ120" s="119">
        <v>0</v>
      </c>
      <c r="BK120" s="66">
        <v>0</v>
      </c>
      <c r="BL120" s="67">
        <v>0</v>
      </c>
      <c r="BM120" s="67">
        <v>0</v>
      </c>
      <c r="BN120" s="119">
        <v>0</v>
      </c>
      <c r="BO120" s="123"/>
      <c r="BP120" s="121"/>
      <c r="BQ120" s="121">
        <v>0.05</v>
      </c>
      <c r="BR120" s="124"/>
      <c r="BS120" s="123"/>
      <c r="BT120" s="121"/>
      <c r="BU120" s="121"/>
      <c r="BV120" s="124"/>
      <c r="BY120" s="125">
        <f t="shared" si="1"/>
        <v>31.957999999999998</v>
      </c>
      <c r="BZ120" s="126">
        <f t="shared" si="2"/>
        <v>0</v>
      </c>
      <c r="CA120" s="126">
        <f t="shared" si="3"/>
        <v>31.872</v>
      </c>
      <c r="CB120" s="127">
        <f t="shared" si="4"/>
        <v>0.47299999999999998</v>
      </c>
    </row>
    <row r="121" spans="1:81" ht="14.25" customHeight="1" outlineLevel="3" x14ac:dyDescent="0.25">
      <c r="A121" s="10" t="b">
        <f t="array" ref="A121">A120</f>
        <v>1</v>
      </c>
      <c r="C121" s="136" t="s">
        <v>140</v>
      </c>
      <c r="D121" s="136" t="s">
        <v>141</v>
      </c>
      <c r="E121" s="116" t="s">
        <v>156</v>
      </c>
      <c r="F121" s="116" t="s">
        <v>74</v>
      </c>
      <c r="G121" s="116" t="s">
        <v>73</v>
      </c>
      <c r="H121" s="116" t="s">
        <v>73</v>
      </c>
      <c r="I121" s="116" t="s">
        <v>73</v>
      </c>
      <c r="J121" s="116" t="s">
        <v>73</v>
      </c>
      <c r="K121" s="116" t="s">
        <v>73</v>
      </c>
      <c r="L121" s="116"/>
      <c r="M121" s="5" t="str">
        <f t="array" ref="M121">Y95</f>
        <v>1ХВС::1.1</v>
      </c>
      <c r="N121" s="116"/>
      <c r="AB121" s="29" t="str">
        <f>AB119&amp;".2"</f>
        <v>2.5.2</v>
      </c>
      <c r="AC121" s="87" t="s">
        <v>157</v>
      </c>
      <c r="AD121" s="118" t="s">
        <v>137</v>
      </c>
      <c r="AE121" s="66">
        <f>SUM(AE122:AE125)</f>
        <v>38666.915999999997</v>
      </c>
      <c r="AF121" s="67">
        <f>SUM(AF122:AF125)</f>
        <v>39968.152999999998</v>
      </c>
      <c r="AG121" s="67">
        <f>SUM(AG122:AG125)</f>
        <v>39164.998</v>
      </c>
      <c r="AH121" s="68">
        <f>SUM(AH122:AH125)</f>
        <v>40741.613000000005</v>
      </c>
      <c r="AI121" s="146">
        <v>43.671999999999997</v>
      </c>
      <c r="AJ121" s="67">
        <f>SUM(AJ122:AJ125)</f>
        <v>146.62</v>
      </c>
      <c r="AK121" s="67">
        <f>SUM(AK122:AK125)</f>
        <v>48.451999999999998</v>
      </c>
      <c r="AL121" s="119">
        <v>160.52799999999999</v>
      </c>
      <c r="AM121" s="66">
        <f t="shared" ref="AM121:BE121" si="16">SUM(AM122:AM125)</f>
        <v>963.97199999999998</v>
      </c>
      <c r="AN121" s="67">
        <f t="shared" si="16"/>
        <v>1256.9399999999998</v>
      </c>
      <c r="AO121" s="67">
        <f t="shared" si="16"/>
        <v>1181.3140000000001</v>
      </c>
      <c r="AP121" s="68">
        <f t="shared" si="16"/>
        <v>1133.7800000000002</v>
      </c>
      <c r="AQ121" s="146">
        <f t="shared" si="16"/>
        <v>2074.3290000000002</v>
      </c>
      <c r="AR121" s="67">
        <f t="shared" si="16"/>
        <v>2015.32</v>
      </c>
      <c r="AS121" s="67">
        <f t="shared" si="16"/>
        <v>1989.98</v>
      </c>
      <c r="AT121" s="119">
        <f t="shared" si="16"/>
        <v>2156.98</v>
      </c>
      <c r="AU121" s="66">
        <f t="shared" si="16"/>
        <v>397.2</v>
      </c>
      <c r="AV121" s="67">
        <f t="shared" si="16"/>
        <v>451.38</v>
      </c>
      <c r="AW121" s="67">
        <f t="shared" si="16"/>
        <v>404.13</v>
      </c>
      <c r="AX121" s="119">
        <f t="shared" si="16"/>
        <v>436.24</v>
      </c>
      <c r="AY121" s="66">
        <f t="shared" si="16"/>
        <v>2405.29</v>
      </c>
      <c r="AZ121" s="67">
        <f t="shared" si="16"/>
        <v>3069.1800000000003</v>
      </c>
      <c r="BA121" s="67">
        <f t="shared" si="16"/>
        <v>2263</v>
      </c>
      <c r="BB121" s="119">
        <f t="shared" si="16"/>
        <v>3069.1800000000003</v>
      </c>
      <c r="BC121" s="66">
        <f t="shared" si="16"/>
        <v>690.21</v>
      </c>
      <c r="BD121" s="67">
        <f t="shared" si="16"/>
        <v>711.46</v>
      </c>
      <c r="BE121" s="67">
        <f t="shared" si="16"/>
        <v>698.22</v>
      </c>
      <c r="BF121" s="119">
        <f>BF122+BF123+BF124</f>
        <v>747.23299999999995</v>
      </c>
      <c r="BG121" s="66">
        <f t="shared" ref="BG121:BN121" si="17">SUM(BG122:BG125)</f>
        <v>3021.7509999999997</v>
      </c>
      <c r="BH121" s="67">
        <f t="shared" si="17"/>
        <v>3131.2299999999996</v>
      </c>
      <c r="BI121" s="67">
        <f t="shared" si="17"/>
        <v>3087.08</v>
      </c>
      <c r="BJ121" s="119">
        <f t="shared" si="17"/>
        <v>3131.2299999999996</v>
      </c>
      <c r="BK121" s="66">
        <f t="shared" si="17"/>
        <v>2860.13</v>
      </c>
      <c r="BL121" s="67">
        <f t="shared" si="17"/>
        <v>2622.1080000000002</v>
      </c>
      <c r="BM121" s="67">
        <f t="shared" si="17"/>
        <v>2901.5319999999997</v>
      </c>
      <c r="BN121" s="119">
        <f t="shared" si="17"/>
        <v>3337.67</v>
      </c>
      <c r="BO121" s="123">
        <f t="shared" ref="BO121:BV121" si="18">SUM(BO122:BO125)</f>
        <v>147.51999999999998</v>
      </c>
      <c r="BP121" s="121">
        <f t="shared" si="18"/>
        <v>176.34000000000003</v>
      </c>
      <c r="BQ121" s="121">
        <f t="shared" si="18"/>
        <v>149.05000000000001</v>
      </c>
      <c r="BR121" s="124">
        <f t="shared" si="18"/>
        <v>176.34000000000003</v>
      </c>
      <c r="BS121" s="123">
        <f t="shared" si="18"/>
        <v>288.71999999999997</v>
      </c>
      <c r="BT121" s="121">
        <f t="shared" si="18"/>
        <v>366.76</v>
      </c>
      <c r="BU121" s="121">
        <f t="shared" si="18"/>
        <v>291.03999999999996</v>
      </c>
      <c r="BV121" s="124">
        <f t="shared" si="18"/>
        <v>366.76</v>
      </c>
      <c r="BY121" s="125">
        <f t="shared" si="1"/>
        <v>51559.709999999985</v>
      </c>
      <c r="BZ121" s="126">
        <f t="shared" si="2"/>
        <v>53915.490999999995</v>
      </c>
      <c r="CA121" s="126">
        <f t="shared" si="3"/>
        <v>52178.796000000002</v>
      </c>
      <c r="CB121" s="127">
        <f t="shared" si="4"/>
        <v>55457.553999999996</v>
      </c>
    </row>
    <row r="122" spans="1:81" ht="14.25" customHeight="1" outlineLevel="3" x14ac:dyDescent="0.25">
      <c r="A122" s="10" t="b">
        <f t="array" ref="A122">A121</f>
        <v>1</v>
      </c>
      <c r="C122" s="136" t="s">
        <v>140</v>
      </c>
      <c r="D122" s="136" t="s">
        <v>141</v>
      </c>
      <c r="E122" s="116" t="s">
        <v>158</v>
      </c>
      <c r="F122" s="116" t="s">
        <v>74</v>
      </c>
      <c r="G122" s="116" t="s">
        <v>73</v>
      </c>
      <c r="H122" s="116" t="s">
        <v>73</v>
      </c>
      <c r="I122" s="116" t="s">
        <v>73</v>
      </c>
      <c r="J122" s="116" t="s">
        <v>73</v>
      </c>
      <c r="K122" s="116" t="s">
        <v>73</v>
      </c>
      <c r="L122" s="116"/>
      <c r="M122" s="5" t="str">
        <f t="array" ref="M122">Y95</f>
        <v>1ХВС::1.1</v>
      </c>
      <c r="N122" s="116"/>
      <c r="AB122" s="29" t="str">
        <f>AB121&amp;".1"</f>
        <v>2.5.2.1</v>
      </c>
      <c r="AC122" s="92" t="s">
        <v>159</v>
      </c>
      <c r="AD122" s="118" t="s">
        <v>137</v>
      </c>
      <c r="AE122" s="66">
        <v>29418.454000000002</v>
      </c>
      <c r="AF122" s="67">
        <v>29071.255000000001</v>
      </c>
      <c r="AG122" s="67">
        <v>30012.547999999999</v>
      </c>
      <c r="AH122" s="68">
        <v>29341.74</v>
      </c>
      <c r="AI122" s="146"/>
      <c r="AJ122" s="67"/>
      <c r="AK122" s="67"/>
      <c r="AL122" s="119"/>
      <c r="AM122" s="66">
        <v>642.47500000000002</v>
      </c>
      <c r="AN122" s="67">
        <v>1024.56</v>
      </c>
      <c r="AO122" s="67">
        <v>783</v>
      </c>
      <c r="AP122" s="68">
        <v>708.32</v>
      </c>
      <c r="AQ122" s="146">
        <v>1061.6880000000001</v>
      </c>
      <c r="AR122" s="67">
        <v>1206.78</v>
      </c>
      <c r="AS122" s="67">
        <v>1100.77</v>
      </c>
      <c r="AT122" s="119">
        <v>1040.54</v>
      </c>
      <c r="AU122" s="66">
        <v>260.20999999999998</v>
      </c>
      <c r="AV122" s="67">
        <v>256.95</v>
      </c>
      <c r="AW122" s="67">
        <v>260.20999999999998</v>
      </c>
      <c r="AX122" s="119">
        <v>286.88</v>
      </c>
      <c r="AY122" s="66">
        <v>2000.14</v>
      </c>
      <c r="AZ122" s="67">
        <v>2135.73</v>
      </c>
      <c r="BA122" s="67">
        <v>1887.1</v>
      </c>
      <c r="BB122" s="119">
        <v>2135.73</v>
      </c>
      <c r="BC122" s="66">
        <v>525.98</v>
      </c>
      <c r="BD122" s="67">
        <v>624.97</v>
      </c>
      <c r="BE122" s="67">
        <v>525.76</v>
      </c>
      <c r="BF122" s="119">
        <v>566.173</v>
      </c>
      <c r="BG122" s="66">
        <v>2752.8249999999998</v>
      </c>
      <c r="BH122" s="67">
        <v>3010.18</v>
      </c>
      <c r="BI122" s="67">
        <v>2773.68</v>
      </c>
      <c r="BJ122" s="119">
        <v>3010.18</v>
      </c>
      <c r="BK122" s="66">
        <v>1752.47</v>
      </c>
      <c r="BL122" s="67">
        <v>1954.56</v>
      </c>
      <c r="BM122" s="67">
        <v>1772.84</v>
      </c>
      <c r="BN122" s="119">
        <v>2134</v>
      </c>
      <c r="BO122" s="123">
        <v>127.96</v>
      </c>
      <c r="BP122" s="121">
        <v>166.58</v>
      </c>
      <c r="BQ122" s="145">
        <v>129.09</v>
      </c>
      <c r="BR122" s="124">
        <v>166.58</v>
      </c>
      <c r="BS122" s="123">
        <v>270.12</v>
      </c>
      <c r="BT122" s="121">
        <v>345.56</v>
      </c>
      <c r="BU122" s="121">
        <v>268.33</v>
      </c>
      <c r="BV122" s="124">
        <v>345.56</v>
      </c>
      <c r="BY122" s="125">
        <f t="shared" si="1"/>
        <v>38812.322</v>
      </c>
      <c r="BZ122" s="126">
        <f t="shared" si="2"/>
        <v>39797.125</v>
      </c>
      <c r="CA122" s="126">
        <f t="shared" si="3"/>
        <v>39513.327999999994</v>
      </c>
      <c r="CB122" s="127">
        <f t="shared" si="4"/>
        <v>39735.703000000009</v>
      </c>
    </row>
    <row r="123" spans="1:81" ht="14.25" customHeight="1" outlineLevel="3" x14ac:dyDescent="0.25">
      <c r="A123" s="10" t="b">
        <f t="array" ref="A123">A122</f>
        <v>1</v>
      </c>
      <c r="C123" s="136" t="s">
        <v>140</v>
      </c>
      <c r="D123" s="136" t="s">
        <v>141</v>
      </c>
      <c r="E123" s="116" t="s">
        <v>160</v>
      </c>
      <c r="F123" s="116" t="s">
        <v>74</v>
      </c>
      <c r="G123" s="116" t="s">
        <v>73</v>
      </c>
      <c r="H123" s="116" t="s">
        <v>73</v>
      </c>
      <c r="I123" s="116" t="s">
        <v>73</v>
      </c>
      <c r="J123" s="116" t="s">
        <v>73</v>
      </c>
      <c r="K123" s="116" t="s">
        <v>73</v>
      </c>
      <c r="L123" s="116"/>
      <c r="M123" s="5" t="str">
        <f t="array" ref="M123">Y95</f>
        <v>1ХВС::1.1</v>
      </c>
      <c r="N123" s="116"/>
      <c r="AB123" s="29" t="str">
        <f>AB121&amp;".2"</f>
        <v>2.5.2.2</v>
      </c>
      <c r="AC123" s="92" t="s">
        <v>161</v>
      </c>
      <c r="AD123" s="118" t="s">
        <v>137</v>
      </c>
      <c r="AE123" s="66">
        <v>1799.6</v>
      </c>
      <c r="AF123" s="67">
        <v>1378.732</v>
      </c>
      <c r="AG123" s="67">
        <v>1917.635</v>
      </c>
      <c r="AH123" s="68">
        <v>1405.798</v>
      </c>
      <c r="AI123" s="146"/>
      <c r="AJ123" s="67"/>
      <c r="AK123" s="67"/>
      <c r="AL123" s="119"/>
      <c r="AM123" s="66">
        <v>53.606999999999999</v>
      </c>
      <c r="AN123" s="67">
        <v>52.53</v>
      </c>
      <c r="AO123" s="67">
        <v>65</v>
      </c>
      <c r="AP123" s="68">
        <v>59.11</v>
      </c>
      <c r="AQ123" s="146">
        <v>414.02600000000001</v>
      </c>
      <c r="AR123" s="67">
        <v>414.72</v>
      </c>
      <c r="AS123" s="67">
        <v>385.61</v>
      </c>
      <c r="AT123" s="119">
        <v>456.47</v>
      </c>
      <c r="AU123" s="66">
        <v>14.37</v>
      </c>
      <c r="AV123" s="67">
        <v>14.23</v>
      </c>
      <c r="AW123" s="67">
        <v>14.37</v>
      </c>
      <c r="AX123" s="119">
        <v>14.17</v>
      </c>
      <c r="AY123" s="66">
        <v>89.91</v>
      </c>
      <c r="AZ123" s="67">
        <v>135.41999999999999</v>
      </c>
      <c r="BA123" s="67">
        <v>111.4</v>
      </c>
      <c r="BB123" s="119">
        <v>135.41999999999999</v>
      </c>
      <c r="BC123" s="66">
        <v>39.5</v>
      </c>
      <c r="BD123" s="67">
        <v>56.8</v>
      </c>
      <c r="BE123" s="67">
        <v>44.7</v>
      </c>
      <c r="BF123" s="119">
        <v>43.55</v>
      </c>
      <c r="BG123" s="66">
        <v>78.47</v>
      </c>
      <c r="BH123" s="67">
        <v>44.7</v>
      </c>
      <c r="BI123" s="67">
        <v>88.61</v>
      </c>
      <c r="BJ123" s="119">
        <v>44.7</v>
      </c>
      <c r="BK123" s="66">
        <v>220.98</v>
      </c>
      <c r="BL123" s="67">
        <v>205.87799999999999</v>
      </c>
      <c r="BM123" s="67">
        <v>223.56</v>
      </c>
      <c r="BN123" s="119">
        <v>185.37</v>
      </c>
      <c r="BO123" s="123">
        <v>14.21</v>
      </c>
      <c r="BP123" s="145">
        <v>4.96</v>
      </c>
      <c r="BQ123" s="145">
        <v>14.35</v>
      </c>
      <c r="BR123" s="620">
        <v>4.96</v>
      </c>
      <c r="BS123" s="123">
        <v>3.9</v>
      </c>
      <c r="BT123" s="121">
        <v>11.39</v>
      </c>
      <c r="BU123" s="121">
        <v>7.65</v>
      </c>
      <c r="BV123" s="124">
        <v>11.39</v>
      </c>
      <c r="BY123" s="125">
        <f t="shared" si="1"/>
        <v>2728.5729999999994</v>
      </c>
      <c r="BZ123" s="126">
        <f t="shared" si="2"/>
        <v>2319.36</v>
      </c>
      <c r="CA123" s="126">
        <f t="shared" si="3"/>
        <v>2872.8849999999998</v>
      </c>
      <c r="CB123" s="127">
        <f t="shared" si="4"/>
        <v>2360.9379999999996</v>
      </c>
    </row>
    <row r="124" spans="1:81" ht="14.25" customHeight="1" outlineLevel="3" x14ac:dyDescent="0.25">
      <c r="A124" s="10" t="b">
        <f t="array" ref="A124">A123</f>
        <v>1</v>
      </c>
      <c r="C124" s="136" t="s">
        <v>140</v>
      </c>
      <c r="D124" s="136" t="s">
        <v>141</v>
      </c>
      <c r="E124" s="116" t="s">
        <v>162</v>
      </c>
      <c r="F124" s="116" t="s">
        <v>74</v>
      </c>
      <c r="G124" s="116" t="s">
        <v>73</v>
      </c>
      <c r="H124" s="116" t="s">
        <v>73</v>
      </c>
      <c r="I124" s="116" t="s">
        <v>73</v>
      </c>
      <c r="J124" s="116" t="s">
        <v>73</v>
      </c>
      <c r="K124" s="116" t="s">
        <v>73</v>
      </c>
      <c r="L124" s="116"/>
      <c r="M124" s="5" t="str">
        <f t="array" ref="M124">Y95</f>
        <v>1ХВС::1.1</v>
      </c>
      <c r="N124" s="116"/>
      <c r="AB124" s="29" t="str">
        <f>AB121&amp;".3"</f>
        <v>2.5.2.3</v>
      </c>
      <c r="AC124" s="92" t="s">
        <v>163</v>
      </c>
      <c r="AD124" s="118" t="s">
        <v>137</v>
      </c>
      <c r="AE124" s="66">
        <v>7126.5889999999999</v>
      </c>
      <c r="AF124" s="67">
        <v>9069.4779999999992</v>
      </c>
      <c r="AG124" s="67">
        <v>6929.6909999999998</v>
      </c>
      <c r="AH124" s="68">
        <v>9545.3870000000006</v>
      </c>
      <c r="AI124" s="146">
        <v>43.671999999999997</v>
      </c>
      <c r="AJ124" s="67">
        <v>146.62</v>
      </c>
      <c r="AK124" s="67">
        <v>48.451999999999998</v>
      </c>
      <c r="AL124" s="119">
        <v>160.52799999999999</v>
      </c>
      <c r="AM124" s="66">
        <v>267.89</v>
      </c>
      <c r="AN124" s="67">
        <v>179.85</v>
      </c>
      <c r="AO124" s="67">
        <v>333.31400000000002</v>
      </c>
      <c r="AP124" s="68">
        <v>295.35000000000002</v>
      </c>
      <c r="AQ124" s="146">
        <v>598.61500000000001</v>
      </c>
      <c r="AR124" s="67">
        <v>393.82</v>
      </c>
      <c r="AS124" s="67">
        <v>503.6</v>
      </c>
      <c r="AT124" s="119">
        <v>659.97</v>
      </c>
      <c r="AU124" s="66">
        <v>122.62</v>
      </c>
      <c r="AV124" s="67">
        <v>180.2</v>
      </c>
      <c r="AW124" s="67">
        <v>129.55000000000001</v>
      </c>
      <c r="AX124" s="119">
        <v>135.19</v>
      </c>
      <c r="AY124" s="66">
        <v>315.24</v>
      </c>
      <c r="AZ124" s="67">
        <v>798.03</v>
      </c>
      <c r="BA124" s="67">
        <v>264.5</v>
      </c>
      <c r="BB124" s="119">
        <v>798.03</v>
      </c>
      <c r="BC124" s="66">
        <v>124.73</v>
      </c>
      <c r="BD124" s="67">
        <v>29.69</v>
      </c>
      <c r="BE124" s="67">
        <v>127.76</v>
      </c>
      <c r="BF124" s="119">
        <v>137.51</v>
      </c>
      <c r="BG124" s="66">
        <v>190.45599999999999</v>
      </c>
      <c r="BH124" s="67">
        <v>76.349999999999994</v>
      </c>
      <c r="BI124" s="67">
        <v>224.79</v>
      </c>
      <c r="BJ124" s="119">
        <v>76.349999999999994</v>
      </c>
      <c r="BK124" s="66">
        <v>886.68</v>
      </c>
      <c r="BL124" s="67">
        <v>461.67</v>
      </c>
      <c r="BM124" s="67">
        <v>905.13199999999995</v>
      </c>
      <c r="BN124" s="119">
        <v>1018.3</v>
      </c>
      <c r="BO124" s="123">
        <v>5.35</v>
      </c>
      <c r="BP124" s="145">
        <v>4.8</v>
      </c>
      <c r="BQ124" s="145">
        <v>5.61</v>
      </c>
      <c r="BR124" s="620">
        <v>4.8</v>
      </c>
      <c r="BS124" s="123">
        <v>14.7</v>
      </c>
      <c r="BT124" s="121">
        <v>9.81</v>
      </c>
      <c r="BU124" s="121">
        <v>15.06</v>
      </c>
      <c r="BV124" s="124">
        <v>9.81</v>
      </c>
      <c r="BY124" s="125">
        <f t="shared" si="1"/>
        <v>9696.5420000000013</v>
      </c>
      <c r="BZ124" s="126">
        <f t="shared" si="2"/>
        <v>11350.318000000001</v>
      </c>
      <c r="CA124" s="126">
        <f t="shared" si="3"/>
        <v>9487.4590000000007</v>
      </c>
      <c r="CB124" s="127">
        <f t="shared" si="4"/>
        <v>12841.225</v>
      </c>
    </row>
    <row r="125" spans="1:81" ht="14.25" customHeight="1" outlineLevel="3" x14ac:dyDescent="0.25">
      <c r="A125" s="10" t="b">
        <f t="array" ref="A125">A124</f>
        <v>1</v>
      </c>
      <c r="C125" s="136" t="s">
        <v>140</v>
      </c>
      <c r="D125" s="136" t="s">
        <v>141</v>
      </c>
      <c r="E125" s="116" t="s">
        <v>164</v>
      </c>
      <c r="F125" s="116" t="s">
        <v>74</v>
      </c>
      <c r="G125" s="116" t="s">
        <v>73</v>
      </c>
      <c r="H125" s="116" t="s">
        <v>73</v>
      </c>
      <c r="I125" s="116" t="s">
        <v>73</v>
      </c>
      <c r="J125" s="116" t="s">
        <v>73</v>
      </c>
      <c r="K125" s="116" t="s">
        <v>73</v>
      </c>
      <c r="L125" s="116"/>
      <c r="M125" s="5" t="str">
        <f t="array" ref="M125">Y95</f>
        <v>1ХВС::1.1</v>
      </c>
      <c r="N125" s="116"/>
      <c r="AB125" s="29" t="str">
        <f>AB121&amp;".4"</f>
        <v>2.5.2.4</v>
      </c>
      <c r="AC125" s="92" t="s">
        <v>165</v>
      </c>
      <c r="AD125" s="118" t="s">
        <v>137</v>
      </c>
      <c r="AE125" s="66">
        <v>322.27300000000002</v>
      </c>
      <c r="AF125" s="67">
        <v>448.68799999999999</v>
      </c>
      <c r="AG125" s="67">
        <v>305.12400000000002</v>
      </c>
      <c r="AH125" s="68">
        <v>448.68799999999999</v>
      </c>
      <c r="AI125" s="146"/>
      <c r="AJ125" s="67"/>
      <c r="AK125" s="67"/>
      <c r="AL125" s="119"/>
      <c r="AM125" s="66">
        <v>0</v>
      </c>
      <c r="AN125" s="67">
        <v>0</v>
      </c>
      <c r="AO125" s="67">
        <v>0</v>
      </c>
      <c r="AP125" s="68">
        <v>71</v>
      </c>
      <c r="AQ125" s="146">
        <v>0</v>
      </c>
      <c r="AR125" s="67">
        <v>0</v>
      </c>
      <c r="AS125" s="67">
        <v>0</v>
      </c>
      <c r="AT125" s="119"/>
      <c r="AU125" s="66">
        <v>0</v>
      </c>
      <c r="AV125" s="67">
        <v>0</v>
      </c>
      <c r="AW125" s="67">
        <v>0</v>
      </c>
      <c r="AX125" s="119"/>
      <c r="AY125" s="66"/>
      <c r="AZ125" s="67"/>
      <c r="BA125" s="67"/>
      <c r="BB125" s="119"/>
      <c r="BC125" s="66">
        <v>0</v>
      </c>
      <c r="BD125" s="67">
        <v>0</v>
      </c>
      <c r="BE125" s="67"/>
      <c r="BF125" s="119"/>
      <c r="BG125" s="66"/>
      <c r="BH125" s="67"/>
      <c r="BI125" s="67"/>
      <c r="BJ125" s="119">
        <v>0</v>
      </c>
      <c r="BK125" s="66">
        <v>0</v>
      </c>
      <c r="BL125" s="67">
        <v>0</v>
      </c>
      <c r="BM125" s="67">
        <v>0</v>
      </c>
      <c r="BN125" s="119">
        <v>0</v>
      </c>
      <c r="BO125" s="66"/>
      <c r="BP125" s="67"/>
      <c r="BQ125" s="67"/>
      <c r="BR125" s="68"/>
      <c r="BS125" s="66"/>
      <c r="BT125" s="67"/>
      <c r="BU125" s="67"/>
      <c r="BV125" s="68"/>
      <c r="BY125" s="125">
        <f t="shared" si="1"/>
        <v>322.27300000000002</v>
      </c>
      <c r="BZ125" s="126">
        <f t="shared" si="2"/>
        <v>448.68799999999999</v>
      </c>
      <c r="CA125" s="126">
        <f t="shared" si="3"/>
        <v>305.12400000000002</v>
      </c>
      <c r="CB125" s="127">
        <f t="shared" si="4"/>
        <v>519.68799999999999</v>
      </c>
    </row>
    <row r="126" spans="1:81" ht="14.25" hidden="1" customHeight="1" outlineLevel="3" x14ac:dyDescent="0.25">
      <c r="A126" s="10" t="e">
        <f>AND(#REF!,region_name="Республика Татарстан")</f>
        <v>#REF!</v>
      </c>
      <c r="C126" s="8" t="s">
        <v>140</v>
      </c>
      <c r="D126" s="8" t="s">
        <v>141</v>
      </c>
      <c r="E126" s="8" t="s">
        <v>172</v>
      </c>
      <c r="F126" s="8" t="s">
        <v>74</v>
      </c>
      <c r="G126" s="8" t="s">
        <v>73</v>
      </c>
      <c r="H126" s="8" t="s">
        <v>73</v>
      </c>
      <c r="I126" s="8" t="s">
        <v>73</v>
      </c>
      <c r="J126" s="8" t="s">
        <v>73</v>
      </c>
      <c r="K126" s="8" t="s">
        <v>73</v>
      </c>
      <c r="L126" s="8"/>
      <c r="M126" s="5" t="str">
        <f t="array" ref="M126">Y95</f>
        <v>1ХВС::1.1</v>
      </c>
      <c r="N126" s="4"/>
      <c r="Z126" s="6"/>
      <c r="AA126" s="6"/>
      <c r="AB126" s="29"/>
      <c r="AC126" s="71"/>
      <c r="AD126" s="51"/>
      <c r="AE126" s="66"/>
      <c r="AF126" s="67"/>
      <c r="AG126" s="67"/>
      <c r="AH126" s="68"/>
      <c r="AI126" s="146"/>
      <c r="AJ126" s="67"/>
      <c r="AK126" s="67"/>
      <c r="AL126" s="119"/>
      <c r="AM126" s="66"/>
      <c r="AN126" s="67"/>
      <c r="AO126" s="67"/>
      <c r="AP126" s="68"/>
      <c r="AQ126" s="146"/>
      <c r="AR126" s="67"/>
      <c r="AS126" s="67"/>
      <c r="AT126" s="119"/>
      <c r="AU126" s="66"/>
      <c r="AV126" s="67"/>
      <c r="AW126" s="67"/>
      <c r="AX126" s="119"/>
      <c r="AY126" s="66"/>
      <c r="AZ126" s="67"/>
      <c r="BA126" s="67"/>
      <c r="BB126" s="119"/>
      <c r="BC126" s="66"/>
      <c r="BD126" s="67"/>
      <c r="BE126" s="67"/>
      <c r="BF126" s="119"/>
      <c r="BG126" s="66"/>
      <c r="BH126" s="67"/>
      <c r="BI126" s="67"/>
      <c r="BJ126" s="119"/>
      <c r="BK126" s="66"/>
      <c r="BL126" s="67"/>
      <c r="BM126" s="67"/>
      <c r="BN126" s="119"/>
      <c r="BO126" s="66"/>
      <c r="BP126" s="67"/>
      <c r="BQ126" s="67"/>
      <c r="BR126" s="68"/>
      <c r="BS126" s="66"/>
      <c r="BT126" s="67"/>
      <c r="BU126" s="67"/>
      <c r="BV126" s="68"/>
      <c r="BY126" s="125">
        <f t="shared" si="1"/>
        <v>0</v>
      </c>
      <c r="BZ126" s="126">
        <f t="shared" si="2"/>
        <v>0</v>
      </c>
      <c r="CA126" s="126">
        <f t="shared" si="3"/>
        <v>0</v>
      </c>
      <c r="CB126" s="127">
        <f t="shared" si="4"/>
        <v>0</v>
      </c>
    </row>
    <row r="127" spans="1:81" ht="14.25" hidden="1" customHeight="1" outlineLevel="3" x14ac:dyDescent="0.25">
      <c r="A127" s="10" t="e">
        <f>AND(#REF!,region_name="Республика Татарстан")</f>
        <v>#REF!</v>
      </c>
      <c r="C127" s="8" t="s">
        <v>140</v>
      </c>
      <c r="D127" s="8" t="s">
        <v>141</v>
      </c>
      <c r="E127" s="8" t="s">
        <v>173</v>
      </c>
      <c r="F127" s="8" t="s">
        <v>74</v>
      </c>
      <c r="G127" s="8" t="s">
        <v>73</v>
      </c>
      <c r="H127" s="8" t="s">
        <v>73</v>
      </c>
      <c r="I127" s="8" t="s">
        <v>73</v>
      </c>
      <c r="J127" s="8" t="s">
        <v>73</v>
      </c>
      <c r="K127" s="8" t="s">
        <v>73</v>
      </c>
      <c r="L127" s="8"/>
      <c r="M127" s="5" t="str">
        <f t="array" ref="M127">Y95</f>
        <v>1ХВС::1.1</v>
      </c>
      <c r="N127" s="4"/>
      <c r="Z127" s="6"/>
      <c r="AA127" s="6"/>
      <c r="AB127" s="29"/>
      <c r="AC127" s="87"/>
      <c r="AD127" s="51"/>
      <c r="AE127" s="66"/>
      <c r="AF127" s="67"/>
      <c r="AG127" s="67"/>
      <c r="AH127" s="68"/>
      <c r="AI127" s="146"/>
      <c r="AJ127" s="67"/>
      <c r="AK127" s="67"/>
      <c r="AL127" s="119"/>
      <c r="AM127" s="66"/>
      <c r="AN127" s="67"/>
      <c r="AO127" s="67"/>
      <c r="AP127" s="68"/>
      <c r="AQ127" s="146"/>
      <c r="AR127" s="67"/>
      <c r="AS127" s="67"/>
      <c r="AT127" s="119"/>
      <c r="AU127" s="66"/>
      <c r="AV127" s="67"/>
      <c r="AW127" s="67"/>
      <c r="AX127" s="119"/>
      <c r="AY127" s="66"/>
      <c r="AZ127" s="67"/>
      <c r="BA127" s="67"/>
      <c r="BB127" s="119"/>
      <c r="BC127" s="66"/>
      <c r="BD127" s="67"/>
      <c r="BE127" s="67"/>
      <c r="BF127" s="119"/>
      <c r="BG127" s="66"/>
      <c r="BH127" s="67"/>
      <c r="BI127" s="67"/>
      <c r="BJ127" s="119"/>
      <c r="BK127" s="66"/>
      <c r="BL127" s="67"/>
      <c r="BM127" s="67"/>
      <c r="BN127" s="119"/>
      <c r="BO127" s="66"/>
      <c r="BP127" s="67"/>
      <c r="BQ127" s="67"/>
      <c r="BR127" s="68"/>
      <c r="BS127" s="66"/>
      <c r="BT127" s="67"/>
      <c r="BU127" s="67"/>
      <c r="BV127" s="68"/>
      <c r="BY127" s="125">
        <f t="shared" si="1"/>
        <v>0</v>
      </c>
      <c r="BZ127" s="126">
        <f t="shared" si="2"/>
        <v>0</v>
      </c>
      <c r="CA127" s="126">
        <f t="shared" si="3"/>
        <v>0</v>
      </c>
      <c r="CB127" s="127">
        <f t="shared" si="4"/>
        <v>0</v>
      </c>
    </row>
    <row r="128" spans="1:81" ht="14.25" hidden="1" customHeight="1" outlineLevel="3" x14ac:dyDescent="0.25">
      <c r="A128" s="10" t="e">
        <f t="array" ref="A128">#REF!</f>
        <v>#REF!</v>
      </c>
      <c r="C128" s="8" t="s">
        <v>140</v>
      </c>
      <c r="D128" s="8" t="s">
        <v>141</v>
      </c>
      <c r="E128" s="8" t="s">
        <v>174</v>
      </c>
      <c r="F128" s="8" t="s">
        <v>74</v>
      </c>
      <c r="G128" s="8" t="s">
        <v>73</v>
      </c>
      <c r="H128" s="8" t="s">
        <v>73</v>
      </c>
      <c r="I128" s="8" t="s">
        <v>73</v>
      </c>
      <c r="J128" s="8" t="s">
        <v>73</v>
      </c>
      <c r="K128" s="8" t="s">
        <v>73</v>
      </c>
      <c r="L128" s="8"/>
      <c r="M128" s="5" t="str">
        <f t="array" ref="M128">Y95</f>
        <v>1ХВС::1.1</v>
      </c>
      <c r="N128" s="4"/>
      <c r="Z128" s="6"/>
      <c r="AA128" s="6"/>
      <c r="AB128" s="29"/>
      <c r="AC128" s="71"/>
      <c r="AD128" s="51"/>
      <c r="AE128" s="66"/>
      <c r="AF128" s="67"/>
      <c r="AG128" s="67"/>
      <c r="AH128" s="68"/>
      <c r="AI128" s="146"/>
      <c r="AJ128" s="67"/>
      <c r="AK128" s="67"/>
      <c r="AL128" s="119"/>
      <c r="AM128" s="66"/>
      <c r="AN128" s="67"/>
      <c r="AO128" s="67"/>
      <c r="AP128" s="68"/>
      <c r="AQ128" s="146"/>
      <c r="AR128" s="67"/>
      <c r="AS128" s="67"/>
      <c r="AT128" s="119"/>
      <c r="AU128" s="66"/>
      <c r="AV128" s="67"/>
      <c r="AW128" s="67"/>
      <c r="AX128" s="119"/>
      <c r="AY128" s="66"/>
      <c r="AZ128" s="67"/>
      <c r="BA128" s="67"/>
      <c r="BB128" s="119"/>
      <c r="BC128" s="66"/>
      <c r="BD128" s="67"/>
      <c r="BE128" s="67"/>
      <c r="BF128" s="119"/>
      <c r="BG128" s="66"/>
      <c r="BH128" s="67"/>
      <c r="BI128" s="67"/>
      <c r="BJ128" s="119"/>
      <c r="BK128" s="66"/>
      <c r="BL128" s="67"/>
      <c r="BM128" s="67"/>
      <c r="BN128" s="119"/>
      <c r="BO128" s="66"/>
      <c r="BP128" s="67"/>
      <c r="BQ128" s="67"/>
      <c r="BR128" s="68"/>
      <c r="BS128" s="66"/>
      <c r="BT128" s="67"/>
      <c r="BU128" s="67"/>
      <c r="BV128" s="68"/>
      <c r="BY128" s="125">
        <f t="shared" si="1"/>
        <v>0</v>
      </c>
      <c r="BZ128" s="126">
        <f t="shared" si="2"/>
        <v>0</v>
      </c>
      <c r="CA128" s="126">
        <f t="shared" si="3"/>
        <v>0</v>
      </c>
      <c r="CB128" s="127">
        <f t="shared" si="4"/>
        <v>0</v>
      </c>
    </row>
    <row r="129" spans="1:81" ht="14.25" hidden="1" customHeight="1" outlineLevel="3" x14ac:dyDescent="0.25">
      <c r="A129" s="10" t="e">
        <f t="array" ref="A129">A128</f>
        <v>#REF!</v>
      </c>
      <c r="C129" s="8" t="s">
        <v>140</v>
      </c>
      <c r="D129" s="8" t="s">
        <v>141</v>
      </c>
      <c r="E129" s="8" t="s">
        <v>175</v>
      </c>
      <c r="F129" s="8" t="s">
        <v>74</v>
      </c>
      <c r="G129" s="8" t="s">
        <v>73</v>
      </c>
      <c r="H129" s="8" t="s">
        <v>73</v>
      </c>
      <c r="I129" s="8" t="s">
        <v>73</v>
      </c>
      <c r="J129" s="8" t="s">
        <v>73</v>
      </c>
      <c r="K129" s="8" t="s">
        <v>73</v>
      </c>
      <c r="L129" s="8"/>
      <c r="M129" s="5" t="str">
        <f t="array" ref="M129">Y95</f>
        <v>1ХВС::1.1</v>
      </c>
      <c r="N129" s="4"/>
      <c r="Z129" s="6"/>
      <c r="AA129" s="6"/>
      <c r="AB129" s="29"/>
      <c r="AC129" s="87"/>
      <c r="AD129" s="51"/>
      <c r="AE129" s="66"/>
      <c r="AF129" s="67"/>
      <c r="AG129" s="67"/>
      <c r="AH129" s="68"/>
      <c r="AI129" s="146"/>
      <c r="AJ129" s="67"/>
      <c r="AK129" s="67"/>
      <c r="AL129" s="119"/>
      <c r="AM129" s="66"/>
      <c r="AN129" s="67"/>
      <c r="AO129" s="67"/>
      <c r="AP129" s="68"/>
      <c r="AQ129" s="146"/>
      <c r="AR129" s="67"/>
      <c r="AS129" s="67"/>
      <c r="AT129" s="119"/>
      <c r="AU129" s="66"/>
      <c r="AV129" s="67"/>
      <c r="AW129" s="67"/>
      <c r="AX129" s="119"/>
      <c r="AY129" s="66"/>
      <c r="AZ129" s="67"/>
      <c r="BA129" s="67"/>
      <c r="BB129" s="119"/>
      <c r="BC129" s="66"/>
      <c r="BD129" s="67"/>
      <c r="BE129" s="67"/>
      <c r="BF129" s="119"/>
      <c r="BG129" s="66"/>
      <c r="BH129" s="67"/>
      <c r="BI129" s="67"/>
      <c r="BJ129" s="119"/>
      <c r="BK129" s="66"/>
      <c r="BL129" s="67"/>
      <c r="BM129" s="67"/>
      <c r="BN129" s="119"/>
      <c r="BO129" s="66"/>
      <c r="BP129" s="67"/>
      <c r="BQ129" s="67"/>
      <c r="BR129" s="68"/>
      <c r="BS129" s="66"/>
      <c r="BT129" s="67"/>
      <c r="BU129" s="67"/>
      <c r="BV129" s="68"/>
      <c r="BY129" s="125">
        <f t="shared" si="1"/>
        <v>0</v>
      </c>
      <c r="BZ129" s="126">
        <f t="shared" si="2"/>
        <v>0</v>
      </c>
      <c r="CA129" s="126">
        <f t="shared" si="3"/>
        <v>0</v>
      </c>
      <c r="CB129" s="127">
        <f t="shared" si="4"/>
        <v>0</v>
      </c>
    </row>
    <row r="130" spans="1:81" ht="14.25" hidden="1" customHeight="1" outlineLevel="3" x14ac:dyDescent="0.25">
      <c r="A130" s="10" t="e">
        <f t="array" ref="A130">A129</f>
        <v>#REF!</v>
      </c>
      <c r="C130" s="8" t="s">
        <v>140</v>
      </c>
      <c r="D130" s="8" t="s">
        <v>141</v>
      </c>
      <c r="E130" s="8" t="s">
        <v>176</v>
      </c>
      <c r="F130" s="8" t="s">
        <v>74</v>
      </c>
      <c r="G130" s="8" t="s">
        <v>73</v>
      </c>
      <c r="H130" s="8" t="s">
        <v>73</v>
      </c>
      <c r="I130" s="8" t="s">
        <v>73</v>
      </c>
      <c r="J130" s="8" t="s">
        <v>73</v>
      </c>
      <c r="K130" s="8" t="s">
        <v>73</v>
      </c>
      <c r="L130" s="8"/>
      <c r="M130" s="5" t="str">
        <f t="array" ref="M130">Y95</f>
        <v>1ХВС::1.1</v>
      </c>
      <c r="N130" s="4"/>
      <c r="Z130" s="6"/>
      <c r="AA130" s="6"/>
      <c r="AB130" s="29"/>
      <c r="AC130" s="87"/>
      <c r="AD130" s="51"/>
      <c r="AE130" s="66"/>
      <c r="AF130" s="67"/>
      <c r="AG130" s="67"/>
      <c r="AH130" s="68"/>
      <c r="AI130" s="146"/>
      <c r="AJ130" s="67"/>
      <c r="AK130" s="67"/>
      <c r="AL130" s="119"/>
      <c r="AM130" s="66"/>
      <c r="AN130" s="67"/>
      <c r="AO130" s="67"/>
      <c r="AP130" s="68"/>
      <c r="AQ130" s="146"/>
      <c r="AR130" s="67"/>
      <c r="AS130" s="67"/>
      <c r="AT130" s="119"/>
      <c r="AU130" s="66"/>
      <c r="AV130" s="67"/>
      <c r="AW130" s="67"/>
      <c r="AX130" s="119"/>
      <c r="AY130" s="66"/>
      <c r="AZ130" s="67"/>
      <c r="BA130" s="67"/>
      <c r="BB130" s="119"/>
      <c r="BC130" s="66"/>
      <c r="BD130" s="67"/>
      <c r="BE130" s="67"/>
      <c r="BF130" s="119"/>
      <c r="BG130" s="66"/>
      <c r="BH130" s="67"/>
      <c r="BI130" s="67"/>
      <c r="BJ130" s="119"/>
      <c r="BK130" s="66"/>
      <c r="BL130" s="67"/>
      <c r="BM130" s="67"/>
      <c r="BN130" s="119"/>
      <c r="BO130" s="66"/>
      <c r="BP130" s="67"/>
      <c r="BQ130" s="67"/>
      <c r="BR130" s="68"/>
      <c r="BS130" s="66"/>
      <c r="BT130" s="67"/>
      <c r="BU130" s="67"/>
      <c r="BV130" s="68"/>
      <c r="BY130" s="125">
        <f t="shared" si="1"/>
        <v>0</v>
      </c>
      <c r="BZ130" s="126">
        <f t="shared" si="2"/>
        <v>0</v>
      </c>
      <c r="CA130" s="126">
        <f t="shared" si="3"/>
        <v>0</v>
      </c>
      <c r="CB130" s="127">
        <f t="shared" si="4"/>
        <v>0</v>
      </c>
    </row>
    <row r="131" spans="1:81" ht="14.25" hidden="1" customHeight="1" outlineLevel="3" x14ac:dyDescent="0.25">
      <c r="A131" s="10" t="e">
        <f t="array" ref="A131">A130</f>
        <v>#REF!</v>
      </c>
      <c r="C131" s="116" t="s">
        <v>140</v>
      </c>
      <c r="D131" s="116" t="s">
        <v>141</v>
      </c>
      <c r="E131" s="116" t="s">
        <v>177</v>
      </c>
      <c r="F131" s="116" t="s">
        <v>74</v>
      </c>
      <c r="G131" s="116" t="s">
        <v>73</v>
      </c>
      <c r="H131" s="116" t="s">
        <v>73</v>
      </c>
      <c r="I131" s="116" t="s">
        <v>73</v>
      </c>
      <c r="J131" s="116" t="s">
        <v>73</v>
      </c>
      <c r="K131" s="116" t="s">
        <v>73</v>
      </c>
      <c r="L131" s="116"/>
      <c r="M131" s="5" t="str">
        <f t="array" ref="M131">Y95</f>
        <v>1ХВС::1.1</v>
      </c>
      <c r="N131" s="116"/>
      <c r="Z131" s="6"/>
      <c r="AA131" s="6"/>
      <c r="AB131" s="29"/>
      <c r="AC131" s="92"/>
      <c r="AD131" s="51"/>
      <c r="AE131" s="66"/>
      <c r="AF131" s="67"/>
      <c r="AG131" s="67"/>
      <c r="AH131" s="68"/>
      <c r="AI131" s="146"/>
      <c r="AJ131" s="67"/>
      <c r="AK131" s="67"/>
      <c r="AL131" s="119"/>
      <c r="AM131" s="66"/>
      <c r="AN131" s="67"/>
      <c r="AO131" s="67"/>
      <c r="AP131" s="68"/>
      <c r="AQ131" s="146"/>
      <c r="AR131" s="67"/>
      <c r="AS131" s="67"/>
      <c r="AT131" s="119"/>
      <c r="AU131" s="66"/>
      <c r="AV131" s="67"/>
      <c r="AW131" s="67"/>
      <c r="AX131" s="119"/>
      <c r="AY131" s="66"/>
      <c r="AZ131" s="67"/>
      <c r="BA131" s="67"/>
      <c r="BB131" s="119"/>
      <c r="BC131" s="66"/>
      <c r="BD131" s="67"/>
      <c r="BE131" s="67"/>
      <c r="BF131" s="119"/>
      <c r="BG131" s="66"/>
      <c r="BH131" s="67"/>
      <c r="BI131" s="67"/>
      <c r="BJ131" s="119"/>
      <c r="BK131" s="66"/>
      <c r="BL131" s="67"/>
      <c r="BM131" s="67"/>
      <c r="BN131" s="119"/>
      <c r="BO131" s="66"/>
      <c r="BP131" s="67"/>
      <c r="BQ131" s="67"/>
      <c r="BR131" s="68"/>
      <c r="BS131" s="66"/>
      <c r="BT131" s="67"/>
      <c r="BU131" s="67"/>
      <c r="BV131" s="68"/>
      <c r="BY131" s="125">
        <f t="shared" si="1"/>
        <v>0</v>
      </c>
      <c r="BZ131" s="126">
        <f t="shared" si="2"/>
        <v>0</v>
      </c>
      <c r="CA131" s="126">
        <f t="shared" si="3"/>
        <v>0</v>
      </c>
      <c r="CB131" s="127">
        <f t="shared" si="4"/>
        <v>0</v>
      </c>
    </row>
    <row r="132" spans="1:81" ht="14.25" hidden="1" customHeight="1" outlineLevel="3" x14ac:dyDescent="0.25">
      <c r="A132" s="10" t="e">
        <f t="array" ref="A132">A131</f>
        <v>#REF!</v>
      </c>
      <c r="C132" s="116" t="s">
        <v>140</v>
      </c>
      <c r="D132" s="116" t="s">
        <v>141</v>
      </c>
      <c r="E132" s="116" t="s">
        <v>178</v>
      </c>
      <c r="F132" s="116" t="s">
        <v>74</v>
      </c>
      <c r="G132" s="116" t="s">
        <v>73</v>
      </c>
      <c r="H132" s="116" t="s">
        <v>73</v>
      </c>
      <c r="I132" s="116" t="s">
        <v>73</v>
      </c>
      <c r="J132" s="116" t="s">
        <v>73</v>
      </c>
      <c r="K132" s="116" t="s">
        <v>73</v>
      </c>
      <c r="L132" s="116"/>
      <c r="M132" s="5" t="str">
        <f t="array" ref="M132">Y95</f>
        <v>1ХВС::1.1</v>
      </c>
      <c r="N132" s="116"/>
      <c r="Z132" s="6"/>
      <c r="AA132" s="6"/>
      <c r="AB132" s="29"/>
      <c r="AC132" s="153"/>
      <c r="AD132" s="51"/>
      <c r="AE132" s="66"/>
      <c r="AF132" s="67"/>
      <c r="AG132" s="67"/>
      <c r="AH132" s="68"/>
      <c r="AI132" s="146"/>
      <c r="AJ132" s="67"/>
      <c r="AK132" s="67"/>
      <c r="AL132" s="119"/>
      <c r="AM132" s="66"/>
      <c r="AN132" s="67"/>
      <c r="AO132" s="67"/>
      <c r="AP132" s="68"/>
      <c r="AQ132" s="146"/>
      <c r="AR132" s="67"/>
      <c r="AS132" s="67"/>
      <c r="AT132" s="119"/>
      <c r="AU132" s="66"/>
      <c r="AV132" s="67"/>
      <c r="AW132" s="67"/>
      <c r="AX132" s="119"/>
      <c r="AY132" s="66"/>
      <c r="AZ132" s="67"/>
      <c r="BA132" s="67"/>
      <c r="BB132" s="119"/>
      <c r="BC132" s="66"/>
      <c r="BD132" s="67"/>
      <c r="BE132" s="67"/>
      <c r="BF132" s="119"/>
      <c r="BG132" s="66"/>
      <c r="BH132" s="67"/>
      <c r="BI132" s="67"/>
      <c r="BJ132" s="119"/>
      <c r="BK132" s="66"/>
      <c r="BL132" s="67"/>
      <c r="BM132" s="67"/>
      <c r="BN132" s="119"/>
      <c r="BO132" s="66"/>
      <c r="BP132" s="67"/>
      <c r="BQ132" s="67"/>
      <c r="BR132" s="68"/>
      <c r="BS132" s="66"/>
      <c r="BT132" s="67"/>
      <c r="BU132" s="67"/>
      <c r="BV132" s="68"/>
      <c r="BY132" s="125">
        <f t="shared" si="1"/>
        <v>0</v>
      </c>
      <c r="BZ132" s="126">
        <f t="shared" si="2"/>
        <v>0</v>
      </c>
      <c r="CA132" s="126">
        <f t="shared" si="3"/>
        <v>0</v>
      </c>
      <c r="CB132" s="127">
        <f t="shared" si="4"/>
        <v>0</v>
      </c>
    </row>
    <row r="133" spans="1:81" ht="14.25" hidden="1" customHeight="1" outlineLevel="3" x14ac:dyDescent="0.25">
      <c r="A133" s="10" t="e">
        <f t="array" ref="A133">A132</f>
        <v>#REF!</v>
      </c>
      <c r="C133" s="116" t="s">
        <v>140</v>
      </c>
      <c r="D133" s="116" t="s">
        <v>141</v>
      </c>
      <c r="E133" s="116" t="s">
        <v>179</v>
      </c>
      <c r="F133" s="116" t="s">
        <v>74</v>
      </c>
      <c r="G133" s="116" t="s">
        <v>73</v>
      </c>
      <c r="H133" s="116" t="s">
        <v>73</v>
      </c>
      <c r="I133" s="116" t="s">
        <v>73</v>
      </c>
      <c r="J133" s="116" t="s">
        <v>73</v>
      </c>
      <c r="K133" s="116" t="s">
        <v>73</v>
      </c>
      <c r="L133" s="116"/>
      <c r="M133" s="5" t="str">
        <f t="array" ref="M133">Y95</f>
        <v>1ХВС::1.1</v>
      </c>
      <c r="N133" s="116"/>
      <c r="Z133" s="6"/>
      <c r="AA133" s="6"/>
      <c r="AB133" s="29"/>
      <c r="AC133" s="153"/>
      <c r="AD133" s="51"/>
      <c r="AE133" s="66"/>
      <c r="AF133" s="67"/>
      <c r="AG133" s="67"/>
      <c r="AH133" s="68"/>
      <c r="AI133" s="146"/>
      <c r="AJ133" s="67"/>
      <c r="AK133" s="67"/>
      <c r="AL133" s="119"/>
      <c r="AM133" s="66"/>
      <c r="AN133" s="67"/>
      <c r="AO133" s="67"/>
      <c r="AP133" s="68"/>
      <c r="AQ133" s="146"/>
      <c r="AR133" s="67"/>
      <c r="AS133" s="67"/>
      <c r="AT133" s="119"/>
      <c r="AU133" s="66"/>
      <c r="AV133" s="67"/>
      <c r="AW133" s="67"/>
      <c r="AX133" s="119"/>
      <c r="AY133" s="66"/>
      <c r="AZ133" s="67"/>
      <c r="BA133" s="67"/>
      <c r="BB133" s="119"/>
      <c r="BC133" s="66"/>
      <c r="BD133" s="67"/>
      <c r="BE133" s="67"/>
      <c r="BF133" s="119"/>
      <c r="BG133" s="66"/>
      <c r="BH133" s="67"/>
      <c r="BI133" s="67"/>
      <c r="BJ133" s="119"/>
      <c r="BK133" s="66"/>
      <c r="BL133" s="67"/>
      <c r="BM133" s="67"/>
      <c r="BN133" s="119"/>
      <c r="BO133" s="66"/>
      <c r="BP133" s="67"/>
      <c r="BQ133" s="67"/>
      <c r="BR133" s="68"/>
      <c r="BS133" s="66"/>
      <c r="BT133" s="67"/>
      <c r="BU133" s="67"/>
      <c r="BV133" s="68"/>
      <c r="BY133" s="125">
        <f t="shared" si="1"/>
        <v>0</v>
      </c>
      <c r="BZ133" s="126">
        <f t="shared" si="2"/>
        <v>0</v>
      </c>
      <c r="CA133" s="126">
        <f t="shared" si="3"/>
        <v>0</v>
      </c>
      <c r="CB133" s="127">
        <f t="shared" si="4"/>
        <v>0</v>
      </c>
    </row>
    <row r="134" spans="1:81" ht="14.25" hidden="1" customHeight="1" outlineLevel="3" x14ac:dyDescent="0.25">
      <c r="A134" s="10" t="e">
        <f t="array" ref="A134">A133</f>
        <v>#REF!</v>
      </c>
      <c r="C134" s="116" t="s">
        <v>140</v>
      </c>
      <c r="D134" s="116" t="s">
        <v>141</v>
      </c>
      <c r="E134" s="116" t="s">
        <v>180</v>
      </c>
      <c r="F134" s="116" t="s">
        <v>74</v>
      </c>
      <c r="G134" s="116" t="s">
        <v>73</v>
      </c>
      <c r="H134" s="116" t="s">
        <v>73</v>
      </c>
      <c r="I134" s="116" t="s">
        <v>73</v>
      </c>
      <c r="J134" s="116" t="s">
        <v>73</v>
      </c>
      <c r="K134" s="116" t="s">
        <v>73</v>
      </c>
      <c r="L134" s="116"/>
      <c r="M134" s="5" t="str">
        <f t="array" ref="M134">Y95</f>
        <v>1ХВС::1.1</v>
      </c>
      <c r="N134" s="116"/>
      <c r="Z134" s="6"/>
      <c r="AA134" s="6"/>
      <c r="AB134" s="29"/>
      <c r="AC134" s="153"/>
      <c r="AD134" s="51"/>
      <c r="AE134" s="66"/>
      <c r="AF134" s="67"/>
      <c r="AG134" s="67"/>
      <c r="AH134" s="68"/>
      <c r="AI134" s="146"/>
      <c r="AJ134" s="67"/>
      <c r="AK134" s="67"/>
      <c r="AL134" s="119"/>
      <c r="AM134" s="66"/>
      <c r="AN134" s="67"/>
      <c r="AO134" s="67"/>
      <c r="AP134" s="68"/>
      <c r="AQ134" s="146"/>
      <c r="AR134" s="67"/>
      <c r="AS134" s="67"/>
      <c r="AT134" s="119"/>
      <c r="AU134" s="66"/>
      <c r="AV134" s="67"/>
      <c r="AW134" s="67"/>
      <c r="AX134" s="119"/>
      <c r="AY134" s="66"/>
      <c r="AZ134" s="67"/>
      <c r="BA134" s="67"/>
      <c r="BB134" s="119"/>
      <c r="BC134" s="66"/>
      <c r="BD134" s="67"/>
      <c r="BE134" s="67"/>
      <c r="BF134" s="119"/>
      <c r="BG134" s="66"/>
      <c r="BH134" s="67"/>
      <c r="BI134" s="67"/>
      <c r="BJ134" s="119"/>
      <c r="BK134" s="66"/>
      <c r="BL134" s="67"/>
      <c r="BM134" s="67"/>
      <c r="BN134" s="119"/>
      <c r="BO134" s="66"/>
      <c r="BP134" s="67"/>
      <c r="BQ134" s="67"/>
      <c r="BR134" s="68"/>
      <c r="BS134" s="66"/>
      <c r="BT134" s="67"/>
      <c r="BU134" s="67"/>
      <c r="BV134" s="68"/>
      <c r="BY134" s="125">
        <f t="shared" si="1"/>
        <v>0</v>
      </c>
      <c r="BZ134" s="126">
        <f t="shared" si="2"/>
        <v>0</v>
      </c>
      <c r="CA134" s="126">
        <f t="shared" si="3"/>
        <v>0</v>
      </c>
      <c r="CB134" s="127">
        <f t="shared" si="4"/>
        <v>0</v>
      </c>
    </row>
    <row r="135" spans="1:81" ht="14.25" hidden="1" customHeight="1" outlineLevel="3" x14ac:dyDescent="0.25">
      <c r="A135" s="10" t="e">
        <f t="array" ref="A135">A134</f>
        <v>#REF!</v>
      </c>
      <c r="C135" s="116" t="s">
        <v>140</v>
      </c>
      <c r="D135" s="116" t="s">
        <v>141</v>
      </c>
      <c r="E135" s="116" t="s">
        <v>181</v>
      </c>
      <c r="F135" s="116" t="s">
        <v>74</v>
      </c>
      <c r="G135" s="116" t="s">
        <v>73</v>
      </c>
      <c r="H135" s="116" t="s">
        <v>73</v>
      </c>
      <c r="I135" s="116" t="s">
        <v>73</v>
      </c>
      <c r="J135" s="116" t="s">
        <v>73</v>
      </c>
      <c r="K135" s="116" t="s">
        <v>73</v>
      </c>
      <c r="L135" s="116"/>
      <c r="M135" s="5" t="str">
        <f t="array" ref="M135">Y95</f>
        <v>1ХВС::1.1</v>
      </c>
      <c r="N135" s="116"/>
      <c r="Z135" s="6"/>
      <c r="AA135" s="6"/>
      <c r="AB135" s="29"/>
      <c r="AC135" s="92"/>
      <c r="AD135" s="51"/>
      <c r="AE135" s="66"/>
      <c r="AF135" s="67"/>
      <c r="AG135" s="67"/>
      <c r="AH135" s="68"/>
      <c r="AI135" s="146"/>
      <c r="AJ135" s="67"/>
      <c r="AK135" s="67"/>
      <c r="AL135" s="119"/>
      <c r="AM135" s="66"/>
      <c r="AN135" s="67"/>
      <c r="AO135" s="67"/>
      <c r="AP135" s="68"/>
      <c r="AQ135" s="146"/>
      <c r="AR135" s="67"/>
      <c r="AS135" s="67"/>
      <c r="AT135" s="119"/>
      <c r="AU135" s="66"/>
      <c r="AV135" s="67"/>
      <c r="AW135" s="67"/>
      <c r="AX135" s="119"/>
      <c r="AY135" s="66"/>
      <c r="AZ135" s="67"/>
      <c r="BA135" s="67"/>
      <c r="BB135" s="119"/>
      <c r="BC135" s="66"/>
      <c r="BD135" s="67"/>
      <c r="BE135" s="67"/>
      <c r="BF135" s="119"/>
      <c r="BG135" s="66"/>
      <c r="BH135" s="67"/>
      <c r="BI135" s="67"/>
      <c r="BJ135" s="119"/>
      <c r="BK135" s="66"/>
      <c r="BL135" s="67"/>
      <c r="BM135" s="67"/>
      <c r="BN135" s="119"/>
      <c r="BO135" s="66"/>
      <c r="BP135" s="67"/>
      <c r="BQ135" s="67"/>
      <c r="BR135" s="68"/>
      <c r="BS135" s="66"/>
      <c r="BT135" s="67"/>
      <c r="BU135" s="67"/>
      <c r="BV135" s="68"/>
      <c r="BY135" s="125">
        <f t="shared" si="1"/>
        <v>0</v>
      </c>
      <c r="BZ135" s="126">
        <f t="shared" si="2"/>
        <v>0</v>
      </c>
      <c r="CA135" s="126">
        <f t="shared" si="3"/>
        <v>0</v>
      </c>
      <c r="CB135" s="127">
        <f t="shared" si="4"/>
        <v>0</v>
      </c>
    </row>
    <row r="136" spans="1:81" ht="14.25" hidden="1" customHeight="1" outlineLevel="3" x14ac:dyDescent="0.25">
      <c r="A136" s="10" t="e">
        <f t="array" ref="A136">A135</f>
        <v>#REF!</v>
      </c>
      <c r="C136" s="116" t="s">
        <v>140</v>
      </c>
      <c r="D136" s="116" t="s">
        <v>141</v>
      </c>
      <c r="E136" s="116" t="s">
        <v>182</v>
      </c>
      <c r="F136" s="116" t="s">
        <v>74</v>
      </c>
      <c r="G136" s="116" t="s">
        <v>73</v>
      </c>
      <c r="H136" s="116" t="s">
        <v>73</v>
      </c>
      <c r="I136" s="116" t="s">
        <v>73</v>
      </c>
      <c r="J136" s="116" t="s">
        <v>73</v>
      </c>
      <c r="K136" s="116" t="s">
        <v>73</v>
      </c>
      <c r="L136" s="116"/>
      <c r="M136" s="5" t="str">
        <f t="array" ref="M136">Y95</f>
        <v>1ХВС::1.1</v>
      </c>
      <c r="N136" s="116"/>
      <c r="Z136" s="6"/>
      <c r="AA136" s="6"/>
      <c r="AB136" s="29"/>
      <c r="AC136" s="87"/>
      <c r="AD136" s="51"/>
      <c r="AE136" s="66"/>
      <c r="AF136" s="67"/>
      <c r="AG136" s="67"/>
      <c r="AH136" s="68"/>
      <c r="AI136" s="146"/>
      <c r="AJ136" s="67"/>
      <c r="AK136" s="67"/>
      <c r="AL136" s="119"/>
      <c r="AM136" s="66"/>
      <c r="AN136" s="67"/>
      <c r="AO136" s="67"/>
      <c r="AP136" s="68"/>
      <c r="AQ136" s="146"/>
      <c r="AR136" s="67"/>
      <c r="AS136" s="67"/>
      <c r="AT136" s="119"/>
      <c r="AU136" s="66"/>
      <c r="AV136" s="67"/>
      <c r="AW136" s="67"/>
      <c r="AX136" s="119"/>
      <c r="AY136" s="66"/>
      <c r="AZ136" s="67"/>
      <c r="BA136" s="67"/>
      <c r="BB136" s="119"/>
      <c r="BC136" s="66"/>
      <c r="BD136" s="67"/>
      <c r="BE136" s="67"/>
      <c r="BF136" s="119"/>
      <c r="BG136" s="66"/>
      <c r="BH136" s="67"/>
      <c r="BI136" s="67"/>
      <c r="BJ136" s="119"/>
      <c r="BK136" s="66"/>
      <c r="BL136" s="67"/>
      <c r="BM136" s="67"/>
      <c r="BN136" s="119"/>
      <c r="BO136" s="66"/>
      <c r="BP136" s="67"/>
      <c r="BQ136" s="67"/>
      <c r="BR136" s="68"/>
      <c r="BS136" s="66"/>
      <c r="BT136" s="67"/>
      <c r="BU136" s="67"/>
      <c r="BV136" s="68"/>
      <c r="BY136" s="125">
        <f t="shared" si="1"/>
        <v>0</v>
      </c>
      <c r="BZ136" s="126">
        <f t="shared" si="2"/>
        <v>0</v>
      </c>
      <c r="CA136" s="126">
        <f t="shared" si="3"/>
        <v>0</v>
      </c>
      <c r="CB136" s="127">
        <f t="shared" si="4"/>
        <v>0</v>
      </c>
    </row>
    <row r="137" spans="1:81" ht="14.25" hidden="1" customHeight="1" outlineLevel="3" x14ac:dyDescent="0.25">
      <c r="A137" s="10" t="e">
        <f t="array" ref="A137">A136</f>
        <v>#REF!</v>
      </c>
      <c r="C137" s="116" t="s">
        <v>140</v>
      </c>
      <c r="D137" s="116" t="s">
        <v>141</v>
      </c>
      <c r="E137" s="116" t="s">
        <v>183</v>
      </c>
      <c r="F137" s="116" t="s">
        <v>74</v>
      </c>
      <c r="G137" s="116" t="s">
        <v>73</v>
      </c>
      <c r="H137" s="116" t="s">
        <v>73</v>
      </c>
      <c r="I137" s="116" t="s">
        <v>73</v>
      </c>
      <c r="J137" s="116" t="s">
        <v>73</v>
      </c>
      <c r="K137" s="116" t="s">
        <v>73</v>
      </c>
      <c r="L137" s="116"/>
      <c r="M137" s="5" t="str">
        <f t="array" ref="M137">Y95</f>
        <v>1ХВС::1.1</v>
      </c>
      <c r="N137" s="116"/>
      <c r="Z137" s="6"/>
      <c r="AA137" s="6"/>
      <c r="AB137" s="29"/>
      <c r="AC137" s="71"/>
      <c r="AD137" s="51"/>
      <c r="AE137" s="66"/>
      <c r="AF137" s="67"/>
      <c r="AG137" s="67"/>
      <c r="AH137" s="68"/>
      <c r="AI137" s="146"/>
      <c r="AJ137" s="67"/>
      <c r="AK137" s="67"/>
      <c r="AL137" s="119"/>
      <c r="AM137" s="66"/>
      <c r="AN137" s="67"/>
      <c r="AO137" s="67"/>
      <c r="AP137" s="68"/>
      <c r="AQ137" s="146"/>
      <c r="AR137" s="67"/>
      <c r="AS137" s="67"/>
      <c r="AT137" s="119"/>
      <c r="AU137" s="66"/>
      <c r="AV137" s="67"/>
      <c r="AW137" s="67"/>
      <c r="AX137" s="119"/>
      <c r="AY137" s="66"/>
      <c r="AZ137" s="67"/>
      <c r="BA137" s="67"/>
      <c r="BB137" s="119"/>
      <c r="BC137" s="66"/>
      <c r="BD137" s="67"/>
      <c r="BE137" s="67"/>
      <c r="BF137" s="119"/>
      <c r="BG137" s="66"/>
      <c r="BH137" s="67"/>
      <c r="BI137" s="67"/>
      <c r="BJ137" s="119"/>
      <c r="BK137" s="66"/>
      <c r="BL137" s="67"/>
      <c r="BM137" s="67"/>
      <c r="BN137" s="119"/>
      <c r="BO137" s="66"/>
      <c r="BP137" s="67"/>
      <c r="BQ137" s="67"/>
      <c r="BR137" s="68"/>
      <c r="BS137" s="66"/>
      <c r="BT137" s="67"/>
      <c r="BU137" s="67"/>
      <c r="BV137" s="68"/>
      <c r="BY137" s="125">
        <f t="shared" si="1"/>
        <v>0</v>
      </c>
      <c r="BZ137" s="126">
        <f t="shared" si="2"/>
        <v>0</v>
      </c>
      <c r="CA137" s="126">
        <f t="shared" si="3"/>
        <v>0</v>
      </c>
      <c r="CB137" s="127">
        <f t="shared" si="4"/>
        <v>0</v>
      </c>
    </row>
    <row r="138" spans="1:81" ht="14.25" hidden="1" customHeight="1" outlineLevel="3" x14ac:dyDescent="0.25">
      <c r="A138" s="10" t="e">
        <f t="array" ref="A138">A137</f>
        <v>#REF!</v>
      </c>
      <c r="C138" s="116" t="s">
        <v>140</v>
      </c>
      <c r="D138" s="116" t="s">
        <v>141</v>
      </c>
      <c r="E138" s="116" t="s">
        <v>184</v>
      </c>
      <c r="F138" s="116" t="s">
        <v>74</v>
      </c>
      <c r="G138" s="116" t="s">
        <v>73</v>
      </c>
      <c r="H138" s="116" t="s">
        <v>73</v>
      </c>
      <c r="I138" s="116" t="s">
        <v>73</v>
      </c>
      <c r="J138" s="116" t="s">
        <v>73</v>
      </c>
      <c r="K138" s="116" t="s">
        <v>73</v>
      </c>
      <c r="L138" s="116"/>
      <c r="M138" s="5" t="str">
        <f t="array" ref="M138">Y95</f>
        <v>1ХВС::1.1</v>
      </c>
      <c r="N138" s="116"/>
      <c r="Z138" s="6"/>
      <c r="AA138" s="6"/>
      <c r="AB138" s="29"/>
      <c r="AC138" s="87"/>
      <c r="AD138" s="51"/>
      <c r="AE138" s="66"/>
      <c r="AF138" s="67"/>
      <c r="AG138" s="67"/>
      <c r="AH138" s="68"/>
      <c r="AI138" s="146"/>
      <c r="AJ138" s="67"/>
      <c r="AK138" s="67"/>
      <c r="AL138" s="119"/>
      <c r="AM138" s="66"/>
      <c r="AN138" s="67"/>
      <c r="AO138" s="67"/>
      <c r="AP138" s="68"/>
      <c r="AQ138" s="146"/>
      <c r="AR138" s="67"/>
      <c r="AS138" s="67"/>
      <c r="AT138" s="119"/>
      <c r="AU138" s="66"/>
      <c r="AV138" s="67"/>
      <c r="AW138" s="67"/>
      <c r="AX138" s="119"/>
      <c r="AY138" s="66"/>
      <c r="AZ138" s="67"/>
      <c r="BA138" s="67"/>
      <c r="BB138" s="119"/>
      <c r="BC138" s="66"/>
      <c r="BD138" s="67"/>
      <c r="BE138" s="67"/>
      <c r="BF138" s="119"/>
      <c r="BG138" s="66"/>
      <c r="BH138" s="67"/>
      <c r="BI138" s="67"/>
      <c r="BJ138" s="119"/>
      <c r="BK138" s="66"/>
      <c r="BL138" s="67"/>
      <c r="BM138" s="67"/>
      <c r="BN138" s="119"/>
      <c r="BO138" s="66"/>
      <c r="BP138" s="67"/>
      <c r="BQ138" s="67"/>
      <c r="BR138" s="68"/>
      <c r="BS138" s="66"/>
      <c r="BT138" s="67"/>
      <c r="BU138" s="67"/>
      <c r="BV138" s="68"/>
      <c r="BY138" s="125">
        <f t="shared" si="1"/>
        <v>0</v>
      </c>
      <c r="BZ138" s="126">
        <f t="shared" si="2"/>
        <v>0</v>
      </c>
      <c r="CA138" s="126">
        <f t="shared" si="3"/>
        <v>0</v>
      </c>
      <c r="CB138" s="127">
        <f t="shared" si="4"/>
        <v>0</v>
      </c>
    </row>
    <row r="139" spans="1:81" ht="14.25" hidden="1" customHeight="1" outlineLevel="3" x14ac:dyDescent="0.25">
      <c r="A139" s="10" t="e">
        <f t="array" ref="A139">A138</f>
        <v>#REF!</v>
      </c>
      <c r="C139" s="116" t="s">
        <v>140</v>
      </c>
      <c r="D139" s="116" t="s">
        <v>141</v>
      </c>
      <c r="E139" s="116" t="s">
        <v>185</v>
      </c>
      <c r="F139" s="116" t="s">
        <v>74</v>
      </c>
      <c r="G139" s="116" t="s">
        <v>73</v>
      </c>
      <c r="H139" s="116" t="s">
        <v>73</v>
      </c>
      <c r="I139" s="116" t="s">
        <v>73</v>
      </c>
      <c r="J139" s="116" t="s">
        <v>73</v>
      </c>
      <c r="K139" s="116" t="s">
        <v>73</v>
      </c>
      <c r="L139" s="116"/>
      <c r="M139" s="5" t="str">
        <f t="array" ref="M139">Y95</f>
        <v>1ХВС::1.1</v>
      </c>
      <c r="N139" s="116"/>
      <c r="Z139" s="6"/>
      <c r="AA139" s="6"/>
      <c r="AB139" s="29"/>
      <c r="AC139" s="87"/>
      <c r="AD139" s="51"/>
      <c r="AE139" s="66"/>
      <c r="AF139" s="67"/>
      <c r="AG139" s="67"/>
      <c r="AH139" s="68"/>
      <c r="AI139" s="146"/>
      <c r="AJ139" s="67"/>
      <c r="AK139" s="67"/>
      <c r="AL139" s="119"/>
      <c r="AM139" s="66"/>
      <c r="AN139" s="67"/>
      <c r="AO139" s="67"/>
      <c r="AP139" s="68"/>
      <c r="AQ139" s="146"/>
      <c r="AR139" s="67"/>
      <c r="AS139" s="67"/>
      <c r="AT139" s="119"/>
      <c r="AU139" s="66"/>
      <c r="AV139" s="67"/>
      <c r="AW139" s="67"/>
      <c r="AX139" s="119"/>
      <c r="AY139" s="66"/>
      <c r="AZ139" s="67"/>
      <c r="BA139" s="67"/>
      <c r="BB139" s="119"/>
      <c r="BC139" s="66"/>
      <c r="BD139" s="67"/>
      <c r="BE139" s="67"/>
      <c r="BF139" s="119"/>
      <c r="BG139" s="66"/>
      <c r="BH139" s="67"/>
      <c r="BI139" s="67"/>
      <c r="BJ139" s="119"/>
      <c r="BK139" s="66"/>
      <c r="BL139" s="67"/>
      <c r="BM139" s="67"/>
      <c r="BN139" s="119"/>
      <c r="BO139" s="66"/>
      <c r="BP139" s="67"/>
      <c r="BQ139" s="67"/>
      <c r="BR139" s="68"/>
      <c r="BS139" s="66"/>
      <c r="BT139" s="67"/>
      <c r="BU139" s="67"/>
      <c r="BV139" s="68"/>
      <c r="BY139" s="125">
        <f t="shared" si="1"/>
        <v>0</v>
      </c>
      <c r="BZ139" s="126">
        <f t="shared" si="2"/>
        <v>0</v>
      </c>
      <c r="CA139" s="126">
        <f t="shared" si="3"/>
        <v>0</v>
      </c>
      <c r="CB139" s="127">
        <f t="shared" si="4"/>
        <v>0</v>
      </c>
    </row>
    <row r="140" spans="1:81" ht="14.25" hidden="1" customHeight="1" outlineLevel="3" thickBot="1" x14ac:dyDescent="0.3">
      <c r="A140" s="10" t="e">
        <f t="array" ref="A140">A139</f>
        <v>#REF!</v>
      </c>
      <c r="C140" s="154" t="s">
        <v>140</v>
      </c>
      <c r="D140" s="154" t="s">
        <v>141</v>
      </c>
      <c r="E140" s="154" t="s">
        <v>186</v>
      </c>
      <c r="F140" s="116" t="s">
        <v>74</v>
      </c>
      <c r="G140" s="154" t="s">
        <v>73</v>
      </c>
      <c r="H140" s="154" t="s">
        <v>73</v>
      </c>
      <c r="I140" s="154" t="s">
        <v>73</v>
      </c>
      <c r="J140" s="154" t="s">
        <v>73</v>
      </c>
      <c r="K140" s="154" t="s">
        <v>73</v>
      </c>
      <c r="L140" s="154"/>
      <c r="M140" s="5" t="str">
        <f t="array" ref="M140">Y95</f>
        <v>1ХВС::1.1</v>
      </c>
      <c r="N140" s="116"/>
      <c r="Z140" s="6"/>
      <c r="AA140" s="6"/>
      <c r="AB140" s="29"/>
      <c r="AC140" s="71"/>
      <c r="AD140" s="51"/>
      <c r="AE140" s="66"/>
      <c r="AF140" s="67"/>
      <c r="AG140" s="67"/>
      <c r="AH140" s="68"/>
      <c r="AI140" s="146"/>
      <c r="AJ140" s="67"/>
      <c r="AK140" s="67"/>
      <c r="AL140" s="119"/>
      <c r="AM140" s="66"/>
      <c r="AN140" s="67"/>
      <c r="AO140" s="67"/>
      <c r="AP140" s="68"/>
      <c r="AQ140" s="146"/>
      <c r="AR140" s="67"/>
      <c r="AS140" s="67"/>
      <c r="AT140" s="119"/>
      <c r="AU140" s="66"/>
      <c r="AV140" s="67"/>
      <c r="AW140" s="67"/>
      <c r="AX140" s="119"/>
      <c r="AY140" s="66"/>
      <c r="AZ140" s="67"/>
      <c r="BA140" s="67"/>
      <c r="BB140" s="119"/>
      <c r="BC140" s="66"/>
      <c r="BD140" s="67"/>
      <c r="BE140" s="67"/>
      <c r="BF140" s="119"/>
      <c r="BG140" s="66"/>
      <c r="BH140" s="67"/>
      <c r="BI140" s="67"/>
      <c r="BJ140" s="119"/>
      <c r="BK140" s="66"/>
      <c r="BL140" s="67"/>
      <c r="BM140" s="67"/>
      <c r="BN140" s="119"/>
      <c r="BO140" s="66"/>
      <c r="BP140" s="67"/>
      <c r="BQ140" s="67"/>
      <c r="BR140" s="68"/>
      <c r="BS140" s="66"/>
      <c r="BT140" s="67"/>
      <c r="BU140" s="67"/>
      <c r="BV140" s="68"/>
      <c r="BY140" s="125">
        <f t="shared" si="1"/>
        <v>0</v>
      </c>
      <c r="BZ140" s="126">
        <f t="shared" si="2"/>
        <v>0</v>
      </c>
      <c r="CA140" s="126">
        <f t="shared" si="3"/>
        <v>0</v>
      </c>
      <c r="CB140" s="127">
        <f t="shared" si="4"/>
        <v>0</v>
      </c>
    </row>
    <row r="141" spans="1:81" ht="16.5" customHeight="1" x14ac:dyDescent="0.25">
      <c r="C141" s="10" t="s">
        <v>83</v>
      </c>
      <c r="D141" s="10" t="s">
        <v>84</v>
      </c>
      <c r="E141" s="10" t="s">
        <v>73</v>
      </c>
      <c r="F141" s="10" t="s">
        <v>74</v>
      </c>
      <c r="G141" s="10" t="s">
        <v>187</v>
      </c>
      <c r="H141" s="10" t="s">
        <v>73</v>
      </c>
      <c r="I141" s="10" t="s">
        <v>73</v>
      </c>
      <c r="K141" s="12" t="s">
        <v>73</v>
      </c>
      <c r="L141" s="10" t="s">
        <v>133</v>
      </c>
      <c r="M141" s="5" t="str">
        <f t="array" ref="M141">Y95</f>
        <v>1ХВС::1.1</v>
      </c>
      <c r="AB141" s="155">
        <f t="array" ref="AB141">IF($U95="Водоснабжение",AB109,#REF!)+1</f>
        <v>3</v>
      </c>
      <c r="AC141" s="156" t="s">
        <v>187</v>
      </c>
      <c r="AD141" s="157" t="s">
        <v>111</v>
      </c>
      <c r="AE141" s="253">
        <f t="shared" ref="AE141:BV141" si="19">AE142+AE371+AE372</f>
        <v>1611478.3340580531</v>
      </c>
      <c r="AF141" s="159">
        <f t="shared" si="19"/>
        <v>1509895.9553414218</v>
      </c>
      <c r="AG141" s="159">
        <f t="shared" si="19"/>
        <v>2108201.4407540257</v>
      </c>
      <c r="AH141" s="254">
        <f t="shared" si="19"/>
        <v>1628811.6044600001</v>
      </c>
      <c r="AI141" s="162">
        <f t="shared" si="19"/>
        <v>19586.074429200002</v>
      </c>
      <c r="AJ141" s="159">
        <f t="shared" si="19"/>
        <v>6974.1399999999994</v>
      </c>
      <c r="AK141" s="159">
        <f t="shared" si="19"/>
        <v>25961.180945100001</v>
      </c>
      <c r="AL141" s="263">
        <f t="shared" si="19"/>
        <v>7447.3792200000007</v>
      </c>
      <c r="AM141" s="253">
        <f t="shared" si="19"/>
        <v>64126.684430819994</v>
      </c>
      <c r="AN141" s="159">
        <f t="shared" si="19"/>
        <v>31467.295098840001</v>
      </c>
      <c r="AO141" s="159">
        <f t="shared" si="19"/>
        <v>80645.509894400006</v>
      </c>
      <c r="AP141" s="254">
        <f t="shared" si="19"/>
        <v>52771.681949000005</v>
      </c>
      <c r="AQ141" s="162">
        <f t="shared" si="19"/>
        <v>69469.992562080006</v>
      </c>
      <c r="AR141" s="159">
        <f t="shared" si="19"/>
        <v>48487.907376972005</v>
      </c>
      <c r="AS141" s="159">
        <f t="shared" si="19"/>
        <v>96014.934199979994</v>
      </c>
      <c r="AT141" s="263">
        <f t="shared" si="19"/>
        <v>74521.127980640013</v>
      </c>
      <c r="AU141" s="253">
        <f t="shared" si="19"/>
        <v>32157.999299119998</v>
      </c>
      <c r="AV141" s="159">
        <f t="shared" si="19"/>
        <v>12851.871695200001</v>
      </c>
      <c r="AW141" s="159">
        <f t="shared" si="19"/>
        <v>41954.514328000005</v>
      </c>
      <c r="AX141" s="263">
        <f t="shared" si="19"/>
        <v>38924.540746960003</v>
      </c>
      <c r="AY141" s="253">
        <f t="shared" si="19"/>
        <v>86959.794469900022</v>
      </c>
      <c r="AZ141" s="159">
        <f t="shared" si="19"/>
        <v>77463.975503769994</v>
      </c>
      <c r="BA141" s="159">
        <f t="shared" si="19"/>
        <v>119966.86742596999</v>
      </c>
      <c r="BB141" s="263">
        <f t="shared" si="19"/>
        <v>80105.45263630501</v>
      </c>
      <c r="BC141" s="253">
        <f t="shared" si="19"/>
        <v>61298.975146209996</v>
      </c>
      <c r="BD141" s="159">
        <f t="shared" si="19"/>
        <v>25976.077903199999</v>
      </c>
      <c r="BE141" s="159">
        <f t="shared" si="19"/>
        <v>67277.24303920001</v>
      </c>
      <c r="BF141" s="976">
        <f t="shared" si="19"/>
        <v>49579.419165799998</v>
      </c>
      <c r="BG141" s="253">
        <f t="shared" si="19"/>
        <v>114764.74250909498</v>
      </c>
      <c r="BH141" s="159">
        <f t="shared" si="19"/>
        <v>128883.04728899999</v>
      </c>
      <c r="BI141" s="159">
        <f>BI142+BI371+BI372</f>
        <v>155405.89157494999</v>
      </c>
      <c r="BJ141" s="263">
        <f t="shared" si="19"/>
        <v>134170.72964165875</v>
      </c>
      <c r="BK141" s="253">
        <f t="shared" si="19"/>
        <v>167530.94175359997</v>
      </c>
      <c r="BL141" s="159">
        <f t="shared" si="19"/>
        <v>129364.31</v>
      </c>
      <c r="BM141" s="159">
        <f t="shared" si="19"/>
        <v>198835.967925</v>
      </c>
      <c r="BN141" s="263">
        <f t="shared" si="19"/>
        <v>133592.73579999999</v>
      </c>
      <c r="BO141" s="253">
        <f t="shared" si="19"/>
        <v>34090.336577499998</v>
      </c>
      <c r="BP141" s="159">
        <f t="shared" si="19"/>
        <v>29812.439676000005</v>
      </c>
      <c r="BQ141" s="159">
        <f t="shared" si="19"/>
        <v>37763.052646880002</v>
      </c>
      <c r="BR141" s="254">
        <f t="shared" si="19"/>
        <v>41241.117196254396</v>
      </c>
      <c r="BS141" s="253">
        <f t="shared" si="19"/>
        <v>32257.124699309996</v>
      </c>
      <c r="BT141" s="159">
        <f t="shared" si="19"/>
        <v>39399.137575200002</v>
      </c>
      <c r="BU141" s="159">
        <f t="shared" si="19"/>
        <v>46040.571460199993</v>
      </c>
      <c r="BV141" s="254">
        <f t="shared" si="19"/>
        <v>42395.548320000002</v>
      </c>
      <c r="BY141" s="163">
        <f t="shared" si="1"/>
        <v>2293720.999934888</v>
      </c>
      <c r="BZ141" s="164">
        <f t="shared" si="2"/>
        <v>2040576.1574596036</v>
      </c>
      <c r="CA141" s="164">
        <f t="shared" si="3"/>
        <v>2978067.1741937054</v>
      </c>
      <c r="CB141" s="165">
        <f t="shared" si="4"/>
        <v>2283561.3371166186</v>
      </c>
    </row>
    <row r="142" spans="1:81" s="171" customFormat="1" ht="16.5" customHeight="1" outlineLevel="1" x14ac:dyDescent="0.25">
      <c r="A142" s="166"/>
      <c r="B142" s="166"/>
      <c r="C142" s="167" t="s">
        <v>83</v>
      </c>
      <c r="D142" s="167" t="s">
        <v>84</v>
      </c>
      <c r="E142" s="167" t="s">
        <v>73</v>
      </c>
      <c r="F142" s="167" t="s">
        <v>74</v>
      </c>
      <c r="G142" s="167" t="s">
        <v>188</v>
      </c>
      <c r="H142" s="167" t="s">
        <v>73</v>
      </c>
      <c r="I142" s="167" t="s">
        <v>73</v>
      </c>
      <c r="J142" s="166"/>
      <c r="K142" s="168" t="s">
        <v>73</v>
      </c>
      <c r="L142" s="167" t="s">
        <v>133</v>
      </c>
      <c r="M142" s="166" t="str">
        <f t="array" ref="M142">Y95</f>
        <v>1ХВС::1.1</v>
      </c>
      <c r="N142" s="166"/>
      <c r="O142" s="166"/>
      <c r="P142" s="166"/>
      <c r="Q142" s="166"/>
      <c r="R142" s="166"/>
      <c r="S142" s="166"/>
      <c r="T142" s="166"/>
      <c r="U142" s="166"/>
      <c r="V142" s="166"/>
      <c r="W142" s="166"/>
      <c r="X142" s="166"/>
      <c r="Y142" s="166"/>
      <c r="Z142" s="166"/>
      <c r="AA142" s="166"/>
      <c r="AB142" s="155" t="str">
        <f>AB141&amp;".1"</f>
        <v>3.1</v>
      </c>
      <c r="AC142" s="169" t="s">
        <v>188</v>
      </c>
      <c r="AD142" s="157" t="s">
        <v>111</v>
      </c>
      <c r="AE142" s="253">
        <f t="shared" ref="AE142:BV142" si="20">AE143+AE318+AE335</f>
        <v>1403217.3980580531</v>
      </c>
      <c r="AF142" s="159">
        <f t="shared" si="20"/>
        <v>1459288.7953414219</v>
      </c>
      <c r="AG142" s="159">
        <f t="shared" si="20"/>
        <v>1904974.8107540258</v>
      </c>
      <c r="AH142" s="254">
        <f t="shared" si="20"/>
        <v>1544990.9144600001</v>
      </c>
      <c r="AI142" s="162">
        <f t="shared" si="20"/>
        <v>9616.8944291999996</v>
      </c>
      <c r="AJ142" s="159">
        <f t="shared" si="20"/>
        <v>6974.1399999999994</v>
      </c>
      <c r="AK142" s="159">
        <f t="shared" si="20"/>
        <v>19999.9809451</v>
      </c>
      <c r="AL142" s="263">
        <f t="shared" si="20"/>
        <v>7405.4592200000006</v>
      </c>
      <c r="AM142" s="253">
        <f t="shared" si="20"/>
        <v>50115.044430819995</v>
      </c>
      <c r="AN142" s="159">
        <f t="shared" si="20"/>
        <v>28887.295098840001</v>
      </c>
      <c r="AO142" s="159">
        <f t="shared" si="20"/>
        <v>66096.569894400003</v>
      </c>
      <c r="AP142" s="254">
        <f t="shared" si="20"/>
        <v>52293.271949000002</v>
      </c>
      <c r="AQ142" s="162">
        <f t="shared" si="20"/>
        <v>64643.032562079999</v>
      </c>
      <c r="AR142" s="159">
        <f t="shared" si="20"/>
        <v>47342.307376972007</v>
      </c>
      <c r="AS142" s="159">
        <f t="shared" si="20"/>
        <v>87381.864199979987</v>
      </c>
      <c r="AT142" s="263">
        <f t="shared" si="20"/>
        <v>66047.857980640008</v>
      </c>
      <c r="AU142" s="253">
        <f t="shared" si="20"/>
        <v>30194.149299119999</v>
      </c>
      <c r="AV142" s="159">
        <f t="shared" si="20"/>
        <v>12053.451695200001</v>
      </c>
      <c r="AW142" s="159">
        <f t="shared" si="20"/>
        <v>39668.904328000004</v>
      </c>
      <c r="AX142" s="263">
        <f t="shared" si="20"/>
        <v>36207.830746960004</v>
      </c>
      <c r="AY142" s="253">
        <f t="shared" si="20"/>
        <v>84816.694469900016</v>
      </c>
      <c r="AZ142" s="159">
        <f t="shared" si="20"/>
        <v>77280.895503769993</v>
      </c>
      <c r="BA142" s="159">
        <f t="shared" si="20"/>
        <v>116798.93742597</v>
      </c>
      <c r="BB142" s="263">
        <f t="shared" si="20"/>
        <v>78509.45263630501</v>
      </c>
      <c r="BC142" s="253">
        <f t="shared" si="20"/>
        <v>56601.92514621</v>
      </c>
      <c r="BD142" s="159">
        <f t="shared" si="20"/>
        <v>24966.577903199999</v>
      </c>
      <c r="BE142" s="159">
        <f t="shared" si="20"/>
        <v>63737.403039199999</v>
      </c>
      <c r="BF142" s="976">
        <f t="shared" si="20"/>
        <v>48211.889165799999</v>
      </c>
      <c r="BG142" s="253">
        <f t="shared" si="20"/>
        <v>110356.16250909498</v>
      </c>
      <c r="BH142" s="159">
        <f t="shared" si="20"/>
        <v>128883.04728899999</v>
      </c>
      <c r="BI142" s="159">
        <f t="shared" si="20"/>
        <v>150303.03157495</v>
      </c>
      <c r="BJ142" s="263">
        <f>BJ143+BJ318+BJ335</f>
        <v>132608.72964165875</v>
      </c>
      <c r="BK142" s="253">
        <f t="shared" si="20"/>
        <v>149651.77175359998</v>
      </c>
      <c r="BL142" s="159">
        <f t="shared" si="20"/>
        <v>129364.31</v>
      </c>
      <c r="BM142" s="159">
        <f t="shared" si="20"/>
        <v>180155.60792499999</v>
      </c>
      <c r="BN142" s="263">
        <f t="shared" si="20"/>
        <v>133592.73579999999</v>
      </c>
      <c r="BO142" s="253">
        <f t="shared" si="20"/>
        <v>33007.186577499997</v>
      </c>
      <c r="BP142" s="159">
        <f t="shared" si="20"/>
        <v>29812.439676000005</v>
      </c>
      <c r="BQ142" s="159">
        <f t="shared" si="20"/>
        <v>36661.764646880001</v>
      </c>
      <c r="BR142" s="254">
        <f t="shared" si="20"/>
        <v>41241.117196254396</v>
      </c>
      <c r="BS142" s="253">
        <f t="shared" si="20"/>
        <v>32016.884699309994</v>
      </c>
      <c r="BT142" s="159">
        <f t="shared" si="20"/>
        <v>39399.137575200002</v>
      </c>
      <c r="BU142" s="159">
        <f t="shared" si="20"/>
        <v>45664.371460199996</v>
      </c>
      <c r="BV142" s="254">
        <f t="shared" si="20"/>
        <v>42223.098320000005</v>
      </c>
      <c r="BW142" s="170"/>
      <c r="BX142" s="166"/>
      <c r="BY142" s="163">
        <f t="shared" si="1"/>
        <v>2024237.1439348883</v>
      </c>
      <c r="BZ142" s="164">
        <f t="shared" si="2"/>
        <v>1984252.3974596038</v>
      </c>
      <c r="CA142" s="164">
        <f t="shared" si="3"/>
        <v>2711443.2461937061</v>
      </c>
      <c r="CB142" s="165">
        <f t="shared" si="4"/>
        <v>2183332.3571166182</v>
      </c>
      <c r="CC142" s="760"/>
    </row>
    <row r="143" spans="1:81" s="171" customFormat="1" ht="16.5" customHeight="1" outlineLevel="2" x14ac:dyDescent="0.25">
      <c r="A143" s="166"/>
      <c r="B143" s="166"/>
      <c r="C143" s="167" t="s">
        <v>83</v>
      </c>
      <c r="D143" s="167" t="s">
        <v>84</v>
      </c>
      <c r="E143" s="167" t="s">
        <v>73</v>
      </c>
      <c r="F143" s="167" t="s">
        <v>74</v>
      </c>
      <c r="G143" s="167" t="s">
        <v>189</v>
      </c>
      <c r="H143" s="167" t="s">
        <v>73</v>
      </c>
      <c r="I143" s="167" t="s">
        <v>73</v>
      </c>
      <c r="J143" s="166"/>
      <c r="K143" s="168" t="s">
        <v>73</v>
      </c>
      <c r="L143" s="167" t="s">
        <v>133</v>
      </c>
      <c r="M143" s="166" t="str">
        <f t="array" ref="M143">Y95</f>
        <v>1ХВС::1.1</v>
      </c>
      <c r="N143" s="166"/>
      <c r="O143" s="166"/>
      <c r="P143" s="166"/>
      <c r="Q143" s="166"/>
      <c r="R143" s="166"/>
      <c r="S143" s="166"/>
      <c r="T143" s="166"/>
      <c r="U143" s="166"/>
      <c r="V143" s="166"/>
      <c r="W143" s="166"/>
      <c r="X143" s="166"/>
      <c r="Y143" s="166"/>
      <c r="Z143" s="166"/>
      <c r="AA143" s="166"/>
      <c r="AB143" s="155" t="str">
        <f>AB142&amp;".1"</f>
        <v>3.1.1</v>
      </c>
      <c r="AC143" s="172" t="s">
        <v>190</v>
      </c>
      <c r="AD143" s="157" t="s">
        <v>111</v>
      </c>
      <c r="AE143" s="253">
        <f t="shared" ref="AE143:BV143" si="21">AE144+AE245+AE254+AE304</f>
        <v>886833.83142000006</v>
      </c>
      <c r="AF143" s="159">
        <f t="shared" si="21"/>
        <v>884936.7414854219</v>
      </c>
      <c r="AG143" s="159">
        <f t="shared" si="21"/>
        <v>1207724.7015860002</v>
      </c>
      <c r="AH143" s="254">
        <f t="shared" si="21"/>
        <v>985860.15446000011</v>
      </c>
      <c r="AI143" s="162">
        <f t="shared" si="21"/>
        <v>5699.3708999999999</v>
      </c>
      <c r="AJ143" s="159">
        <f t="shared" si="21"/>
        <v>3331.06</v>
      </c>
      <c r="AK143" s="159">
        <f t="shared" si="21"/>
        <v>15698.69146</v>
      </c>
      <c r="AL143" s="263">
        <f t="shared" si="21"/>
        <v>3824.5992200000001</v>
      </c>
      <c r="AM143" s="253">
        <f t="shared" si="21"/>
        <v>36764.981</v>
      </c>
      <c r="AN143" s="159">
        <f t="shared" si="21"/>
        <v>19803.109</v>
      </c>
      <c r="AO143" s="159">
        <f t="shared" si="21"/>
        <v>52008.419200000004</v>
      </c>
      <c r="AP143" s="254">
        <f t="shared" si="21"/>
        <v>39388.944150000003</v>
      </c>
      <c r="AQ143" s="162">
        <f t="shared" si="21"/>
        <v>44767.455000000002</v>
      </c>
      <c r="AR143" s="159">
        <f t="shared" si="21"/>
        <v>31388.088000000003</v>
      </c>
      <c r="AS143" s="159">
        <f t="shared" si="21"/>
        <v>60640.994875999997</v>
      </c>
      <c r="AT143" s="263">
        <f t="shared" si="21"/>
        <v>44956.269320000007</v>
      </c>
      <c r="AU143" s="253">
        <f t="shared" si="21"/>
        <v>25558.322</v>
      </c>
      <c r="AV143" s="159">
        <f t="shared" si="21"/>
        <v>3620.5415000000003</v>
      </c>
      <c r="AW143" s="159">
        <f t="shared" si="21"/>
        <v>32317.866138000001</v>
      </c>
      <c r="AX143" s="263">
        <f t="shared" si="21"/>
        <v>28501.030899999998</v>
      </c>
      <c r="AY143" s="253">
        <f t="shared" si="21"/>
        <v>56297.509000000013</v>
      </c>
      <c r="AZ143" s="159">
        <f t="shared" si="21"/>
        <v>59519.09</v>
      </c>
      <c r="BA143" s="159">
        <f t="shared" si="21"/>
        <v>75343.876900000003</v>
      </c>
      <c r="BB143" s="263">
        <f t="shared" si="21"/>
        <v>61929.022636305002</v>
      </c>
      <c r="BC143" s="253">
        <f t="shared" si="21"/>
        <v>47635.282317999998</v>
      </c>
      <c r="BD143" s="159">
        <f t="shared" si="21"/>
        <v>4903.8679032</v>
      </c>
      <c r="BE143" s="159">
        <f t="shared" si="21"/>
        <v>51739.685586</v>
      </c>
      <c r="BF143" s="976">
        <f t="shared" si="21"/>
        <v>40461.321021800002</v>
      </c>
      <c r="BG143" s="253">
        <f t="shared" si="21"/>
        <v>80789.667527999991</v>
      </c>
      <c r="BH143" s="159">
        <f t="shared" si="21"/>
        <v>93202.627288999996</v>
      </c>
      <c r="BI143" s="159">
        <f t="shared" si="21"/>
        <v>105132.701331</v>
      </c>
      <c r="BJ143" s="263">
        <f t="shared" si="21"/>
        <v>96976.399641658732</v>
      </c>
      <c r="BK143" s="253">
        <f t="shared" si="21"/>
        <v>121300.52916999999</v>
      </c>
      <c r="BL143" s="159">
        <f t="shared" si="21"/>
        <v>96758.67</v>
      </c>
      <c r="BM143" s="159">
        <f t="shared" si="21"/>
        <v>152326.3254</v>
      </c>
      <c r="BN143" s="263">
        <f>BN144+BN245+BN254+BN304</f>
        <v>97482.079800000007</v>
      </c>
      <c r="BO143" s="253">
        <f t="shared" si="21"/>
        <v>29463.174979999996</v>
      </c>
      <c r="BP143" s="159">
        <f t="shared" si="21"/>
        <v>25771.510840000003</v>
      </c>
      <c r="BQ143" s="159">
        <f t="shared" si="21"/>
        <v>32131.482659999998</v>
      </c>
      <c r="BR143" s="254">
        <f t="shared" si="21"/>
        <v>36223.590709454395</v>
      </c>
      <c r="BS143" s="253">
        <f t="shared" si="21"/>
        <v>28494.770159999996</v>
      </c>
      <c r="BT143" s="159">
        <f t="shared" si="21"/>
        <v>33266.639660000001</v>
      </c>
      <c r="BU143" s="159">
        <f t="shared" si="21"/>
        <v>41047.524008</v>
      </c>
      <c r="BV143" s="254">
        <f t="shared" si="21"/>
        <v>35231.938320000001</v>
      </c>
      <c r="BW143" s="170"/>
      <c r="BX143" s="166"/>
      <c r="BY143" s="163">
        <f t="shared" si="1"/>
        <v>1363604.8934760001</v>
      </c>
      <c r="BZ143" s="164">
        <f t="shared" si="2"/>
        <v>1256501.945677622</v>
      </c>
      <c r="CA143" s="164">
        <f t="shared" si="3"/>
        <v>1826112.2691450003</v>
      </c>
      <c r="CB143" s="165">
        <f t="shared" si="4"/>
        <v>1470835.350179218</v>
      </c>
      <c r="CC143" s="760"/>
    </row>
    <row r="144" spans="1:81" s="171" customFormat="1" ht="16.5" customHeight="1" outlineLevel="3" x14ac:dyDescent="0.25">
      <c r="A144" s="166"/>
      <c r="B144" s="166"/>
      <c r="C144" s="167" t="s">
        <v>83</v>
      </c>
      <c r="D144" s="167" t="s">
        <v>84</v>
      </c>
      <c r="E144" s="167" t="s">
        <v>73</v>
      </c>
      <c r="F144" s="167" t="s">
        <v>74</v>
      </c>
      <c r="G144" s="167" t="s">
        <v>191</v>
      </c>
      <c r="H144" s="167" t="s">
        <v>73</v>
      </c>
      <c r="I144" s="167" t="s">
        <v>73</v>
      </c>
      <c r="J144" s="166"/>
      <c r="K144" s="168" t="s">
        <v>73</v>
      </c>
      <c r="L144" s="167" t="s">
        <v>192</v>
      </c>
      <c r="M144" s="166" t="str">
        <f t="array" ref="M144">Y95</f>
        <v>1ХВС::1.1</v>
      </c>
      <c r="N144" s="166"/>
      <c r="O144" s="166"/>
      <c r="P144" s="166"/>
      <c r="Q144" s="166"/>
      <c r="R144" s="166"/>
      <c r="S144" s="166"/>
      <c r="T144" s="166"/>
      <c r="U144" s="166"/>
      <c r="V144" s="166"/>
      <c r="W144" s="166"/>
      <c r="X144" s="166"/>
      <c r="Y144" s="166"/>
      <c r="Z144" s="166"/>
      <c r="AA144" s="166"/>
      <c r="AB144" s="155" t="str">
        <f>AB143&amp;".1"</f>
        <v>3.1.1.1</v>
      </c>
      <c r="AC144" s="173" t="s">
        <v>193</v>
      </c>
      <c r="AD144" s="157" t="s">
        <v>111</v>
      </c>
      <c r="AE144" s="253">
        <f t="shared" ref="AE144:BV144" si="22">AE145+AE149+AE150+AE156+AE157+AE165</f>
        <v>584187.9828</v>
      </c>
      <c r="AF144" s="159">
        <f t="shared" si="22"/>
        <v>563453.43999999994</v>
      </c>
      <c r="AG144" s="159">
        <f t="shared" si="22"/>
        <v>710591.9645</v>
      </c>
      <c r="AH144" s="254">
        <f t="shared" si="22"/>
        <v>613781.15096</v>
      </c>
      <c r="AI144" s="162">
        <f t="shared" si="22"/>
        <v>5129.2454200000002</v>
      </c>
      <c r="AJ144" s="159">
        <f t="shared" si="22"/>
        <v>2536.17</v>
      </c>
      <c r="AK144" s="159">
        <f t="shared" si="22"/>
        <v>13280.91138</v>
      </c>
      <c r="AL144" s="263">
        <f t="shared" si="22"/>
        <v>3402.3703599999999</v>
      </c>
      <c r="AM144" s="253">
        <f t="shared" si="22"/>
        <v>18206.5</v>
      </c>
      <c r="AN144" s="159">
        <f t="shared" si="22"/>
        <v>5356.1190000000006</v>
      </c>
      <c r="AO144" s="159">
        <f t="shared" si="22"/>
        <v>22321.29</v>
      </c>
      <c r="AP144" s="254">
        <f t="shared" si="22"/>
        <v>16354.74294</v>
      </c>
      <c r="AQ144" s="162">
        <f t="shared" si="22"/>
        <v>23801.628000000001</v>
      </c>
      <c r="AR144" s="159">
        <f t="shared" si="22"/>
        <v>16836.534000000003</v>
      </c>
      <c r="AS144" s="159">
        <f t="shared" si="22"/>
        <v>32878.92</v>
      </c>
      <c r="AT144" s="263">
        <f t="shared" si="22"/>
        <v>19757.288070000002</v>
      </c>
      <c r="AU144" s="253">
        <f t="shared" si="22"/>
        <v>9789.6929999999993</v>
      </c>
      <c r="AV144" s="159">
        <f t="shared" si="22"/>
        <v>1424.3799999999999</v>
      </c>
      <c r="AW144" s="159">
        <f t="shared" si="22"/>
        <v>8888.7580000000016</v>
      </c>
      <c r="AX144" s="263">
        <f t="shared" si="22"/>
        <v>9119.1003399999991</v>
      </c>
      <c r="AY144" s="253">
        <f t="shared" si="22"/>
        <v>22890.160000000003</v>
      </c>
      <c r="AZ144" s="159">
        <f t="shared" si="22"/>
        <v>18639.379999999997</v>
      </c>
      <c r="BA144" s="159">
        <f t="shared" si="22"/>
        <v>31948.17</v>
      </c>
      <c r="BB144" s="263">
        <f t="shared" si="22"/>
        <v>19394.088412960798</v>
      </c>
      <c r="BC144" s="253">
        <f t="shared" si="22"/>
        <v>18600.532500000001</v>
      </c>
      <c r="BD144" s="159">
        <f t="shared" si="22"/>
        <v>2192.920842</v>
      </c>
      <c r="BE144" s="159">
        <f t="shared" si="22"/>
        <v>20681.640919999998</v>
      </c>
      <c r="BF144" s="976">
        <f t="shared" si="22"/>
        <v>14640.5535</v>
      </c>
      <c r="BG144" s="253">
        <f t="shared" si="22"/>
        <v>44108.413140000004</v>
      </c>
      <c r="BH144" s="159">
        <f t="shared" si="22"/>
        <v>35543.101115999998</v>
      </c>
      <c r="BI144" s="159">
        <f t="shared" si="22"/>
        <v>46173.580839999995</v>
      </c>
      <c r="BJ144" s="263">
        <f t="shared" si="22"/>
        <v>36982.815849175684</v>
      </c>
      <c r="BK144" s="253">
        <f t="shared" si="22"/>
        <v>40757.041560000005</v>
      </c>
      <c r="BL144" s="159">
        <f t="shared" si="22"/>
        <v>46219.75</v>
      </c>
      <c r="BM144" s="159">
        <f t="shared" si="22"/>
        <v>66693.939999999988</v>
      </c>
      <c r="BN144" s="263">
        <f>BN145+BN149+BN150+BN156+BN157+BN165+BN192</f>
        <v>36248.944439999999</v>
      </c>
      <c r="BO144" s="253">
        <f t="shared" si="22"/>
        <v>8487.2479999999996</v>
      </c>
      <c r="BP144" s="159">
        <f t="shared" si="22"/>
        <v>5415.08</v>
      </c>
      <c r="BQ144" s="159">
        <f t="shared" si="22"/>
        <v>8282.36</v>
      </c>
      <c r="BR144" s="254">
        <f t="shared" si="22"/>
        <v>6750.1029313679992</v>
      </c>
      <c r="BS144" s="253">
        <f t="shared" si="22"/>
        <v>9039.2722000000012</v>
      </c>
      <c r="BT144" s="159">
        <f t="shared" si="22"/>
        <v>10895.7734</v>
      </c>
      <c r="BU144" s="159">
        <f t="shared" si="22"/>
        <v>14218.58598</v>
      </c>
      <c r="BV144" s="254">
        <f t="shared" si="22"/>
        <v>8936.1122599999981</v>
      </c>
      <c r="BW144" s="170"/>
      <c r="BX144" s="166"/>
      <c r="BY144" s="163">
        <f t="shared" si="1"/>
        <v>784997.71662000008</v>
      </c>
      <c r="BZ144" s="164">
        <f t="shared" si="2"/>
        <v>708512.64835799986</v>
      </c>
      <c r="CA144" s="164">
        <f t="shared" si="3"/>
        <v>975960.12161999999</v>
      </c>
      <c r="CB144" s="165">
        <f t="shared" si="4"/>
        <v>785367.27006350446</v>
      </c>
      <c r="CC144" s="760"/>
    </row>
    <row r="145" spans="1:81" ht="15.95" customHeight="1" outlineLevel="4" x14ac:dyDescent="0.25">
      <c r="C145" s="10" t="s">
        <v>83</v>
      </c>
      <c r="D145" s="10" t="s">
        <v>84</v>
      </c>
      <c r="E145" s="10" t="s">
        <v>73</v>
      </c>
      <c r="F145" s="10" t="s">
        <v>74</v>
      </c>
      <c r="G145" s="10" t="s">
        <v>194</v>
      </c>
      <c r="H145" s="10" t="s">
        <v>73</v>
      </c>
      <c r="I145" s="10" t="s">
        <v>73</v>
      </c>
      <c r="K145" s="12" t="s">
        <v>73</v>
      </c>
      <c r="L145" s="10" t="s">
        <v>192</v>
      </c>
      <c r="M145" s="5" t="str">
        <f t="array" ref="M145">Y95</f>
        <v>1ХВС::1.1</v>
      </c>
      <c r="AB145" s="29" t="str">
        <f>AB144&amp;".1"</f>
        <v>3.1.1.1.1</v>
      </c>
      <c r="AC145" s="174" t="s">
        <v>195</v>
      </c>
      <c r="AD145" s="51" t="s">
        <v>111</v>
      </c>
      <c r="AE145" s="72">
        <f t="shared" ref="AE145:AO145" si="23">AE146+AE147+AE148</f>
        <v>21233.123</v>
      </c>
      <c r="AF145" s="73">
        <f t="shared" si="23"/>
        <v>16910.75</v>
      </c>
      <c r="AG145" s="73">
        <f t="shared" si="23"/>
        <v>23597.98</v>
      </c>
      <c r="AH145" s="74">
        <f t="shared" si="23"/>
        <v>20848.145</v>
      </c>
      <c r="AI145" s="179">
        <f t="shared" si="23"/>
        <v>392.18</v>
      </c>
      <c r="AJ145" s="73">
        <f t="shared" si="23"/>
        <v>35.909999999999997</v>
      </c>
      <c r="AK145" s="73">
        <f t="shared" si="23"/>
        <v>429.65999999999997</v>
      </c>
      <c r="AL145" s="138">
        <f t="shared" si="23"/>
        <v>0</v>
      </c>
      <c r="AM145" s="72">
        <f t="shared" si="23"/>
        <v>1995.27</v>
      </c>
      <c r="AN145" s="73">
        <f t="shared" si="23"/>
        <v>658.88</v>
      </c>
      <c r="AO145" s="73">
        <f t="shared" si="23"/>
        <v>2195.4499999999998</v>
      </c>
      <c r="AP145" s="74">
        <v>479.74</v>
      </c>
      <c r="AQ145" s="179">
        <f>AQ146+AQ147+AQ148</f>
        <v>2497.75</v>
      </c>
      <c r="AR145" s="73">
        <f>AR146+AR147+AR148</f>
        <v>2023.92</v>
      </c>
      <c r="AS145" s="73">
        <f>AS146+AS147+AS148</f>
        <v>2674.45</v>
      </c>
      <c r="AT145" s="138">
        <v>206.79</v>
      </c>
      <c r="AU145" s="72">
        <f>AU146+AU147+AU148</f>
        <v>446.99</v>
      </c>
      <c r="AV145" s="73">
        <f>AV146+AV147+AV148</f>
        <v>219.39</v>
      </c>
      <c r="AW145" s="73">
        <f>AW146+AW147+AW148</f>
        <v>491.81</v>
      </c>
      <c r="AX145" s="138">
        <v>174.06</v>
      </c>
      <c r="AY145" s="72">
        <f>AY146+AY147+AY148</f>
        <v>2214.6099999999997</v>
      </c>
      <c r="AZ145" s="73">
        <f>AZ146+AZ147+AZ148</f>
        <v>0</v>
      </c>
      <c r="BA145" s="73">
        <f>BA146+BA147+BA148</f>
        <v>2391.9499999999998</v>
      </c>
      <c r="BB145" s="73">
        <f>BB146+BB147+BB148</f>
        <v>0</v>
      </c>
      <c r="BC145" s="72">
        <f t="shared" ref="BC145:BI145" si="24">BC146+BC147+BC148</f>
        <v>2369.433</v>
      </c>
      <c r="BD145" s="73">
        <f t="shared" si="24"/>
        <v>0</v>
      </c>
      <c r="BE145" s="73">
        <f t="shared" si="24"/>
        <v>1826.9549999999999</v>
      </c>
      <c r="BF145" s="774">
        <f t="shared" si="24"/>
        <v>923.48</v>
      </c>
      <c r="BG145" s="72">
        <f t="shared" si="24"/>
        <v>6516.4400000000005</v>
      </c>
      <c r="BH145" s="73">
        <f t="shared" si="24"/>
        <v>189.85400000000001</v>
      </c>
      <c r="BI145" s="73">
        <f t="shared" si="24"/>
        <v>7159.32</v>
      </c>
      <c r="BJ145" s="138">
        <f>BJ147+BJ148</f>
        <v>198.46928992000002</v>
      </c>
      <c r="BK145" s="72">
        <f>BK146+BK147+BK148</f>
        <v>5664.4459999999999</v>
      </c>
      <c r="BL145" s="73">
        <f>BL146+BL147+BL148</f>
        <v>2515.69</v>
      </c>
      <c r="BM145" s="73">
        <f>BM146+BM147+BM148</f>
        <v>8333</v>
      </c>
      <c r="BN145" s="138">
        <f>BN146+BN147+BN148</f>
        <v>2819.39</v>
      </c>
      <c r="BO145" s="72">
        <f t="shared" ref="BO145:BV145" si="25">BO146+BO147+BO148</f>
        <v>781.39800000000002</v>
      </c>
      <c r="BP145" s="73">
        <f t="shared" si="25"/>
        <v>777.63</v>
      </c>
      <c r="BQ145" s="73">
        <f t="shared" si="25"/>
        <v>714.38</v>
      </c>
      <c r="BR145" s="74">
        <f t="shared" si="25"/>
        <v>1049.824302</v>
      </c>
      <c r="BS145" s="72">
        <f t="shared" si="25"/>
        <v>557.6</v>
      </c>
      <c r="BT145" s="73">
        <f t="shared" si="25"/>
        <v>421.96999999999997</v>
      </c>
      <c r="BU145" s="73">
        <f t="shared" si="25"/>
        <v>616.22</v>
      </c>
      <c r="BV145" s="74">
        <f t="shared" si="25"/>
        <v>56.23</v>
      </c>
      <c r="BY145" s="125">
        <f t="shared" si="1"/>
        <v>44669.24</v>
      </c>
      <c r="BZ145" s="126">
        <f t="shared" si="2"/>
        <v>23753.993999999999</v>
      </c>
      <c r="CA145" s="126">
        <f t="shared" si="3"/>
        <v>50431.175000000003</v>
      </c>
      <c r="CB145" s="127">
        <f t="shared" si="4"/>
        <v>26756.128591920005</v>
      </c>
    </row>
    <row r="146" spans="1:81" ht="15.95" hidden="1" customHeight="1" outlineLevel="4" x14ac:dyDescent="0.25">
      <c r="C146" s="10" t="s">
        <v>83</v>
      </c>
      <c r="D146" s="10" t="s">
        <v>84</v>
      </c>
      <c r="E146" s="10" t="s">
        <v>73</v>
      </c>
      <c r="F146" s="10" t="s">
        <v>74</v>
      </c>
      <c r="G146" s="10" t="s">
        <v>196</v>
      </c>
      <c r="H146" s="10" t="s">
        <v>73</v>
      </c>
      <c r="I146" s="10" t="s">
        <v>73</v>
      </c>
      <c r="K146" s="12" t="s">
        <v>73</v>
      </c>
      <c r="L146" s="10" t="s">
        <v>192</v>
      </c>
      <c r="M146" s="5" t="str">
        <f t="array" ref="M146">Y95</f>
        <v>1ХВС::1.1</v>
      </c>
      <c r="AB146" s="29" t="str">
        <f>AB145&amp;".1"</f>
        <v>3.1.1.1.1.1</v>
      </c>
      <c r="AC146" s="177" t="s">
        <v>196</v>
      </c>
      <c r="AD146" s="51" t="s">
        <v>111</v>
      </c>
      <c r="AE146" s="72"/>
      <c r="AF146" s="178"/>
      <c r="AG146" s="73"/>
      <c r="AH146" s="74"/>
      <c r="AI146" s="179"/>
      <c r="AJ146" s="178"/>
      <c r="AK146" s="73"/>
      <c r="AL146" s="138"/>
      <c r="AM146" s="72"/>
      <c r="AN146" s="178"/>
      <c r="AO146" s="73"/>
      <c r="AP146" s="74"/>
      <c r="AQ146" s="179"/>
      <c r="AR146" s="178"/>
      <c r="AS146" s="73"/>
      <c r="AT146" s="138"/>
      <c r="AU146" s="72"/>
      <c r="AV146" s="178"/>
      <c r="AW146" s="73"/>
      <c r="AX146" s="138"/>
      <c r="AY146" s="72"/>
      <c r="AZ146" s="178"/>
      <c r="BA146" s="73"/>
      <c r="BB146" s="138"/>
      <c r="BC146" s="72"/>
      <c r="BD146" s="178"/>
      <c r="BE146" s="73"/>
      <c r="BF146" s="774"/>
      <c r="BG146" s="72"/>
      <c r="BH146" s="178"/>
      <c r="BI146" s="73"/>
      <c r="BJ146" s="138"/>
      <c r="BK146" s="72"/>
      <c r="BL146" s="178"/>
      <c r="BM146" s="73"/>
      <c r="BN146" s="138"/>
      <c r="BO146" s="72"/>
      <c r="BP146" s="178"/>
      <c r="BQ146" s="73"/>
      <c r="BR146" s="74"/>
      <c r="BS146" s="72"/>
      <c r="BT146" s="178"/>
      <c r="BU146" s="73"/>
      <c r="BV146" s="74"/>
      <c r="BY146" s="125">
        <f t="shared" si="1"/>
        <v>0</v>
      </c>
      <c r="BZ146" s="126">
        <f t="shared" si="2"/>
        <v>0</v>
      </c>
      <c r="CA146" s="126">
        <f t="shared" si="3"/>
        <v>0</v>
      </c>
      <c r="CB146" s="127">
        <f t="shared" si="4"/>
        <v>0</v>
      </c>
    </row>
    <row r="147" spans="1:81" ht="15.95" customHeight="1" outlineLevel="4" x14ac:dyDescent="0.25">
      <c r="C147" s="10" t="s">
        <v>83</v>
      </c>
      <c r="D147" s="10" t="s">
        <v>84</v>
      </c>
      <c r="E147" s="10" t="s">
        <v>73</v>
      </c>
      <c r="F147" s="10" t="s">
        <v>74</v>
      </c>
      <c r="G147" s="10" t="s">
        <v>197</v>
      </c>
      <c r="H147" s="10" t="s">
        <v>73</v>
      </c>
      <c r="I147" s="10" t="s">
        <v>73</v>
      </c>
      <c r="K147" s="12" t="s">
        <v>73</v>
      </c>
      <c r="L147" s="10" t="s">
        <v>192</v>
      </c>
      <c r="M147" s="5" t="str">
        <f t="array" ref="M147">Y95</f>
        <v>1ХВС::1.1</v>
      </c>
      <c r="AB147" s="29" t="str">
        <f>AB145&amp;".2"</f>
        <v>3.1.1.1.1.2</v>
      </c>
      <c r="AC147" s="177" t="s">
        <v>197</v>
      </c>
      <c r="AD147" s="51" t="s">
        <v>111</v>
      </c>
      <c r="AE147" s="95">
        <v>8574.41</v>
      </c>
      <c r="AF147" s="178">
        <v>6452.37</v>
      </c>
      <c r="AG147" s="178">
        <v>9434.9599999999991</v>
      </c>
      <c r="AH147" s="96"/>
      <c r="AI147" s="901">
        <v>165.24</v>
      </c>
      <c r="AJ147" s="178">
        <v>2.94</v>
      </c>
      <c r="AK147" s="178">
        <v>180.96</v>
      </c>
      <c r="AL147" s="181"/>
      <c r="AM147" s="95">
        <v>435.98</v>
      </c>
      <c r="AN147" s="178">
        <v>255.31</v>
      </c>
      <c r="AO147" s="178">
        <v>479.73</v>
      </c>
      <c r="AP147" s="96">
        <v>479.73</v>
      </c>
      <c r="AQ147" s="187">
        <v>318.04000000000002</v>
      </c>
      <c r="AR147" s="178">
        <v>211.67</v>
      </c>
      <c r="AS147" s="178">
        <v>349.95</v>
      </c>
      <c r="AT147" s="181">
        <v>206.79</v>
      </c>
      <c r="AU147" s="95">
        <v>158.19</v>
      </c>
      <c r="AV147" s="178">
        <f>180.59</f>
        <v>180.59</v>
      </c>
      <c r="AW147" s="178">
        <v>174.06</v>
      </c>
      <c r="AX147" s="181">
        <v>174.06</v>
      </c>
      <c r="AY147" s="95">
        <f>659.29+5.45</f>
        <v>664.74</v>
      </c>
      <c r="AZ147" s="178"/>
      <c r="BA147" s="178">
        <v>687.23</v>
      </c>
      <c r="BB147" s="181"/>
      <c r="BC147" s="95">
        <v>1149.2329999999999</v>
      </c>
      <c r="BD147" s="178"/>
      <c r="BE147" s="178">
        <v>1264.5170000000001</v>
      </c>
      <c r="BF147" s="210">
        <v>923.48</v>
      </c>
      <c r="BG147" s="95">
        <v>2053.89</v>
      </c>
      <c r="BH147" s="178">
        <v>189.85400000000001</v>
      </c>
      <c r="BI147" s="178">
        <v>2249.09</v>
      </c>
      <c r="BJ147" s="181">
        <f>BH147*1.04048+0.93</f>
        <v>198.46928992000002</v>
      </c>
      <c r="BK147" s="95">
        <v>2789.6</v>
      </c>
      <c r="BL147" s="178">
        <v>2398.3000000000002</v>
      </c>
      <c r="BM147" s="178">
        <v>4069.47</v>
      </c>
      <c r="BN147" s="181">
        <v>2723.97</v>
      </c>
      <c r="BO147" s="185">
        <v>176.428</v>
      </c>
      <c r="BP147" s="183">
        <v>51.93</v>
      </c>
      <c r="BQ147" s="183">
        <v>101.41</v>
      </c>
      <c r="BR147" s="186">
        <f>73.005*1.2468</f>
        <v>91.022633999999982</v>
      </c>
      <c r="BS147" s="185">
        <v>86.12</v>
      </c>
      <c r="BT147" s="183">
        <v>51.14</v>
      </c>
      <c r="BU147" s="183">
        <v>93.12</v>
      </c>
      <c r="BV147" s="186">
        <v>56.23</v>
      </c>
      <c r="BY147" s="125">
        <f t="shared" si="1"/>
        <v>16571.870999999999</v>
      </c>
      <c r="BZ147" s="126">
        <f t="shared" si="2"/>
        <v>9794.1039999999994</v>
      </c>
      <c r="CA147" s="126">
        <f t="shared" si="3"/>
        <v>19084.496999999996</v>
      </c>
      <c r="CB147" s="127">
        <f t="shared" si="4"/>
        <v>4853.7519239199992</v>
      </c>
    </row>
    <row r="148" spans="1:81" ht="15.95" customHeight="1" outlineLevel="4" x14ac:dyDescent="0.25">
      <c r="C148" s="10" t="s">
        <v>83</v>
      </c>
      <c r="D148" s="10" t="s">
        <v>84</v>
      </c>
      <c r="E148" s="10" t="s">
        <v>73</v>
      </c>
      <c r="F148" s="10" t="s">
        <v>74</v>
      </c>
      <c r="G148" s="10" t="s">
        <v>198</v>
      </c>
      <c r="H148" s="10" t="s">
        <v>73</v>
      </c>
      <c r="I148" s="10" t="s">
        <v>73</v>
      </c>
      <c r="K148" s="12" t="s">
        <v>73</v>
      </c>
      <c r="L148" s="10" t="s">
        <v>192</v>
      </c>
      <c r="M148" s="5" t="str">
        <f t="array" ref="M148">Y95</f>
        <v>1ХВС::1.1</v>
      </c>
      <c r="AB148" s="29" t="str">
        <f>AB145&amp;".3"</f>
        <v>3.1.1.1.1.3</v>
      </c>
      <c r="AC148" s="177" t="s">
        <v>198</v>
      </c>
      <c r="AD148" s="51" t="s">
        <v>111</v>
      </c>
      <c r="AE148" s="95">
        <v>12658.713</v>
      </c>
      <c r="AF148" s="178">
        <f>11064.69-606.31</f>
        <v>10458.380000000001</v>
      </c>
      <c r="AG148" s="178">
        <f>13691.66+471.36</f>
        <v>14163.02</v>
      </c>
      <c r="AH148" s="96">
        <v>20848.145</v>
      </c>
      <c r="AI148" s="187">
        <v>226.94</v>
      </c>
      <c r="AJ148" s="178">
        <v>32.97</v>
      </c>
      <c r="AK148" s="178">
        <v>248.7</v>
      </c>
      <c r="AL148" s="181"/>
      <c r="AM148" s="95">
        <v>1559.29</v>
      </c>
      <c r="AN148" s="178">
        <v>403.57</v>
      </c>
      <c r="AO148" s="178">
        <v>1715.72</v>
      </c>
      <c r="AP148" s="96">
        <v>0</v>
      </c>
      <c r="AQ148" s="187">
        <v>2179.71</v>
      </c>
      <c r="AR148" s="178">
        <v>1812.25</v>
      </c>
      <c r="AS148" s="178">
        <v>2324.5</v>
      </c>
      <c r="AT148" s="181">
        <v>0</v>
      </c>
      <c r="AU148" s="95">
        <v>288.8</v>
      </c>
      <c r="AV148" s="178">
        <v>38.799999999999997</v>
      </c>
      <c r="AW148" s="178">
        <v>317.75</v>
      </c>
      <c r="AX148" s="181">
        <v>0</v>
      </c>
      <c r="AY148" s="95">
        <v>1549.87</v>
      </c>
      <c r="AZ148" s="178"/>
      <c r="BA148" s="178">
        <v>1704.72</v>
      </c>
      <c r="BB148" s="181"/>
      <c r="BC148" s="95">
        <v>1220.2</v>
      </c>
      <c r="BD148" s="178"/>
      <c r="BE148" s="178">
        <v>562.43799999999999</v>
      </c>
      <c r="BF148" s="210">
        <v>0</v>
      </c>
      <c r="BG148" s="95">
        <v>4462.55</v>
      </c>
      <c r="BH148" s="178"/>
      <c r="BI148" s="178">
        <v>4910.2299999999996</v>
      </c>
      <c r="BJ148" s="181"/>
      <c r="BK148" s="95">
        <v>2874.846</v>
      </c>
      <c r="BL148" s="178">
        <v>117.39</v>
      </c>
      <c r="BM148" s="178">
        <f>4163.25+100.28</f>
        <v>4263.53</v>
      </c>
      <c r="BN148" s="181">
        <v>95.42</v>
      </c>
      <c r="BO148" s="185">
        <v>604.97</v>
      </c>
      <c r="BP148" s="183">
        <v>725.7</v>
      </c>
      <c r="BQ148" s="183">
        <v>612.97</v>
      </c>
      <c r="BR148" s="186">
        <f>(842.02-73.01)*1.2468</f>
        <v>958.80166799999995</v>
      </c>
      <c r="BS148" s="185">
        <v>471.48</v>
      </c>
      <c r="BT148" s="183">
        <v>370.83</v>
      </c>
      <c r="BU148" s="183">
        <v>523.1</v>
      </c>
      <c r="BV148" s="186"/>
      <c r="BY148" s="125">
        <f t="shared" si="1"/>
        <v>28097.368999999999</v>
      </c>
      <c r="BZ148" s="126">
        <f t="shared" si="2"/>
        <v>13959.89</v>
      </c>
      <c r="CA148" s="126">
        <f t="shared" si="3"/>
        <v>31346.678</v>
      </c>
      <c r="CB148" s="127">
        <f t="shared" si="4"/>
        <v>21902.366667999999</v>
      </c>
    </row>
    <row r="149" spans="1:81" ht="53.25" customHeight="1" outlineLevel="4" x14ac:dyDescent="0.25">
      <c r="C149" s="10" t="s">
        <v>83</v>
      </c>
      <c r="D149" s="10" t="s">
        <v>84</v>
      </c>
      <c r="E149" s="10" t="s">
        <v>73</v>
      </c>
      <c r="F149" s="10" t="s">
        <v>74</v>
      </c>
      <c r="G149" s="10" t="s">
        <v>199</v>
      </c>
      <c r="H149" s="10" t="s">
        <v>73</v>
      </c>
      <c r="I149" s="10" t="s">
        <v>73</v>
      </c>
      <c r="K149" s="12" t="s">
        <v>73</v>
      </c>
      <c r="L149" s="10" t="s">
        <v>192</v>
      </c>
      <c r="M149" s="5" t="str">
        <f t="array" ref="M149">Y95</f>
        <v>1ХВС::1.1</v>
      </c>
      <c r="AB149" s="29" t="str">
        <f>AB144&amp;".2"</f>
        <v>3.1.1.1.2</v>
      </c>
      <c r="AC149" s="174" t="s">
        <v>200</v>
      </c>
      <c r="AD149" s="51" t="s">
        <v>111</v>
      </c>
      <c r="AE149" s="95"/>
      <c r="AF149" s="178"/>
      <c r="AG149" s="178"/>
      <c r="AH149" s="96"/>
      <c r="AI149" s="187"/>
      <c r="AJ149" s="178"/>
      <c r="AK149" s="178"/>
      <c r="AL149" s="181"/>
      <c r="AM149" s="95"/>
      <c r="AN149" s="178"/>
      <c r="AO149" s="178"/>
      <c r="AP149" s="96"/>
      <c r="AQ149" s="187"/>
      <c r="AR149" s="178"/>
      <c r="AS149" s="178"/>
      <c r="AT149" s="181"/>
      <c r="AU149" s="95"/>
      <c r="AV149" s="178"/>
      <c r="AW149" s="178"/>
      <c r="AX149" s="181"/>
      <c r="AY149" s="95"/>
      <c r="AZ149" s="178"/>
      <c r="BA149" s="178"/>
      <c r="BB149" s="181"/>
      <c r="BC149" s="95"/>
      <c r="BD149" s="178"/>
      <c r="BE149" s="178"/>
      <c r="BF149" s="210"/>
      <c r="BG149" s="95"/>
      <c r="BH149" s="178"/>
      <c r="BI149" s="178"/>
      <c r="BJ149" s="181"/>
      <c r="BK149" s="95"/>
      <c r="BL149" s="178"/>
      <c r="BM149" s="178"/>
      <c r="BN149" s="181"/>
      <c r="BO149" s="95"/>
      <c r="BP149" s="178"/>
      <c r="BQ149" s="178"/>
      <c r="BR149" s="96"/>
      <c r="BS149" s="95"/>
      <c r="BT149" s="178"/>
      <c r="BU149" s="178"/>
      <c r="BV149" s="96"/>
      <c r="BY149" s="125">
        <f t="shared" si="1"/>
        <v>0</v>
      </c>
      <c r="BZ149" s="126">
        <f t="shared" si="2"/>
        <v>0</v>
      </c>
      <c r="CA149" s="126">
        <f t="shared" si="3"/>
        <v>0</v>
      </c>
      <c r="CB149" s="127">
        <f t="shared" si="4"/>
        <v>0</v>
      </c>
    </row>
    <row r="150" spans="1:81" ht="44.25" customHeight="1" outlineLevel="4" x14ac:dyDescent="0.25">
      <c r="C150" s="10" t="s">
        <v>83</v>
      </c>
      <c r="D150" s="10" t="s">
        <v>84</v>
      </c>
      <c r="E150" s="10" t="s">
        <v>73</v>
      </c>
      <c r="F150" s="10" t="s">
        <v>74</v>
      </c>
      <c r="G150" s="10" t="s">
        <v>201</v>
      </c>
      <c r="H150" s="10" t="s">
        <v>202</v>
      </c>
      <c r="I150" s="10" t="s">
        <v>73</v>
      </c>
      <c r="K150" s="12" t="s">
        <v>73</v>
      </c>
      <c r="L150" s="10" t="s">
        <v>192</v>
      </c>
      <c r="M150" s="5" t="str">
        <f t="array" ref="M150">Y95</f>
        <v>1ХВС::1.1</v>
      </c>
      <c r="AB150" s="29" t="str">
        <f>AB144&amp;".3"</f>
        <v>3.1.1.1.3</v>
      </c>
      <c r="AC150" s="174" t="s">
        <v>203</v>
      </c>
      <c r="AD150" s="51" t="s">
        <v>111</v>
      </c>
      <c r="AE150" s="72">
        <f t="shared" ref="AE150:AK150" si="26">AE151+AE154</f>
        <v>420938.26980000001</v>
      </c>
      <c r="AF150" s="73">
        <f t="shared" si="26"/>
        <v>505977.67</v>
      </c>
      <c r="AG150" s="73">
        <f t="shared" si="26"/>
        <v>585762.9645</v>
      </c>
      <c r="AH150" s="74">
        <f t="shared" si="26"/>
        <v>528496.09595999995</v>
      </c>
      <c r="AI150" s="179">
        <f t="shared" si="26"/>
        <v>2699.9704200000001</v>
      </c>
      <c r="AJ150" s="73">
        <f t="shared" si="26"/>
        <v>1835.9499999999998</v>
      </c>
      <c r="AK150" s="73">
        <f t="shared" si="26"/>
        <v>9366.1843799999988</v>
      </c>
      <c r="AL150" s="761">
        <v>3402.3703599999999</v>
      </c>
      <c r="AM150" s="72">
        <f t="shared" ref="AM150:BV150" si="27">AM151+AM154</f>
        <v>12553.199999999999</v>
      </c>
      <c r="AN150" s="73">
        <f t="shared" si="27"/>
        <v>2713.1590000000001</v>
      </c>
      <c r="AO150" s="73">
        <f t="shared" si="27"/>
        <v>13317.27</v>
      </c>
      <c r="AP150" s="74">
        <f t="shared" si="27"/>
        <v>15820.56294</v>
      </c>
      <c r="AQ150" s="179">
        <f t="shared" si="27"/>
        <v>15592.438</v>
      </c>
      <c r="AR150" s="73">
        <f t="shared" si="27"/>
        <v>13906.740000000002</v>
      </c>
      <c r="AS150" s="73">
        <f t="shared" si="27"/>
        <v>20835.46</v>
      </c>
      <c r="AT150" s="138">
        <f t="shared" si="27"/>
        <v>19490.00907</v>
      </c>
      <c r="AU150" s="72">
        <f t="shared" si="27"/>
        <v>7100.2129999999997</v>
      </c>
      <c r="AV150" s="73">
        <f t="shared" si="27"/>
        <v>1152.8499999999999</v>
      </c>
      <c r="AW150" s="73">
        <f t="shared" si="27"/>
        <v>4398.4480000000003</v>
      </c>
      <c r="AX150" s="138">
        <f t="shared" si="27"/>
        <v>8898.7403400000003</v>
      </c>
      <c r="AY150" s="72">
        <f t="shared" si="27"/>
        <v>16259.95</v>
      </c>
      <c r="AZ150" s="73">
        <f t="shared" si="27"/>
        <v>18639.379999999997</v>
      </c>
      <c r="BA150" s="73">
        <f t="shared" si="27"/>
        <v>21482.75</v>
      </c>
      <c r="BB150" s="138">
        <f t="shared" si="27"/>
        <v>19394.088412960798</v>
      </c>
      <c r="BC150" s="72">
        <f t="shared" si="27"/>
        <v>10767.8655</v>
      </c>
      <c r="BD150" s="73">
        <f t="shared" si="27"/>
        <v>2192.920842</v>
      </c>
      <c r="BE150" s="73">
        <f t="shared" si="27"/>
        <v>9957.6439200000004</v>
      </c>
      <c r="BF150" s="774">
        <f t="shared" si="27"/>
        <v>13569.1185</v>
      </c>
      <c r="BG150" s="72">
        <f t="shared" si="27"/>
        <v>26057.668140000002</v>
      </c>
      <c r="BH150" s="73">
        <f t="shared" si="27"/>
        <v>34054.927115999999</v>
      </c>
      <c r="BI150" s="73">
        <f t="shared" si="27"/>
        <v>30564.996839999996</v>
      </c>
      <c r="BJ150" s="138">
        <f t="shared" si="27"/>
        <v>35433.470565655683</v>
      </c>
      <c r="BK150" s="72">
        <f t="shared" si="27"/>
        <v>26258.255560000001</v>
      </c>
      <c r="BL150" s="73">
        <f t="shared" si="27"/>
        <v>43330.549999999996</v>
      </c>
      <c r="BM150" s="73">
        <f t="shared" si="27"/>
        <v>46663.53</v>
      </c>
      <c r="BN150" s="138">
        <f t="shared" si="27"/>
        <v>33089.314440000002</v>
      </c>
      <c r="BO150" s="72">
        <f t="shared" si="27"/>
        <v>3600.88</v>
      </c>
      <c r="BP150" s="73">
        <f t="shared" si="27"/>
        <v>3778.6899999999996</v>
      </c>
      <c r="BQ150" s="73">
        <f t="shared" si="27"/>
        <v>2657.29</v>
      </c>
      <c r="BR150" s="74">
        <f t="shared" si="27"/>
        <v>5657.5286293679992</v>
      </c>
      <c r="BS150" s="72">
        <f t="shared" si="27"/>
        <v>7149.4122000000007</v>
      </c>
      <c r="BT150" s="73">
        <f t="shared" si="27"/>
        <v>10346.6034</v>
      </c>
      <c r="BU150" s="73">
        <f t="shared" si="27"/>
        <v>11723.84598</v>
      </c>
      <c r="BV150" s="74">
        <f t="shared" si="27"/>
        <v>8823.1722599999994</v>
      </c>
      <c r="BY150" s="125">
        <f t="shared" si="1"/>
        <v>548978.12262000015</v>
      </c>
      <c r="BZ150" s="126">
        <f t="shared" si="2"/>
        <v>637929.44035799999</v>
      </c>
      <c r="CA150" s="126">
        <f t="shared" si="3"/>
        <v>756730.38361999998</v>
      </c>
      <c r="CB150" s="127">
        <f t="shared" si="4"/>
        <v>692074.47147798445</v>
      </c>
    </row>
    <row r="151" spans="1:81" ht="27.75" customHeight="1" outlineLevel="4" x14ac:dyDescent="0.25">
      <c r="C151" s="10" t="s">
        <v>83</v>
      </c>
      <c r="D151" s="10" t="s">
        <v>84</v>
      </c>
      <c r="E151" s="10" t="s">
        <v>73</v>
      </c>
      <c r="F151" s="10" t="s">
        <v>74</v>
      </c>
      <c r="G151" s="10" t="s">
        <v>204</v>
      </c>
      <c r="H151" s="10" t="s">
        <v>202</v>
      </c>
      <c r="I151" s="10" t="s">
        <v>73</v>
      </c>
      <c r="K151" s="12" t="s">
        <v>73</v>
      </c>
      <c r="L151" s="10" t="s">
        <v>192</v>
      </c>
      <c r="M151" s="5" t="str">
        <f t="array" ref="M151">Y95</f>
        <v>1ХВС::1.1</v>
      </c>
      <c r="AB151" s="29" t="str">
        <f>AB150&amp;".1"</f>
        <v>3.1.1.1.3.1</v>
      </c>
      <c r="AC151" s="177" t="s">
        <v>205</v>
      </c>
      <c r="AD151" s="51" t="s">
        <v>111</v>
      </c>
      <c r="AE151" s="95">
        <f>327234.341-10241.72/2</f>
        <v>322113.48100000003</v>
      </c>
      <c r="AF151" s="178">
        <v>388135.97</v>
      </c>
      <c r="AG151" s="178">
        <v>449894.75</v>
      </c>
      <c r="AH151" s="1056">
        <v>405910.98</v>
      </c>
      <c r="AI151" s="187">
        <v>2073.71</v>
      </c>
      <c r="AJ151" s="178">
        <v>1410.1</v>
      </c>
      <c r="AK151" s="178">
        <v>7193.69</v>
      </c>
      <c r="AL151" s="762">
        <v>2613.1799999999998</v>
      </c>
      <c r="AM151" s="95">
        <v>9641.48</v>
      </c>
      <c r="AN151" s="178">
        <v>2083.8389999999999</v>
      </c>
      <c r="AO151" s="178">
        <v>10228.32</v>
      </c>
      <c r="AP151" s="96">
        <v>12150.97</v>
      </c>
      <c r="AQ151" s="187">
        <v>11975.758</v>
      </c>
      <c r="AR151" s="178">
        <f>10183.03+498.03</f>
        <v>10681.060000000001</v>
      </c>
      <c r="AS151" s="178">
        <v>16002.66</v>
      </c>
      <c r="AT151" s="181">
        <v>14969.285</v>
      </c>
      <c r="AU151" s="95">
        <v>5453.3130000000001</v>
      </c>
      <c r="AV151" s="178">
        <v>885.45</v>
      </c>
      <c r="AW151" s="178">
        <v>3378.2280000000001</v>
      </c>
      <c r="AX151" s="181">
        <v>6834.67</v>
      </c>
      <c r="AY151" s="95">
        <v>12488.44</v>
      </c>
      <c r="AZ151" s="178">
        <v>14315.96</v>
      </c>
      <c r="BA151" s="178">
        <v>16499.810000000001</v>
      </c>
      <c r="BB151" s="181">
        <f>AZ151*1.04049</f>
        <v>14895.613220399999</v>
      </c>
      <c r="BC151" s="95">
        <v>8270.25</v>
      </c>
      <c r="BD151" s="178">
        <v>1684.271</v>
      </c>
      <c r="BE151" s="178">
        <v>7647.96</v>
      </c>
      <c r="BF151" s="210">
        <v>10421.75</v>
      </c>
      <c r="BG151" s="95">
        <v>20013.57</v>
      </c>
      <c r="BH151" s="178">
        <v>26155.858</v>
      </c>
      <c r="BI151" s="178">
        <v>23475.42</v>
      </c>
      <c r="BJ151" s="181">
        <f>BH151*1.04048</f>
        <v>27214.647131840004</v>
      </c>
      <c r="BK151" s="95">
        <v>20167.631000000001</v>
      </c>
      <c r="BL151" s="178">
        <v>33279.99</v>
      </c>
      <c r="BM151" s="178">
        <v>35839.879999999997</v>
      </c>
      <c r="BN151" s="181">
        <v>25414.22</v>
      </c>
      <c r="BO151" s="185">
        <v>2765.65</v>
      </c>
      <c r="BP151" s="183">
        <v>2902.22</v>
      </c>
      <c r="BQ151" s="183">
        <v>2040.93</v>
      </c>
      <c r="BR151" s="186">
        <f>3485.13*1.2468</f>
        <v>4345.2600839999996</v>
      </c>
      <c r="BS151" s="185">
        <v>5491.1</v>
      </c>
      <c r="BT151" s="183">
        <v>7946.7</v>
      </c>
      <c r="BU151" s="183">
        <v>9004.49</v>
      </c>
      <c r="BV151" s="186">
        <v>6776.63</v>
      </c>
      <c r="BY151" s="125">
        <f t="shared" si="1"/>
        <v>420454.38300000003</v>
      </c>
      <c r="BZ151" s="126">
        <f t="shared" si="2"/>
        <v>489481.41799999995</v>
      </c>
      <c r="CA151" s="126">
        <f t="shared" si="3"/>
        <v>581206.13800000004</v>
      </c>
      <c r="CB151" s="127">
        <f t="shared" si="4"/>
        <v>531547.20543623983</v>
      </c>
    </row>
    <row r="152" spans="1:81" s="115" customFormat="1" ht="27.75" customHeight="1" outlineLevel="4" x14ac:dyDescent="0.25">
      <c r="A152" s="100"/>
      <c r="B152" s="100"/>
      <c r="C152" s="99" t="s">
        <v>206</v>
      </c>
      <c r="D152" s="99" t="s">
        <v>207</v>
      </c>
      <c r="E152" s="99" t="s">
        <v>73</v>
      </c>
      <c r="F152" s="99" t="s">
        <v>74</v>
      </c>
      <c r="G152" s="99" t="s">
        <v>73</v>
      </c>
      <c r="H152" s="99" t="s">
        <v>202</v>
      </c>
      <c r="I152" s="99" t="s">
        <v>73</v>
      </c>
      <c r="J152" s="100"/>
      <c r="K152" s="102" t="s">
        <v>73</v>
      </c>
      <c r="L152" s="99" t="s">
        <v>192</v>
      </c>
      <c r="M152" s="100" t="str">
        <f t="array" ref="M152">Y95</f>
        <v>1ХВС::1.1</v>
      </c>
      <c r="N152" s="100"/>
      <c r="O152" s="100"/>
      <c r="P152" s="100"/>
      <c r="Q152" s="100"/>
      <c r="R152" s="100"/>
      <c r="S152" s="100"/>
      <c r="T152" s="100"/>
      <c r="U152" s="100"/>
      <c r="V152" s="100"/>
      <c r="W152" s="100"/>
      <c r="X152" s="100"/>
      <c r="Y152" s="100"/>
      <c r="Z152" s="100"/>
      <c r="AA152" s="100"/>
      <c r="AB152" s="103" t="str">
        <f>AB151&amp;".1"</f>
        <v>3.1.1.1.3.1.1</v>
      </c>
      <c r="AC152" s="188" t="s">
        <v>208</v>
      </c>
      <c r="AD152" s="189" t="s">
        <v>209</v>
      </c>
      <c r="AE152" s="190">
        <f>(AE151/AE153)/12*1000</f>
        <v>54315.641609334962</v>
      </c>
      <c r="AF152" s="191">
        <f>(AF151/AF153)/12*1000</f>
        <v>51830.244638517208</v>
      </c>
      <c r="AG152" s="191">
        <f>(AG151/AG153)/12*1000</f>
        <v>53330.340208629677</v>
      </c>
      <c r="AH152" s="1057">
        <v>62223.455722747502</v>
      </c>
      <c r="AI152" s="640">
        <f>(AI151/AI153)/12*1000</f>
        <v>35267.176870748292</v>
      </c>
      <c r="AJ152" s="191">
        <f>(AJ151/AJ153)/12*1000</f>
        <v>38654.057017543855</v>
      </c>
      <c r="AK152" s="191">
        <f>(AK151/AK153)/12*1000</f>
        <v>44405.493827160491</v>
      </c>
      <c r="AL152" s="763">
        <v>40401.669758812597</v>
      </c>
      <c r="AM152" s="190">
        <f t="shared" ref="AM152:BV152" si="28">(AM151/AM153)/12*1000</f>
        <v>46496.334876543209</v>
      </c>
      <c r="AN152" s="191">
        <f t="shared" si="28"/>
        <v>25425.073206442165</v>
      </c>
      <c r="AO152" s="191">
        <f t="shared" si="28"/>
        <v>37715.044247787613</v>
      </c>
      <c r="AP152" s="192">
        <f t="shared" si="28"/>
        <v>53265.693494651932</v>
      </c>
      <c r="AQ152" s="640">
        <f t="shared" si="28"/>
        <v>55443.324074074073</v>
      </c>
      <c r="AR152" s="191">
        <f t="shared" si="28"/>
        <v>34905.424836601313</v>
      </c>
      <c r="AS152" s="191">
        <f t="shared" si="28"/>
        <v>43017.903225806454</v>
      </c>
      <c r="AT152" s="193">
        <f t="shared" si="28"/>
        <v>63515.296164290557</v>
      </c>
      <c r="AU152" s="190">
        <f t="shared" si="28"/>
        <v>50270.215707964613</v>
      </c>
      <c r="AV152" s="191">
        <f t="shared" si="28"/>
        <v>31265.88983050848</v>
      </c>
      <c r="AW152" s="191">
        <f t="shared" si="28"/>
        <v>45406.290322580644</v>
      </c>
      <c r="AX152" s="193">
        <f t="shared" si="28"/>
        <v>57589.063026626216</v>
      </c>
      <c r="AY152" s="190">
        <f t="shared" si="28"/>
        <v>48676.488930464613</v>
      </c>
      <c r="AZ152" s="191">
        <f t="shared" si="28"/>
        <v>39437.906336088156</v>
      </c>
      <c r="BA152" s="191">
        <f t="shared" si="28"/>
        <v>39854.613526570058</v>
      </c>
      <c r="BB152" s="193">
        <f t="shared" si="28"/>
        <v>41034.747163636363</v>
      </c>
      <c r="BC152" s="190">
        <f t="shared" si="28"/>
        <v>47011.425648021825</v>
      </c>
      <c r="BD152" s="191">
        <f t="shared" si="28"/>
        <v>43186.435897435898</v>
      </c>
      <c r="BE152" s="191">
        <f t="shared" si="28"/>
        <v>43953.793103448275</v>
      </c>
      <c r="BF152" s="977">
        <f t="shared" si="28"/>
        <v>53842.477784666247</v>
      </c>
      <c r="BG152" s="190">
        <f t="shared" si="28"/>
        <v>55042.821782178216</v>
      </c>
      <c r="BH152" s="191">
        <f t="shared" si="28"/>
        <v>40642.454471999503</v>
      </c>
      <c r="BI152" s="191">
        <f t="shared" si="28"/>
        <v>48907.125</v>
      </c>
      <c r="BJ152" s="193">
        <f t="shared" si="28"/>
        <v>42287.661029026051</v>
      </c>
      <c r="BK152" s="190">
        <f t="shared" si="28"/>
        <v>46120.63437614344</v>
      </c>
      <c r="BL152" s="191">
        <f t="shared" si="28"/>
        <v>44731.169354838705</v>
      </c>
      <c r="BM152" s="191">
        <f t="shared" si="28"/>
        <v>48171.881720430101</v>
      </c>
      <c r="BN152" s="193">
        <f t="shared" si="28"/>
        <v>52840.610445775121</v>
      </c>
      <c r="BO152" s="197">
        <f t="shared" si="28"/>
        <v>50102.355072463775</v>
      </c>
      <c r="BP152" s="195">
        <f t="shared" si="28"/>
        <v>32246.888888888883</v>
      </c>
      <c r="BQ152" s="195">
        <f t="shared" si="28"/>
        <v>40018.23529411765</v>
      </c>
      <c r="BR152" s="198">
        <f t="shared" si="28"/>
        <v>71562.254347826078</v>
      </c>
      <c r="BS152" s="197">
        <f t="shared" si="28"/>
        <v>51999.053030303032</v>
      </c>
      <c r="BT152" s="195">
        <f t="shared" si="28"/>
        <v>42477.549711353429</v>
      </c>
      <c r="BU152" s="195">
        <f t="shared" si="28"/>
        <v>46176.871794871797</v>
      </c>
      <c r="BV152" s="198">
        <f t="shared" si="28"/>
        <v>59569.532348804503</v>
      </c>
      <c r="BW152" s="111"/>
      <c r="BX152" s="100"/>
      <c r="BY152" s="112">
        <f>(BY151/BY153)/12*1000</f>
        <v>53119.868480897538</v>
      </c>
      <c r="BZ152" s="113">
        <f>(BZ151/BZ153)/12*1000</f>
        <v>48909.014588329337</v>
      </c>
      <c r="CA152" s="113">
        <f>(CA151/CA153)/12*1000</f>
        <v>51101.33449391574</v>
      </c>
      <c r="CB152" s="114">
        <f>(CB151/CB153)/12*1000</f>
        <v>58889.628085059405</v>
      </c>
      <c r="CC152" s="759"/>
    </row>
    <row r="153" spans="1:81" s="115" customFormat="1" ht="25.5" customHeight="1" outlineLevel="4" x14ac:dyDescent="0.25">
      <c r="A153" s="100"/>
      <c r="B153" s="100"/>
      <c r="C153" s="99" t="s">
        <v>210</v>
      </c>
      <c r="D153" s="99" t="s">
        <v>211</v>
      </c>
      <c r="E153" s="99" t="s">
        <v>73</v>
      </c>
      <c r="F153" s="99" t="s">
        <v>74</v>
      </c>
      <c r="G153" s="99" t="s">
        <v>73</v>
      </c>
      <c r="H153" s="99" t="s">
        <v>202</v>
      </c>
      <c r="I153" s="99" t="s">
        <v>73</v>
      </c>
      <c r="J153" s="100"/>
      <c r="K153" s="102" t="s">
        <v>73</v>
      </c>
      <c r="L153" s="99" t="s">
        <v>192</v>
      </c>
      <c r="M153" s="100" t="str">
        <f t="array" ref="M153">Y95</f>
        <v>1ХВС::1.1</v>
      </c>
      <c r="N153" s="100"/>
      <c r="O153" s="100"/>
      <c r="P153" s="100"/>
      <c r="Q153" s="100"/>
      <c r="R153" s="100"/>
      <c r="S153" s="100"/>
      <c r="T153" s="100"/>
      <c r="U153" s="100"/>
      <c r="V153" s="100"/>
      <c r="W153" s="100"/>
      <c r="X153" s="100"/>
      <c r="Y153" s="100"/>
      <c r="Z153" s="100"/>
      <c r="AA153" s="100"/>
      <c r="AB153" s="103" t="str">
        <f>AB151&amp;".2"</f>
        <v>3.1.1.1.3.1.2</v>
      </c>
      <c r="AC153" s="188" t="s">
        <v>212</v>
      </c>
      <c r="AD153" s="189" t="s">
        <v>213</v>
      </c>
      <c r="AE153" s="199">
        <v>494.2</v>
      </c>
      <c r="AF153" s="200">
        <v>624.04999999999995</v>
      </c>
      <c r="AG153" s="200">
        <v>703</v>
      </c>
      <c r="AH153" s="1058">
        <v>543.62</v>
      </c>
      <c r="AI153" s="933">
        <v>4.9000000000000004</v>
      </c>
      <c r="AJ153" s="200">
        <v>3.04</v>
      </c>
      <c r="AK153" s="200">
        <v>13.5</v>
      </c>
      <c r="AL153" s="764">
        <v>5.39</v>
      </c>
      <c r="AM153" s="199">
        <v>17.28</v>
      </c>
      <c r="AN153" s="200">
        <v>6.83</v>
      </c>
      <c r="AO153" s="200">
        <v>22.6</v>
      </c>
      <c r="AP153" s="201">
        <v>19.010000000000002</v>
      </c>
      <c r="AQ153" s="933">
        <v>18</v>
      </c>
      <c r="AR153" s="200">
        <v>25.5</v>
      </c>
      <c r="AS153" s="200">
        <v>31</v>
      </c>
      <c r="AT153" s="202">
        <v>19.64</v>
      </c>
      <c r="AU153" s="199">
        <v>9.0399999999999991</v>
      </c>
      <c r="AV153" s="200">
        <v>2.36</v>
      </c>
      <c r="AW153" s="200">
        <v>6.2</v>
      </c>
      <c r="AX153" s="202">
        <v>9.89</v>
      </c>
      <c r="AY153" s="199">
        <v>21.38</v>
      </c>
      <c r="AZ153" s="200">
        <v>30.25</v>
      </c>
      <c r="BA153" s="200">
        <v>34.5</v>
      </c>
      <c r="BB153" s="202">
        <v>30.25</v>
      </c>
      <c r="BC153" s="199">
        <v>14.66</v>
      </c>
      <c r="BD153" s="200">
        <v>3.25</v>
      </c>
      <c r="BE153" s="200">
        <v>14.5</v>
      </c>
      <c r="BF153" s="978">
        <v>16.13</v>
      </c>
      <c r="BG153" s="199">
        <v>30.3</v>
      </c>
      <c r="BH153" s="200">
        <v>53.63</v>
      </c>
      <c r="BI153" s="200">
        <f>57.8-17.8</f>
        <v>40</v>
      </c>
      <c r="BJ153" s="202">
        <v>53.63</v>
      </c>
      <c r="BK153" s="199">
        <v>36.44</v>
      </c>
      <c r="BL153" s="200">
        <v>62</v>
      </c>
      <c r="BM153" s="200">
        <v>62</v>
      </c>
      <c r="BN153" s="202">
        <v>40.08</v>
      </c>
      <c r="BO153" s="206">
        <v>4.5999999999999996</v>
      </c>
      <c r="BP153" s="204">
        <v>7.5</v>
      </c>
      <c r="BQ153" s="204">
        <v>4.25</v>
      </c>
      <c r="BR153" s="207">
        <v>5.0599999999999996</v>
      </c>
      <c r="BS153" s="206">
        <v>8.8000000000000007</v>
      </c>
      <c r="BT153" s="204">
        <v>15.59</v>
      </c>
      <c r="BU153" s="204">
        <v>16.25</v>
      </c>
      <c r="BV153" s="207">
        <v>9.48</v>
      </c>
      <c r="BW153" s="111"/>
      <c r="BX153" s="100"/>
      <c r="BY153" s="112">
        <f t="shared" ref="BY153:CB154" si="29">AE153+AI153+AM153+AQ153+AU153+AY153+BC153+BG153+BK153+BO153+BS153</f>
        <v>659.5999999999998</v>
      </c>
      <c r="BZ153" s="113">
        <f t="shared" si="29"/>
        <v>834</v>
      </c>
      <c r="CA153" s="113">
        <f t="shared" si="29"/>
        <v>947.80000000000007</v>
      </c>
      <c r="CB153" s="114">
        <f t="shared" si="29"/>
        <v>752.18</v>
      </c>
      <c r="CC153" s="759"/>
    </row>
    <row r="154" spans="1:81" ht="37.5" customHeight="1" outlineLevel="4" x14ac:dyDescent="0.25">
      <c r="C154" s="10" t="s">
        <v>83</v>
      </c>
      <c r="D154" s="10" t="s">
        <v>84</v>
      </c>
      <c r="E154" s="10" t="s">
        <v>73</v>
      </c>
      <c r="F154" s="10" t="s">
        <v>74</v>
      </c>
      <c r="G154" s="10" t="s">
        <v>214</v>
      </c>
      <c r="H154" s="10" t="s">
        <v>202</v>
      </c>
      <c r="I154" s="10" t="s">
        <v>73</v>
      </c>
      <c r="K154" s="12" t="s">
        <v>73</v>
      </c>
      <c r="L154" s="10" t="s">
        <v>192</v>
      </c>
      <c r="M154" s="5" t="str">
        <f t="array" ref="M154">Y95</f>
        <v>1ХВС::1.1</v>
      </c>
      <c r="AB154" s="29" t="str">
        <f>AB150&amp;".2"</f>
        <v>3.1.1.1.3.2</v>
      </c>
      <c r="AC154" s="177" t="s">
        <v>215</v>
      </c>
      <c r="AD154" s="51" t="s">
        <v>111</v>
      </c>
      <c r="AE154" s="95">
        <f>327234.4*0.302</f>
        <v>98824.788800000009</v>
      </c>
      <c r="AF154" s="178">
        <v>117841.7</v>
      </c>
      <c r="AG154" s="178">
        <f>AG151/100*30.2</f>
        <v>135868.2145</v>
      </c>
      <c r="AH154" s="1056">
        <v>122585.11596</v>
      </c>
      <c r="AI154" s="187">
        <f>AI151*0.302</f>
        <v>626.26041999999995</v>
      </c>
      <c r="AJ154" s="178">
        <v>425.85</v>
      </c>
      <c r="AK154" s="178">
        <f>AK151*0.302</f>
        <v>2172.4943799999996</v>
      </c>
      <c r="AL154" s="762">
        <v>789.19036000000006</v>
      </c>
      <c r="AM154" s="95">
        <v>2911.72</v>
      </c>
      <c r="AN154" s="178">
        <v>629.32000000000005</v>
      </c>
      <c r="AO154" s="178">
        <v>3088.95</v>
      </c>
      <c r="AP154" s="96">
        <f>AP151*30.2%</f>
        <v>3669.5929399999995</v>
      </c>
      <c r="AQ154" s="187">
        <v>3616.68</v>
      </c>
      <c r="AR154" s="178">
        <f>3075.28+150.4</f>
        <v>3225.6800000000003</v>
      </c>
      <c r="AS154" s="178">
        <v>4832.8</v>
      </c>
      <c r="AT154" s="181">
        <f>AT151*30.2%</f>
        <v>4520.7240700000002</v>
      </c>
      <c r="AU154" s="95">
        <v>1646.9</v>
      </c>
      <c r="AV154" s="178">
        <v>267.39999999999998</v>
      </c>
      <c r="AW154" s="178">
        <v>1020.22</v>
      </c>
      <c r="AX154" s="181">
        <f>AX151*30.2%</f>
        <v>2064.0703399999998</v>
      </c>
      <c r="AY154" s="95">
        <v>3771.51</v>
      </c>
      <c r="AZ154" s="178">
        <v>4323.42</v>
      </c>
      <c r="BA154" s="178">
        <v>4982.9399999999996</v>
      </c>
      <c r="BB154" s="181">
        <f t="shared" ref="BB154:BJ154" si="30">BB151*30.2%</f>
        <v>4498.4751925607998</v>
      </c>
      <c r="BC154" s="95">
        <f t="shared" si="30"/>
        <v>2497.6154999999999</v>
      </c>
      <c r="BD154" s="178">
        <f t="shared" si="30"/>
        <v>508.64984199999998</v>
      </c>
      <c r="BE154" s="178">
        <f t="shared" si="30"/>
        <v>2309.6839199999999</v>
      </c>
      <c r="BF154" s="210">
        <f t="shared" si="30"/>
        <v>3147.3685</v>
      </c>
      <c r="BG154" s="95">
        <f t="shared" si="30"/>
        <v>6044.0981400000001</v>
      </c>
      <c r="BH154" s="178">
        <f t="shared" si="30"/>
        <v>7899.0691159999997</v>
      </c>
      <c r="BI154" s="178">
        <f t="shared" si="30"/>
        <v>7089.5768399999988</v>
      </c>
      <c r="BJ154" s="181">
        <f t="shared" si="30"/>
        <v>8218.8234338156817</v>
      </c>
      <c r="BK154" s="95">
        <v>6090.6245600000002</v>
      </c>
      <c r="BL154" s="178">
        <v>10050.56</v>
      </c>
      <c r="BM154" s="178">
        <v>10823.65</v>
      </c>
      <c r="BN154" s="181">
        <f>BN151*0.302</f>
        <v>7675.0944399999998</v>
      </c>
      <c r="BO154" s="185">
        <v>835.23</v>
      </c>
      <c r="BP154" s="183">
        <v>876.47</v>
      </c>
      <c r="BQ154" s="183">
        <v>616.36</v>
      </c>
      <c r="BR154" s="186">
        <f>BR151*30.2%</f>
        <v>1312.2685453679999</v>
      </c>
      <c r="BS154" s="185">
        <f>BS151*BS155/100</f>
        <v>1658.3122000000001</v>
      </c>
      <c r="BT154" s="183">
        <f>BT151*BT155/100</f>
        <v>2399.9034000000001</v>
      </c>
      <c r="BU154" s="183">
        <f>BU151*BU155/100</f>
        <v>2719.3559799999998</v>
      </c>
      <c r="BV154" s="186">
        <f>BV151*30.2%</f>
        <v>2046.5422599999999</v>
      </c>
      <c r="BY154" s="125">
        <f t="shared" si="29"/>
        <v>128523.73961999999</v>
      </c>
      <c r="BZ154" s="126">
        <f t="shared" si="29"/>
        <v>148448.02235800002</v>
      </c>
      <c r="CA154" s="126">
        <f t="shared" si="29"/>
        <v>175524.24561999997</v>
      </c>
      <c r="CB154" s="127">
        <f t="shared" si="29"/>
        <v>160527.26604174447</v>
      </c>
    </row>
    <row r="155" spans="1:81" ht="19.5" customHeight="1" outlineLevel="4" x14ac:dyDescent="0.25">
      <c r="C155" s="10" t="s">
        <v>216</v>
      </c>
      <c r="D155" s="10" t="s">
        <v>217</v>
      </c>
      <c r="E155" s="10" t="s">
        <v>73</v>
      </c>
      <c r="F155" s="10" t="s">
        <v>74</v>
      </c>
      <c r="G155" s="10" t="s">
        <v>73</v>
      </c>
      <c r="H155" s="10" t="s">
        <v>202</v>
      </c>
      <c r="I155" s="10" t="s">
        <v>73</v>
      </c>
      <c r="K155" s="12" t="s">
        <v>73</v>
      </c>
      <c r="L155" s="10" t="s">
        <v>192</v>
      </c>
      <c r="M155" s="5" t="str">
        <f t="array" ref="M155">Y95</f>
        <v>1ХВС::1.1</v>
      </c>
      <c r="AB155" s="29" t="str">
        <f>AB154&amp;".1"</f>
        <v>3.1.1.1.3.2.1</v>
      </c>
      <c r="AC155" s="208" t="s">
        <v>218</v>
      </c>
      <c r="AD155" s="51" t="s">
        <v>119</v>
      </c>
      <c r="AE155" s="72">
        <v>30.2</v>
      </c>
      <c r="AF155" s="73">
        <v>30.2</v>
      </c>
      <c r="AG155" s="73">
        <v>30.2</v>
      </c>
      <c r="AH155" s="1059">
        <v>30.2</v>
      </c>
      <c r="AI155" s="179">
        <v>30.2</v>
      </c>
      <c r="AJ155" s="73">
        <v>30.2</v>
      </c>
      <c r="AK155" s="73">
        <v>30.2</v>
      </c>
      <c r="AL155" s="761">
        <v>30.2</v>
      </c>
      <c r="AM155" s="72">
        <v>30.2</v>
      </c>
      <c r="AN155" s="73">
        <v>30.2</v>
      </c>
      <c r="AO155" s="73">
        <v>30.2</v>
      </c>
      <c r="AP155" s="74">
        <v>30.2</v>
      </c>
      <c r="AQ155" s="179">
        <v>30.2</v>
      </c>
      <c r="AR155" s="73">
        <v>30.2</v>
      </c>
      <c r="AS155" s="73">
        <v>30.2</v>
      </c>
      <c r="AT155" s="138">
        <v>30.2</v>
      </c>
      <c r="AU155" s="72">
        <v>30.2</v>
      </c>
      <c r="AV155" s="73">
        <v>30.2</v>
      </c>
      <c r="AW155" s="73">
        <v>30.2</v>
      </c>
      <c r="AX155" s="138">
        <v>30.2</v>
      </c>
      <c r="AY155" s="72">
        <v>30.2</v>
      </c>
      <c r="AZ155" s="73">
        <v>30.2</v>
      </c>
      <c r="BA155" s="73">
        <v>30.2</v>
      </c>
      <c r="BB155" s="138">
        <v>30.2</v>
      </c>
      <c r="BC155" s="72">
        <v>30.2</v>
      </c>
      <c r="BD155" s="73">
        <v>30.2</v>
      </c>
      <c r="BE155" s="73">
        <v>30.2</v>
      </c>
      <c r="BF155" s="774">
        <v>30.2</v>
      </c>
      <c r="BG155" s="72">
        <v>30.2</v>
      </c>
      <c r="BH155" s="73">
        <v>30.2</v>
      </c>
      <c r="BI155" s="73">
        <v>30.2</v>
      </c>
      <c r="BJ155" s="138">
        <v>30.2</v>
      </c>
      <c r="BK155" s="72">
        <v>30.2</v>
      </c>
      <c r="BL155" s="73">
        <v>30.2</v>
      </c>
      <c r="BM155" s="73">
        <v>30.2</v>
      </c>
      <c r="BN155" s="138">
        <v>30.2</v>
      </c>
      <c r="BO155" s="142">
        <v>30.2</v>
      </c>
      <c r="BP155" s="140">
        <v>30.2</v>
      </c>
      <c r="BQ155" s="140">
        <v>30.2</v>
      </c>
      <c r="BR155" s="143">
        <v>30.2</v>
      </c>
      <c r="BS155" s="142">
        <v>30.2</v>
      </c>
      <c r="BT155" s="140">
        <v>30.2</v>
      </c>
      <c r="BU155" s="140">
        <v>30.2</v>
      </c>
      <c r="BV155" s="143">
        <v>30.2</v>
      </c>
      <c r="BY155" s="125">
        <v>30.2</v>
      </c>
      <c r="BZ155" s="126">
        <v>30.2</v>
      </c>
      <c r="CA155" s="126">
        <v>30.2</v>
      </c>
      <c r="CB155" s="127">
        <v>30.2</v>
      </c>
    </row>
    <row r="156" spans="1:81" s="211" customFormat="1" ht="24" customHeight="1" outlineLevel="4" x14ac:dyDescent="0.25">
      <c r="A156" s="6"/>
      <c r="B156" s="6"/>
      <c r="C156" s="116" t="s">
        <v>83</v>
      </c>
      <c r="D156" s="116" t="s">
        <v>84</v>
      </c>
      <c r="E156" s="116" t="s">
        <v>73</v>
      </c>
      <c r="F156" s="116" t="s">
        <v>74</v>
      </c>
      <c r="G156" s="116" t="s">
        <v>219</v>
      </c>
      <c r="H156" s="116" t="s">
        <v>73</v>
      </c>
      <c r="I156" s="116" t="s">
        <v>73</v>
      </c>
      <c r="J156" s="6"/>
      <c r="K156" s="209" t="s">
        <v>73</v>
      </c>
      <c r="L156" s="116" t="s">
        <v>192</v>
      </c>
      <c r="M156" s="6" t="str">
        <f t="array" ref="M156">Y95</f>
        <v>1ХВС::1.1</v>
      </c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29" t="str">
        <f>AB144&amp;".4"</f>
        <v>3.1.1.1.4</v>
      </c>
      <c r="AC156" s="174" t="s">
        <v>220</v>
      </c>
      <c r="AD156" s="51" t="s">
        <v>111</v>
      </c>
      <c r="AE156" s="95">
        <v>42307.98</v>
      </c>
      <c r="AF156" s="178"/>
      <c r="AG156" s="178"/>
      <c r="AH156" s="96"/>
      <c r="AI156" s="901">
        <v>65.457999999999998</v>
      </c>
      <c r="AJ156" s="178"/>
      <c r="AK156" s="178">
        <v>119.37</v>
      </c>
      <c r="AL156" s="762"/>
      <c r="AM156" s="95">
        <v>894.6</v>
      </c>
      <c r="AN156" s="178">
        <v>28</v>
      </c>
      <c r="AO156" s="178">
        <v>1631.49</v>
      </c>
      <c r="AP156" s="96"/>
      <c r="AQ156" s="187">
        <v>1941.93</v>
      </c>
      <c r="AR156" s="178"/>
      <c r="AS156" s="178">
        <v>3541.52</v>
      </c>
      <c r="AT156" s="181"/>
      <c r="AU156" s="95">
        <v>283.64999999999998</v>
      </c>
      <c r="AV156" s="178">
        <v>0</v>
      </c>
      <c r="AW156" s="178">
        <v>517.29999999999995</v>
      </c>
      <c r="AX156" s="181"/>
      <c r="AY156" s="95">
        <v>2138.31</v>
      </c>
      <c r="AZ156" s="178"/>
      <c r="BA156" s="178">
        <v>3899.64</v>
      </c>
      <c r="BB156" s="181"/>
      <c r="BC156" s="72">
        <v>512.75800000000004</v>
      </c>
      <c r="BD156" s="178"/>
      <c r="BE156" s="178">
        <v>935.11900000000003</v>
      </c>
      <c r="BF156" s="210"/>
      <c r="BG156" s="72">
        <v>2825.623</v>
      </c>
      <c r="BH156" s="178"/>
      <c r="BI156" s="765">
        <v>3140.59</v>
      </c>
      <c r="BJ156" s="210"/>
      <c r="BK156" s="95">
        <v>2291.0500000000002</v>
      </c>
      <c r="BL156" s="178"/>
      <c r="BM156" s="178">
        <f>2478+2145.73</f>
        <v>4623.7299999999996</v>
      </c>
      <c r="BN156" s="181"/>
      <c r="BO156" s="142">
        <v>141.83000000000001</v>
      </c>
      <c r="BP156" s="183"/>
      <c r="BQ156" s="183">
        <v>258.64999999999998</v>
      </c>
      <c r="BR156" s="186"/>
      <c r="BS156" s="142">
        <v>261.83</v>
      </c>
      <c r="BT156" s="183"/>
      <c r="BU156" s="183">
        <v>477.51</v>
      </c>
      <c r="BV156" s="186"/>
      <c r="BW156" s="6"/>
      <c r="BX156" s="6"/>
      <c r="BY156" s="125">
        <f t="shared" ref="BY156:BY187" si="31">AE156+AI156+AM156+AQ156+AU156+AY156+BC156+BG156+BK156+BO156+BS156</f>
        <v>53665.019000000008</v>
      </c>
      <c r="BZ156" s="126">
        <f t="shared" ref="BZ156:BZ187" si="32">AF156+AJ156+AN156+AR156+AV156+AZ156+BD156+BH156+BL156+BP156+BT156</f>
        <v>28</v>
      </c>
      <c r="CA156" s="126">
        <f t="shared" ref="CA156:CB187" si="33">AG156+AK156+AO156+AS156+AW156+BA156+BE156+BI156+BM156+BQ156+BU156</f>
        <v>19144.918999999998</v>
      </c>
      <c r="CB156" s="127">
        <f t="shared" si="33"/>
        <v>0</v>
      </c>
      <c r="CC156" s="766"/>
    </row>
    <row r="157" spans="1:81" ht="13.35" hidden="1" customHeight="1" outlineLevel="4" x14ac:dyDescent="0.25">
      <c r="C157" s="10" t="s">
        <v>83</v>
      </c>
      <c r="D157" s="10" t="s">
        <v>84</v>
      </c>
      <c r="E157" s="10" t="s">
        <v>73</v>
      </c>
      <c r="F157" s="10" t="s">
        <v>74</v>
      </c>
      <c r="G157" s="10" t="s">
        <v>221</v>
      </c>
      <c r="H157" s="10" t="s">
        <v>73</v>
      </c>
      <c r="I157" s="10" t="s">
        <v>73</v>
      </c>
      <c r="K157" s="12" t="s">
        <v>73</v>
      </c>
      <c r="L157" s="10" t="s">
        <v>192</v>
      </c>
      <c r="M157" s="5" t="str">
        <f t="array" ref="M157">Y95</f>
        <v>1ХВС::1.1</v>
      </c>
      <c r="AB157" s="65" t="str">
        <f>AB144&amp;".5"</f>
        <v>3.1.1.1.5</v>
      </c>
      <c r="AC157" s="174" t="s">
        <v>222</v>
      </c>
      <c r="AD157" s="51" t="s">
        <v>111</v>
      </c>
      <c r="AE157" s="72"/>
      <c r="AF157" s="178"/>
      <c r="AG157" s="178"/>
      <c r="AH157" s="96"/>
      <c r="AI157" s="179"/>
      <c r="AJ157" s="178"/>
      <c r="AK157" s="178"/>
      <c r="AL157" s="181"/>
      <c r="AM157" s="72"/>
      <c r="AN157" s="73"/>
      <c r="AO157" s="178"/>
      <c r="AP157" s="96"/>
      <c r="AQ157" s="179"/>
      <c r="AR157" s="178"/>
      <c r="AS157" s="178"/>
      <c r="AT157" s="181"/>
      <c r="AU157" s="72"/>
      <c r="AV157" s="178"/>
      <c r="AW157" s="178"/>
      <c r="AX157" s="181"/>
      <c r="AY157" s="72"/>
      <c r="AZ157" s="178"/>
      <c r="BA157" s="178"/>
      <c r="BB157" s="181"/>
      <c r="BC157" s="72"/>
      <c r="BD157" s="178"/>
      <c r="BE157" s="178"/>
      <c r="BF157" s="210"/>
      <c r="BG157" s="72"/>
      <c r="BH157" s="178"/>
      <c r="BI157" s="178"/>
      <c r="BJ157" s="181"/>
      <c r="BK157" s="72"/>
      <c r="BL157" s="178"/>
      <c r="BM157" s="178"/>
      <c r="BN157" s="181"/>
      <c r="BO157" s="142"/>
      <c r="BP157" s="183"/>
      <c r="BQ157" s="183"/>
      <c r="BR157" s="186"/>
      <c r="BS157" s="142"/>
      <c r="BT157" s="183"/>
      <c r="BU157" s="183"/>
      <c r="BV157" s="186"/>
      <c r="BY157" s="125">
        <f t="shared" si="31"/>
        <v>0</v>
      </c>
      <c r="BZ157" s="126">
        <f t="shared" si="32"/>
        <v>0</v>
      </c>
      <c r="CA157" s="126">
        <f t="shared" si="33"/>
        <v>0</v>
      </c>
      <c r="CB157" s="127">
        <f t="shared" ref="CB157:CB187" si="34">AH157+AL157+AP157+AT157+AX157+BB157+BF157+BJ157+BN157+BR157+BV157</f>
        <v>0</v>
      </c>
    </row>
    <row r="158" spans="1:81" ht="31.5" hidden="1" customHeight="1" outlineLevel="4" x14ac:dyDescent="0.25">
      <c r="A158" s="5" t="b">
        <f>'ИТОГ (Утв. 2026-верно'!$AD$55="нет"</f>
        <v>1</v>
      </c>
      <c r="C158" s="10" t="s">
        <v>83</v>
      </c>
      <c r="D158" s="10" t="s">
        <v>84</v>
      </c>
      <c r="E158" s="10" t="s">
        <v>73</v>
      </c>
      <c r="F158" s="10" t="s">
        <v>74</v>
      </c>
      <c r="G158" s="10" t="s">
        <v>201</v>
      </c>
      <c r="H158" s="10" t="s">
        <v>223</v>
      </c>
      <c r="I158" s="10" t="s">
        <v>73</v>
      </c>
      <c r="K158" s="12" t="s">
        <v>73</v>
      </c>
      <c r="L158" s="10" t="s">
        <v>224</v>
      </c>
      <c r="M158" s="5" t="str">
        <f t="array" ref="M158">Y95</f>
        <v>1ХВС::1.1</v>
      </c>
      <c r="AB158" s="29" t="str">
        <f>AB157&amp;".1"</f>
        <v>3.1.1.1.5.1</v>
      </c>
      <c r="AC158" s="177" t="s">
        <v>225</v>
      </c>
      <c r="AD158" s="51" t="s">
        <v>111</v>
      </c>
      <c r="AE158" s="72"/>
      <c r="AF158" s="73"/>
      <c r="AG158" s="73"/>
      <c r="AH158" s="74"/>
      <c r="AI158" s="179"/>
      <c r="AJ158" s="73"/>
      <c r="AK158" s="73"/>
      <c r="AL158" s="138"/>
      <c r="AM158" s="72"/>
      <c r="AN158" s="73"/>
      <c r="AO158" s="73"/>
      <c r="AP158" s="74"/>
      <c r="AQ158" s="179"/>
      <c r="AR158" s="73"/>
      <c r="AS158" s="73"/>
      <c r="AT158" s="138"/>
      <c r="AU158" s="72"/>
      <c r="AV158" s="73"/>
      <c r="AW158" s="73"/>
      <c r="AX158" s="138"/>
      <c r="AY158" s="72"/>
      <c r="AZ158" s="73"/>
      <c r="BA158" s="73"/>
      <c r="BB158" s="138"/>
      <c r="BC158" s="72"/>
      <c r="BD158" s="73"/>
      <c r="BE158" s="73"/>
      <c r="BF158" s="774"/>
      <c r="BG158" s="72"/>
      <c r="BH158" s="73"/>
      <c r="BI158" s="73"/>
      <c r="BJ158" s="138"/>
      <c r="BK158" s="72"/>
      <c r="BL158" s="73"/>
      <c r="BM158" s="73"/>
      <c r="BN158" s="138"/>
      <c r="BO158" s="142"/>
      <c r="BP158" s="140"/>
      <c r="BQ158" s="140"/>
      <c r="BR158" s="143"/>
      <c r="BS158" s="142"/>
      <c r="BT158" s="140"/>
      <c r="BU158" s="140"/>
      <c r="BV158" s="143"/>
      <c r="BY158" s="125">
        <f t="shared" si="31"/>
        <v>0</v>
      </c>
      <c r="BZ158" s="126">
        <f t="shared" si="32"/>
        <v>0</v>
      </c>
      <c r="CA158" s="126">
        <f t="shared" si="33"/>
        <v>0</v>
      </c>
      <c r="CB158" s="127">
        <f t="shared" si="34"/>
        <v>0</v>
      </c>
    </row>
    <row r="159" spans="1:81" ht="14.85" hidden="1" customHeight="1" outlineLevel="4" x14ac:dyDescent="0.25">
      <c r="A159" s="5" t="b">
        <f t="array" ref="A159">A158</f>
        <v>1</v>
      </c>
      <c r="C159" s="10" t="s">
        <v>83</v>
      </c>
      <c r="D159" s="10" t="s">
        <v>84</v>
      </c>
      <c r="E159" s="10" t="s">
        <v>73</v>
      </c>
      <c r="F159" s="10" t="s">
        <v>74</v>
      </c>
      <c r="G159" s="10" t="s">
        <v>204</v>
      </c>
      <c r="H159" s="10" t="s">
        <v>223</v>
      </c>
      <c r="I159" s="10" t="s">
        <v>73</v>
      </c>
      <c r="K159" s="12" t="s">
        <v>73</v>
      </c>
      <c r="L159" s="10" t="s">
        <v>224</v>
      </c>
      <c r="M159" s="5" t="str">
        <f t="array" ref="M159">Y95</f>
        <v>1ХВС::1.1</v>
      </c>
      <c r="AB159" s="29" t="str">
        <f>AB158&amp;".1"</f>
        <v>3.1.1.1.5.1.1</v>
      </c>
      <c r="AC159" s="212" t="s">
        <v>226</v>
      </c>
      <c r="AD159" s="51" t="s">
        <v>111</v>
      </c>
      <c r="AE159" s="72"/>
      <c r="AF159" s="178"/>
      <c r="AG159" s="178"/>
      <c r="AH159" s="96"/>
      <c r="AI159" s="179"/>
      <c r="AJ159" s="178"/>
      <c r="AK159" s="178"/>
      <c r="AL159" s="181"/>
      <c r="AM159" s="72"/>
      <c r="AN159" s="178"/>
      <c r="AO159" s="178"/>
      <c r="AP159" s="96"/>
      <c r="AQ159" s="179"/>
      <c r="AR159" s="178"/>
      <c r="AS159" s="178"/>
      <c r="AT159" s="181"/>
      <c r="AU159" s="72"/>
      <c r="AV159" s="178"/>
      <c r="AW159" s="178"/>
      <c r="AX159" s="181"/>
      <c r="AY159" s="72"/>
      <c r="AZ159" s="178"/>
      <c r="BA159" s="178"/>
      <c r="BB159" s="181"/>
      <c r="BC159" s="72"/>
      <c r="BD159" s="178"/>
      <c r="BE159" s="178"/>
      <c r="BF159" s="210"/>
      <c r="BG159" s="72"/>
      <c r="BH159" s="178"/>
      <c r="BI159" s="178"/>
      <c r="BJ159" s="181"/>
      <c r="BK159" s="72"/>
      <c r="BL159" s="178"/>
      <c r="BM159" s="178"/>
      <c r="BN159" s="181"/>
      <c r="BO159" s="142"/>
      <c r="BP159" s="183"/>
      <c r="BQ159" s="183"/>
      <c r="BR159" s="186"/>
      <c r="BS159" s="142"/>
      <c r="BT159" s="183"/>
      <c r="BU159" s="183"/>
      <c r="BV159" s="186"/>
      <c r="BY159" s="125">
        <f t="shared" si="31"/>
        <v>0</v>
      </c>
      <c r="BZ159" s="126">
        <f t="shared" si="32"/>
        <v>0</v>
      </c>
      <c r="CA159" s="126">
        <f t="shared" si="33"/>
        <v>0</v>
      </c>
      <c r="CB159" s="127">
        <f t="shared" si="34"/>
        <v>0</v>
      </c>
    </row>
    <row r="160" spans="1:81" ht="14.25" hidden="1" customHeight="1" outlineLevel="4" x14ac:dyDescent="0.25">
      <c r="A160" s="5" t="b">
        <f t="array" ref="A160">A159</f>
        <v>1</v>
      </c>
      <c r="C160" s="10" t="s">
        <v>206</v>
      </c>
      <c r="D160" s="10" t="s">
        <v>207</v>
      </c>
      <c r="E160" s="10" t="s">
        <v>73</v>
      </c>
      <c r="F160" s="10" t="s">
        <v>74</v>
      </c>
      <c r="G160" s="10" t="s">
        <v>73</v>
      </c>
      <c r="H160" s="10" t="s">
        <v>223</v>
      </c>
      <c r="I160" s="10" t="s">
        <v>73</v>
      </c>
      <c r="K160" s="12" t="s">
        <v>73</v>
      </c>
      <c r="L160" s="10" t="s">
        <v>224</v>
      </c>
      <c r="M160" s="5" t="str">
        <f t="array" ref="M160">Y95</f>
        <v>1ХВС::1.1</v>
      </c>
      <c r="AB160" s="29" t="str">
        <f>AB159&amp;".1"</f>
        <v>3.1.1.1.5.1.1.1</v>
      </c>
      <c r="AC160" s="208" t="s">
        <v>208</v>
      </c>
      <c r="AD160" s="51" t="s">
        <v>209</v>
      </c>
      <c r="AE160" s="72"/>
      <c r="AF160" s="73"/>
      <c r="AG160" s="73"/>
      <c r="AH160" s="74"/>
      <c r="AI160" s="179"/>
      <c r="AJ160" s="73"/>
      <c r="AK160" s="73"/>
      <c r="AL160" s="138"/>
      <c r="AM160" s="72"/>
      <c r="AN160" s="73"/>
      <c r="AO160" s="73"/>
      <c r="AP160" s="74"/>
      <c r="AQ160" s="179"/>
      <c r="AR160" s="73"/>
      <c r="AS160" s="73"/>
      <c r="AT160" s="138"/>
      <c r="AU160" s="72"/>
      <c r="AV160" s="73"/>
      <c r="AW160" s="73"/>
      <c r="AX160" s="138"/>
      <c r="AY160" s="72"/>
      <c r="AZ160" s="73"/>
      <c r="BA160" s="73"/>
      <c r="BB160" s="138"/>
      <c r="BC160" s="72"/>
      <c r="BD160" s="73"/>
      <c r="BE160" s="73"/>
      <c r="BF160" s="774"/>
      <c r="BG160" s="72"/>
      <c r="BH160" s="73"/>
      <c r="BI160" s="73"/>
      <c r="BJ160" s="138"/>
      <c r="BK160" s="72"/>
      <c r="BL160" s="73"/>
      <c r="BM160" s="73"/>
      <c r="BN160" s="138"/>
      <c r="BO160" s="142"/>
      <c r="BP160" s="140"/>
      <c r="BQ160" s="140"/>
      <c r="BR160" s="143"/>
      <c r="BS160" s="142"/>
      <c r="BT160" s="140"/>
      <c r="BU160" s="140"/>
      <c r="BV160" s="143"/>
      <c r="BY160" s="125">
        <f t="shared" si="31"/>
        <v>0</v>
      </c>
      <c r="BZ160" s="126">
        <f t="shared" si="32"/>
        <v>0</v>
      </c>
      <c r="CA160" s="126">
        <f t="shared" si="33"/>
        <v>0</v>
      </c>
      <c r="CB160" s="127">
        <f t="shared" si="34"/>
        <v>0</v>
      </c>
    </row>
    <row r="161" spans="1:82" ht="14.25" hidden="1" customHeight="1" outlineLevel="4" x14ac:dyDescent="0.25">
      <c r="A161" s="5" t="b">
        <f t="array" ref="A161">A160</f>
        <v>1</v>
      </c>
      <c r="C161" s="10" t="s">
        <v>210</v>
      </c>
      <c r="D161" s="10" t="s">
        <v>211</v>
      </c>
      <c r="E161" s="10" t="s">
        <v>73</v>
      </c>
      <c r="F161" s="10" t="s">
        <v>74</v>
      </c>
      <c r="G161" s="10" t="s">
        <v>73</v>
      </c>
      <c r="H161" s="10" t="s">
        <v>223</v>
      </c>
      <c r="I161" s="10" t="s">
        <v>73</v>
      </c>
      <c r="K161" s="12" t="s">
        <v>73</v>
      </c>
      <c r="L161" s="10" t="s">
        <v>224</v>
      </c>
      <c r="M161" s="5" t="str">
        <f t="array" ref="M161">Y95</f>
        <v>1ХВС::1.1</v>
      </c>
      <c r="AB161" s="29" t="str">
        <f>AB159&amp;".2"</f>
        <v>3.1.1.1.5.1.1.2</v>
      </c>
      <c r="AC161" s="208" t="s">
        <v>212</v>
      </c>
      <c r="AD161" s="51" t="s">
        <v>213</v>
      </c>
      <c r="AE161" s="72"/>
      <c r="AF161" s="178"/>
      <c r="AG161" s="178"/>
      <c r="AH161" s="96"/>
      <c r="AI161" s="179"/>
      <c r="AJ161" s="178"/>
      <c r="AK161" s="178"/>
      <c r="AL161" s="181"/>
      <c r="AM161" s="72"/>
      <c r="AN161" s="178"/>
      <c r="AO161" s="178"/>
      <c r="AP161" s="96"/>
      <c r="AQ161" s="179"/>
      <c r="AR161" s="178"/>
      <c r="AS161" s="178"/>
      <c r="AT161" s="181"/>
      <c r="AU161" s="72"/>
      <c r="AV161" s="178"/>
      <c r="AW161" s="178"/>
      <c r="AX161" s="181"/>
      <c r="AY161" s="72"/>
      <c r="AZ161" s="178"/>
      <c r="BA161" s="178"/>
      <c r="BB161" s="181"/>
      <c r="BC161" s="72"/>
      <c r="BD161" s="178"/>
      <c r="BE161" s="178"/>
      <c r="BF161" s="210"/>
      <c r="BG161" s="72"/>
      <c r="BH161" s="178"/>
      <c r="BI161" s="178"/>
      <c r="BJ161" s="181"/>
      <c r="BK161" s="72"/>
      <c r="BL161" s="178"/>
      <c r="BM161" s="178"/>
      <c r="BN161" s="181"/>
      <c r="BO161" s="142"/>
      <c r="BP161" s="183"/>
      <c r="BQ161" s="183"/>
      <c r="BR161" s="186"/>
      <c r="BS161" s="142"/>
      <c r="BT161" s="183"/>
      <c r="BU161" s="183"/>
      <c r="BV161" s="186"/>
      <c r="BY161" s="125">
        <f t="shared" si="31"/>
        <v>0</v>
      </c>
      <c r="BZ161" s="126">
        <f t="shared" si="32"/>
        <v>0</v>
      </c>
      <c r="CA161" s="126">
        <f t="shared" si="33"/>
        <v>0</v>
      </c>
      <c r="CB161" s="127">
        <f t="shared" si="34"/>
        <v>0</v>
      </c>
    </row>
    <row r="162" spans="1:82" ht="14.25" hidden="1" customHeight="1" outlineLevel="4" x14ac:dyDescent="0.25">
      <c r="A162" s="5" t="b">
        <f t="array" ref="A162">A161</f>
        <v>1</v>
      </c>
      <c r="C162" s="10" t="s">
        <v>83</v>
      </c>
      <c r="D162" s="10" t="s">
        <v>84</v>
      </c>
      <c r="E162" s="10" t="s">
        <v>73</v>
      </c>
      <c r="F162" s="10" t="s">
        <v>74</v>
      </c>
      <c r="G162" s="10" t="s">
        <v>214</v>
      </c>
      <c r="H162" s="10" t="s">
        <v>223</v>
      </c>
      <c r="I162" s="10" t="s">
        <v>73</v>
      </c>
      <c r="K162" s="12" t="s">
        <v>73</v>
      </c>
      <c r="L162" s="10" t="s">
        <v>224</v>
      </c>
      <c r="M162" s="5" t="str">
        <f t="array" ref="M162">Y95</f>
        <v>1ХВС::1.1</v>
      </c>
      <c r="AB162" s="29" t="str">
        <f>AB158&amp;".2"</f>
        <v>3.1.1.1.5.1.2</v>
      </c>
      <c r="AC162" s="212" t="s">
        <v>227</v>
      </c>
      <c r="AD162" s="51" t="s">
        <v>111</v>
      </c>
      <c r="AE162" s="72"/>
      <c r="AF162" s="178"/>
      <c r="AG162" s="178"/>
      <c r="AH162" s="96"/>
      <c r="AI162" s="179"/>
      <c r="AJ162" s="178"/>
      <c r="AK162" s="178"/>
      <c r="AL162" s="181"/>
      <c r="AM162" s="72"/>
      <c r="AN162" s="178"/>
      <c r="AO162" s="178"/>
      <c r="AP162" s="96"/>
      <c r="AQ162" s="179"/>
      <c r="AR162" s="178"/>
      <c r="AS162" s="178"/>
      <c r="AT162" s="181"/>
      <c r="AU162" s="72"/>
      <c r="AV162" s="178"/>
      <c r="AW162" s="178"/>
      <c r="AX162" s="181"/>
      <c r="AY162" s="72"/>
      <c r="AZ162" s="178"/>
      <c r="BA162" s="178"/>
      <c r="BB162" s="181"/>
      <c r="BC162" s="72"/>
      <c r="BD162" s="178"/>
      <c r="BE162" s="178"/>
      <c r="BF162" s="210"/>
      <c r="BG162" s="72"/>
      <c r="BH162" s="178"/>
      <c r="BI162" s="178"/>
      <c r="BJ162" s="181"/>
      <c r="BK162" s="72"/>
      <c r="BL162" s="178"/>
      <c r="BM162" s="178"/>
      <c r="BN162" s="181"/>
      <c r="BO162" s="142"/>
      <c r="BP162" s="183"/>
      <c r="BQ162" s="183"/>
      <c r="BR162" s="186"/>
      <c r="BS162" s="142"/>
      <c r="BT162" s="183"/>
      <c r="BU162" s="183"/>
      <c r="BV162" s="186"/>
      <c r="BY162" s="125">
        <f t="shared" si="31"/>
        <v>0</v>
      </c>
      <c r="BZ162" s="126">
        <f t="shared" si="32"/>
        <v>0</v>
      </c>
      <c r="CA162" s="126">
        <f t="shared" si="33"/>
        <v>0</v>
      </c>
      <c r="CB162" s="127">
        <f t="shared" si="34"/>
        <v>0</v>
      </c>
    </row>
    <row r="163" spans="1:82" ht="14.25" hidden="1" customHeight="1" outlineLevel="4" x14ac:dyDescent="0.25">
      <c r="A163" s="5" t="b">
        <f t="array" ref="A163">A162</f>
        <v>1</v>
      </c>
      <c r="C163" s="10" t="s">
        <v>216</v>
      </c>
      <c r="D163" s="10" t="s">
        <v>217</v>
      </c>
      <c r="E163" s="10" t="s">
        <v>73</v>
      </c>
      <c r="F163" s="10" t="s">
        <v>74</v>
      </c>
      <c r="G163" s="10" t="s">
        <v>73</v>
      </c>
      <c r="H163" s="10" t="s">
        <v>223</v>
      </c>
      <c r="I163" s="10" t="s">
        <v>73</v>
      </c>
      <c r="K163" s="12" t="s">
        <v>73</v>
      </c>
      <c r="L163" s="10" t="s">
        <v>224</v>
      </c>
      <c r="M163" s="5" t="str">
        <f t="array" ref="M163">Y95</f>
        <v>1ХВС::1.1</v>
      </c>
      <c r="AB163" s="29" t="str">
        <f>AB162&amp;".1"</f>
        <v>3.1.1.1.5.1.2.1</v>
      </c>
      <c r="AC163" s="208" t="s">
        <v>218</v>
      </c>
      <c r="AD163" s="51" t="s">
        <v>119</v>
      </c>
      <c r="AE163" s="72"/>
      <c r="AF163" s="73"/>
      <c r="AG163" s="73"/>
      <c r="AH163" s="74"/>
      <c r="AI163" s="179"/>
      <c r="AJ163" s="73"/>
      <c r="AK163" s="73"/>
      <c r="AL163" s="138"/>
      <c r="AM163" s="72"/>
      <c r="AN163" s="73"/>
      <c r="AO163" s="73"/>
      <c r="AP163" s="74"/>
      <c r="AQ163" s="179"/>
      <c r="AR163" s="73"/>
      <c r="AS163" s="73"/>
      <c r="AT163" s="138"/>
      <c r="AU163" s="72"/>
      <c r="AV163" s="73"/>
      <c r="AW163" s="73"/>
      <c r="AX163" s="138"/>
      <c r="AY163" s="72"/>
      <c r="AZ163" s="73"/>
      <c r="BA163" s="73"/>
      <c r="BB163" s="138"/>
      <c r="BC163" s="72"/>
      <c r="BD163" s="73"/>
      <c r="BE163" s="73"/>
      <c r="BF163" s="774"/>
      <c r="BG163" s="72"/>
      <c r="BH163" s="73"/>
      <c r="BI163" s="73"/>
      <c r="BJ163" s="138"/>
      <c r="BK163" s="72"/>
      <c r="BL163" s="73"/>
      <c r="BM163" s="73"/>
      <c r="BN163" s="138"/>
      <c r="BO163" s="142"/>
      <c r="BP163" s="140"/>
      <c r="BQ163" s="140"/>
      <c r="BR163" s="143"/>
      <c r="BS163" s="142"/>
      <c r="BT163" s="140"/>
      <c r="BU163" s="140"/>
      <c r="BV163" s="143"/>
      <c r="BY163" s="125">
        <f t="shared" si="31"/>
        <v>0</v>
      </c>
      <c r="BZ163" s="126">
        <f t="shared" si="32"/>
        <v>0</v>
      </c>
      <c r="CA163" s="126">
        <f t="shared" si="33"/>
        <v>0</v>
      </c>
      <c r="CB163" s="127">
        <f t="shared" si="34"/>
        <v>0</v>
      </c>
    </row>
    <row r="164" spans="1:82" ht="14.25" hidden="1" customHeight="1" outlineLevel="4" x14ac:dyDescent="0.25">
      <c r="A164" s="5" t="b">
        <f t="array" ref="A164">A163</f>
        <v>1</v>
      </c>
      <c r="C164" s="79" t="s">
        <v>83</v>
      </c>
      <c r="D164" s="79" t="s">
        <v>84</v>
      </c>
      <c r="E164" s="79" t="s">
        <v>73</v>
      </c>
      <c r="F164" s="10" t="s">
        <v>74</v>
      </c>
      <c r="G164" s="79" t="s">
        <v>228</v>
      </c>
      <c r="H164" s="79" t="s">
        <v>73</v>
      </c>
      <c r="I164" s="79" t="s">
        <v>73</v>
      </c>
      <c r="J164" s="79"/>
      <c r="K164" s="213" t="s">
        <v>73</v>
      </c>
      <c r="L164" s="79" t="s">
        <v>192</v>
      </c>
      <c r="M164" s="5" t="str">
        <f t="array" ref="M164">Y95</f>
        <v>1ХВС::1.1</v>
      </c>
      <c r="AB164" s="65" t="str">
        <f>AB157&amp;".2"</f>
        <v>3.1.1.1.5.2</v>
      </c>
      <c r="AC164" s="177" t="s">
        <v>229</v>
      </c>
      <c r="AD164" s="51" t="s">
        <v>111</v>
      </c>
      <c r="AE164" s="72"/>
      <c r="AF164" s="73"/>
      <c r="AG164" s="73"/>
      <c r="AH164" s="74"/>
      <c r="AI164" s="179"/>
      <c r="AJ164" s="73"/>
      <c r="AK164" s="73"/>
      <c r="AL164" s="138"/>
      <c r="AM164" s="72"/>
      <c r="AN164" s="73"/>
      <c r="AO164" s="73"/>
      <c r="AP164" s="74"/>
      <c r="AQ164" s="179"/>
      <c r="AR164" s="73"/>
      <c r="AS164" s="73"/>
      <c r="AT164" s="138"/>
      <c r="AU164" s="72"/>
      <c r="AV164" s="73"/>
      <c r="AW164" s="73"/>
      <c r="AX164" s="138"/>
      <c r="AY164" s="72"/>
      <c r="AZ164" s="73"/>
      <c r="BA164" s="73"/>
      <c r="BB164" s="138"/>
      <c r="BC164" s="72"/>
      <c r="BD164" s="73"/>
      <c r="BE164" s="73"/>
      <c r="BF164" s="774"/>
      <c r="BG164" s="72"/>
      <c r="BH164" s="73"/>
      <c r="BI164" s="73"/>
      <c r="BJ164" s="138"/>
      <c r="BK164" s="72"/>
      <c r="BL164" s="73"/>
      <c r="BM164" s="73"/>
      <c r="BN164" s="138"/>
      <c r="BO164" s="142"/>
      <c r="BP164" s="140"/>
      <c r="BQ164" s="140"/>
      <c r="BR164" s="143"/>
      <c r="BS164" s="142"/>
      <c r="BT164" s="140"/>
      <c r="BU164" s="140"/>
      <c r="BV164" s="143"/>
      <c r="BY164" s="125">
        <f t="shared" si="31"/>
        <v>0</v>
      </c>
      <c r="BZ164" s="126">
        <f t="shared" si="32"/>
        <v>0</v>
      </c>
      <c r="CA164" s="126">
        <f t="shared" si="33"/>
        <v>0</v>
      </c>
      <c r="CB164" s="127">
        <f t="shared" si="34"/>
        <v>0</v>
      </c>
    </row>
    <row r="165" spans="1:82" s="1029" customFormat="1" ht="23.25" customHeight="1" outlineLevel="4" x14ac:dyDescent="0.25">
      <c r="A165" s="1019"/>
      <c r="B165" s="1019"/>
      <c r="C165" s="1020" t="s">
        <v>83</v>
      </c>
      <c r="D165" s="1020" t="s">
        <v>84</v>
      </c>
      <c r="E165" s="1020" t="s">
        <v>73</v>
      </c>
      <c r="F165" s="1020" t="s">
        <v>74</v>
      </c>
      <c r="G165" s="1020" t="s">
        <v>230</v>
      </c>
      <c r="H165" s="1020" t="s">
        <v>73</v>
      </c>
      <c r="I165" s="1020" t="s">
        <v>73</v>
      </c>
      <c r="J165" s="1019"/>
      <c r="K165" s="1022" t="s">
        <v>73</v>
      </c>
      <c r="L165" s="1020" t="s">
        <v>192</v>
      </c>
      <c r="M165" s="1019" t="str">
        <f t="array" ref="M165">Y95</f>
        <v>1ХВС::1.1</v>
      </c>
      <c r="N165" s="1019"/>
      <c r="O165" s="1019"/>
      <c r="P165" s="1019"/>
      <c r="Q165" s="1019"/>
      <c r="R165" s="1019"/>
      <c r="S165" s="1019"/>
      <c r="T165" s="1019"/>
      <c r="U165" s="1019"/>
      <c r="V165" s="1019"/>
      <c r="W165" s="1019"/>
      <c r="X165" s="1019"/>
      <c r="Y165" s="1019"/>
      <c r="Z165" s="1019"/>
      <c r="AA165" s="1019"/>
      <c r="AB165" s="65" t="str">
        <f>AB144&amp;".6"</f>
        <v>3.1.1.1.6</v>
      </c>
      <c r="AC165" s="174" t="s">
        <v>231</v>
      </c>
      <c r="AD165" s="51" t="s">
        <v>111</v>
      </c>
      <c r="AE165" s="72">
        <f t="shared" ref="AE165:AK165" si="35">AE166+AE167+AE168+AE169+AE170+AE171+AE172+AE192</f>
        <v>99708.610000000015</v>
      </c>
      <c r="AF165" s="73">
        <f t="shared" si="35"/>
        <v>40565.020000000004</v>
      </c>
      <c r="AG165" s="73">
        <f t="shared" si="35"/>
        <v>101231.01999999999</v>
      </c>
      <c r="AH165" s="74">
        <f t="shared" si="35"/>
        <v>64436.91</v>
      </c>
      <c r="AI165" s="179">
        <f t="shared" si="35"/>
        <v>1971.6370000000002</v>
      </c>
      <c r="AJ165" s="73">
        <f t="shared" si="35"/>
        <v>664.31</v>
      </c>
      <c r="AK165" s="73">
        <f t="shared" si="35"/>
        <v>3365.6970000000001</v>
      </c>
      <c r="AL165" s="138"/>
      <c r="AM165" s="72">
        <f>AM166+AM167+AM168+AM169+AM170+AM171+AM172+AM192</f>
        <v>2763.43</v>
      </c>
      <c r="AN165" s="73">
        <f>AN166+AN167+AN168+AN169+AN170+AN171+AN172+AN192</f>
        <v>1956.08</v>
      </c>
      <c r="AO165" s="73">
        <f>AO166+AO167+AO168+AO169+AO170+AO171+AO172+AO192</f>
        <v>5177.08</v>
      </c>
      <c r="AP165" s="74">
        <v>54.44</v>
      </c>
      <c r="AQ165" s="179">
        <f>AQ166+AQ167+AQ168+AQ169+AQ170+AQ171+AQ172+AQ192</f>
        <v>3769.5099999999998</v>
      </c>
      <c r="AR165" s="73">
        <f>AR166+AR167+AR168+AR169+AR170+AR171+AR172+AR192</f>
        <v>905.87399999999991</v>
      </c>
      <c r="AS165" s="73">
        <f>AS166+AS167+AS168+AS169+AS170+AS171+AS172+AS192</f>
        <v>5827.4900000000007</v>
      </c>
      <c r="AT165" s="138">
        <v>60.488999999999997</v>
      </c>
      <c r="AU165" s="72">
        <f>AU166+AU167+AU168+AU169+AU170+AU171+AU172+AU192</f>
        <v>1958.84</v>
      </c>
      <c r="AV165" s="73">
        <f>AV166+AV167+AV168+AV169+AV170+AV171+AV172+AV192</f>
        <v>52.14</v>
      </c>
      <c r="AW165" s="73">
        <f>AW166+AW167+AW168+AW169+AW170+AW171+AW172+AW192</f>
        <v>3481.2000000000003</v>
      </c>
      <c r="AX165" s="138">
        <v>46.3</v>
      </c>
      <c r="AY165" s="72">
        <f>AY166+AY167+AY168+AY169+AY170+AY171+AY172+AY192</f>
        <v>2277.2900000000004</v>
      </c>
      <c r="AZ165" s="73">
        <f>AZ166+AZ167+AZ168+AZ169+AZ170+AZ171+AZ172+AZ192</f>
        <v>0</v>
      </c>
      <c r="BA165" s="73">
        <f>BA166+BA167+BA168+BA169+BA170+BA171+BA172+BA192</f>
        <v>4173.83</v>
      </c>
      <c r="BB165" s="138"/>
      <c r="BC165" s="72">
        <f>BC166+BC167+BC168+BC169+BC170+BC171+BC172+BC192</f>
        <v>4950.4760000000006</v>
      </c>
      <c r="BD165" s="73">
        <f>BD166+BD167+BD168+BD169+BD170+BD171+BD172+BD192</f>
        <v>0</v>
      </c>
      <c r="BE165" s="73">
        <f>BE166+BE167+BE168+BE169+BE170+BE171+BE172+BE192</f>
        <v>7961.9229999999989</v>
      </c>
      <c r="BF165" s="774">
        <f>SUM(BF166:BF172)+BF192</f>
        <v>147.95499999999998</v>
      </c>
      <c r="BG165" s="72">
        <f>BG166+BG167+BG168+BG169+BG170+BG171+BG172+BG192</f>
        <v>8708.6819999999989</v>
      </c>
      <c r="BH165" s="73">
        <f>BH166+BH167+BH168+BH169+BH170+BH171+BH172+BH192</f>
        <v>1298.3199999999997</v>
      </c>
      <c r="BI165" s="73">
        <f>BI166+BI167+BI168+BI169+BI170+BI171+BI172+BI192</f>
        <v>5308.6739999999991</v>
      </c>
      <c r="BJ165" s="138">
        <f>SUM(BJ166:BJ172)+BJ192</f>
        <v>1350.8759935999999</v>
      </c>
      <c r="BK165" s="72">
        <f>BK166+BK167+BK168+BK169+BK170+BK171+BK172+BK192</f>
        <v>6543.2899999999991</v>
      </c>
      <c r="BL165" s="73">
        <f>BL166+BL167+BL168+BL169+BL170+BL171+BL172+BL192</f>
        <v>373.51</v>
      </c>
      <c r="BM165" s="73">
        <f>BM166+BM167+BM168+BM169+BM170+BM171+BM172+BM192</f>
        <v>7073.6799999999994</v>
      </c>
      <c r="BN165" s="138">
        <v>340.24</v>
      </c>
      <c r="BO165" s="72">
        <f t="shared" ref="BO165:BV165" si="36">BO166+BO167+BO168+BO169+BO170+BO171+BO172+BO192</f>
        <v>3963.1400000000003</v>
      </c>
      <c r="BP165" s="73">
        <f t="shared" si="36"/>
        <v>858.76</v>
      </c>
      <c r="BQ165" s="73">
        <f t="shared" si="36"/>
        <v>4652.04</v>
      </c>
      <c r="BR165" s="74">
        <f t="shared" si="36"/>
        <v>42.75</v>
      </c>
      <c r="BS165" s="72">
        <f t="shared" si="36"/>
        <v>1070.43</v>
      </c>
      <c r="BT165" s="73">
        <f t="shared" si="36"/>
        <v>127.2</v>
      </c>
      <c r="BU165" s="73">
        <f t="shared" si="36"/>
        <v>1401.0100000000002</v>
      </c>
      <c r="BV165" s="74">
        <f t="shared" si="36"/>
        <v>56.71</v>
      </c>
      <c r="BW165" s="6"/>
      <c r="BX165" s="1019"/>
      <c r="BY165" s="125">
        <f t="shared" si="31"/>
        <v>137685.33499999999</v>
      </c>
      <c r="BZ165" s="126">
        <f t="shared" si="32"/>
        <v>46801.214000000007</v>
      </c>
      <c r="CA165" s="126">
        <f t="shared" si="33"/>
        <v>149653.644</v>
      </c>
      <c r="CB165" s="127">
        <f t="shared" si="34"/>
        <v>66536.669993600022</v>
      </c>
      <c r="CC165" s="1023"/>
      <c r="CD165" s="1028"/>
    </row>
    <row r="166" spans="1:82" ht="16.7" hidden="1" customHeight="1" outlineLevel="4" x14ac:dyDescent="0.25">
      <c r="C166" s="10" t="s">
        <v>83</v>
      </c>
      <c r="D166" s="10" t="s">
        <v>84</v>
      </c>
      <c r="E166" s="10" t="s">
        <v>73</v>
      </c>
      <c r="F166" s="10" t="s">
        <v>74</v>
      </c>
      <c r="G166" s="10" t="s">
        <v>232</v>
      </c>
      <c r="H166" s="10" t="s">
        <v>73</v>
      </c>
      <c r="I166" s="10" t="s">
        <v>73</v>
      </c>
      <c r="K166" s="12" t="s">
        <v>73</v>
      </c>
      <c r="L166" s="10" t="s">
        <v>192</v>
      </c>
      <c r="M166" s="5" t="str">
        <f t="array" ref="M166">Y95</f>
        <v>1ХВС::1.1</v>
      </c>
      <c r="AB166" s="29" t="str">
        <f>AB165&amp;".1"</f>
        <v>3.1.1.1.6.1</v>
      </c>
      <c r="AC166" s="177" t="s">
        <v>233</v>
      </c>
      <c r="AD166" s="51" t="s">
        <v>111</v>
      </c>
      <c r="AE166" s="95"/>
      <c r="AF166" s="178"/>
      <c r="AG166" s="178"/>
      <c r="AH166" s="96"/>
      <c r="AI166" s="187"/>
      <c r="AJ166" s="178"/>
      <c r="AK166" s="178"/>
      <c r="AL166" s="181"/>
      <c r="AM166" s="95"/>
      <c r="AN166" s="178"/>
      <c r="AO166" s="178"/>
      <c r="AP166" s="96"/>
      <c r="AQ166" s="187"/>
      <c r="AR166" s="178"/>
      <c r="AS166" s="178"/>
      <c r="AT166" s="181"/>
      <c r="AU166" s="95"/>
      <c r="AV166" s="178"/>
      <c r="AW166" s="178"/>
      <c r="AX166" s="181"/>
      <c r="AY166" s="95"/>
      <c r="AZ166" s="178"/>
      <c r="BA166" s="178"/>
      <c r="BB166" s="181"/>
      <c r="BC166" s="95"/>
      <c r="BD166" s="178"/>
      <c r="BE166" s="178"/>
      <c r="BF166" s="210"/>
      <c r="BG166" s="95"/>
      <c r="BH166" s="178"/>
      <c r="BI166" s="178"/>
      <c r="BJ166" s="181"/>
      <c r="BK166" s="95"/>
      <c r="BL166" s="178"/>
      <c r="BM166" s="178"/>
      <c r="BN166" s="181"/>
      <c r="BO166" s="185"/>
      <c r="BP166" s="183"/>
      <c r="BQ166" s="183"/>
      <c r="BR166" s="186"/>
      <c r="BS166" s="185"/>
      <c r="BT166" s="183"/>
      <c r="BU166" s="183"/>
      <c r="BV166" s="186"/>
      <c r="BY166" s="125">
        <f t="shared" si="31"/>
        <v>0</v>
      </c>
      <c r="BZ166" s="126">
        <f t="shared" si="32"/>
        <v>0</v>
      </c>
      <c r="CA166" s="126">
        <f t="shared" si="33"/>
        <v>0</v>
      </c>
      <c r="CB166" s="127">
        <f t="shared" si="34"/>
        <v>0</v>
      </c>
    </row>
    <row r="167" spans="1:82" ht="30.75" hidden="1" customHeight="1" outlineLevel="4" x14ac:dyDescent="0.25">
      <c r="C167" s="10" t="s">
        <v>83</v>
      </c>
      <c r="D167" s="10" t="s">
        <v>84</v>
      </c>
      <c r="E167" s="10" t="s">
        <v>73</v>
      </c>
      <c r="F167" s="10" t="s">
        <v>74</v>
      </c>
      <c r="G167" s="10" t="s">
        <v>234</v>
      </c>
      <c r="H167" s="10" t="s">
        <v>73</v>
      </c>
      <c r="I167" s="10" t="s">
        <v>73</v>
      </c>
      <c r="K167" s="12" t="s">
        <v>73</v>
      </c>
      <c r="L167" s="10" t="s">
        <v>192</v>
      </c>
      <c r="M167" s="5" t="str">
        <f t="array" ref="M167">Y95</f>
        <v>1ХВС::1.1</v>
      </c>
      <c r="AB167" s="29" t="str">
        <f>AB165&amp;".2"</f>
        <v>3.1.1.1.6.2</v>
      </c>
      <c r="AC167" s="177" t="s">
        <v>235</v>
      </c>
      <c r="AD167" s="51" t="s">
        <v>111</v>
      </c>
      <c r="AE167" s="95"/>
      <c r="AF167" s="178"/>
      <c r="AG167" s="178"/>
      <c r="AH167" s="96"/>
      <c r="AI167" s="187"/>
      <c r="AJ167" s="178"/>
      <c r="AK167" s="178"/>
      <c r="AL167" s="181"/>
      <c r="AM167" s="95"/>
      <c r="AN167" s="178"/>
      <c r="AO167" s="178"/>
      <c r="AP167" s="96"/>
      <c r="AQ167" s="187"/>
      <c r="AR167" s="178"/>
      <c r="AS167" s="178"/>
      <c r="AT167" s="181"/>
      <c r="AU167" s="95"/>
      <c r="AV167" s="178"/>
      <c r="AW167" s="178"/>
      <c r="AX167" s="181"/>
      <c r="AY167" s="95"/>
      <c r="AZ167" s="178"/>
      <c r="BA167" s="178"/>
      <c r="BB167" s="181"/>
      <c r="BC167" s="95"/>
      <c r="BD167" s="178"/>
      <c r="BE167" s="178"/>
      <c r="BF167" s="210"/>
      <c r="BG167" s="95"/>
      <c r="BH167" s="178"/>
      <c r="BI167" s="178"/>
      <c r="BJ167" s="181"/>
      <c r="BK167" s="95"/>
      <c r="BL167" s="178"/>
      <c r="BM167" s="178"/>
      <c r="BN167" s="181"/>
      <c r="BO167" s="185"/>
      <c r="BP167" s="183"/>
      <c r="BQ167" s="183"/>
      <c r="BR167" s="186"/>
      <c r="BS167" s="185"/>
      <c r="BT167" s="183"/>
      <c r="BU167" s="183"/>
      <c r="BV167" s="186"/>
      <c r="BY167" s="125">
        <f t="shared" si="31"/>
        <v>0</v>
      </c>
      <c r="BZ167" s="126">
        <f t="shared" si="32"/>
        <v>0</v>
      </c>
      <c r="CA167" s="126">
        <f t="shared" si="33"/>
        <v>0</v>
      </c>
      <c r="CB167" s="127">
        <f t="shared" si="34"/>
        <v>0</v>
      </c>
    </row>
    <row r="168" spans="1:82" s="211" customFormat="1" ht="30" hidden="1" customHeight="1" outlineLevel="4" x14ac:dyDescent="0.25">
      <c r="A168" s="6"/>
      <c r="B168" s="6"/>
      <c r="C168" s="116" t="s">
        <v>83</v>
      </c>
      <c r="D168" s="116" t="s">
        <v>84</v>
      </c>
      <c r="E168" s="116" t="s">
        <v>73</v>
      </c>
      <c r="F168" s="116" t="s">
        <v>74</v>
      </c>
      <c r="G168" s="116" t="s">
        <v>236</v>
      </c>
      <c r="H168" s="116" t="s">
        <v>73</v>
      </c>
      <c r="I168" s="116" t="s">
        <v>73</v>
      </c>
      <c r="J168" s="6"/>
      <c r="K168" s="209" t="s">
        <v>73</v>
      </c>
      <c r="L168" s="116" t="s">
        <v>192</v>
      </c>
      <c r="M168" s="6" t="str">
        <f t="array" ref="M168">Y95</f>
        <v>1ХВС::1.1</v>
      </c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29" t="str">
        <f>AB165&amp;".3"</f>
        <v>3.1.1.1.6.3</v>
      </c>
      <c r="AC168" s="177" t="s">
        <v>237</v>
      </c>
      <c r="AD168" s="51" t="s">
        <v>111</v>
      </c>
      <c r="AE168" s="95"/>
      <c r="AF168" s="178"/>
      <c r="AG168" s="178"/>
      <c r="AH168" s="96"/>
      <c r="AI168" s="187"/>
      <c r="AJ168" s="178"/>
      <c r="AK168" s="178"/>
      <c r="AL168" s="181"/>
      <c r="AM168" s="95"/>
      <c r="AN168" s="178"/>
      <c r="AO168" s="178"/>
      <c r="AP168" s="96"/>
      <c r="AQ168" s="187"/>
      <c r="AR168" s="178"/>
      <c r="AS168" s="178"/>
      <c r="AT168" s="181"/>
      <c r="AU168" s="95"/>
      <c r="AV168" s="178"/>
      <c r="AW168" s="178"/>
      <c r="AX168" s="181"/>
      <c r="AY168" s="95"/>
      <c r="AZ168" s="178"/>
      <c r="BA168" s="178"/>
      <c r="BB168" s="181"/>
      <c r="BC168" s="95"/>
      <c r="BD168" s="178"/>
      <c r="BE168" s="178"/>
      <c r="BF168" s="210"/>
      <c r="BG168" s="95"/>
      <c r="BH168" s="178"/>
      <c r="BI168" s="178"/>
      <c r="BJ168" s="181"/>
      <c r="BK168" s="95"/>
      <c r="BL168" s="178"/>
      <c r="BM168" s="178"/>
      <c r="BN168" s="181"/>
      <c r="BO168" s="185"/>
      <c r="BP168" s="183"/>
      <c r="BQ168" s="183"/>
      <c r="BR168" s="186"/>
      <c r="BS168" s="185"/>
      <c r="BT168" s="183"/>
      <c r="BU168" s="183"/>
      <c r="BV168" s="186"/>
      <c r="BW168" s="6"/>
      <c r="BX168" s="6"/>
      <c r="BY168" s="125">
        <f t="shared" si="31"/>
        <v>0</v>
      </c>
      <c r="BZ168" s="126">
        <f t="shared" si="32"/>
        <v>0</v>
      </c>
      <c r="CA168" s="126">
        <f t="shared" si="33"/>
        <v>0</v>
      </c>
      <c r="CB168" s="127">
        <f t="shared" si="34"/>
        <v>0</v>
      </c>
      <c r="CC168" s="766"/>
    </row>
    <row r="169" spans="1:82" s="211" customFormat="1" ht="35.25" hidden="1" customHeight="1" outlineLevel="4" x14ac:dyDescent="0.25">
      <c r="A169" s="6"/>
      <c r="B169" s="6"/>
      <c r="C169" s="116" t="s">
        <v>83</v>
      </c>
      <c r="D169" s="116" t="s">
        <v>84</v>
      </c>
      <c r="E169" s="116" t="s">
        <v>73</v>
      </c>
      <c r="F169" s="116" t="s">
        <v>74</v>
      </c>
      <c r="G169" s="116" t="s">
        <v>238</v>
      </c>
      <c r="H169" s="116" t="s">
        <v>73</v>
      </c>
      <c r="I169" s="116" t="s">
        <v>73</v>
      </c>
      <c r="J169" s="6"/>
      <c r="K169" s="209" t="s">
        <v>73</v>
      </c>
      <c r="L169" s="116" t="s">
        <v>192</v>
      </c>
      <c r="M169" s="6" t="str">
        <f t="array" ref="M169">Y95</f>
        <v>1ХВС::1.1</v>
      </c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5" t="str">
        <f>AB165&amp;".4"</f>
        <v>3.1.1.1.6.4</v>
      </c>
      <c r="AC169" s="177" t="s">
        <v>239</v>
      </c>
      <c r="AD169" s="51" t="s">
        <v>111</v>
      </c>
      <c r="AE169" s="95"/>
      <c r="AF169" s="178"/>
      <c r="AG169" s="178"/>
      <c r="AH169" s="96"/>
      <c r="AI169" s="187"/>
      <c r="AJ169" s="178"/>
      <c r="AK169" s="178"/>
      <c r="AL169" s="181"/>
      <c r="AM169" s="95"/>
      <c r="AN169" s="178"/>
      <c r="AO169" s="178"/>
      <c r="AP169" s="96"/>
      <c r="AQ169" s="187"/>
      <c r="AR169" s="178"/>
      <c r="AS169" s="178"/>
      <c r="AT169" s="181"/>
      <c r="AU169" s="95"/>
      <c r="AV169" s="178"/>
      <c r="AW169" s="178"/>
      <c r="AX169" s="181"/>
      <c r="AY169" s="95"/>
      <c r="AZ169" s="178"/>
      <c r="BA169" s="178"/>
      <c r="BB169" s="181"/>
      <c r="BC169" s="95"/>
      <c r="BD169" s="178"/>
      <c r="BE169" s="178"/>
      <c r="BF169" s="210"/>
      <c r="BG169" s="95"/>
      <c r="BH169" s="178"/>
      <c r="BI169" s="178"/>
      <c r="BJ169" s="181"/>
      <c r="BK169" s="95"/>
      <c r="BL169" s="178"/>
      <c r="BM169" s="178"/>
      <c r="BN169" s="181"/>
      <c r="BO169" s="185"/>
      <c r="BP169" s="183"/>
      <c r="BQ169" s="183"/>
      <c r="BR169" s="186"/>
      <c r="BS169" s="185"/>
      <c r="BT169" s="183"/>
      <c r="BU169" s="183"/>
      <c r="BV169" s="186"/>
      <c r="BW169" s="6"/>
      <c r="BX169" s="6"/>
      <c r="BY169" s="125">
        <f t="shared" si="31"/>
        <v>0</v>
      </c>
      <c r="BZ169" s="126">
        <f t="shared" si="32"/>
        <v>0</v>
      </c>
      <c r="CA169" s="126">
        <f t="shared" si="33"/>
        <v>0</v>
      </c>
      <c r="CB169" s="127">
        <f t="shared" si="34"/>
        <v>0</v>
      </c>
      <c r="CC169" s="766"/>
    </row>
    <row r="170" spans="1:82" ht="96" customHeight="1" outlineLevel="4" x14ac:dyDescent="0.25">
      <c r="C170" s="10" t="s">
        <v>83</v>
      </c>
      <c r="D170" s="10" t="s">
        <v>84</v>
      </c>
      <c r="E170" s="10" t="s">
        <v>73</v>
      </c>
      <c r="F170" s="10" t="s">
        <v>74</v>
      </c>
      <c r="G170" s="10" t="s">
        <v>240</v>
      </c>
      <c r="H170" s="10" t="s">
        <v>73</v>
      </c>
      <c r="I170" s="10" t="s">
        <v>73</v>
      </c>
      <c r="K170" s="12" t="s">
        <v>73</v>
      </c>
      <c r="L170" s="10" t="s">
        <v>192</v>
      </c>
      <c r="M170" s="5" t="str">
        <f t="array" ref="M170">Y95</f>
        <v>1ХВС::1.1</v>
      </c>
      <c r="AB170" s="65" t="str">
        <f>AB165&amp;".5"</f>
        <v>3.1.1.1.6.5</v>
      </c>
      <c r="AC170" s="177" t="s">
        <v>241</v>
      </c>
      <c r="AD170" s="51" t="s">
        <v>111</v>
      </c>
      <c r="AE170" s="95">
        <v>4648.5200000000004</v>
      </c>
      <c r="AF170" s="178">
        <v>2559.0100000000002</v>
      </c>
      <c r="AG170" s="178">
        <v>5114.87</v>
      </c>
      <c r="AH170" s="96">
        <v>2770.66</v>
      </c>
      <c r="AI170" s="187">
        <v>343.39</v>
      </c>
      <c r="AJ170" s="178"/>
      <c r="AK170" s="178">
        <v>407.55900000000003</v>
      </c>
      <c r="AL170" s="181"/>
      <c r="AM170" s="95"/>
      <c r="AN170" s="178"/>
      <c r="AO170" s="178">
        <v>66.650000000000006</v>
      </c>
      <c r="AP170" s="96">
        <v>54.44</v>
      </c>
      <c r="AQ170" s="187"/>
      <c r="AR170" s="178"/>
      <c r="AS170" s="178">
        <v>255.69</v>
      </c>
      <c r="AT170" s="181"/>
      <c r="AU170" s="95"/>
      <c r="AV170" s="178">
        <v>50.42</v>
      </c>
      <c r="AW170" s="178"/>
      <c r="AX170" s="181"/>
      <c r="AY170" s="95"/>
      <c r="AZ170" s="178"/>
      <c r="BA170" s="178">
        <v>13.23</v>
      </c>
      <c r="BB170" s="181"/>
      <c r="BC170" s="95"/>
      <c r="BD170" s="178"/>
      <c r="BE170" s="178"/>
      <c r="BF170" s="210"/>
      <c r="BG170" s="95">
        <v>24.55</v>
      </c>
      <c r="BH170" s="178"/>
      <c r="BI170" s="178">
        <v>27.01</v>
      </c>
      <c r="BJ170" s="181"/>
      <c r="BK170" s="95">
        <v>365.76</v>
      </c>
      <c r="BL170" s="178">
        <v>314.23</v>
      </c>
      <c r="BM170" s="178">
        <v>338.4</v>
      </c>
      <c r="BN170" s="181">
        <v>340.24</v>
      </c>
      <c r="BO170" s="185"/>
      <c r="BP170" s="183"/>
      <c r="BQ170" s="183"/>
      <c r="BR170" s="186"/>
      <c r="BS170" s="185">
        <v>130.97999999999999</v>
      </c>
      <c r="BT170" s="183">
        <v>51.58</v>
      </c>
      <c r="BU170" s="183">
        <v>222.13</v>
      </c>
      <c r="BV170" s="186"/>
      <c r="BY170" s="125">
        <f t="shared" si="31"/>
        <v>5513.2000000000007</v>
      </c>
      <c r="BZ170" s="126">
        <f t="shared" si="32"/>
        <v>2975.2400000000002</v>
      </c>
      <c r="CA170" s="126">
        <f t="shared" si="33"/>
        <v>6445.5389999999989</v>
      </c>
      <c r="CB170" s="127">
        <f t="shared" si="34"/>
        <v>3165.34</v>
      </c>
      <c r="CD170" s="1025"/>
    </row>
    <row r="171" spans="1:82" ht="17.649999999999999" customHeight="1" outlineLevel="4" x14ac:dyDescent="0.25">
      <c r="C171" s="10" t="s">
        <v>83</v>
      </c>
      <c r="D171" s="10" t="s">
        <v>84</v>
      </c>
      <c r="E171" s="10" t="s">
        <v>73</v>
      </c>
      <c r="F171" s="10" t="s">
        <v>74</v>
      </c>
      <c r="G171" s="10" t="s">
        <v>242</v>
      </c>
      <c r="H171" s="10" t="s">
        <v>73</v>
      </c>
      <c r="I171" s="10" t="s">
        <v>73</v>
      </c>
      <c r="K171" s="12" t="s">
        <v>73</v>
      </c>
      <c r="L171" s="10" t="s">
        <v>192</v>
      </c>
      <c r="M171" s="5" t="str">
        <f t="array" ref="M171">Y95</f>
        <v>1ХВС::1.1</v>
      </c>
      <c r="AB171" s="65" t="str">
        <f>AB165&amp;".6"</f>
        <v>3.1.1.1.6.6</v>
      </c>
      <c r="AC171" s="177" t="s">
        <v>243</v>
      </c>
      <c r="AD171" s="51" t="s">
        <v>111</v>
      </c>
      <c r="AE171" s="95"/>
      <c r="AF171" s="178"/>
      <c r="AG171" s="178"/>
      <c r="AH171" s="96"/>
      <c r="AI171" s="187"/>
      <c r="AJ171" s="178"/>
      <c r="AK171" s="178"/>
      <c r="AL171" s="181"/>
      <c r="AM171" s="95"/>
      <c r="AN171" s="178"/>
      <c r="AO171" s="178"/>
      <c r="AP171" s="96"/>
      <c r="AQ171" s="187"/>
      <c r="AR171" s="178"/>
      <c r="AS171" s="178"/>
      <c r="AT171" s="181"/>
      <c r="AU171" s="95"/>
      <c r="AV171" s="178"/>
      <c r="AW171" s="178"/>
      <c r="AX171" s="181"/>
      <c r="AY171" s="95"/>
      <c r="AZ171" s="178"/>
      <c r="BA171" s="178"/>
      <c r="BB171" s="181"/>
      <c r="BC171" s="95"/>
      <c r="BD171" s="178"/>
      <c r="BE171" s="178"/>
      <c r="BF171" s="210"/>
      <c r="BG171" s="95"/>
      <c r="BH171" s="178"/>
      <c r="BI171" s="178"/>
      <c r="BJ171" s="181"/>
      <c r="BK171" s="95"/>
      <c r="BL171" s="178"/>
      <c r="BM171" s="178"/>
      <c r="BN171" s="181"/>
      <c r="BO171" s="185"/>
      <c r="BP171" s="183"/>
      <c r="BQ171" s="183"/>
      <c r="BR171" s="186"/>
      <c r="BS171" s="185"/>
      <c r="BT171" s="183"/>
      <c r="BU171" s="183"/>
      <c r="BV171" s="186"/>
      <c r="BY171" s="125">
        <f t="shared" si="31"/>
        <v>0</v>
      </c>
      <c r="BZ171" s="126">
        <f t="shared" si="32"/>
        <v>0</v>
      </c>
      <c r="CA171" s="126">
        <f t="shared" si="33"/>
        <v>0</v>
      </c>
      <c r="CB171" s="127">
        <f t="shared" si="34"/>
        <v>0</v>
      </c>
    </row>
    <row r="172" spans="1:82" s="214" customFormat="1" ht="17.649999999999999" customHeight="1" outlineLevel="4" x14ac:dyDescent="0.25">
      <c r="A172" s="5"/>
      <c r="B172" s="5"/>
      <c r="C172" s="10" t="s">
        <v>83</v>
      </c>
      <c r="D172" s="10" t="s">
        <v>84</v>
      </c>
      <c r="E172" s="10" t="s">
        <v>73</v>
      </c>
      <c r="F172" s="10" t="s">
        <v>74</v>
      </c>
      <c r="G172" s="10" t="s">
        <v>244</v>
      </c>
      <c r="H172" s="10" t="s">
        <v>73</v>
      </c>
      <c r="I172" s="10" t="s">
        <v>73</v>
      </c>
      <c r="J172" s="5"/>
      <c r="K172" s="12" t="s">
        <v>73</v>
      </c>
      <c r="L172" s="10" t="s">
        <v>192</v>
      </c>
      <c r="M172" s="5" t="str">
        <f t="array" ref="M172">Y95</f>
        <v>1ХВС::1.1</v>
      </c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65" t="str">
        <f>AB165&amp;".7"</f>
        <v>3.1.1.1.6.7</v>
      </c>
      <c r="AC172" s="177" t="s">
        <v>245</v>
      </c>
      <c r="AD172" s="51" t="s">
        <v>111</v>
      </c>
      <c r="AE172" s="72">
        <f>SUM(AE173:AE191)</f>
        <v>15576.52</v>
      </c>
      <c r="AF172" s="73">
        <f>SUM(AF173:AF191)</f>
        <v>10910.78</v>
      </c>
      <c r="AG172" s="73">
        <f>SUM(AG173:AG191)</f>
        <v>11738.56</v>
      </c>
      <c r="AH172" s="74"/>
      <c r="AI172" s="179">
        <f>SUM(AI173:AI191)</f>
        <v>0</v>
      </c>
      <c r="AJ172" s="73">
        <f>SUM(AJ173:AJ191)</f>
        <v>0</v>
      </c>
      <c r="AK172" s="73">
        <f>SUM(AK173:AK191)</f>
        <v>63.940000000000005</v>
      </c>
      <c r="AL172" s="138"/>
      <c r="AM172" s="72">
        <f>SUM(AM173:AM191)</f>
        <v>0</v>
      </c>
      <c r="AN172" s="73">
        <f>SUM(AN173:AN191)</f>
        <v>0</v>
      </c>
      <c r="AO172" s="73">
        <f>SUM(AO173:AO191)</f>
        <v>0</v>
      </c>
      <c r="AP172" s="74"/>
      <c r="AQ172" s="179">
        <f>SUM(AQ173:AQ191)</f>
        <v>0</v>
      </c>
      <c r="AR172" s="73">
        <f>SUM(AR173:AR191)</f>
        <v>0</v>
      </c>
      <c r="AS172" s="73">
        <f>SUM(AS173:AS191)</f>
        <v>0</v>
      </c>
      <c r="AT172" s="138"/>
      <c r="AU172" s="72">
        <f>SUM(AU173:AU191)</f>
        <v>0</v>
      </c>
      <c r="AV172" s="73">
        <f>SUM(AV173:AV191)</f>
        <v>0</v>
      </c>
      <c r="AW172" s="73">
        <f>SUM(AW173:AW191)</f>
        <v>0</v>
      </c>
      <c r="AX172" s="138"/>
      <c r="AY172" s="72">
        <f>SUM(AY173:AY191)</f>
        <v>0</v>
      </c>
      <c r="AZ172" s="73">
        <f>SUM(AZ173:AZ191)</f>
        <v>0</v>
      </c>
      <c r="BA172" s="73">
        <f>SUM(BA173:BA191)</f>
        <v>0</v>
      </c>
      <c r="BB172" s="138"/>
      <c r="BC172" s="72">
        <f>SUM(BC173:BC191)</f>
        <v>0</v>
      </c>
      <c r="BD172" s="73">
        <f>SUM(BD173:BD191)</f>
        <v>0</v>
      </c>
      <c r="BE172" s="73">
        <f>SUM(BE173:BE191)</f>
        <v>0</v>
      </c>
      <c r="BF172" s="774"/>
      <c r="BG172" s="72">
        <f>SUM(BG173:BG191)</f>
        <v>0</v>
      </c>
      <c r="BH172" s="73">
        <f>SUM(BH173:BH191)</f>
        <v>0</v>
      </c>
      <c r="BI172" s="73">
        <f>SUM(BI173:BI191)</f>
        <v>0</v>
      </c>
      <c r="BJ172" s="138">
        <v>0</v>
      </c>
      <c r="BK172" s="72">
        <f>SUM(BK173:BK191)</f>
        <v>0</v>
      </c>
      <c r="BL172" s="73">
        <f>SUM(BL173:BL191)</f>
        <v>0</v>
      </c>
      <c r="BM172" s="73">
        <f>SUM(BM173:BM191)</f>
        <v>0</v>
      </c>
      <c r="BN172" s="138"/>
      <c r="BO172" s="72">
        <f t="shared" ref="BO172:BV172" si="37">SUM(BO173:BO191)</f>
        <v>0</v>
      </c>
      <c r="BP172" s="73">
        <f t="shared" si="37"/>
        <v>0</v>
      </c>
      <c r="BQ172" s="73">
        <f t="shared" si="37"/>
        <v>0</v>
      </c>
      <c r="BR172" s="74">
        <f t="shared" si="37"/>
        <v>0</v>
      </c>
      <c r="BS172" s="72">
        <f t="shared" si="37"/>
        <v>0</v>
      </c>
      <c r="BT172" s="73">
        <f t="shared" si="37"/>
        <v>0</v>
      </c>
      <c r="BU172" s="73">
        <f t="shared" si="37"/>
        <v>0</v>
      </c>
      <c r="BV172" s="74">
        <f t="shared" si="37"/>
        <v>0</v>
      </c>
      <c r="BW172" s="6"/>
      <c r="BX172" s="5"/>
      <c r="BY172" s="125">
        <f t="shared" si="31"/>
        <v>15576.52</v>
      </c>
      <c r="BZ172" s="126">
        <f t="shared" si="32"/>
        <v>10910.78</v>
      </c>
      <c r="CA172" s="126">
        <f t="shared" si="33"/>
        <v>11802.5</v>
      </c>
      <c r="CB172" s="127">
        <f t="shared" si="33"/>
        <v>0</v>
      </c>
      <c r="CC172" s="739"/>
    </row>
    <row r="173" spans="1:82" s="230" customFormat="1" ht="14.85" customHeight="1" outlineLevel="5" x14ac:dyDescent="0.25">
      <c r="A173" s="215"/>
      <c r="B173" s="215"/>
      <c r="C173" s="216"/>
      <c r="D173" s="216"/>
      <c r="E173" s="216"/>
      <c r="F173" s="216"/>
      <c r="G173" s="216"/>
      <c r="H173" s="216"/>
      <c r="I173" s="216"/>
      <c r="J173" s="215"/>
      <c r="K173" s="217"/>
      <c r="L173" s="216"/>
      <c r="M173" s="215"/>
      <c r="N173" s="215"/>
      <c r="O173" s="215"/>
      <c r="P173" s="215"/>
      <c r="Q173" s="215"/>
      <c r="R173" s="215"/>
      <c r="S173" s="215"/>
      <c r="T173" s="215"/>
      <c r="U173" s="215"/>
      <c r="V173" s="215"/>
      <c r="W173" s="215"/>
      <c r="X173" s="215"/>
      <c r="Y173" s="215"/>
      <c r="Z173" s="215"/>
      <c r="AA173" s="215"/>
      <c r="AB173" s="218"/>
      <c r="AC173" s="219" t="s">
        <v>246</v>
      </c>
      <c r="AD173" s="220" t="s">
        <v>247</v>
      </c>
      <c r="AE173" s="221">
        <v>249.15</v>
      </c>
      <c r="AF173" s="222">
        <v>249.15</v>
      </c>
      <c r="AG173" s="222">
        <v>249.15</v>
      </c>
      <c r="AH173" s="223"/>
      <c r="AI173" s="228"/>
      <c r="AJ173" s="225"/>
      <c r="AK173" s="225"/>
      <c r="AL173" s="227"/>
      <c r="AM173" s="224"/>
      <c r="AN173" s="225"/>
      <c r="AO173" s="225"/>
      <c r="AP173" s="226"/>
      <c r="AQ173" s="228"/>
      <c r="AR173" s="225"/>
      <c r="AS173" s="225"/>
      <c r="AT173" s="227"/>
      <c r="AU173" s="224"/>
      <c r="AV173" s="225"/>
      <c r="AW173" s="225"/>
      <c r="AX173" s="227"/>
      <c r="AY173" s="224"/>
      <c r="AZ173" s="225"/>
      <c r="BA173" s="225"/>
      <c r="BB173" s="227"/>
      <c r="BC173" s="224"/>
      <c r="BD173" s="225"/>
      <c r="BE173" s="225"/>
      <c r="BF173" s="236"/>
      <c r="BG173" s="224"/>
      <c r="BH173" s="225"/>
      <c r="BI173" s="225"/>
      <c r="BJ173" s="227"/>
      <c r="BK173" s="224"/>
      <c r="BL173" s="225"/>
      <c r="BM173" s="225"/>
      <c r="BN173" s="227"/>
      <c r="BO173" s="224"/>
      <c r="BP173" s="225"/>
      <c r="BQ173" s="225"/>
      <c r="BR173" s="226"/>
      <c r="BS173" s="224"/>
      <c r="BT173" s="225"/>
      <c r="BU173" s="225"/>
      <c r="BV173" s="226"/>
      <c r="BW173" s="229"/>
      <c r="BX173" s="215"/>
      <c r="BY173" s="125">
        <f t="shared" si="31"/>
        <v>249.15</v>
      </c>
      <c r="BZ173" s="126">
        <f t="shared" si="32"/>
        <v>249.15</v>
      </c>
      <c r="CA173" s="126">
        <f t="shared" si="33"/>
        <v>249.15</v>
      </c>
      <c r="CB173" s="127">
        <f t="shared" si="34"/>
        <v>0</v>
      </c>
      <c r="CC173" s="768"/>
    </row>
    <row r="174" spans="1:82" s="230" customFormat="1" ht="14.85" customHeight="1" outlineLevel="5" x14ac:dyDescent="0.25">
      <c r="A174" s="215"/>
      <c r="B174" s="215"/>
      <c r="C174" s="216"/>
      <c r="D174" s="216"/>
      <c r="E174" s="216"/>
      <c r="F174" s="216"/>
      <c r="G174" s="216"/>
      <c r="H174" s="216"/>
      <c r="I174" s="216"/>
      <c r="J174" s="215"/>
      <c r="K174" s="217"/>
      <c r="L174" s="216"/>
      <c r="M174" s="215"/>
      <c r="N174" s="215"/>
      <c r="O174" s="215"/>
      <c r="P174" s="215"/>
      <c r="Q174" s="215"/>
      <c r="R174" s="215"/>
      <c r="S174" s="215"/>
      <c r="T174" s="215"/>
      <c r="U174" s="215"/>
      <c r="V174" s="215"/>
      <c r="W174" s="215"/>
      <c r="X174" s="215"/>
      <c r="Y174" s="215"/>
      <c r="Z174" s="215"/>
      <c r="AA174" s="215"/>
      <c r="AB174" s="218"/>
      <c r="AC174" s="219" t="s">
        <v>248</v>
      </c>
      <c r="AD174" s="220" t="s">
        <v>247</v>
      </c>
      <c r="AE174" s="221">
        <v>576.55999999999995</v>
      </c>
      <c r="AF174" s="222">
        <v>576.55999999999995</v>
      </c>
      <c r="AG174" s="222">
        <v>576.55999999999995</v>
      </c>
      <c r="AH174" s="223"/>
      <c r="AI174" s="228"/>
      <c r="AJ174" s="225"/>
      <c r="AK174" s="225"/>
      <c r="AL174" s="227"/>
      <c r="AM174" s="224"/>
      <c r="AN174" s="225"/>
      <c r="AO174" s="225"/>
      <c r="AP174" s="226"/>
      <c r="AQ174" s="228"/>
      <c r="AR174" s="225"/>
      <c r="AS174" s="225"/>
      <c r="AT174" s="227"/>
      <c r="AU174" s="224"/>
      <c r="AV174" s="225"/>
      <c r="AW174" s="225"/>
      <c r="AX174" s="227"/>
      <c r="AY174" s="224"/>
      <c r="AZ174" s="225"/>
      <c r="BA174" s="225"/>
      <c r="BB174" s="227"/>
      <c r="BC174" s="224"/>
      <c r="BD174" s="225"/>
      <c r="BE174" s="225"/>
      <c r="BF174" s="236"/>
      <c r="BG174" s="224"/>
      <c r="BH174" s="225"/>
      <c r="BI174" s="225"/>
      <c r="BJ174" s="227"/>
      <c r="BK174" s="224"/>
      <c r="BL174" s="225"/>
      <c r="BM174" s="225"/>
      <c r="BN174" s="227"/>
      <c r="BO174" s="224"/>
      <c r="BP174" s="225"/>
      <c r="BQ174" s="225"/>
      <c r="BR174" s="226"/>
      <c r="BS174" s="224"/>
      <c r="BT174" s="225"/>
      <c r="BU174" s="225"/>
      <c r="BV174" s="226"/>
      <c r="BW174" s="229"/>
      <c r="BX174" s="215"/>
      <c r="BY174" s="125">
        <f t="shared" si="31"/>
        <v>576.55999999999995</v>
      </c>
      <c r="BZ174" s="126">
        <f t="shared" si="32"/>
        <v>576.55999999999995</v>
      </c>
      <c r="CA174" s="126">
        <f t="shared" si="33"/>
        <v>576.55999999999995</v>
      </c>
      <c r="CB174" s="127">
        <f t="shared" si="34"/>
        <v>0</v>
      </c>
      <c r="CC174" s="768"/>
    </row>
    <row r="175" spans="1:82" s="230" customFormat="1" ht="14.85" customHeight="1" outlineLevel="5" x14ac:dyDescent="0.25">
      <c r="A175" s="215"/>
      <c r="B175" s="215"/>
      <c r="C175" s="216"/>
      <c r="D175" s="216"/>
      <c r="E175" s="216"/>
      <c r="F175" s="216"/>
      <c r="G175" s="216"/>
      <c r="H175" s="216"/>
      <c r="I175" s="216"/>
      <c r="J175" s="215"/>
      <c r="K175" s="217"/>
      <c r="L175" s="216"/>
      <c r="M175" s="215"/>
      <c r="N175" s="215"/>
      <c r="O175" s="215"/>
      <c r="P175" s="215"/>
      <c r="Q175" s="215"/>
      <c r="R175" s="215"/>
      <c r="S175" s="215"/>
      <c r="T175" s="215"/>
      <c r="U175" s="215"/>
      <c r="V175" s="215"/>
      <c r="W175" s="215"/>
      <c r="X175" s="215"/>
      <c r="Y175" s="215"/>
      <c r="Z175" s="215"/>
      <c r="AA175" s="215"/>
      <c r="AB175" s="218"/>
      <c r="AC175" s="219" t="s">
        <v>249</v>
      </c>
      <c r="AD175" s="220" t="s">
        <v>247</v>
      </c>
      <c r="AE175" s="221">
        <v>1559.27</v>
      </c>
      <c r="AF175" s="222">
        <v>1559.27</v>
      </c>
      <c r="AG175" s="222">
        <v>1559.27</v>
      </c>
      <c r="AH175" s="223"/>
      <c r="AI175" s="228"/>
      <c r="AJ175" s="225"/>
      <c r="AK175" s="225"/>
      <c r="AL175" s="227"/>
      <c r="AM175" s="224"/>
      <c r="AN175" s="225"/>
      <c r="AO175" s="225"/>
      <c r="AP175" s="226"/>
      <c r="AQ175" s="228"/>
      <c r="AR175" s="225"/>
      <c r="AS175" s="225"/>
      <c r="AT175" s="227"/>
      <c r="AU175" s="224"/>
      <c r="AV175" s="225"/>
      <c r="AW175" s="225"/>
      <c r="AX175" s="227"/>
      <c r="AY175" s="224"/>
      <c r="AZ175" s="225"/>
      <c r="BA175" s="225"/>
      <c r="BB175" s="227"/>
      <c r="BC175" s="224"/>
      <c r="BD175" s="225"/>
      <c r="BE175" s="225"/>
      <c r="BF175" s="236"/>
      <c r="BG175" s="224"/>
      <c r="BH175" s="225"/>
      <c r="BI175" s="225"/>
      <c r="BJ175" s="227"/>
      <c r="BK175" s="224"/>
      <c r="BL175" s="225"/>
      <c r="BM175" s="225"/>
      <c r="BN175" s="227"/>
      <c r="BO175" s="224"/>
      <c r="BP175" s="225"/>
      <c r="BQ175" s="225"/>
      <c r="BR175" s="226"/>
      <c r="BS175" s="224"/>
      <c r="BT175" s="225"/>
      <c r="BU175" s="225"/>
      <c r="BV175" s="226"/>
      <c r="BW175" s="229"/>
      <c r="BX175" s="215"/>
      <c r="BY175" s="125">
        <f t="shared" si="31"/>
        <v>1559.27</v>
      </c>
      <c r="BZ175" s="126">
        <f t="shared" si="32"/>
        <v>1559.27</v>
      </c>
      <c r="CA175" s="126">
        <f t="shared" si="33"/>
        <v>1559.27</v>
      </c>
      <c r="CB175" s="127">
        <f t="shared" si="34"/>
        <v>0</v>
      </c>
      <c r="CC175" s="768"/>
    </row>
    <row r="176" spans="1:82" s="230" customFormat="1" ht="14.85" customHeight="1" outlineLevel="5" x14ac:dyDescent="0.25">
      <c r="A176" s="215"/>
      <c r="B176" s="215"/>
      <c r="C176" s="216"/>
      <c r="D176" s="216"/>
      <c r="E176" s="216"/>
      <c r="F176" s="216"/>
      <c r="G176" s="216"/>
      <c r="H176" s="216"/>
      <c r="I176" s="216"/>
      <c r="J176" s="215"/>
      <c r="K176" s="217"/>
      <c r="L176" s="216"/>
      <c r="M176" s="215"/>
      <c r="N176" s="215"/>
      <c r="O176" s="215"/>
      <c r="P176" s="215"/>
      <c r="Q176" s="215"/>
      <c r="R176" s="215"/>
      <c r="S176" s="215"/>
      <c r="T176" s="215"/>
      <c r="U176" s="215"/>
      <c r="V176" s="215"/>
      <c r="W176" s="215"/>
      <c r="X176" s="215"/>
      <c r="Y176" s="215"/>
      <c r="Z176" s="215"/>
      <c r="AA176" s="215"/>
      <c r="AB176" s="218"/>
      <c r="AC176" s="219" t="s">
        <v>250</v>
      </c>
      <c r="AD176" s="220" t="s">
        <v>247</v>
      </c>
      <c r="AE176" s="221">
        <v>317.01</v>
      </c>
      <c r="AF176" s="222">
        <v>317.01</v>
      </c>
      <c r="AG176" s="222">
        <v>317.01</v>
      </c>
      <c r="AH176" s="223"/>
      <c r="AI176" s="228"/>
      <c r="AJ176" s="225"/>
      <c r="AK176" s="225"/>
      <c r="AL176" s="227"/>
      <c r="AM176" s="224"/>
      <c r="AN176" s="225"/>
      <c r="AO176" s="225"/>
      <c r="AP176" s="226"/>
      <c r="AQ176" s="228"/>
      <c r="AR176" s="225"/>
      <c r="AS176" s="225"/>
      <c r="AT176" s="227"/>
      <c r="AU176" s="224"/>
      <c r="AV176" s="225"/>
      <c r="AW176" s="225"/>
      <c r="AX176" s="227"/>
      <c r="AY176" s="224"/>
      <c r="AZ176" s="225"/>
      <c r="BA176" s="225"/>
      <c r="BB176" s="227"/>
      <c r="BC176" s="224"/>
      <c r="BD176" s="225"/>
      <c r="BE176" s="225"/>
      <c r="BF176" s="236"/>
      <c r="BG176" s="224"/>
      <c r="BH176" s="225"/>
      <c r="BI176" s="225"/>
      <c r="BJ176" s="227"/>
      <c r="BK176" s="224"/>
      <c r="BL176" s="225"/>
      <c r="BM176" s="225"/>
      <c r="BN176" s="227"/>
      <c r="BO176" s="224"/>
      <c r="BP176" s="225"/>
      <c r="BQ176" s="225"/>
      <c r="BR176" s="226"/>
      <c r="BS176" s="224"/>
      <c r="BT176" s="225"/>
      <c r="BU176" s="225"/>
      <c r="BV176" s="226"/>
      <c r="BW176" s="229"/>
      <c r="BX176" s="215"/>
      <c r="BY176" s="125">
        <f t="shared" si="31"/>
        <v>317.01</v>
      </c>
      <c r="BZ176" s="126">
        <f t="shared" si="32"/>
        <v>317.01</v>
      </c>
      <c r="CA176" s="126">
        <f t="shared" si="33"/>
        <v>317.01</v>
      </c>
      <c r="CB176" s="127">
        <f t="shared" si="34"/>
        <v>0</v>
      </c>
      <c r="CC176" s="768"/>
    </row>
    <row r="177" spans="1:84" s="230" customFormat="1" ht="14.85" customHeight="1" outlineLevel="5" x14ac:dyDescent="0.25">
      <c r="A177" s="215"/>
      <c r="B177" s="215"/>
      <c r="C177" s="216"/>
      <c r="D177" s="216"/>
      <c r="E177" s="216"/>
      <c r="F177" s="216"/>
      <c r="G177" s="216"/>
      <c r="H177" s="216"/>
      <c r="I177" s="216"/>
      <c r="J177" s="215"/>
      <c r="K177" s="217"/>
      <c r="L177" s="216"/>
      <c r="M177" s="215"/>
      <c r="N177" s="215"/>
      <c r="O177" s="215"/>
      <c r="P177" s="215"/>
      <c r="Q177" s="215"/>
      <c r="R177" s="215"/>
      <c r="S177" s="215"/>
      <c r="T177" s="215"/>
      <c r="U177" s="215"/>
      <c r="V177" s="215"/>
      <c r="W177" s="215"/>
      <c r="X177" s="215"/>
      <c r="Y177" s="215"/>
      <c r="Z177" s="215"/>
      <c r="AA177" s="215"/>
      <c r="AB177" s="218"/>
      <c r="AC177" s="219" t="s">
        <v>251</v>
      </c>
      <c r="AD177" s="220" t="s">
        <v>247</v>
      </c>
      <c r="AE177" s="221">
        <v>55.46</v>
      </c>
      <c r="AF177" s="222">
        <v>55.46</v>
      </c>
      <c r="AG177" s="222">
        <v>55.46</v>
      </c>
      <c r="AH177" s="223"/>
      <c r="AI177" s="228"/>
      <c r="AJ177" s="225"/>
      <c r="AK177" s="225"/>
      <c r="AL177" s="227"/>
      <c r="AM177" s="224"/>
      <c r="AN177" s="225"/>
      <c r="AO177" s="225"/>
      <c r="AP177" s="226"/>
      <c r="AQ177" s="228"/>
      <c r="AR177" s="225"/>
      <c r="AS177" s="225"/>
      <c r="AT177" s="227"/>
      <c r="AU177" s="224"/>
      <c r="AV177" s="225"/>
      <c r="AW177" s="225"/>
      <c r="AX177" s="227"/>
      <c r="AY177" s="224"/>
      <c r="AZ177" s="225"/>
      <c r="BA177" s="225"/>
      <c r="BB177" s="227"/>
      <c r="BC177" s="224"/>
      <c r="BD177" s="225"/>
      <c r="BE177" s="225"/>
      <c r="BF177" s="236"/>
      <c r="BG177" s="224"/>
      <c r="BH177" s="225"/>
      <c r="BI177" s="225"/>
      <c r="BJ177" s="227"/>
      <c r="BK177" s="224"/>
      <c r="BL177" s="225"/>
      <c r="BM177" s="225"/>
      <c r="BN177" s="227"/>
      <c r="BO177" s="224"/>
      <c r="BP177" s="225"/>
      <c r="BQ177" s="225"/>
      <c r="BR177" s="226"/>
      <c r="BS177" s="224"/>
      <c r="BT177" s="225"/>
      <c r="BU177" s="225"/>
      <c r="BV177" s="226"/>
      <c r="BW177" s="229"/>
      <c r="BX177" s="215"/>
      <c r="BY177" s="125">
        <f t="shared" si="31"/>
        <v>55.46</v>
      </c>
      <c r="BZ177" s="126">
        <f t="shared" si="32"/>
        <v>55.46</v>
      </c>
      <c r="CA177" s="126">
        <f t="shared" si="33"/>
        <v>55.46</v>
      </c>
      <c r="CB177" s="127">
        <f t="shared" si="34"/>
        <v>0</v>
      </c>
      <c r="CC177" s="768"/>
    </row>
    <row r="178" spans="1:84" s="230" customFormat="1" ht="14.85" customHeight="1" outlineLevel="5" x14ac:dyDescent="0.25">
      <c r="A178" s="215"/>
      <c r="B178" s="215"/>
      <c r="C178" s="216"/>
      <c r="D178" s="216"/>
      <c r="E178" s="216"/>
      <c r="F178" s="216"/>
      <c r="G178" s="216"/>
      <c r="H178" s="216"/>
      <c r="I178" s="216"/>
      <c r="J178" s="215"/>
      <c r="K178" s="217"/>
      <c r="L178" s="216"/>
      <c r="M178" s="215"/>
      <c r="N178" s="215"/>
      <c r="O178" s="215"/>
      <c r="P178" s="215"/>
      <c r="Q178" s="215"/>
      <c r="R178" s="215"/>
      <c r="S178" s="215"/>
      <c r="T178" s="215"/>
      <c r="U178" s="215"/>
      <c r="V178" s="215"/>
      <c r="W178" s="215"/>
      <c r="X178" s="215"/>
      <c r="Y178" s="215"/>
      <c r="Z178" s="215"/>
      <c r="AA178" s="215"/>
      <c r="AB178" s="218"/>
      <c r="AC178" s="219" t="s">
        <v>252</v>
      </c>
      <c r="AD178" s="220" t="s">
        <v>247</v>
      </c>
      <c r="AE178" s="221">
        <v>86.37</v>
      </c>
      <c r="AF178" s="222">
        <v>86.37</v>
      </c>
      <c r="AG178" s="222">
        <v>86.37</v>
      </c>
      <c r="AH178" s="223"/>
      <c r="AI178" s="228"/>
      <c r="AJ178" s="225"/>
      <c r="AK178" s="225"/>
      <c r="AL178" s="227"/>
      <c r="AM178" s="224"/>
      <c r="AN178" s="225"/>
      <c r="AO178" s="225"/>
      <c r="AP178" s="226"/>
      <c r="AQ178" s="228"/>
      <c r="AR178" s="225"/>
      <c r="AS178" s="225"/>
      <c r="AT178" s="227"/>
      <c r="AU178" s="224"/>
      <c r="AV178" s="225"/>
      <c r="AW178" s="225"/>
      <c r="AX178" s="227"/>
      <c r="AY178" s="224"/>
      <c r="AZ178" s="225"/>
      <c r="BA178" s="225"/>
      <c r="BB178" s="227"/>
      <c r="BC178" s="224"/>
      <c r="BD178" s="225"/>
      <c r="BE178" s="225"/>
      <c r="BF178" s="236"/>
      <c r="BG178" s="224"/>
      <c r="BH178" s="225"/>
      <c r="BI178" s="225"/>
      <c r="BJ178" s="227"/>
      <c r="BK178" s="224"/>
      <c r="BL178" s="225"/>
      <c r="BM178" s="225"/>
      <c r="BN178" s="227"/>
      <c r="BO178" s="224"/>
      <c r="BP178" s="225"/>
      <c r="BQ178" s="225"/>
      <c r="BR178" s="226"/>
      <c r="BS178" s="224"/>
      <c r="BT178" s="225"/>
      <c r="BU178" s="225"/>
      <c r="BV178" s="226"/>
      <c r="BW178" s="229"/>
      <c r="BX178" s="215"/>
      <c r="BY178" s="125">
        <f t="shared" si="31"/>
        <v>86.37</v>
      </c>
      <c r="BZ178" s="126">
        <f t="shared" si="32"/>
        <v>86.37</v>
      </c>
      <c r="CA178" s="126">
        <f t="shared" si="33"/>
        <v>86.37</v>
      </c>
      <c r="CB178" s="127">
        <f t="shared" si="34"/>
        <v>0</v>
      </c>
      <c r="CC178" s="768"/>
    </row>
    <row r="179" spans="1:84" s="230" customFormat="1" ht="14.85" customHeight="1" outlineLevel="5" x14ac:dyDescent="0.25">
      <c r="A179" s="215"/>
      <c r="B179" s="215"/>
      <c r="C179" s="216"/>
      <c r="D179" s="216"/>
      <c r="E179" s="216"/>
      <c r="F179" s="216"/>
      <c r="G179" s="216"/>
      <c r="H179" s="216"/>
      <c r="I179" s="216"/>
      <c r="J179" s="215"/>
      <c r="K179" s="217"/>
      <c r="L179" s="216"/>
      <c r="M179" s="215"/>
      <c r="N179" s="215"/>
      <c r="O179" s="215"/>
      <c r="P179" s="215"/>
      <c r="Q179" s="215"/>
      <c r="R179" s="215"/>
      <c r="S179" s="215"/>
      <c r="T179" s="215"/>
      <c r="U179" s="215"/>
      <c r="V179" s="215"/>
      <c r="W179" s="215"/>
      <c r="X179" s="215"/>
      <c r="Y179" s="215"/>
      <c r="Z179" s="215"/>
      <c r="AA179" s="215"/>
      <c r="AB179" s="218"/>
      <c r="AC179" s="219" t="s">
        <v>253</v>
      </c>
      <c r="AD179" s="220" t="s">
        <v>247</v>
      </c>
      <c r="AE179" s="221">
        <v>2731.94</v>
      </c>
      <c r="AF179" s="222">
        <v>2731.94</v>
      </c>
      <c r="AG179" s="222">
        <v>2731.94</v>
      </c>
      <c r="AH179" s="223"/>
      <c r="AI179" s="228"/>
      <c r="AJ179" s="225"/>
      <c r="AK179" s="225">
        <v>58.24</v>
      </c>
      <c r="AL179" s="227"/>
      <c r="AM179" s="224"/>
      <c r="AN179" s="225"/>
      <c r="AO179" s="225"/>
      <c r="AP179" s="226"/>
      <c r="AQ179" s="228"/>
      <c r="AR179" s="225"/>
      <c r="AS179" s="225"/>
      <c r="AT179" s="227"/>
      <c r="AU179" s="224"/>
      <c r="AV179" s="225"/>
      <c r="AW179" s="225"/>
      <c r="AX179" s="227"/>
      <c r="AY179" s="224"/>
      <c r="AZ179" s="225"/>
      <c r="BA179" s="225"/>
      <c r="BB179" s="227"/>
      <c r="BC179" s="224"/>
      <c r="BD179" s="225"/>
      <c r="BE179" s="225"/>
      <c r="BF179" s="236"/>
      <c r="BG179" s="224"/>
      <c r="BH179" s="225"/>
      <c r="BI179" s="225"/>
      <c r="BJ179" s="227"/>
      <c r="BK179" s="224"/>
      <c r="BL179" s="225"/>
      <c r="BM179" s="225"/>
      <c r="BN179" s="227"/>
      <c r="BO179" s="224"/>
      <c r="BP179" s="225"/>
      <c r="BQ179" s="225"/>
      <c r="BR179" s="226"/>
      <c r="BS179" s="224"/>
      <c r="BT179" s="225"/>
      <c r="BU179" s="225"/>
      <c r="BV179" s="226"/>
      <c r="BW179" s="229"/>
      <c r="BX179" s="215"/>
      <c r="BY179" s="125">
        <f t="shared" si="31"/>
        <v>2731.94</v>
      </c>
      <c r="BZ179" s="126">
        <f t="shared" si="32"/>
        <v>2731.94</v>
      </c>
      <c r="CA179" s="126">
        <f t="shared" si="33"/>
        <v>2790.18</v>
      </c>
      <c r="CB179" s="127">
        <f t="shared" si="34"/>
        <v>0</v>
      </c>
      <c r="CC179" s="768"/>
    </row>
    <row r="180" spans="1:84" s="230" customFormat="1" ht="14.85" customHeight="1" outlineLevel="5" x14ac:dyDescent="0.25">
      <c r="A180" s="215"/>
      <c r="B180" s="215"/>
      <c r="C180" s="216"/>
      <c r="D180" s="216"/>
      <c r="E180" s="216"/>
      <c r="F180" s="216"/>
      <c r="G180" s="216"/>
      <c r="H180" s="216"/>
      <c r="I180" s="216"/>
      <c r="J180" s="215"/>
      <c r="K180" s="217"/>
      <c r="L180" s="216"/>
      <c r="M180" s="215"/>
      <c r="N180" s="215"/>
      <c r="O180" s="215"/>
      <c r="P180" s="215"/>
      <c r="Q180" s="215"/>
      <c r="R180" s="215"/>
      <c r="S180" s="215"/>
      <c r="T180" s="215"/>
      <c r="U180" s="215"/>
      <c r="V180" s="215"/>
      <c r="W180" s="215"/>
      <c r="X180" s="215"/>
      <c r="Y180" s="215"/>
      <c r="Z180" s="215"/>
      <c r="AA180" s="215"/>
      <c r="AB180" s="218"/>
      <c r="AC180" s="219" t="s">
        <v>254</v>
      </c>
      <c r="AD180" s="220" t="s">
        <v>247</v>
      </c>
      <c r="AE180" s="221">
        <v>53.3</v>
      </c>
      <c r="AF180" s="222">
        <v>53.3</v>
      </c>
      <c r="AG180" s="222">
        <v>53.3</v>
      </c>
      <c r="AH180" s="223"/>
      <c r="AI180" s="228"/>
      <c r="AJ180" s="225"/>
      <c r="AK180" s="225"/>
      <c r="AL180" s="227"/>
      <c r="AM180" s="224"/>
      <c r="AN180" s="225"/>
      <c r="AO180" s="225"/>
      <c r="AP180" s="226"/>
      <c r="AQ180" s="228"/>
      <c r="AR180" s="225"/>
      <c r="AS180" s="225"/>
      <c r="AT180" s="227"/>
      <c r="AU180" s="224"/>
      <c r="AV180" s="225"/>
      <c r="AW180" s="225"/>
      <c r="AX180" s="227"/>
      <c r="AY180" s="224"/>
      <c r="AZ180" s="225"/>
      <c r="BA180" s="225"/>
      <c r="BB180" s="227"/>
      <c r="BC180" s="224"/>
      <c r="BD180" s="225"/>
      <c r="BE180" s="225"/>
      <c r="BF180" s="236"/>
      <c r="BG180" s="224"/>
      <c r="BH180" s="225"/>
      <c r="BI180" s="225"/>
      <c r="BJ180" s="227"/>
      <c r="BK180" s="224"/>
      <c r="BL180" s="225"/>
      <c r="BM180" s="225"/>
      <c r="BN180" s="227"/>
      <c r="BO180" s="224"/>
      <c r="BP180" s="225"/>
      <c r="BQ180" s="225"/>
      <c r="BR180" s="226"/>
      <c r="BS180" s="224"/>
      <c r="BT180" s="225"/>
      <c r="BU180" s="225"/>
      <c r="BV180" s="226"/>
      <c r="BW180" s="229"/>
      <c r="BX180" s="215"/>
      <c r="BY180" s="125">
        <f t="shared" si="31"/>
        <v>53.3</v>
      </c>
      <c r="BZ180" s="126">
        <f t="shared" si="32"/>
        <v>53.3</v>
      </c>
      <c r="CA180" s="126">
        <f t="shared" si="33"/>
        <v>53.3</v>
      </c>
      <c r="CB180" s="127">
        <f t="shared" si="34"/>
        <v>0</v>
      </c>
      <c r="CC180" s="768"/>
    </row>
    <row r="181" spans="1:84" s="230" customFormat="1" ht="14.85" customHeight="1" outlineLevel="5" x14ac:dyDescent="0.25">
      <c r="A181" s="215"/>
      <c r="B181" s="215"/>
      <c r="C181" s="216"/>
      <c r="D181" s="216"/>
      <c r="E181" s="216"/>
      <c r="F181" s="216"/>
      <c r="G181" s="216"/>
      <c r="H181" s="216"/>
      <c r="I181" s="216"/>
      <c r="J181" s="215"/>
      <c r="K181" s="217"/>
      <c r="L181" s="216"/>
      <c r="M181" s="215"/>
      <c r="N181" s="215"/>
      <c r="O181" s="215"/>
      <c r="P181" s="215"/>
      <c r="Q181" s="215"/>
      <c r="R181" s="215"/>
      <c r="S181" s="215"/>
      <c r="T181" s="215"/>
      <c r="U181" s="215"/>
      <c r="V181" s="215"/>
      <c r="W181" s="215"/>
      <c r="X181" s="215"/>
      <c r="Y181" s="215"/>
      <c r="Z181" s="215"/>
      <c r="AA181" s="215"/>
      <c r="AB181" s="218"/>
      <c r="AC181" s="219" t="s">
        <v>255</v>
      </c>
      <c r="AD181" s="220" t="s">
        <v>247</v>
      </c>
      <c r="AE181" s="221">
        <v>571.07000000000005</v>
      </c>
      <c r="AF181" s="222">
        <v>571.07000000000005</v>
      </c>
      <c r="AG181" s="222">
        <v>571.07000000000005</v>
      </c>
      <c r="AH181" s="223"/>
      <c r="AI181" s="228"/>
      <c r="AJ181" s="225"/>
      <c r="AK181" s="225">
        <v>5.7</v>
      </c>
      <c r="AL181" s="227"/>
      <c r="AM181" s="224"/>
      <c r="AN181" s="225"/>
      <c r="AO181" s="225"/>
      <c r="AP181" s="226"/>
      <c r="AQ181" s="228"/>
      <c r="AR181" s="225"/>
      <c r="AS181" s="225"/>
      <c r="AT181" s="227"/>
      <c r="AU181" s="224"/>
      <c r="AV181" s="225"/>
      <c r="AW181" s="225"/>
      <c r="AX181" s="227"/>
      <c r="AY181" s="224"/>
      <c r="AZ181" s="225"/>
      <c r="BA181" s="225"/>
      <c r="BB181" s="227"/>
      <c r="BC181" s="224"/>
      <c r="BD181" s="225"/>
      <c r="BE181" s="225"/>
      <c r="BF181" s="236"/>
      <c r="BG181" s="224"/>
      <c r="BH181" s="225"/>
      <c r="BI181" s="225"/>
      <c r="BJ181" s="227"/>
      <c r="BK181" s="224"/>
      <c r="BL181" s="225"/>
      <c r="BM181" s="225"/>
      <c r="BN181" s="227"/>
      <c r="BO181" s="224"/>
      <c r="BP181" s="225"/>
      <c r="BQ181" s="225"/>
      <c r="BR181" s="226"/>
      <c r="BS181" s="224"/>
      <c r="BT181" s="225"/>
      <c r="BU181" s="225"/>
      <c r="BV181" s="226"/>
      <c r="BW181" s="229"/>
      <c r="BX181" s="215"/>
      <c r="BY181" s="125">
        <f t="shared" si="31"/>
        <v>571.07000000000005</v>
      </c>
      <c r="BZ181" s="126">
        <f t="shared" si="32"/>
        <v>571.07000000000005</v>
      </c>
      <c r="CA181" s="126">
        <f t="shared" si="33"/>
        <v>576.7700000000001</v>
      </c>
      <c r="CB181" s="127">
        <f t="shared" si="34"/>
        <v>0</v>
      </c>
      <c r="CC181" s="768"/>
    </row>
    <row r="182" spans="1:84" s="230" customFormat="1" ht="48.75" customHeight="1" outlineLevel="5" x14ac:dyDescent="0.25">
      <c r="A182" s="215"/>
      <c r="B182" s="215"/>
      <c r="C182" s="216"/>
      <c r="D182" s="216"/>
      <c r="E182" s="216"/>
      <c r="F182" s="216"/>
      <c r="G182" s="216"/>
      <c r="H182" s="216"/>
      <c r="I182" s="216"/>
      <c r="J182" s="215"/>
      <c r="K182" s="217"/>
      <c r="L182" s="216"/>
      <c r="M182" s="215"/>
      <c r="N182" s="215"/>
      <c r="O182" s="215"/>
      <c r="P182" s="215"/>
      <c r="Q182" s="215"/>
      <c r="R182" s="215"/>
      <c r="S182" s="215"/>
      <c r="T182" s="215"/>
      <c r="U182" s="215"/>
      <c r="V182" s="215"/>
      <c r="W182" s="215"/>
      <c r="X182" s="215"/>
      <c r="Y182" s="215"/>
      <c r="Z182" s="215"/>
      <c r="AA182" s="215"/>
      <c r="AB182" s="218"/>
      <c r="AC182" s="219" t="s">
        <v>256</v>
      </c>
      <c r="AD182" s="220" t="s">
        <v>247</v>
      </c>
      <c r="AE182" s="221"/>
      <c r="AF182" s="222"/>
      <c r="AG182" s="222"/>
      <c r="AH182" s="223"/>
      <c r="AI182" s="228"/>
      <c r="AJ182" s="225"/>
      <c r="AK182" s="225"/>
      <c r="AL182" s="227"/>
      <c r="AM182" s="224"/>
      <c r="AN182" s="225"/>
      <c r="AO182" s="225"/>
      <c r="AP182" s="226"/>
      <c r="AQ182" s="228"/>
      <c r="AR182" s="225"/>
      <c r="AS182" s="225"/>
      <c r="AT182" s="227"/>
      <c r="AU182" s="224"/>
      <c r="AV182" s="225"/>
      <c r="AW182" s="225"/>
      <c r="AX182" s="227"/>
      <c r="AY182" s="224"/>
      <c r="AZ182" s="225"/>
      <c r="BA182" s="225"/>
      <c r="BB182" s="227"/>
      <c r="BC182" s="224"/>
      <c r="BD182" s="225"/>
      <c r="BE182" s="225"/>
      <c r="BF182" s="236"/>
      <c r="BG182" s="224"/>
      <c r="BH182" s="225"/>
      <c r="BI182" s="225"/>
      <c r="BJ182" s="227"/>
      <c r="BK182" s="224"/>
      <c r="BL182" s="225"/>
      <c r="BM182" s="225"/>
      <c r="BN182" s="227"/>
      <c r="BO182" s="224"/>
      <c r="BP182" s="225"/>
      <c r="BQ182" s="225"/>
      <c r="BR182" s="226"/>
      <c r="BS182" s="224"/>
      <c r="BT182" s="225"/>
      <c r="BU182" s="225"/>
      <c r="BV182" s="226"/>
      <c r="BW182" s="229"/>
      <c r="BX182" s="215"/>
      <c r="BY182" s="125">
        <f t="shared" si="31"/>
        <v>0</v>
      </c>
      <c r="BZ182" s="126">
        <f t="shared" si="32"/>
        <v>0</v>
      </c>
      <c r="CA182" s="126">
        <f t="shared" si="33"/>
        <v>0</v>
      </c>
      <c r="CB182" s="127">
        <f t="shared" si="34"/>
        <v>0</v>
      </c>
      <c r="CC182" s="768"/>
    </row>
    <row r="183" spans="1:84" s="230" customFormat="1" ht="16.7" customHeight="1" outlineLevel="5" x14ac:dyDescent="0.25">
      <c r="A183" s="215"/>
      <c r="B183" s="215"/>
      <c r="C183" s="216"/>
      <c r="D183" s="216"/>
      <c r="E183" s="216"/>
      <c r="F183" s="216"/>
      <c r="G183" s="216"/>
      <c r="H183" s="216"/>
      <c r="I183" s="216"/>
      <c r="J183" s="215"/>
      <c r="K183" s="217"/>
      <c r="L183" s="216"/>
      <c r="M183" s="215"/>
      <c r="N183" s="215"/>
      <c r="O183" s="215"/>
      <c r="P183" s="215"/>
      <c r="Q183" s="215"/>
      <c r="R183" s="215"/>
      <c r="S183" s="215"/>
      <c r="T183" s="215"/>
      <c r="U183" s="215"/>
      <c r="V183" s="215"/>
      <c r="W183" s="215"/>
      <c r="X183" s="215"/>
      <c r="Y183" s="215"/>
      <c r="Z183" s="215"/>
      <c r="AA183" s="215"/>
      <c r="AB183" s="218"/>
      <c r="AC183" s="219" t="s">
        <v>257</v>
      </c>
      <c r="AD183" s="220" t="s">
        <v>247</v>
      </c>
      <c r="AE183" s="221">
        <v>62.38</v>
      </c>
      <c r="AF183" s="222">
        <v>62.38</v>
      </c>
      <c r="AG183" s="222">
        <v>62.38</v>
      </c>
      <c r="AH183" s="223"/>
      <c r="AI183" s="228"/>
      <c r="AJ183" s="225"/>
      <c r="AK183" s="225"/>
      <c r="AL183" s="227"/>
      <c r="AM183" s="224"/>
      <c r="AN183" s="225"/>
      <c r="AO183" s="225"/>
      <c r="AP183" s="226"/>
      <c r="AQ183" s="228"/>
      <c r="AR183" s="225"/>
      <c r="AS183" s="225"/>
      <c r="AT183" s="227"/>
      <c r="AU183" s="224"/>
      <c r="AV183" s="225"/>
      <c r="AW183" s="225"/>
      <c r="AX183" s="227"/>
      <c r="AY183" s="224"/>
      <c r="AZ183" s="225"/>
      <c r="BA183" s="225"/>
      <c r="BB183" s="227"/>
      <c r="BC183" s="224"/>
      <c r="BD183" s="225"/>
      <c r="BE183" s="225"/>
      <c r="BF183" s="236"/>
      <c r="BG183" s="224"/>
      <c r="BH183" s="225"/>
      <c r="BI183" s="225"/>
      <c r="BJ183" s="227"/>
      <c r="BK183" s="224"/>
      <c r="BL183" s="225"/>
      <c r="BM183" s="225"/>
      <c r="BN183" s="227"/>
      <c r="BO183" s="224"/>
      <c r="BP183" s="225"/>
      <c r="BQ183" s="225"/>
      <c r="BR183" s="226"/>
      <c r="BS183" s="224"/>
      <c r="BT183" s="225"/>
      <c r="BU183" s="225"/>
      <c r="BV183" s="226"/>
      <c r="BW183" s="229"/>
      <c r="BX183" s="215"/>
      <c r="BY183" s="125">
        <f t="shared" si="31"/>
        <v>62.38</v>
      </c>
      <c r="BZ183" s="126">
        <f t="shared" si="32"/>
        <v>62.38</v>
      </c>
      <c r="CA183" s="126">
        <f t="shared" si="33"/>
        <v>62.38</v>
      </c>
      <c r="CB183" s="127">
        <f t="shared" si="34"/>
        <v>0</v>
      </c>
      <c r="CC183" s="768"/>
    </row>
    <row r="184" spans="1:84" s="230" customFormat="1" ht="16.7" customHeight="1" outlineLevel="5" x14ac:dyDescent="0.25">
      <c r="A184" s="215"/>
      <c r="B184" s="215"/>
      <c r="C184" s="216"/>
      <c r="D184" s="216"/>
      <c r="E184" s="216"/>
      <c r="F184" s="216"/>
      <c r="G184" s="216"/>
      <c r="H184" s="216"/>
      <c r="I184" s="216"/>
      <c r="J184" s="215"/>
      <c r="K184" s="217"/>
      <c r="L184" s="216"/>
      <c r="M184" s="215"/>
      <c r="N184" s="215"/>
      <c r="O184" s="215"/>
      <c r="P184" s="215"/>
      <c r="Q184" s="215"/>
      <c r="R184" s="215"/>
      <c r="S184" s="215"/>
      <c r="T184" s="215"/>
      <c r="U184" s="215"/>
      <c r="V184" s="215"/>
      <c r="W184" s="215"/>
      <c r="X184" s="215"/>
      <c r="Y184" s="215"/>
      <c r="Z184" s="215"/>
      <c r="AA184" s="215"/>
      <c r="AB184" s="218"/>
      <c r="AC184" s="219" t="s">
        <v>258</v>
      </c>
      <c r="AD184" s="220" t="s">
        <v>247</v>
      </c>
      <c r="AE184" s="221">
        <v>199.83</v>
      </c>
      <c r="AF184" s="222">
        <v>199.83</v>
      </c>
      <c r="AG184" s="222">
        <v>199.83</v>
      </c>
      <c r="AH184" s="223"/>
      <c r="AI184" s="228"/>
      <c r="AJ184" s="225"/>
      <c r="AK184" s="225"/>
      <c r="AL184" s="227"/>
      <c r="AM184" s="224"/>
      <c r="AN184" s="225"/>
      <c r="AO184" s="225"/>
      <c r="AP184" s="226"/>
      <c r="AQ184" s="228"/>
      <c r="AR184" s="225"/>
      <c r="AS184" s="225"/>
      <c r="AT184" s="227"/>
      <c r="AU184" s="224"/>
      <c r="AV184" s="225"/>
      <c r="AW184" s="225"/>
      <c r="AX184" s="227"/>
      <c r="AY184" s="224"/>
      <c r="AZ184" s="225"/>
      <c r="BA184" s="225"/>
      <c r="BB184" s="227"/>
      <c r="BC184" s="224"/>
      <c r="BD184" s="225"/>
      <c r="BE184" s="225"/>
      <c r="BF184" s="236"/>
      <c r="BG184" s="224"/>
      <c r="BH184" s="225"/>
      <c r="BI184" s="225"/>
      <c r="BJ184" s="227"/>
      <c r="BK184" s="224"/>
      <c r="BL184" s="225"/>
      <c r="BM184" s="225"/>
      <c r="BN184" s="227"/>
      <c r="BO184" s="224"/>
      <c r="BP184" s="225"/>
      <c r="BQ184" s="225"/>
      <c r="BR184" s="226"/>
      <c r="BS184" s="224"/>
      <c r="BT184" s="225"/>
      <c r="BU184" s="225"/>
      <c r="BV184" s="226"/>
      <c r="BW184" s="229"/>
      <c r="BX184" s="215"/>
      <c r="BY184" s="125">
        <f t="shared" si="31"/>
        <v>199.83</v>
      </c>
      <c r="BZ184" s="126">
        <f t="shared" si="32"/>
        <v>199.83</v>
      </c>
      <c r="CA184" s="126">
        <f t="shared" si="33"/>
        <v>199.83</v>
      </c>
      <c r="CB184" s="127">
        <f t="shared" si="34"/>
        <v>0</v>
      </c>
      <c r="CC184" s="768"/>
    </row>
    <row r="185" spans="1:84" s="230" customFormat="1" ht="16.7" customHeight="1" outlineLevel="5" x14ac:dyDescent="0.25">
      <c r="A185" s="215"/>
      <c r="B185" s="215"/>
      <c r="C185" s="216"/>
      <c r="D185" s="216"/>
      <c r="E185" s="216"/>
      <c r="F185" s="216"/>
      <c r="G185" s="216"/>
      <c r="H185" s="216"/>
      <c r="I185" s="216"/>
      <c r="J185" s="215"/>
      <c r="K185" s="217"/>
      <c r="L185" s="216"/>
      <c r="M185" s="215"/>
      <c r="N185" s="215"/>
      <c r="O185" s="215"/>
      <c r="P185" s="215"/>
      <c r="Q185" s="215"/>
      <c r="R185" s="215"/>
      <c r="S185" s="215"/>
      <c r="T185" s="215"/>
      <c r="U185" s="215"/>
      <c r="V185" s="215"/>
      <c r="W185" s="215"/>
      <c r="X185" s="215"/>
      <c r="Y185" s="215"/>
      <c r="Z185" s="215"/>
      <c r="AA185" s="215"/>
      <c r="AB185" s="218"/>
      <c r="AC185" s="219" t="s">
        <v>259</v>
      </c>
      <c r="AD185" s="220" t="s">
        <v>247</v>
      </c>
      <c r="AE185" s="221">
        <v>2.86</v>
      </c>
      <c r="AF185" s="222">
        <v>2.86</v>
      </c>
      <c r="AG185" s="222">
        <v>2.86</v>
      </c>
      <c r="AH185" s="223"/>
      <c r="AI185" s="228"/>
      <c r="AJ185" s="225"/>
      <c r="AK185" s="225"/>
      <c r="AL185" s="227"/>
      <c r="AM185" s="224"/>
      <c r="AN185" s="225"/>
      <c r="AO185" s="225"/>
      <c r="AP185" s="226"/>
      <c r="AQ185" s="228"/>
      <c r="AR185" s="225"/>
      <c r="AS185" s="225"/>
      <c r="AT185" s="227"/>
      <c r="AU185" s="224"/>
      <c r="AV185" s="225"/>
      <c r="AW185" s="225"/>
      <c r="AX185" s="227"/>
      <c r="AY185" s="224"/>
      <c r="AZ185" s="225"/>
      <c r="BA185" s="225"/>
      <c r="BB185" s="227"/>
      <c r="BC185" s="224"/>
      <c r="BD185" s="225"/>
      <c r="BE185" s="225"/>
      <c r="BF185" s="236"/>
      <c r="BG185" s="224"/>
      <c r="BH185" s="225"/>
      <c r="BI185" s="225"/>
      <c r="BJ185" s="227"/>
      <c r="BK185" s="224"/>
      <c r="BL185" s="225"/>
      <c r="BM185" s="225"/>
      <c r="BN185" s="227"/>
      <c r="BO185" s="224"/>
      <c r="BP185" s="225"/>
      <c r="BQ185" s="225"/>
      <c r="BR185" s="226"/>
      <c r="BS185" s="224"/>
      <c r="BT185" s="225"/>
      <c r="BU185" s="225"/>
      <c r="BV185" s="226"/>
      <c r="BW185" s="229"/>
      <c r="BX185" s="215"/>
      <c r="BY185" s="125">
        <f t="shared" si="31"/>
        <v>2.86</v>
      </c>
      <c r="BZ185" s="126">
        <f t="shared" si="32"/>
        <v>2.86</v>
      </c>
      <c r="CA185" s="126">
        <f t="shared" si="33"/>
        <v>2.86</v>
      </c>
      <c r="CB185" s="127">
        <f t="shared" si="34"/>
        <v>0</v>
      </c>
      <c r="CC185" s="768"/>
    </row>
    <row r="186" spans="1:84" s="230" customFormat="1" ht="16.7" customHeight="1" outlineLevel="5" x14ac:dyDescent="0.25">
      <c r="A186" s="215"/>
      <c r="B186" s="215"/>
      <c r="C186" s="216"/>
      <c r="D186" s="216"/>
      <c r="E186" s="216"/>
      <c r="F186" s="216"/>
      <c r="G186" s="216"/>
      <c r="H186" s="216"/>
      <c r="I186" s="216"/>
      <c r="J186" s="215"/>
      <c r="K186" s="217"/>
      <c r="L186" s="216"/>
      <c r="M186" s="215"/>
      <c r="N186" s="215"/>
      <c r="O186" s="215"/>
      <c r="P186" s="215"/>
      <c r="Q186" s="215"/>
      <c r="R186" s="215"/>
      <c r="S186" s="215"/>
      <c r="T186" s="215"/>
      <c r="U186" s="215"/>
      <c r="V186" s="215"/>
      <c r="W186" s="215"/>
      <c r="X186" s="215"/>
      <c r="Y186" s="215"/>
      <c r="Z186" s="215"/>
      <c r="AA186" s="215"/>
      <c r="AB186" s="218"/>
      <c r="AC186" s="219" t="s">
        <v>260</v>
      </c>
      <c r="AD186" s="220" t="s">
        <v>247</v>
      </c>
      <c r="AE186" s="221">
        <v>1.86</v>
      </c>
      <c r="AF186" s="222">
        <v>1.86</v>
      </c>
      <c r="AG186" s="222">
        <v>1.86</v>
      </c>
      <c r="AH186" s="223"/>
      <c r="AI186" s="228"/>
      <c r="AJ186" s="225"/>
      <c r="AK186" s="225"/>
      <c r="AL186" s="227"/>
      <c r="AM186" s="224"/>
      <c r="AN186" s="225"/>
      <c r="AO186" s="225"/>
      <c r="AP186" s="226"/>
      <c r="AQ186" s="228"/>
      <c r="AR186" s="225"/>
      <c r="AS186" s="225"/>
      <c r="AT186" s="227"/>
      <c r="AU186" s="224"/>
      <c r="AV186" s="225"/>
      <c r="AW186" s="225"/>
      <c r="AX186" s="227"/>
      <c r="AY186" s="224"/>
      <c r="AZ186" s="225"/>
      <c r="BA186" s="225"/>
      <c r="BB186" s="227"/>
      <c r="BC186" s="224"/>
      <c r="BD186" s="225"/>
      <c r="BE186" s="225"/>
      <c r="BF186" s="236"/>
      <c r="BG186" s="224"/>
      <c r="BH186" s="225"/>
      <c r="BI186" s="225"/>
      <c r="BJ186" s="227"/>
      <c r="BK186" s="224"/>
      <c r="BL186" s="225"/>
      <c r="BM186" s="225"/>
      <c r="BN186" s="227"/>
      <c r="BO186" s="224"/>
      <c r="BP186" s="225"/>
      <c r="BQ186" s="225"/>
      <c r="BR186" s="226"/>
      <c r="BS186" s="224"/>
      <c r="BT186" s="225"/>
      <c r="BU186" s="225"/>
      <c r="BV186" s="226"/>
      <c r="BW186" s="229"/>
      <c r="BX186" s="215"/>
      <c r="BY186" s="125">
        <f t="shared" si="31"/>
        <v>1.86</v>
      </c>
      <c r="BZ186" s="126">
        <f t="shared" si="32"/>
        <v>1.86</v>
      </c>
      <c r="CA186" s="126">
        <f t="shared" si="33"/>
        <v>1.86</v>
      </c>
      <c r="CB186" s="127">
        <f t="shared" si="34"/>
        <v>0</v>
      </c>
      <c r="CC186" s="768"/>
    </row>
    <row r="187" spans="1:84" s="230" customFormat="1" ht="16.7" customHeight="1" outlineLevel="5" x14ac:dyDescent="0.25">
      <c r="A187" s="215"/>
      <c r="B187" s="215"/>
      <c r="C187" s="216"/>
      <c r="D187" s="216"/>
      <c r="E187" s="216"/>
      <c r="F187" s="216"/>
      <c r="G187" s="216"/>
      <c r="H187" s="216"/>
      <c r="I187" s="216"/>
      <c r="J187" s="215"/>
      <c r="K187" s="217"/>
      <c r="L187" s="216"/>
      <c r="M187" s="215"/>
      <c r="N187" s="215"/>
      <c r="O187" s="215"/>
      <c r="P187" s="215"/>
      <c r="Q187" s="215"/>
      <c r="R187" s="215"/>
      <c r="S187" s="215"/>
      <c r="T187" s="215"/>
      <c r="U187" s="215"/>
      <c r="V187" s="215"/>
      <c r="W187" s="215"/>
      <c r="X187" s="215"/>
      <c r="Y187" s="215"/>
      <c r="Z187" s="215"/>
      <c r="AA187" s="215"/>
      <c r="AB187" s="218"/>
      <c r="AC187" s="219" t="s">
        <v>261</v>
      </c>
      <c r="AD187" s="220" t="s">
        <v>247</v>
      </c>
      <c r="AE187" s="221">
        <v>119.14</v>
      </c>
      <c r="AF187" s="222">
        <v>119.14</v>
      </c>
      <c r="AG187" s="222">
        <v>119.14</v>
      </c>
      <c r="AH187" s="223"/>
      <c r="AI187" s="228"/>
      <c r="AJ187" s="225"/>
      <c r="AK187" s="225"/>
      <c r="AL187" s="227"/>
      <c r="AM187" s="224"/>
      <c r="AN187" s="225"/>
      <c r="AO187" s="225"/>
      <c r="AP187" s="226"/>
      <c r="AQ187" s="228"/>
      <c r="AR187" s="225"/>
      <c r="AS187" s="225"/>
      <c r="AT187" s="227"/>
      <c r="AU187" s="224"/>
      <c r="AV187" s="225"/>
      <c r="AW187" s="225"/>
      <c r="AX187" s="227"/>
      <c r="AY187" s="224"/>
      <c r="AZ187" s="225"/>
      <c r="BA187" s="225"/>
      <c r="BB187" s="227"/>
      <c r="BC187" s="224"/>
      <c r="BD187" s="225"/>
      <c r="BE187" s="225"/>
      <c r="BF187" s="236"/>
      <c r="BG187" s="224"/>
      <c r="BH187" s="225"/>
      <c r="BI187" s="225"/>
      <c r="BJ187" s="227"/>
      <c r="BK187" s="224"/>
      <c r="BL187" s="225"/>
      <c r="BM187" s="225"/>
      <c r="BN187" s="227"/>
      <c r="BO187" s="224"/>
      <c r="BP187" s="225"/>
      <c r="BQ187" s="225"/>
      <c r="BR187" s="226"/>
      <c r="BS187" s="224"/>
      <c r="BT187" s="225"/>
      <c r="BU187" s="225"/>
      <c r="BV187" s="226"/>
      <c r="BW187" s="229"/>
      <c r="BX187" s="215"/>
      <c r="BY187" s="125">
        <f t="shared" si="31"/>
        <v>119.14</v>
      </c>
      <c r="BZ187" s="126">
        <f t="shared" si="32"/>
        <v>119.14</v>
      </c>
      <c r="CA187" s="126">
        <f t="shared" si="33"/>
        <v>119.14</v>
      </c>
      <c r="CB187" s="127">
        <f t="shared" si="34"/>
        <v>0</v>
      </c>
      <c r="CC187" s="768"/>
    </row>
    <row r="188" spans="1:84" s="230" customFormat="1" ht="16.7" customHeight="1" outlineLevel="5" x14ac:dyDescent="0.25">
      <c r="A188" s="215"/>
      <c r="B188" s="215"/>
      <c r="C188" s="216"/>
      <c r="D188" s="216"/>
      <c r="E188" s="216"/>
      <c r="F188" s="216"/>
      <c r="G188" s="216"/>
      <c r="H188" s="216"/>
      <c r="I188" s="216"/>
      <c r="J188" s="215"/>
      <c r="K188" s="217"/>
      <c r="L188" s="216"/>
      <c r="M188" s="215"/>
      <c r="N188" s="215"/>
      <c r="O188" s="215"/>
      <c r="P188" s="215"/>
      <c r="Q188" s="215"/>
      <c r="R188" s="215"/>
      <c r="S188" s="215"/>
      <c r="T188" s="215"/>
      <c r="U188" s="215"/>
      <c r="V188" s="215"/>
      <c r="W188" s="215"/>
      <c r="X188" s="215"/>
      <c r="Y188" s="215"/>
      <c r="Z188" s="215"/>
      <c r="AA188" s="215"/>
      <c r="AB188" s="218"/>
      <c r="AC188" s="219" t="s">
        <v>262</v>
      </c>
      <c r="AD188" s="220" t="s">
        <v>247</v>
      </c>
      <c r="AE188" s="221"/>
      <c r="AF188" s="222"/>
      <c r="AG188" s="222"/>
      <c r="AH188" s="223"/>
      <c r="AI188" s="228"/>
      <c r="AJ188" s="225"/>
      <c r="AK188" s="225"/>
      <c r="AL188" s="227"/>
      <c r="AM188" s="224"/>
      <c r="AN188" s="225"/>
      <c r="AO188" s="225"/>
      <c r="AP188" s="226"/>
      <c r="AQ188" s="228"/>
      <c r="AR188" s="225"/>
      <c r="AS188" s="225"/>
      <c r="AT188" s="227"/>
      <c r="AU188" s="224"/>
      <c r="AV188" s="225"/>
      <c r="AW188" s="225"/>
      <c r="AX188" s="227"/>
      <c r="AY188" s="224"/>
      <c r="AZ188" s="225"/>
      <c r="BA188" s="225"/>
      <c r="BB188" s="227"/>
      <c r="BC188" s="224"/>
      <c r="BD188" s="225"/>
      <c r="BE188" s="225"/>
      <c r="BF188" s="236"/>
      <c r="BG188" s="224"/>
      <c r="BH188" s="225"/>
      <c r="BI188" s="225"/>
      <c r="BJ188" s="227"/>
      <c r="BK188" s="224"/>
      <c r="BL188" s="225"/>
      <c r="BM188" s="225"/>
      <c r="BN188" s="227"/>
      <c r="BO188" s="224"/>
      <c r="BP188" s="225"/>
      <c r="BQ188" s="225"/>
      <c r="BR188" s="226"/>
      <c r="BS188" s="224"/>
      <c r="BT188" s="225"/>
      <c r="BU188" s="225"/>
      <c r="BV188" s="226"/>
      <c r="BW188" s="229"/>
      <c r="BX188" s="215"/>
      <c r="BY188" s="125">
        <f t="shared" ref="BY188:BY219" si="38">AE188+AI188+AM188+AQ188+AU188+AY188+BC188+BG188+BK188+BO188+BS188</f>
        <v>0</v>
      </c>
      <c r="BZ188" s="126">
        <f t="shared" ref="BZ188:BZ219" si="39">AF188+AJ188+AN188+AR188+AV188+AZ188+BD188+BH188+BL188+BP188+BT188</f>
        <v>0</v>
      </c>
      <c r="CA188" s="126">
        <f t="shared" ref="CA188:CA219" si="40">AG188+AK188+AO188+AS188+AW188+BA188+BE188+BI188+BM188+BQ188+BU188</f>
        <v>0</v>
      </c>
      <c r="CB188" s="127">
        <f t="shared" ref="CB188:CB219" si="41">AH188+AL188+AP188+AT188+AX188+BB188+BF188+BJ188+BN188+BR188+BV188</f>
        <v>0</v>
      </c>
      <c r="CC188" s="768"/>
    </row>
    <row r="189" spans="1:84" s="230" customFormat="1" ht="16.7" customHeight="1" outlineLevel="5" x14ac:dyDescent="0.25">
      <c r="A189" s="215"/>
      <c r="B189" s="215"/>
      <c r="C189" s="216"/>
      <c r="D189" s="216"/>
      <c r="E189" s="216"/>
      <c r="F189" s="216"/>
      <c r="G189" s="216"/>
      <c r="H189" s="216"/>
      <c r="I189" s="216"/>
      <c r="J189" s="215"/>
      <c r="K189" s="217"/>
      <c r="L189" s="216"/>
      <c r="M189" s="215"/>
      <c r="N189" s="215"/>
      <c r="O189" s="215"/>
      <c r="P189" s="215"/>
      <c r="Q189" s="215"/>
      <c r="R189" s="215"/>
      <c r="S189" s="215"/>
      <c r="T189" s="215"/>
      <c r="U189" s="215"/>
      <c r="V189" s="215"/>
      <c r="W189" s="215"/>
      <c r="X189" s="215"/>
      <c r="Y189" s="215"/>
      <c r="Z189" s="215"/>
      <c r="AA189" s="215"/>
      <c r="AB189" s="218"/>
      <c r="AC189" s="219" t="s">
        <v>263</v>
      </c>
      <c r="AD189" s="220" t="s">
        <v>247</v>
      </c>
      <c r="AE189" s="221">
        <v>629.04999999999995</v>
      </c>
      <c r="AF189" s="222">
        <v>629.04999999999995</v>
      </c>
      <c r="AG189" s="222">
        <v>629.04999999999995</v>
      </c>
      <c r="AH189" s="223"/>
      <c r="AI189" s="228"/>
      <c r="AJ189" s="225"/>
      <c r="AK189" s="225"/>
      <c r="AL189" s="227"/>
      <c r="AM189" s="224"/>
      <c r="AN189" s="225"/>
      <c r="AO189" s="225"/>
      <c r="AP189" s="226"/>
      <c r="AQ189" s="228"/>
      <c r="AR189" s="225"/>
      <c r="AS189" s="225"/>
      <c r="AT189" s="227"/>
      <c r="AU189" s="224"/>
      <c r="AV189" s="225"/>
      <c r="AW189" s="225"/>
      <c r="AX189" s="227"/>
      <c r="AY189" s="224"/>
      <c r="AZ189" s="225"/>
      <c r="BA189" s="225"/>
      <c r="BB189" s="227"/>
      <c r="BC189" s="224"/>
      <c r="BD189" s="225"/>
      <c r="BE189" s="225"/>
      <c r="BF189" s="236"/>
      <c r="BG189" s="224"/>
      <c r="BH189" s="225"/>
      <c r="BI189" s="225"/>
      <c r="BJ189" s="227"/>
      <c r="BK189" s="224"/>
      <c r="BL189" s="225"/>
      <c r="BM189" s="225"/>
      <c r="BN189" s="227"/>
      <c r="BO189" s="224"/>
      <c r="BP189" s="225"/>
      <c r="BQ189" s="225"/>
      <c r="BR189" s="226"/>
      <c r="BS189" s="224"/>
      <c r="BT189" s="225"/>
      <c r="BU189" s="225"/>
      <c r="BV189" s="226"/>
      <c r="BW189" s="229"/>
      <c r="BX189" s="215"/>
      <c r="BY189" s="125">
        <f t="shared" si="38"/>
        <v>629.04999999999995</v>
      </c>
      <c r="BZ189" s="126">
        <f t="shared" si="39"/>
        <v>629.04999999999995</v>
      </c>
      <c r="CA189" s="126">
        <f t="shared" si="40"/>
        <v>629.04999999999995</v>
      </c>
      <c r="CB189" s="127">
        <f t="shared" si="41"/>
        <v>0</v>
      </c>
      <c r="CC189" s="768"/>
    </row>
    <row r="190" spans="1:84" s="230" customFormat="1" ht="16.7" customHeight="1" outlineLevel="5" x14ac:dyDescent="0.25">
      <c r="A190" s="215"/>
      <c r="B190" s="215"/>
      <c r="C190" s="216"/>
      <c r="D190" s="216"/>
      <c r="E190" s="216"/>
      <c r="F190" s="216"/>
      <c r="G190" s="216"/>
      <c r="H190" s="216"/>
      <c r="I190" s="216"/>
      <c r="J190" s="215"/>
      <c r="K190" s="217"/>
      <c r="L190" s="216"/>
      <c r="M190" s="215"/>
      <c r="N190" s="215"/>
      <c r="O190" s="215"/>
      <c r="P190" s="215"/>
      <c r="Q190" s="215"/>
      <c r="R190" s="215"/>
      <c r="S190" s="215"/>
      <c r="T190" s="215"/>
      <c r="U190" s="215"/>
      <c r="V190" s="215"/>
      <c r="W190" s="215"/>
      <c r="X190" s="215"/>
      <c r="Y190" s="215"/>
      <c r="Z190" s="215"/>
      <c r="AA190" s="215"/>
      <c r="AB190" s="218"/>
      <c r="AC190" s="219" t="s">
        <v>264</v>
      </c>
      <c r="AD190" s="220" t="s">
        <v>247</v>
      </c>
      <c r="AE190" s="221">
        <v>8295.9</v>
      </c>
      <c r="AF190" s="222">
        <v>3630.16</v>
      </c>
      <c r="AG190" s="222">
        <v>4457.9399999999996</v>
      </c>
      <c r="AH190" s="223"/>
      <c r="AI190" s="228"/>
      <c r="AJ190" s="225"/>
      <c r="AK190" s="225"/>
      <c r="AL190" s="227"/>
      <c r="AM190" s="224"/>
      <c r="AN190" s="225"/>
      <c r="AO190" s="225"/>
      <c r="AP190" s="226"/>
      <c r="AQ190" s="228"/>
      <c r="AR190" s="225"/>
      <c r="AS190" s="225"/>
      <c r="AT190" s="227"/>
      <c r="AU190" s="224"/>
      <c r="AV190" s="225"/>
      <c r="AW190" s="225"/>
      <c r="AX190" s="227"/>
      <c r="AY190" s="224"/>
      <c r="AZ190" s="225"/>
      <c r="BA190" s="225"/>
      <c r="BB190" s="227"/>
      <c r="BC190" s="224"/>
      <c r="BD190" s="225"/>
      <c r="BE190" s="225"/>
      <c r="BF190" s="236"/>
      <c r="BG190" s="224"/>
      <c r="BH190" s="225"/>
      <c r="BI190" s="225"/>
      <c r="BJ190" s="227"/>
      <c r="BK190" s="224"/>
      <c r="BL190" s="225"/>
      <c r="BM190" s="225"/>
      <c r="BN190" s="227"/>
      <c r="BO190" s="224"/>
      <c r="BP190" s="225"/>
      <c r="BQ190" s="225"/>
      <c r="BR190" s="226"/>
      <c r="BS190" s="224"/>
      <c r="BT190" s="225"/>
      <c r="BU190" s="225"/>
      <c r="BV190" s="226"/>
      <c r="BW190" s="229"/>
      <c r="BX190" s="215"/>
      <c r="BY190" s="125">
        <f t="shared" si="38"/>
        <v>8295.9</v>
      </c>
      <c r="BZ190" s="126">
        <f t="shared" si="39"/>
        <v>3630.16</v>
      </c>
      <c r="CA190" s="126">
        <f t="shared" si="40"/>
        <v>4457.9399999999996</v>
      </c>
      <c r="CB190" s="127">
        <f t="shared" si="41"/>
        <v>0</v>
      </c>
      <c r="CC190" s="768"/>
    </row>
    <row r="191" spans="1:84" s="230" customFormat="1" ht="16.7" customHeight="1" outlineLevel="5" x14ac:dyDescent="0.25">
      <c r="A191" s="215"/>
      <c r="B191" s="215"/>
      <c r="C191" s="216"/>
      <c r="D191" s="216"/>
      <c r="E191" s="216"/>
      <c r="F191" s="216"/>
      <c r="G191" s="216"/>
      <c r="H191" s="216"/>
      <c r="I191" s="216"/>
      <c r="J191" s="215"/>
      <c r="K191" s="217"/>
      <c r="L191" s="216"/>
      <c r="M191" s="215"/>
      <c r="N191" s="215"/>
      <c r="O191" s="215"/>
      <c r="P191" s="215"/>
      <c r="Q191" s="215"/>
      <c r="R191" s="215"/>
      <c r="S191" s="215"/>
      <c r="T191" s="215"/>
      <c r="U191" s="215"/>
      <c r="V191" s="215"/>
      <c r="W191" s="215"/>
      <c r="X191" s="215"/>
      <c r="Y191" s="215"/>
      <c r="Z191" s="215"/>
      <c r="AA191" s="215"/>
      <c r="AB191" s="218"/>
      <c r="AC191" s="219" t="s">
        <v>265</v>
      </c>
      <c r="AD191" s="220" t="s">
        <v>247</v>
      </c>
      <c r="AE191" s="221">
        <v>65.37</v>
      </c>
      <c r="AF191" s="222">
        <v>65.37</v>
      </c>
      <c r="AG191" s="222">
        <v>65.37</v>
      </c>
      <c r="AH191" s="223"/>
      <c r="AI191" s="228"/>
      <c r="AJ191" s="225"/>
      <c r="AK191" s="225"/>
      <c r="AL191" s="227"/>
      <c r="AM191" s="224"/>
      <c r="AN191" s="225"/>
      <c r="AO191" s="225"/>
      <c r="AP191" s="226"/>
      <c r="AQ191" s="228"/>
      <c r="AR191" s="225"/>
      <c r="AS191" s="225"/>
      <c r="AT191" s="227"/>
      <c r="AU191" s="224"/>
      <c r="AV191" s="225"/>
      <c r="AW191" s="225"/>
      <c r="AX191" s="227"/>
      <c r="AY191" s="224"/>
      <c r="AZ191" s="225"/>
      <c r="BA191" s="225"/>
      <c r="BB191" s="227"/>
      <c r="BC191" s="224"/>
      <c r="BD191" s="225"/>
      <c r="BE191" s="225"/>
      <c r="BF191" s="236"/>
      <c r="BG191" s="224"/>
      <c r="BH191" s="225"/>
      <c r="BI191" s="225"/>
      <c r="BJ191" s="227"/>
      <c r="BK191" s="224"/>
      <c r="BL191" s="225"/>
      <c r="BM191" s="225"/>
      <c r="BN191" s="227"/>
      <c r="BO191" s="224"/>
      <c r="BP191" s="225"/>
      <c r="BQ191" s="225"/>
      <c r="BR191" s="226"/>
      <c r="BS191" s="224"/>
      <c r="BT191" s="225"/>
      <c r="BU191" s="225"/>
      <c r="BV191" s="226"/>
      <c r="BW191" s="229"/>
      <c r="BX191" s="215"/>
      <c r="BY191" s="125">
        <f t="shared" si="38"/>
        <v>65.37</v>
      </c>
      <c r="BZ191" s="126">
        <f t="shared" si="39"/>
        <v>65.37</v>
      </c>
      <c r="CA191" s="126">
        <f t="shared" si="40"/>
        <v>65.37</v>
      </c>
      <c r="CB191" s="127">
        <f t="shared" si="41"/>
        <v>0</v>
      </c>
      <c r="CC191" s="768"/>
    </row>
    <row r="192" spans="1:84" s="214" customFormat="1" ht="16.7" customHeight="1" outlineLevel="4" x14ac:dyDescent="0.25">
      <c r="A192" s="10" t="b">
        <f>SETTING_OTHER_STRAIGHT="да"</f>
        <v>1</v>
      </c>
      <c r="B192" s="5"/>
      <c r="C192" s="10" t="s">
        <v>83</v>
      </c>
      <c r="D192" s="10" t="s">
        <v>84</v>
      </c>
      <c r="E192" s="10" t="s">
        <v>73</v>
      </c>
      <c r="F192" s="10" t="s">
        <v>74</v>
      </c>
      <c r="G192" s="10" t="str">
        <f>IF('[1]Общие настройки'!$M$13="Oracle","Прочие прямые расходы","Другие производственные расходы")</f>
        <v>Другие производственные расходы</v>
      </c>
      <c r="H192" s="10" t="s">
        <v>73</v>
      </c>
      <c r="I192" s="10" t="s">
        <v>73</v>
      </c>
      <c r="J192" s="5"/>
      <c r="K192" s="12" t="s">
        <v>73</v>
      </c>
      <c r="L192" s="10" t="s">
        <v>192</v>
      </c>
      <c r="M192" s="5" t="str">
        <f t="array" ref="M192">Y95</f>
        <v>1ХВС::1.1</v>
      </c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65" t="str">
        <f>AB165&amp;".8"</f>
        <v>3.1.1.1.6.8</v>
      </c>
      <c r="AC192" s="231" t="s">
        <v>266</v>
      </c>
      <c r="AD192" s="51" t="s">
        <v>111</v>
      </c>
      <c r="AE192" s="72">
        <f>SUM(AE193:AE244)</f>
        <v>79483.570000000007</v>
      </c>
      <c r="AF192" s="73">
        <f>SUM(AF193:AF244)</f>
        <v>27095.23</v>
      </c>
      <c r="AG192" s="73">
        <f>SUM(AG193:AG244)</f>
        <v>84377.59</v>
      </c>
      <c r="AH192" s="74">
        <v>61666.25</v>
      </c>
      <c r="AI192" s="179">
        <f>SUM(AI193:AI244)</f>
        <v>1628.2470000000001</v>
      </c>
      <c r="AJ192" s="73">
        <f>SUM(AJ193:AJ244)</f>
        <v>664.31</v>
      </c>
      <c r="AK192" s="73">
        <f>SUM(AK193:AK244)</f>
        <v>2894.1979999999999</v>
      </c>
      <c r="AL192" s="138"/>
      <c r="AM192" s="72">
        <f>SUM(AM193:AM244)</f>
        <v>2763.43</v>
      </c>
      <c r="AN192" s="73">
        <f>SUM(AN193:AN244)</f>
        <v>1956.08</v>
      </c>
      <c r="AO192" s="73">
        <f>SUM(AO193:AO244)</f>
        <v>5110.43</v>
      </c>
      <c r="AP192" s="74"/>
      <c r="AQ192" s="179">
        <f t="shared" ref="AQ192:BA192" si="42">SUM(AQ193:AQ244)</f>
        <v>3769.5099999999998</v>
      </c>
      <c r="AR192" s="73">
        <f t="shared" si="42"/>
        <v>905.87399999999991</v>
      </c>
      <c r="AS192" s="73">
        <f t="shared" si="42"/>
        <v>5571.8000000000011</v>
      </c>
      <c r="AT192" s="138">
        <f t="shared" si="42"/>
        <v>60.49</v>
      </c>
      <c r="AU192" s="72">
        <f t="shared" si="42"/>
        <v>1958.84</v>
      </c>
      <c r="AV192" s="73">
        <f t="shared" si="42"/>
        <v>1.72</v>
      </c>
      <c r="AW192" s="73">
        <f t="shared" si="42"/>
        <v>3481.2000000000003</v>
      </c>
      <c r="AX192" s="138">
        <f t="shared" si="42"/>
        <v>46.3</v>
      </c>
      <c r="AY192" s="72">
        <f t="shared" si="42"/>
        <v>2277.2900000000004</v>
      </c>
      <c r="AZ192" s="73">
        <f t="shared" si="42"/>
        <v>0</v>
      </c>
      <c r="BA192" s="73">
        <f t="shared" si="42"/>
        <v>4160.6000000000004</v>
      </c>
      <c r="BB192" s="138"/>
      <c r="BC192" s="72">
        <f t="shared" ref="BC192:BM192" si="43">SUM(BC193:BC244)</f>
        <v>4950.4760000000006</v>
      </c>
      <c r="BD192" s="73">
        <f t="shared" si="43"/>
        <v>0</v>
      </c>
      <c r="BE192" s="73">
        <f t="shared" si="43"/>
        <v>7961.9229999999989</v>
      </c>
      <c r="BF192" s="774">
        <f t="shared" si="43"/>
        <v>147.95499999999998</v>
      </c>
      <c r="BG192" s="72">
        <f t="shared" si="43"/>
        <v>8684.1319999999996</v>
      </c>
      <c r="BH192" s="73">
        <f t="shared" si="43"/>
        <v>1298.3199999999997</v>
      </c>
      <c r="BI192" s="73">
        <f t="shared" si="43"/>
        <v>5281.6639999999989</v>
      </c>
      <c r="BJ192" s="138">
        <f>SUM(BJ193:BJ244)</f>
        <v>1350.8759935999999</v>
      </c>
      <c r="BK192" s="72">
        <f t="shared" si="43"/>
        <v>6177.5299999999988</v>
      </c>
      <c r="BL192" s="73">
        <f t="shared" si="43"/>
        <v>59.28</v>
      </c>
      <c r="BM192" s="73">
        <f t="shared" si="43"/>
        <v>6735.28</v>
      </c>
      <c r="BN192" s="138"/>
      <c r="BO192" s="72">
        <f t="shared" ref="BO192:BV192" si="44">SUM(BO193:BO244)</f>
        <v>3963.1400000000003</v>
      </c>
      <c r="BP192" s="73">
        <f t="shared" si="44"/>
        <v>858.76</v>
      </c>
      <c r="BQ192" s="73">
        <f t="shared" si="44"/>
        <v>4652.04</v>
      </c>
      <c r="BR192" s="74">
        <f t="shared" si="44"/>
        <v>42.75</v>
      </c>
      <c r="BS192" s="72">
        <f t="shared" si="44"/>
        <v>939.45</v>
      </c>
      <c r="BT192" s="73">
        <f t="shared" si="44"/>
        <v>75.62</v>
      </c>
      <c r="BU192" s="73">
        <f t="shared" si="44"/>
        <v>1178.8800000000001</v>
      </c>
      <c r="BV192" s="74">
        <f t="shared" si="44"/>
        <v>56.71</v>
      </c>
      <c r="BW192" s="6"/>
      <c r="BX192" s="5"/>
      <c r="BY192" s="125">
        <f t="shared" si="38"/>
        <v>116595.61499999998</v>
      </c>
      <c r="BZ192" s="126">
        <f t="shared" si="39"/>
        <v>32915.194000000003</v>
      </c>
      <c r="CA192" s="126">
        <f t="shared" si="40"/>
        <v>131405.60499999998</v>
      </c>
      <c r="CB192" s="127">
        <f t="shared" si="41"/>
        <v>63371.330993600001</v>
      </c>
      <c r="CC192" s="1023"/>
      <c r="CD192" s="1028"/>
      <c r="CE192" s="1029"/>
      <c r="CF192" s="1029"/>
    </row>
    <row r="193" spans="1:81" s="230" customFormat="1" ht="16.7" customHeight="1" outlineLevel="5" x14ac:dyDescent="0.25">
      <c r="A193" s="216"/>
      <c r="B193" s="215"/>
      <c r="C193" s="216"/>
      <c r="D193" s="216"/>
      <c r="E193" s="216"/>
      <c r="F193" s="216"/>
      <c r="G193" s="216"/>
      <c r="H193" s="216"/>
      <c r="I193" s="216"/>
      <c r="J193" s="215"/>
      <c r="K193" s="217"/>
      <c r="L193" s="216"/>
      <c r="M193" s="215"/>
      <c r="N193" s="215"/>
      <c r="O193" s="215"/>
      <c r="P193" s="215"/>
      <c r="Q193" s="215"/>
      <c r="R193" s="215"/>
      <c r="S193" s="215"/>
      <c r="T193" s="215"/>
      <c r="U193" s="215"/>
      <c r="V193" s="215"/>
      <c r="W193" s="215"/>
      <c r="X193" s="215"/>
      <c r="Y193" s="215"/>
      <c r="Z193" s="215"/>
      <c r="AA193" s="215"/>
      <c r="AB193" s="232"/>
      <c r="AC193" s="219" t="s">
        <v>267</v>
      </c>
      <c r="AD193" s="220" t="s">
        <v>247</v>
      </c>
      <c r="AE193" s="221">
        <v>1058.1199999999999</v>
      </c>
      <c r="AF193" s="233">
        <v>142.53</v>
      </c>
      <c r="AG193" s="233">
        <v>1534.16</v>
      </c>
      <c r="AH193" s="234">
        <v>160</v>
      </c>
      <c r="AI193" s="1049">
        <v>11.44</v>
      </c>
      <c r="AJ193" s="225"/>
      <c r="AK193" s="225">
        <v>27.92</v>
      </c>
      <c r="AL193" s="227"/>
      <c r="AM193" s="224">
        <v>36.01</v>
      </c>
      <c r="AN193" s="225">
        <v>35</v>
      </c>
      <c r="AO193" s="225">
        <v>114.48</v>
      </c>
      <c r="AP193" s="226"/>
      <c r="AQ193" s="228">
        <v>66.36</v>
      </c>
      <c r="AR193" s="225">
        <f>58.04+102.36</f>
        <v>160.4</v>
      </c>
      <c r="AS193" s="225">
        <v>102.37</v>
      </c>
      <c r="AT193" s="227"/>
      <c r="AU193" s="224">
        <v>23.4</v>
      </c>
      <c r="AV193" s="225"/>
      <c r="AW193" s="225">
        <v>38.92</v>
      </c>
      <c r="AX193" s="227">
        <v>46.3</v>
      </c>
      <c r="AY193" s="224">
        <v>60.32</v>
      </c>
      <c r="AZ193" s="225"/>
      <c r="BA193" s="225">
        <v>86.43</v>
      </c>
      <c r="BB193" s="227"/>
      <c r="BC193" s="224">
        <f>8.819+192.524</f>
        <v>201.34299999999999</v>
      </c>
      <c r="BD193" s="225"/>
      <c r="BE193" s="225">
        <f>9.703+281.859</f>
        <v>291.56199999999995</v>
      </c>
      <c r="BF193" s="236"/>
      <c r="BG193" s="224"/>
      <c r="BH193" s="225">
        <v>1086.58</v>
      </c>
      <c r="BI193" s="770">
        <v>197.78299999999999</v>
      </c>
      <c r="BJ193" s="236">
        <f>BH193*1.04048</f>
        <v>1130.5647584000001</v>
      </c>
      <c r="BK193" s="224">
        <v>124.18</v>
      </c>
      <c r="BL193" s="225"/>
      <c r="BM193" s="225">
        <v>204.29</v>
      </c>
      <c r="BN193" s="227"/>
      <c r="BO193" s="240">
        <v>14.28</v>
      </c>
      <c r="BP193" s="238"/>
      <c r="BQ193" s="238">
        <v>67.989999999999995</v>
      </c>
      <c r="BR193" s="241"/>
      <c r="BS193" s="240">
        <v>15.45</v>
      </c>
      <c r="BT193" s="238"/>
      <c r="BU193" s="238">
        <v>87.58</v>
      </c>
      <c r="BV193" s="241"/>
      <c r="BW193" s="229"/>
      <c r="BX193" s="215"/>
      <c r="BY193" s="125">
        <f t="shared" si="38"/>
        <v>1610.903</v>
      </c>
      <c r="BZ193" s="126">
        <f t="shared" si="39"/>
        <v>1424.51</v>
      </c>
      <c r="CA193" s="126">
        <f t="shared" si="40"/>
        <v>2753.4850000000001</v>
      </c>
      <c r="CB193" s="127">
        <f t="shared" si="41"/>
        <v>1336.8647584</v>
      </c>
      <c r="CC193" s="768"/>
    </row>
    <row r="194" spans="1:81" s="230" customFormat="1" ht="16.7" customHeight="1" outlineLevel="5" x14ac:dyDescent="0.25">
      <c r="A194" s="216"/>
      <c r="B194" s="215"/>
      <c r="C194" s="216"/>
      <c r="D194" s="216"/>
      <c r="E194" s="216"/>
      <c r="F194" s="216"/>
      <c r="G194" s="216"/>
      <c r="H194" s="216"/>
      <c r="I194" s="216"/>
      <c r="J194" s="215"/>
      <c r="K194" s="217"/>
      <c r="L194" s="216"/>
      <c r="M194" s="215"/>
      <c r="N194" s="215"/>
      <c r="O194" s="215"/>
      <c r="P194" s="215"/>
      <c r="Q194" s="215"/>
      <c r="R194" s="215"/>
      <c r="S194" s="215"/>
      <c r="T194" s="215"/>
      <c r="U194" s="215"/>
      <c r="V194" s="215"/>
      <c r="W194" s="215"/>
      <c r="X194" s="215"/>
      <c r="Y194" s="215"/>
      <c r="Z194" s="215"/>
      <c r="AA194" s="215"/>
      <c r="AB194" s="232"/>
      <c r="AC194" s="219" t="s">
        <v>268</v>
      </c>
      <c r="AD194" s="220" t="s">
        <v>247</v>
      </c>
      <c r="AE194" s="221">
        <v>4744.63</v>
      </c>
      <c r="AF194" s="233">
        <v>2850</v>
      </c>
      <c r="AG194" s="233">
        <v>5430.25</v>
      </c>
      <c r="AH194" s="234">
        <v>4000</v>
      </c>
      <c r="AI194" s="228">
        <v>53.33</v>
      </c>
      <c r="AJ194" s="225"/>
      <c r="AK194" s="225">
        <v>58.42</v>
      </c>
      <c r="AL194" s="227"/>
      <c r="AM194" s="224">
        <v>235.81</v>
      </c>
      <c r="AN194" s="225">
        <f>38+88.28</f>
        <v>126.28</v>
      </c>
      <c r="AO194" s="225">
        <v>259.47000000000003</v>
      </c>
      <c r="AP194" s="226"/>
      <c r="AQ194" s="228">
        <v>270.58999999999997</v>
      </c>
      <c r="AR194" s="225"/>
      <c r="AS194" s="225">
        <v>472.85</v>
      </c>
      <c r="AT194" s="227"/>
      <c r="AU194" s="224">
        <v>40.72</v>
      </c>
      <c r="AV194" s="225"/>
      <c r="AW194" s="225">
        <v>44.8</v>
      </c>
      <c r="AX194" s="227"/>
      <c r="AY194" s="224">
        <v>157.88999999999999</v>
      </c>
      <c r="AZ194" s="225"/>
      <c r="BA194" s="225">
        <v>173.73</v>
      </c>
      <c r="BB194" s="227"/>
      <c r="BC194" s="224">
        <v>144.214</v>
      </c>
      <c r="BD194" s="225"/>
      <c r="BE194" s="225">
        <v>592.84500000000003</v>
      </c>
      <c r="BF194" s="236"/>
      <c r="BG194" s="224">
        <v>583.89300000000003</v>
      </c>
      <c r="BH194" s="225"/>
      <c r="BI194" s="770">
        <v>825.78</v>
      </c>
      <c r="BJ194" s="236"/>
      <c r="BK194" s="224">
        <v>526.29</v>
      </c>
      <c r="BL194" s="225"/>
      <c r="BM194" s="225">
        <v>772.42</v>
      </c>
      <c r="BN194" s="227"/>
      <c r="BO194" s="240">
        <v>97.24</v>
      </c>
      <c r="BP194" s="238">
        <v>17.72</v>
      </c>
      <c r="BQ194" s="238">
        <v>132.59</v>
      </c>
      <c r="BR194" s="241">
        <f>43.1-0.35</f>
        <v>42.75</v>
      </c>
      <c r="BS194" s="240">
        <v>91.87</v>
      </c>
      <c r="BT194" s="238"/>
      <c r="BU194" s="238">
        <v>214.51</v>
      </c>
      <c r="BV194" s="241">
        <v>56.71</v>
      </c>
      <c r="BW194" s="229"/>
      <c r="BX194" s="215"/>
      <c r="BY194" s="125">
        <f t="shared" si="38"/>
        <v>6946.4770000000008</v>
      </c>
      <c r="BZ194" s="126">
        <f t="shared" si="39"/>
        <v>2994</v>
      </c>
      <c r="CA194" s="126">
        <f t="shared" si="40"/>
        <v>8977.6650000000009</v>
      </c>
      <c r="CB194" s="127">
        <f t="shared" si="41"/>
        <v>4099.46</v>
      </c>
      <c r="CC194" s="768"/>
    </row>
    <row r="195" spans="1:81" s="230" customFormat="1" ht="16.7" customHeight="1" outlineLevel="5" x14ac:dyDescent="0.25">
      <c r="A195" s="216"/>
      <c r="B195" s="215"/>
      <c r="C195" s="216"/>
      <c r="D195" s="216"/>
      <c r="E195" s="216"/>
      <c r="F195" s="216"/>
      <c r="G195" s="216"/>
      <c r="H195" s="216"/>
      <c r="I195" s="216"/>
      <c r="J195" s="215"/>
      <c r="K195" s="217"/>
      <c r="L195" s="216"/>
      <c r="M195" s="215"/>
      <c r="N195" s="215"/>
      <c r="O195" s="215"/>
      <c r="P195" s="215"/>
      <c r="Q195" s="215"/>
      <c r="R195" s="215"/>
      <c r="S195" s="215"/>
      <c r="T195" s="215"/>
      <c r="U195" s="215"/>
      <c r="V195" s="215"/>
      <c r="W195" s="215"/>
      <c r="X195" s="215"/>
      <c r="Y195" s="215"/>
      <c r="Z195" s="215"/>
      <c r="AA195" s="215"/>
      <c r="AB195" s="232"/>
      <c r="AC195" s="219" t="s">
        <v>269</v>
      </c>
      <c r="AD195" s="220" t="s">
        <v>247</v>
      </c>
      <c r="AE195" s="221"/>
      <c r="AF195" s="233"/>
      <c r="AG195" s="233"/>
      <c r="AH195" s="234"/>
      <c r="AI195" s="640"/>
      <c r="AJ195" s="225"/>
      <c r="AK195" s="225"/>
      <c r="AL195" s="227"/>
      <c r="AM195" s="224"/>
      <c r="AN195" s="225"/>
      <c r="AO195" s="225"/>
      <c r="AP195" s="226"/>
      <c r="AQ195" s="228"/>
      <c r="AR195" s="225">
        <v>12.45</v>
      </c>
      <c r="AS195" s="225"/>
      <c r="AT195" s="227"/>
      <c r="AU195" s="190"/>
      <c r="AV195" s="225"/>
      <c r="AW195" s="225"/>
      <c r="AX195" s="227"/>
      <c r="AY195" s="190"/>
      <c r="AZ195" s="225"/>
      <c r="BA195" s="225"/>
      <c r="BB195" s="227"/>
      <c r="BC195" s="224">
        <v>19.260000000000002</v>
      </c>
      <c r="BD195" s="225"/>
      <c r="BE195" s="225">
        <v>21.192</v>
      </c>
      <c r="BF195" s="236"/>
      <c r="BG195" s="224">
        <v>9.6300000000000008</v>
      </c>
      <c r="BH195" s="225"/>
      <c r="BI195" s="770">
        <v>10.596</v>
      </c>
      <c r="BJ195" s="236"/>
      <c r="BK195" s="190"/>
      <c r="BL195" s="225"/>
      <c r="BM195" s="225"/>
      <c r="BN195" s="227"/>
      <c r="BO195" s="240">
        <v>9.6300000000000008</v>
      </c>
      <c r="BP195" s="238">
        <v>1.1299999999999999</v>
      </c>
      <c r="BQ195" s="238">
        <v>10.6</v>
      </c>
      <c r="BR195" s="241"/>
      <c r="BS195" s="240"/>
      <c r="BT195" s="238"/>
      <c r="BU195" s="238"/>
      <c r="BV195" s="241"/>
      <c r="BW195" s="229"/>
      <c r="BX195" s="215"/>
      <c r="BY195" s="125">
        <f t="shared" si="38"/>
        <v>38.520000000000003</v>
      </c>
      <c r="BZ195" s="126">
        <f t="shared" si="39"/>
        <v>13.579999999999998</v>
      </c>
      <c r="CA195" s="126">
        <f t="shared" si="40"/>
        <v>42.387999999999998</v>
      </c>
      <c r="CB195" s="127">
        <f t="shared" si="41"/>
        <v>0</v>
      </c>
      <c r="CC195" s="768"/>
    </row>
    <row r="196" spans="1:81" s="230" customFormat="1" ht="16.7" customHeight="1" outlineLevel="5" x14ac:dyDescent="0.25">
      <c r="A196" s="216"/>
      <c r="B196" s="215"/>
      <c r="C196" s="216"/>
      <c r="D196" s="216"/>
      <c r="E196" s="216"/>
      <c r="F196" s="216"/>
      <c r="G196" s="216"/>
      <c r="H196" s="216"/>
      <c r="I196" s="216"/>
      <c r="J196" s="215"/>
      <c r="K196" s="217"/>
      <c r="L196" s="216"/>
      <c r="M196" s="215"/>
      <c r="N196" s="215"/>
      <c r="O196" s="215"/>
      <c r="P196" s="215"/>
      <c r="Q196" s="215"/>
      <c r="R196" s="215"/>
      <c r="S196" s="215"/>
      <c r="T196" s="215"/>
      <c r="U196" s="215"/>
      <c r="V196" s="215"/>
      <c r="W196" s="215"/>
      <c r="X196" s="215"/>
      <c r="Y196" s="215"/>
      <c r="Z196" s="215"/>
      <c r="AA196" s="215"/>
      <c r="AB196" s="232"/>
      <c r="AC196" s="219" t="s">
        <v>270</v>
      </c>
      <c r="AD196" s="220" t="s">
        <v>247</v>
      </c>
      <c r="AE196" s="221">
        <v>721.72</v>
      </c>
      <c r="AF196" s="233">
        <v>580</v>
      </c>
      <c r="AG196" s="233">
        <v>780.61</v>
      </c>
      <c r="AH196" s="234">
        <v>780</v>
      </c>
      <c r="AI196" s="640"/>
      <c r="AJ196" s="225"/>
      <c r="AK196" s="225"/>
      <c r="AL196" s="227"/>
      <c r="AM196" s="190"/>
      <c r="AN196" s="225"/>
      <c r="AO196" s="225"/>
      <c r="AP196" s="226"/>
      <c r="AQ196" s="640"/>
      <c r="AR196" s="225"/>
      <c r="AS196" s="225"/>
      <c r="AT196" s="227"/>
      <c r="AU196" s="190"/>
      <c r="AV196" s="225"/>
      <c r="AW196" s="225"/>
      <c r="AX196" s="227"/>
      <c r="AY196" s="190"/>
      <c r="AZ196" s="225"/>
      <c r="BA196" s="225"/>
      <c r="BB196" s="227"/>
      <c r="BC196" s="190"/>
      <c r="BD196" s="225"/>
      <c r="BE196" s="225"/>
      <c r="BF196" s="236"/>
      <c r="BG196" s="190"/>
      <c r="BH196" s="225"/>
      <c r="BI196" s="225"/>
      <c r="BJ196" s="227"/>
      <c r="BK196" s="190"/>
      <c r="BL196" s="225"/>
      <c r="BM196" s="225"/>
      <c r="BN196" s="227"/>
      <c r="BO196" s="197"/>
      <c r="BP196" s="238"/>
      <c r="BQ196" s="238"/>
      <c r="BR196" s="241"/>
      <c r="BS196" s="240"/>
      <c r="BT196" s="238"/>
      <c r="BU196" s="238"/>
      <c r="BV196" s="241"/>
      <c r="BW196" s="229"/>
      <c r="BX196" s="215"/>
      <c r="BY196" s="125">
        <f t="shared" si="38"/>
        <v>721.72</v>
      </c>
      <c r="BZ196" s="126">
        <f t="shared" si="39"/>
        <v>580</v>
      </c>
      <c r="CA196" s="126">
        <f t="shared" si="40"/>
        <v>780.61</v>
      </c>
      <c r="CB196" s="127">
        <f t="shared" si="41"/>
        <v>780</v>
      </c>
      <c r="CC196" s="768"/>
    </row>
    <row r="197" spans="1:81" s="246" customFormat="1" ht="16.7" customHeight="1" outlineLevel="5" x14ac:dyDescent="0.25">
      <c r="A197" s="242"/>
      <c r="B197" s="229"/>
      <c r="C197" s="242"/>
      <c r="D197" s="242"/>
      <c r="E197" s="242"/>
      <c r="F197" s="242"/>
      <c r="G197" s="242"/>
      <c r="H197" s="242"/>
      <c r="I197" s="242"/>
      <c r="J197" s="229"/>
      <c r="K197" s="243"/>
      <c r="L197" s="242"/>
      <c r="M197" s="229"/>
      <c r="N197" s="229"/>
      <c r="O197" s="229"/>
      <c r="P197" s="229"/>
      <c r="Q197" s="229"/>
      <c r="R197" s="229"/>
      <c r="S197" s="229"/>
      <c r="T197" s="229"/>
      <c r="U197" s="229"/>
      <c r="V197" s="229"/>
      <c r="W197" s="229"/>
      <c r="X197" s="229"/>
      <c r="Y197" s="229"/>
      <c r="Z197" s="229"/>
      <c r="AA197" s="229"/>
      <c r="AB197" s="232"/>
      <c r="AC197" s="219" t="s">
        <v>271</v>
      </c>
      <c r="AD197" s="220" t="s">
        <v>247</v>
      </c>
      <c r="AE197" s="221">
        <v>8790.31</v>
      </c>
      <c r="AF197" s="233">
        <v>1020</v>
      </c>
      <c r="AG197" s="233">
        <v>0</v>
      </c>
      <c r="AH197" s="234">
        <v>1200</v>
      </c>
      <c r="AI197" s="640"/>
      <c r="AJ197" s="225"/>
      <c r="AK197" s="225"/>
      <c r="AL197" s="227"/>
      <c r="AM197" s="190"/>
      <c r="AN197" s="225">
        <v>85.82</v>
      </c>
      <c r="AO197" s="225"/>
      <c r="AP197" s="226"/>
      <c r="AQ197" s="640"/>
      <c r="AR197" s="225">
        <v>21.1</v>
      </c>
      <c r="AS197" s="225"/>
      <c r="AT197" s="227"/>
      <c r="AU197" s="190"/>
      <c r="AV197" s="225"/>
      <c r="AW197" s="225"/>
      <c r="AX197" s="227"/>
      <c r="AY197" s="224">
        <v>127.49</v>
      </c>
      <c r="AZ197" s="225"/>
      <c r="BA197" s="225">
        <v>140.28</v>
      </c>
      <c r="BB197" s="227"/>
      <c r="BC197" s="224">
        <v>130.82599999999999</v>
      </c>
      <c r="BD197" s="225"/>
      <c r="BE197" s="225">
        <v>161.60499999999999</v>
      </c>
      <c r="BF197" s="236"/>
      <c r="BG197" s="190"/>
      <c r="BH197" s="225"/>
      <c r="BI197" s="225"/>
      <c r="BJ197" s="227"/>
      <c r="BK197" s="235">
        <v>1122.4000000000001</v>
      </c>
      <c r="BL197" s="225"/>
      <c r="BM197" s="225">
        <f>1235+210.22</f>
        <v>1445.22</v>
      </c>
      <c r="BN197" s="227"/>
      <c r="BO197" s="245">
        <v>408.27</v>
      </c>
      <c r="BP197" s="238">
        <v>311.81</v>
      </c>
      <c r="BQ197" s="238">
        <v>449.23</v>
      </c>
      <c r="BR197" s="241"/>
      <c r="BS197" s="245">
        <v>180.28</v>
      </c>
      <c r="BT197" s="238"/>
      <c r="BU197" s="238">
        <v>198.36</v>
      </c>
      <c r="BV197" s="241"/>
      <c r="BW197" s="229"/>
      <c r="BX197" s="229"/>
      <c r="BY197" s="125">
        <f t="shared" si="38"/>
        <v>10759.575999999999</v>
      </c>
      <c r="BZ197" s="126">
        <f t="shared" si="39"/>
        <v>1438.7299999999998</v>
      </c>
      <c r="CA197" s="126">
        <f t="shared" si="40"/>
        <v>2394.6950000000002</v>
      </c>
      <c r="CB197" s="127">
        <f t="shared" si="41"/>
        <v>1200</v>
      </c>
      <c r="CC197" s="771"/>
    </row>
    <row r="198" spans="1:81" s="230" customFormat="1" ht="16.7" customHeight="1" outlineLevel="5" x14ac:dyDescent="0.25">
      <c r="A198" s="216"/>
      <c r="B198" s="215"/>
      <c r="C198" s="216"/>
      <c r="D198" s="216"/>
      <c r="E198" s="216"/>
      <c r="F198" s="216"/>
      <c r="G198" s="216"/>
      <c r="H198" s="216"/>
      <c r="I198" s="216"/>
      <c r="J198" s="215"/>
      <c r="K198" s="217"/>
      <c r="L198" s="216"/>
      <c r="M198" s="215"/>
      <c r="N198" s="215"/>
      <c r="O198" s="215"/>
      <c r="P198" s="215"/>
      <c r="Q198" s="215"/>
      <c r="R198" s="215"/>
      <c r="S198" s="215"/>
      <c r="T198" s="215"/>
      <c r="U198" s="215"/>
      <c r="V198" s="215"/>
      <c r="W198" s="215"/>
      <c r="X198" s="215"/>
      <c r="Y198" s="215"/>
      <c r="Z198" s="215"/>
      <c r="AA198" s="215"/>
      <c r="AB198" s="232"/>
      <c r="AC198" s="219" t="s">
        <v>272</v>
      </c>
      <c r="AD198" s="220" t="s">
        <v>247</v>
      </c>
      <c r="AE198" s="221">
        <v>31.5</v>
      </c>
      <c r="AF198" s="233">
        <v>4.72</v>
      </c>
      <c r="AG198" s="233">
        <v>34.4</v>
      </c>
      <c r="AH198" s="234">
        <v>34.4</v>
      </c>
      <c r="AI198" s="640"/>
      <c r="AJ198" s="225"/>
      <c r="AK198" s="225"/>
      <c r="AL198" s="227"/>
      <c r="AM198" s="190"/>
      <c r="AN198" s="225"/>
      <c r="AO198" s="225"/>
      <c r="AP198" s="226"/>
      <c r="AQ198" s="640"/>
      <c r="AR198" s="225"/>
      <c r="AS198" s="225"/>
      <c r="AT198" s="227"/>
      <c r="AU198" s="190"/>
      <c r="AV198" s="225"/>
      <c r="AW198" s="225"/>
      <c r="AX198" s="227"/>
      <c r="AY198" s="190"/>
      <c r="AZ198" s="225"/>
      <c r="BA198" s="225"/>
      <c r="BB198" s="227"/>
      <c r="BC198" s="190"/>
      <c r="BD198" s="225"/>
      <c r="BE198" s="225"/>
      <c r="BF198" s="236"/>
      <c r="BG198" s="190"/>
      <c r="BH198" s="225"/>
      <c r="BI198" s="225"/>
      <c r="BJ198" s="227"/>
      <c r="BK198" s="190"/>
      <c r="BL198" s="225"/>
      <c r="BM198" s="225"/>
      <c r="BN198" s="227"/>
      <c r="BO198" s="197"/>
      <c r="BP198" s="238"/>
      <c r="BQ198" s="238"/>
      <c r="BR198" s="241"/>
      <c r="BS198" s="240"/>
      <c r="BT198" s="238"/>
      <c r="BU198" s="238"/>
      <c r="BV198" s="241"/>
      <c r="BW198" s="229"/>
      <c r="BX198" s="215"/>
      <c r="BY198" s="125">
        <f t="shared" si="38"/>
        <v>31.5</v>
      </c>
      <c r="BZ198" s="126">
        <f t="shared" si="39"/>
        <v>4.72</v>
      </c>
      <c r="CA198" s="126">
        <f t="shared" si="40"/>
        <v>34.4</v>
      </c>
      <c r="CB198" s="127">
        <f t="shared" si="41"/>
        <v>34.4</v>
      </c>
      <c r="CC198" s="768"/>
    </row>
    <row r="199" spans="1:81" s="230" customFormat="1" ht="16.7" customHeight="1" outlineLevel="5" x14ac:dyDescent="0.25">
      <c r="A199" s="216"/>
      <c r="B199" s="215"/>
      <c r="C199" s="216"/>
      <c r="D199" s="216"/>
      <c r="E199" s="216"/>
      <c r="F199" s="216"/>
      <c r="G199" s="216"/>
      <c r="H199" s="216"/>
      <c r="I199" s="216"/>
      <c r="J199" s="215"/>
      <c r="K199" s="217"/>
      <c r="L199" s="216"/>
      <c r="M199" s="215"/>
      <c r="N199" s="215"/>
      <c r="O199" s="215"/>
      <c r="P199" s="215"/>
      <c r="Q199" s="215"/>
      <c r="R199" s="215"/>
      <c r="S199" s="215"/>
      <c r="T199" s="215"/>
      <c r="U199" s="215"/>
      <c r="V199" s="215"/>
      <c r="W199" s="215"/>
      <c r="X199" s="215"/>
      <c r="Y199" s="215"/>
      <c r="Z199" s="215"/>
      <c r="AA199" s="215"/>
      <c r="AB199" s="232"/>
      <c r="AC199" s="219" t="s">
        <v>273</v>
      </c>
      <c r="AD199" s="220" t="s">
        <v>247</v>
      </c>
      <c r="AE199" s="221">
        <v>66.010000000000005</v>
      </c>
      <c r="AF199" s="233">
        <v>67.680000000000007</v>
      </c>
      <c r="AG199" s="233">
        <v>72.819999999999993</v>
      </c>
      <c r="AH199" s="234">
        <v>70</v>
      </c>
      <c r="AI199" s="640"/>
      <c r="AJ199" s="225"/>
      <c r="AK199" s="225"/>
      <c r="AL199" s="227"/>
      <c r="AM199" s="190"/>
      <c r="AN199" s="225"/>
      <c r="AO199" s="225"/>
      <c r="AP199" s="226"/>
      <c r="AQ199" s="640"/>
      <c r="AR199" s="225"/>
      <c r="AS199" s="225"/>
      <c r="AT199" s="227"/>
      <c r="AU199" s="190"/>
      <c r="AV199" s="225"/>
      <c r="AW199" s="225"/>
      <c r="AX199" s="227"/>
      <c r="AY199" s="190"/>
      <c r="AZ199" s="225"/>
      <c r="BA199" s="225"/>
      <c r="BB199" s="227"/>
      <c r="BC199" s="190"/>
      <c r="BD199" s="225"/>
      <c r="BE199" s="225"/>
      <c r="BF199" s="236"/>
      <c r="BG199" s="190"/>
      <c r="BH199" s="225"/>
      <c r="BI199" s="225"/>
      <c r="BJ199" s="227"/>
      <c r="BK199" s="190"/>
      <c r="BL199" s="225"/>
      <c r="BM199" s="225"/>
      <c r="BN199" s="227"/>
      <c r="BO199" s="197"/>
      <c r="BP199" s="238"/>
      <c r="BQ199" s="238"/>
      <c r="BR199" s="241"/>
      <c r="BS199" s="240"/>
      <c r="BT199" s="238"/>
      <c r="BU199" s="238"/>
      <c r="BV199" s="241"/>
      <c r="BW199" s="229"/>
      <c r="BX199" s="215"/>
      <c r="BY199" s="125">
        <f t="shared" si="38"/>
        <v>66.010000000000005</v>
      </c>
      <c r="BZ199" s="126">
        <f t="shared" si="39"/>
        <v>67.680000000000007</v>
      </c>
      <c r="CA199" s="126">
        <f t="shared" si="40"/>
        <v>72.819999999999993</v>
      </c>
      <c r="CB199" s="127">
        <f t="shared" si="41"/>
        <v>70</v>
      </c>
      <c r="CC199" s="768"/>
    </row>
    <row r="200" spans="1:81" s="230" customFormat="1" ht="16.7" customHeight="1" outlineLevel="5" x14ac:dyDescent="0.25">
      <c r="A200" s="216"/>
      <c r="B200" s="215"/>
      <c r="C200" s="216"/>
      <c r="D200" s="216"/>
      <c r="E200" s="216"/>
      <c r="F200" s="216"/>
      <c r="G200" s="216"/>
      <c r="H200" s="216"/>
      <c r="I200" s="216"/>
      <c r="J200" s="215"/>
      <c r="K200" s="217"/>
      <c r="L200" s="216"/>
      <c r="M200" s="215"/>
      <c r="N200" s="215"/>
      <c r="O200" s="215"/>
      <c r="P200" s="215"/>
      <c r="Q200" s="215"/>
      <c r="R200" s="215"/>
      <c r="S200" s="215"/>
      <c r="T200" s="215"/>
      <c r="U200" s="215"/>
      <c r="V200" s="215"/>
      <c r="W200" s="215"/>
      <c r="X200" s="215"/>
      <c r="Y200" s="215"/>
      <c r="Z200" s="215"/>
      <c r="AA200" s="215"/>
      <c r="AB200" s="232"/>
      <c r="AC200" s="219" t="s">
        <v>274</v>
      </c>
      <c r="AD200" s="220" t="s">
        <v>247</v>
      </c>
      <c r="AE200" s="221">
        <v>2196.4299999999998</v>
      </c>
      <c r="AF200" s="233">
        <v>550</v>
      </c>
      <c r="AG200" s="233">
        <v>2232.85</v>
      </c>
      <c r="AH200" s="234">
        <v>2230</v>
      </c>
      <c r="AI200" s="1049">
        <v>33.549999999999997</v>
      </c>
      <c r="AJ200" s="225"/>
      <c r="AK200" s="225">
        <v>34.89</v>
      </c>
      <c r="AL200" s="227"/>
      <c r="AM200" s="190"/>
      <c r="AN200" s="225"/>
      <c r="AO200" s="225"/>
      <c r="AP200" s="226"/>
      <c r="AQ200" s="640"/>
      <c r="AR200" s="225"/>
      <c r="AS200" s="225"/>
      <c r="AT200" s="227"/>
      <c r="AU200" s="190"/>
      <c r="AV200" s="225"/>
      <c r="AW200" s="225"/>
      <c r="AX200" s="227"/>
      <c r="AY200" s="190"/>
      <c r="AZ200" s="225"/>
      <c r="BA200" s="225"/>
      <c r="BB200" s="227"/>
      <c r="BC200" s="190"/>
      <c r="BD200" s="225"/>
      <c r="BE200" s="225"/>
      <c r="BF200" s="236"/>
      <c r="BG200" s="190"/>
      <c r="BH200" s="225"/>
      <c r="BI200" s="225"/>
      <c r="BJ200" s="227"/>
      <c r="BK200" s="190"/>
      <c r="BL200" s="225"/>
      <c r="BM200" s="225"/>
      <c r="BN200" s="227"/>
      <c r="BO200" s="197"/>
      <c r="BP200" s="238"/>
      <c r="BQ200" s="238"/>
      <c r="BR200" s="241"/>
      <c r="BS200" s="240"/>
      <c r="BT200" s="238"/>
      <c r="BU200" s="238"/>
      <c r="BV200" s="241"/>
      <c r="BW200" s="229"/>
      <c r="BX200" s="215"/>
      <c r="BY200" s="125">
        <f t="shared" si="38"/>
        <v>2229.98</v>
      </c>
      <c r="BZ200" s="126">
        <f t="shared" si="39"/>
        <v>550</v>
      </c>
      <c r="CA200" s="126">
        <f t="shared" si="40"/>
        <v>2267.7399999999998</v>
      </c>
      <c r="CB200" s="127">
        <f t="shared" si="41"/>
        <v>2230</v>
      </c>
      <c r="CC200" s="768"/>
    </row>
    <row r="201" spans="1:81" s="230" customFormat="1" ht="16.7" customHeight="1" outlineLevel="5" x14ac:dyDescent="0.25">
      <c r="A201" s="216"/>
      <c r="B201" s="215"/>
      <c r="C201" s="216"/>
      <c r="D201" s="216"/>
      <c r="E201" s="216"/>
      <c r="F201" s="216"/>
      <c r="G201" s="216"/>
      <c r="H201" s="216"/>
      <c r="I201" s="216"/>
      <c r="J201" s="215"/>
      <c r="K201" s="217"/>
      <c r="L201" s="216"/>
      <c r="M201" s="215"/>
      <c r="N201" s="215"/>
      <c r="O201" s="215"/>
      <c r="P201" s="215"/>
      <c r="Q201" s="215"/>
      <c r="R201" s="215"/>
      <c r="S201" s="215"/>
      <c r="T201" s="215"/>
      <c r="U201" s="215"/>
      <c r="V201" s="215"/>
      <c r="W201" s="215"/>
      <c r="X201" s="215"/>
      <c r="Y201" s="215"/>
      <c r="Z201" s="215"/>
      <c r="AA201" s="215"/>
      <c r="AB201" s="232"/>
      <c r="AC201" s="219" t="s">
        <v>275</v>
      </c>
      <c r="AD201" s="220" t="s">
        <v>247</v>
      </c>
      <c r="AE201" s="221">
        <v>14.18</v>
      </c>
      <c r="AF201" s="233">
        <v>1.52</v>
      </c>
      <c r="AG201" s="233">
        <v>2213.69</v>
      </c>
      <c r="AH201" s="234">
        <v>2214</v>
      </c>
      <c r="AI201" s="640"/>
      <c r="AJ201" s="225"/>
      <c r="AK201" s="225"/>
      <c r="AL201" s="227"/>
      <c r="AM201" s="190"/>
      <c r="AN201" s="225"/>
      <c r="AO201" s="225"/>
      <c r="AP201" s="226"/>
      <c r="AQ201" s="640"/>
      <c r="AR201" s="225">
        <v>2.65</v>
      </c>
      <c r="AS201" s="225"/>
      <c r="AT201" s="227"/>
      <c r="AU201" s="190"/>
      <c r="AV201" s="225"/>
      <c r="AW201" s="225"/>
      <c r="AX201" s="227"/>
      <c r="AY201" s="224">
        <v>7.2</v>
      </c>
      <c r="AZ201" s="225"/>
      <c r="BA201" s="225">
        <v>7.92</v>
      </c>
      <c r="BB201" s="227"/>
      <c r="BC201" s="190"/>
      <c r="BD201" s="225"/>
      <c r="BE201" s="225"/>
      <c r="BF201" s="236"/>
      <c r="BG201" s="190"/>
      <c r="BH201" s="225"/>
      <c r="BI201" s="225"/>
      <c r="BJ201" s="227"/>
      <c r="BK201" s="224">
        <v>3.35</v>
      </c>
      <c r="BL201" s="225"/>
      <c r="BM201" s="225"/>
      <c r="BN201" s="227"/>
      <c r="BO201" s="197"/>
      <c r="BP201" s="238"/>
      <c r="BQ201" s="238"/>
      <c r="BR201" s="241"/>
      <c r="BS201" s="240">
        <v>3.35</v>
      </c>
      <c r="BT201" s="238"/>
      <c r="BU201" s="238">
        <v>3.69</v>
      </c>
      <c r="BV201" s="241"/>
      <c r="BW201" s="229"/>
      <c r="BX201" s="215"/>
      <c r="BY201" s="125">
        <f t="shared" si="38"/>
        <v>28.080000000000002</v>
      </c>
      <c r="BZ201" s="126">
        <f t="shared" si="39"/>
        <v>4.17</v>
      </c>
      <c r="CA201" s="126">
        <f t="shared" si="40"/>
        <v>2225.3000000000002</v>
      </c>
      <c r="CB201" s="127">
        <f t="shared" si="41"/>
        <v>2214</v>
      </c>
      <c r="CC201" s="768"/>
    </row>
    <row r="202" spans="1:81" s="230" customFormat="1" ht="16.7" customHeight="1" outlineLevel="5" x14ac:dyDescent="0.25">
      <c r="A202" s="216"/>
      <c r="B202" s="215"/>
      <c r="C202" s="216"/>
      <c r="D202" s="216"/>
      <c r="E202" s="216"/>
      <c r="F202" s="216"/>
      <c r="G202" s="216"/>
      <c r="H202" s="216"/>
      <c r="I202" s="216"/>
      <c r="J202" s="215"/>
      <c r="K202" s="217"/>
      <c r="L202" s="216"/>
      <c r="M202" s="215"/>
      <c r="N202" s="215"/>
      <c r="O202" s="215"/>
      <c r="P202" s="215"/>
      <c r="Q202" s="215"/>
      <c r="R202" s="215"/>
      <c r="S202" s="215"/>
      <c r="T202" s="215"/>
      <c r="U202" s="215"/>
      <c r="V202" s="215"/>
      <c r="W202" s="215"/>
      <c r="X202" s="215"/>
      <c r="Y202" s="215"/>
      <c r="Z202" s="215"/>
      <c r="AA202" s="215"/>
      <c r="AB202" s="232"/>
      <c r="AC202" s="219" t="s">
        <v>276</v>
      </c>
      <c r="AD202" s="220" t="s">
        <v>247</v>
      </c>
      <c r="AE202" s="221">
        <v>497.13</v>
      </c>
      <c r="AF202" s="233">
        <v>540.63</v>
      </c>
      <c r="AG202" s="233">
        <v>581.65</v>
      </c>
      <c r="AH202" s="234">
        <v>591</v>
      </c>
      <c r="AI202" s="640"/>
      <c r="AJ202" s="225"/>
      <c r="AK202" s="225"/>
      <c r="AL202" s="227"/>
      <c r="AM202" s="190"/>
      <c r="AN202" s="225"/>
      <c r="AO202" s="225"/>
      <c r="AP202" s="226"/>
      <c r="AQ202" s="640"/>
      <c r="AR202" s="225"/>
      <c r="AS202" s="225"/>
      <c r="AT202" s="227"/>
      <c r="AU202" s="190"/>
      <c r="AV202" s="225"/>
      <c r="AW202" s="225"/>
      <c r="AX202" s="227"/>
      <c r="AY202" s="190"/>
      <c r="AZ202" s="225"/>
      <c r="BA202" s="225"/>
      <c r="BB202" s="227"/>
      <c r="BC202" s="190"/>
      <c r="BD202" s="225"/>
      <c r="BE202" s="225"/>
      <c r="BF202" s="236"/>
      <c r="BG202" s="190"/>
      <c r="BH202" s="225"/>
      <c r="BI202" s="225"/>
      <c r="BJ202" s="227"/>
      <c r="BK202" s="190"/>
      <c r="BL202" s="225"/>
      <c r="BM202" s="225"/>
      <c r="BN202" s="227"/>
      <c r="BO202" s="197"/>
      <c r="BP202" s="238"/>
      <c r="BQ202" s="238"/>
      <c r="BR202" s="241"/>
      <c r="BS202" s="240"/>
      <c r="BT202" s="238"/>
      <c r="BU202" s="238"/>
      <c r="BV202" s="241"/>
      <c r="BW202" s="229"/>
      <c r="BX202" s="215"/>
      <c r="BY202" s="125">
        <f t="shared" si="38"/>
        <v>497.13</v>
      </c>
      <c r="BZ202" s="126">
        <f t="shared" si="39"/>
        <v>540.63</v>
      </c>
      <c r="CA202" s="126">
        <f t="shared" si="40"/>
        <v>581.65</v>
      </c>
      <c r="CB202" s="127">
        <f t="shared" si="41"/>
        <v>591</v>
      </c>
      <c r="CC202" s="768"/>
    </row>
    <row r="203" spans="1:81" s="230" customFormat="1" ht="16.7" customHeight="1" outlineLevel="5" x14ac:dyDescent="0.25">
      <c r="A203" s="216"/>
      <c r="B203" s="215"/>
      <c r="C203" s="216"/>
      <c r="D203" s="216"/>
      <c r="E203" s="216"/>
      <c r="F203" s="216"/>
      <c r="G203" s="216"/>
      <c r="H203" s="216"/>
      <c r="I203" s="216"/>
      <c r="J203" s="215"/>
      <c r="K203" s="217"/>
      <c r="L203" s="216"/>
      <c r="M203" s="215"/>
      <c r="N203" s="215"/>
      <c r="O203" s="215"/>
      <c r="P203" s="215"/>
      <c r="Q203" s="215"/>
      <c r="R203" s="215"/>
      <c r="S203" s="215"/>
      <c r="T203" s="215"/>
      <c r="U203" s="215"/>
      <c r="V203" s="215"/>
      <c r="W203" s="215"/>
      <c r="X203" s="215"/>
      <c r="Y203" s="215"/>
      <c r="Z203" s="215"/>
      <c r="AA203" s="215"/>
      <c r="AB203" s="232"/>
      <c r="AC203" s="219" t="s">
        <v>277</v>
      </c>
      <c r="AD203" s="220" t="s">
        <v>247</v>
      </c>
      <c r="AE203" s="221">
        <v>706.46</v>
      </c>
      <c r="AF203" s="233">
        <v>680.71</v>
      </c>
      <c r="AG203" s="233">
        <v>814.14</v>
      </c>
      <c r="AH203" s="234">
        <v>814</v>
      </c>
      <c r="AI203" s="640"/>
      <c r="AJ203" s="225"/>
      <c r="AK203" s="225"/>
      <c r="AL203" s="227"/>
      <c r="AM203" s="224">
        <v>3.44</v>
      </c>
      <c r="AN203" s="225">
        <v>26.19</v>
      </c>
      <c r="AO203" s="225">
        <v>3.97</v>
      </c>
      <c r="AP203" s="226"/>
      <c r="AQ203" s="228">
        <v>14.35</v>
      </c>
      <c r="AR203" s="225">
        <v>5.28</v>
      </c>
      <c r="AS203" s="225">
        <v>52.49</v>
      </c>
      <c r="AT203" s="227"/>
      <c r="AU203" s="224">
        <v>2.85</v>
      </c>
      <c r="AV203" s="225"/>
      <c r="AW203" s="225">
        <v>3.14</v>
      </c>
      <c r="AX203" s="227"/>
      <c r="AY203" s="224">
        <v>25.83</v>
      </c>
      <c r="AZ203" s="225"/>
      <c r="BA203" s="225">
        <v>30.46</v>
      </c>
      <c r="BB203" s="227"/>
      <c r="BC203" s="224">
        <v>2.29</v>
      </c>
      <c r="BD203" s="225"/>
      <c r="BE203" s="225">
        <v>2.839</v>
      </c>
      <c r="BF203" s="236"/>
      <c r="BG203" s="224">
        <v>10.691000000000001</v>
      </c>
      <c r="BH203" s="225"/>
      <c r="BI203" s="770">
        <v>14.01</v>
      </c>
      <c r="BJ203" s="236"/>
      <c r="BK203" s="224">
        <v>35.57</v>
      </c>
      <c r="BL203" s="225"/>
      <c r="BM203" s="225">
        <v>41.23</v>
      </c>
      <c r="BN203" s="227"/>
      <c r="BO203" s="197"/>
      <c r="BP203" s="238"/>
      <c r="BQ203" s="238"/>
      <c r="BR203" s="241"/>
      <c r="BS203" s="240">
        <v>30.14</v>
      </c>
      <c r="BT203" s="238"/>
      <c r="BU203" s="238">
        <v>34.270000000000003</v>
      </c>
      <c r="BV203" s="241"/>
      <c r="BW203" s="229"/>
      <c r="BX203" s="215"/>
      <c r="BY203" s="125">
        <f t="shared" si="38"/>
        <v>831.62100000000021</v>
      </c>
      <c r="BZ203" s="126">
        <f t="shared" si="39"/>
        <v>712.18000000000006</v>
      </c>
      <c r="CA203" s="126">
        <f t="shared" si="40"/>
        <v>996.54900000000009</v>
      </c>
      <c r="CB203" s="127">
        <f t="shared" si="41"/>
        <v>814</v>
      </c>
      <c r="CC203" s="768"/>
    </row>
    <row r="204" spans="1:81" s="230" customFormat="1" ht="16.7" customHeight="1" outlineLevel="5" x14ac:dyDescent="0.25">
      <c r="A204" s="216"/>
      <c r="B204" s="215"/>
      <c r="C204" s="216"/>
      <c r="D204" s="216"/>
      <c r="E204" s="216"/>
      <c r="F204" s="216"/>
      <c r="G204" s="216"/>
      <c r="H204" s="216"/>
      <c r="I204" s="216"/>
      <c r="J204" s="215"/>
      <c r="K204" s="217"/>
      <c r="L204" s="216"/>
      <c r="M204" s="215"/>
      <c r="N204" s="215"/>
      <c r="O204" s="215"/>
      <c r="P204" s="215"/>
      <c r="Q204" s="215"/>
      <c r="R204" s="215"/>
      <c r="S204" s="215"/>
      <c r="T204" s="215"/>
      <c r="U204" s="215"/>
      <c r="V204" s="215"/>
      <c r="W204" s="215"/>
      <c r="X204" s="215"/>
      <c r="Y204" s="215"/>
      <c r="Z204" s="215"/>
      <c r="AA204" s="215"/>
      <c r="AB204" s="232"/>
      <c r="AC204" s="219" t="s">
        <v>278</v>
      </c>
      <c r="AD204" s="220" t="s">
        <v>247</v>
      </c>
      <c r="AE204" s="221">
        <v>1646.61</v>
      </c>
      <c r="AF204" s="233">
        <v>756</v>
      </c>
      <c r="AG204" s="233">
        <v>2354.7800000000002</v>
      </c>
      <c r="AH204" s="234">
        <v>2355</v>
      </c>
      <c r="AI204" s="1049">
        <v>101.73</v>
      </c>
      <c r="AJ204" s="225"/>
      <c r="AK204" s="225">
        <v>1.2</v>
      </c>
      <c r="AL204" s="227"/>
      <c r="AM204" s="190"/>
      <c r="AN204" s="225"/>
      <c r="AO204" s="225"/>
      <c r="AP204" s="226"/>
      <c r="AQ204" s="640"/>
      <c r="AR204" s="225"/>
      <c r="AS204" s="225"/>
      <c r="AT204" s="227"/>
      <c r="AU204" s="190"/>
      <c r="AV204" s="225"/>
      <c r="AW204" s="225"/>
      <c r="AX204" s="227"/>
      <c r="AY204" s="190"/>
      <c r="AZ204" s="225"/>
      <c r="BA204" s="225"/>
      <c r="BB204" s="227"/>
      <c r="BC204" s="190"/>
      <c r="BD204" s="225"/>
      <c r="BE204" s="225"/>
      <c r="BF204" s="236"/>
      <c r="BG204" s="190"/>
      <c r="BH204" s="225">
        <v>106.85</v>
      </c>
      <c r="BI204" s="225"/>
      <c r="BJ204" s="227">
        <f>BH204*1.04048</f>
        <v>111.17528799999999</v>
      </c>
      <c r="BK204" s="190"/>
      <c r="BL204" s="225"/>
      <c r="BM204" s="225"/>
      <c r="BN204" s="227"/>
      <c r="BO204" s="197"/>
      <c r="BP204" s="238"/>
      <c r="BQ204" s="238"/>
      <c r="BR204" s="241"/>
      <c r="BS204" s="240"/>
      <c r="BT204" s="238"/>
      <c r="BU204" s="238"/>
      <c r="BV204" s="241"/>
      <c r="BW204" s="229"/>
      <c r="BX204" s="215"/>
      <c r="BY204" s="125">
        <f t="shared" si="38"/>
        <v>1748.34</v>
      </c>
      <c r="BZ204" s="126">
        <f t="shared" si="39"/>
        <v>862.85</v>
      </c>
      <c r="CA204" s="126">
        <f t="shared" si="40"/>
        <v>2355.98</v>
      </c>
      <c r="CB204" s="127">
        <f t="shared" si="41"/>
        <v>2466.1752879999999</v>
      </c>
      <c r="CC204" s="768"/>
    </row>
    <row r="205" spans="1:81" s="230" customFormat="1" ht="16.7" customHeight="1" outlineLevel="5" x14ac:dyDescent="0.25">
      <c r="A205" s="216"/>
      <c r="B205" s="215"/>
      <c r="C205" s="216"/>
      <c r="D205" s="216"/>
      <c r="E205" s="216"/>
      <c r="F205" s="216"/>
      <c r="G205" s="216"/>
      <c r="H205" s="216"/>
      <c r="I205" s="216"/>
      <c r="J205" s="215"/>
      <c r="K205" s="217"/>
      <c r="L205" s="216"/>
      <c r="M205" s="215"/>
      <c r="N205" s="215"/>
      <c r="O205" s="215"/>
      <c r="P205" s="215"/>
      <c r="Q205" s="215"/>
      <c r="R205" s="215"/>
      <c r="S205" s="215"/>
      <c r="T205" s="215"/>
      <c r="U205" s="215"/>
      <c r="V205" s="215"/>
      <c r="W205" s="215"/>
      <c r="X205" s="215"/>
      <c r="Y205" s="215"/>
      <c r="Z205" s="215"/>
      <c r="AA205" s="215"/>
      <c r="AB205" s="232"/>
      <c r="AC205" s="219" t="s">
        <v>254</v>
      </c>
      <c r="AD205" s="220" t="s">
        <v>247</v>
      </c>
      <c r="AE205" s="221">
        <v>53.3</v>
      </c>
      <c r="AF205" s="233">
        <v>42.45</v>
      </c>
      <c r="AG205" s="233">
        <v>43.71</v>
      </c>
      <c r="AH205" s="234">
        <v>43</v>
      </c>
      <c r="AI205" s="640"/>
      <c r="AJ205" s="225"/>
      <c r="AK205" s="225"/>
      <c r="AL205" s="227"/>
      <c r="AM205" s="190"/>
      <c r="AN205" s="225"/>
      <c r="AO205" s="225"/>
      <c r="AP205" s="226"/>
      <c r="AQ205" s="640"/>
      <c r="AR205" s="225">
        <v>73.87</v>
      </c>
      <c r="AS205" s="225"/>
      <c r="AT205" s="227"/>
      <c r="AU205" s="190"/>
      <c r="AV205" s="225"/>
      <c r="AW205" s="225"/>
      <c r="AX205" s="227"/>
      <c r="AY205" s="190"/>
      <c r="AZ205" s="225"/>
      <c r="BA205" s="225"/>
      <c r="BB205" s="227"/>
      <c r="BC205" s="190"/>
      <c r="BD205" s="225"/>
      <c r="BE205" s="225"/>
      <c r="BF205" s="236"/>
      <c r="BG205" s="190"/>
      <c r="BH205" s="225"/>
      <c r="BI205" s="225"/>
      <c r="BJ205" s="227"/>
      <c r="BK205" s="190"/>
      <c r="BL205" s="225"/>
      <c r="BM205" s="225"/>
      <c r="BN205" s="227"/>
      <c r="BO205" s="197"/>
      <c r="BP205" s="238"/>
      <c r="BQ205" s="238"/>
      <c r="BR205" s="241"/>
      <c r="BS205" s="240"/>
      <c r="BT205" s="238"/>
      <c r="BU205" s="238"/>
      <c r="BV205" s="241"/>
      <c r="BW205" s="229"/>
      <c r="BX205" s="215"/>
      <c r="BY205" s="125">
        <f t="shared" si="38"/>
        <v>53.3</v>
      </c>
      <c r="BZ205" s="126">
        <f t="shared" si="39"/>
        <v>116.32000000000001</v>
      </c>
      <c r="CA205" s="126">
        <f t="shared" si="40"/>
        <v>43.71</v>
      </c>
      <c r="CB205" s="127">
        <f t="shared" si="41"/>
        <v>43</v>
      </c>
      <c r="CC205" s="768"/>
    </row>
    <row r="206" spans="1:81" s="230" customFormat="1" ht="16.7" customHeight="1" outlineLevel="5" x14ac:dyDescent="0.25">
      <c r="A206" s="216"/>
      <c r="B206" s="215"/>
      <c r="C206" s="216"/>
      <c r="D206" s="216"/>
      <c r="E206" s="216"/>
      <c r="F206" s="216"/>
      <c r="G206" s="216"/>
      <c r="H206" s="216"/>
      <c r="I206" s="216"/>
      <c r="J206" s="215"/>
      <c r="K206" s="217"/>
      <c r="L206" s="216"/>
      <c r="M206" s="215"/>
      <c r="N206" s="215"/>
      <c r="O206" s="215"/>
      <c r="P206" s="215"/>
      <c r="Q206" s="215"/>
      <c r="R206" s="215"/>
      <c r="S206" s="215"/>
      <c r="T206" s="215"/>
      <c r="U206" s="215"/>
      <c r="V206" s="215"/>
      <c r="W206" s="215"/>
      <c r="X206" s="215"/>
      <c r="Y206" s="215"/>
      <c r="Z206" s="215"/>
      <c r="AA206" s="215"/>
      <c r="AB206" s="247"/>
      <c r="AC206" s="219" t="s">
        <v>279</v>
      </c>
      <c r="AD206" s="220" t="s">
        <v>247</v>
      </c>
      <c r="AE206" s="221">
        <v>3480.41</v>
      </c>
      <c r="AF206" s="233">
        <v>0</v>
      </c>
      <c r="AG206" s="233">
        <v>4244.75</v>
      </c>
      <c r="AH206" s="234">
        <v>4244</v>
      </c>
      <c r="AI206" s="640"/>
      <c r="AJ206" s="225"/>
      <c r="AK206" s="225">
        <v>196</v>
      </c>
      <c r="AL206" s="227"/>
      <c r="AM206" s="224">
        <v>492.39</v>
      </c>
      <c r="AN206" s="225">
        <v>257</v>
      </c>
      <c r="AO206" s="225">
        <v>784</v>
      </c>
      <c r="AP206" s="226"/>
      <c r="AQ206" s="228">
        <v>466.05</v>
      </c>
      <c r="AR206" s="225">
        <v>31.654</v>
      </c>
      <c r="AS206" s="225">
        <v>568.5</v>
      </c>
      <c r="AT206" s="227">
        <v>60.49</v>
      </c>
      <c r="AU206" s="224">
        <v>81.45</v>
      </c>
      <c r="AV206" s="225"/>
      <c r="AW206" s="225">
        <v>269.5</v>
      </c>
      <c r="AX206" s="227"/>
      <c r="AY206" s="224">
        <v>149.54</v>
      </c>
      <c r="AZ206" s="225"/>
      <c r="BA206" s="225">
        <v>309.89999999999998</v>
      </c>
      <c r="BB206" s="227"/>
      <c r="BC206" s="224">
        <v>361.51</v>
      </c>
      <c r="BD206" s="225"/>
      <c r="BE206" s="225">
        <v>563.5</v>
      </c>
      <c r="BF206" s="236"/>
      <c r="BG206" s="190"/>
      <c r="BH206" s="225"/>
      <c r="BI206" s="225"/>
      <c r="BJ206" s="227"/>
      <c r="BK206" s="224">
        <v>407.41</v>
      </c>
      <c r="BL206" s="225"/>
      <c r="BM206" s="225">
        <v>394.17</v>
      </c>
      <c r="BN206" s="227"/>
      <c r="BO206" s="197"/>
      <c r="BP206" s="238"/>
      <c r="BQ206" s="238"/>
      <c r="BR206" s="241"/>
      <c r="BS206" s="240"/>
      <c r="BT206" s="238"/>
      <c r="BU206" s="238"/>
      <c r="BV206" s="241"/>
      <c r="BW206" s="229"/>
      <c r="BX206" s="215"/>
      <c r="BY206" s="125">
        <f t="shared" si="38"/>
        <v>5438.7599999999993</v>
      </c>
      <c r="BZ206" s="126">
        <f t="shared" si="39"/>
        <v>288.654</v>
      </c>
      <c r="CA206" s="126">
        <f t="shared" si="40"/>
        <v>7330.32</v>
      </c>
      <c r="CB206" s="127">
        <f t="shared" si="41"/>
        <v>4304.49</v>
      </c>
      <c r="CC206" s="768"/>
    </row>
    <row r="207" spans="1:81" s="230" customFormat="1" ht="16.7" customHeight="1" outlineLevel="5" x14ac:dyDescent="0.25">
      <c r="A207" s="216"/>
      <c r="B207" s="215"/>
      <c r="C207" s="216"/>
      <c r="D207" s="216"/>
      <c r="E207" s="216"/>
      <c r="F207" s="216"/>
      <c r="G207" s="216"/>
      <c r="H207" s="216"/>
      <c r="I207" s="216"/>
      <c r="J207" s="215"/>
      <c r="K207" s="217"/>
      <c r="L207" s="216"/>
      <c r="M207" s="215"/>
      <c r="N207" s="215"/>
      <c r="O207" s="215"/>
      <c r="P207" s="215"/>
      <c r="Q207" s="215"/>
      <c r="R207" s="215"/>
      <c r="S207" s="215"/>
      <c r="T207" s="215"/>
      <c r="U207" s="215"/>
      <c r="V207" s="215"/>
      <c r="W207" s="215"/>
      <c r="X207" s="215"/>
      <c r="Y207" s="215"/>
      <c r="Z207" s="215"/>
      <c r="AA207" s="215"/>
      <c r="AB207" s="247"/>
      <c r="AC207" s="219" t="s">
        <v>280</v>
      </c>
      <c r="AD207" s="220" t="s">
        <v>247</v>
      </c>
      <c r="AE207" s="221">
        <v>917.28</v>
      </c>
      <c r="AF207" s="233">
        <v>923.53</v>
      </c>
      <c r="AG207" s="233">
        <v>993.59</v>
      </c>
      <c r="AH207" s="234">
        <v>994</v>
      </c>
      <c r="AI207" s="640"/>
      <c r="AJ207" s="225"/>
      <c r="AK207" s="225"/>
      <c r="AL207" s="227"/>
      <c r="AM207" s="224">
        <v>29.24</v>
      </c>
      <c r="AN207" s="225">
        <v>0</v>
      </c>
      <c r="AO207" s="225">
        <v>32.15</v>
      </c>
      <c r="AP207" s="226"/>
      <c r="AQ207" s="228">
        <v>11.8</v>
      </c>
      <c r="AR207" s="225">
        <f>126.62</f>
        <v>126.62</v>
      </c>
      <c r="AS207" s="225">
        <v>12.98</v>
      </c>
      <c r="AT207" s="227"/>
      <c r="AU207" s="190"/>
      <c r="AV207" s="225"/>
      <c r="AW207" s="225"/>
      <c r="AX207" s="227"/>
      <c r="AY207" s="224">
        <v>7.0000000000000007E-2</v>
      </c>
      <c r="AZ207" s="225"/>
      <c r="BA207" s="225">
        <v>7.0000000000000007E-2</v>
      </c>
      <c r="BB207" s="227"/>
      <c r="BC207" s="190"/>
      <c r="BD207" s="225"/>
      <c r="BE207" s="225"/>
      <c r="BF207" s="236"/>
      <c r="BG207" s="190"/>
      <c r="BH207" s="225"/>
      <c r="BI207" s="225"/>
      <c r="BJ207" s="227"/>
      <c r="BK207" s="190"/>
      <c r="BL207" s="225"/>
      <c r="BM207" s="225"/>
      <c r="BN207" s="227"/>
      <c r="BO207" s="197"/>
      <c r="BP207" s="238"/>
      <c r="BQ207" s="238"/>
      <c r="BR207" s="241"/>
      <c r="BS207" s="197"/>
      <c r="BT207" s="238"/>
      <c r="BU207" s="238"/>
      <c r="BV207" s="241"/>
      <c r="BW207" s="229"/>
      <c r="BX207" s="215"/>
      <c r="BY207" s="125">
        <f t="shared" si="38"/>
        <v>958.39</v>
      </c>
      <c r="BZ207" s="126">
        <f t="shared" si="39"/>
        <v>1050.1500000000001</v>
      </c>
      <c r="CA207" s="126">
        <f t="shared" si="40"/>
        <v>1038.79</v>
      </c>
      <c r="CB207" s="127">
        <f t="shared" si="41"/>
        <v>994</v>
      </c>
      <c r="CC207" s="768"/>
    </row>
    <row r="208" spans="1:81" s="230" customFormat="1" ht="16.7" customHeight="1" outlineLevel="5" x14ac:dyDescent="0.25">
      <c r="A208" s="216"/>
      <c r="B208" s="215"/>
      <c r="C208" s="216"/>
      <c r="D208" s="216"/>
      <c r="E208" s="216"/>
      <c r="F208" s="216"/>
      <c r="G208" s="216"/>
      <c r="H208" s="216"/>
      <c r="I208" s="216"/>
      <c r="J208" s="215"/>
      <c r="K208" s="217"/>
      <c r="L208" s="216"/>
      <c r="M208" s="215"/>
      <c r="N208" s="215"/>
      <c r="O208" s="215"/>
      <c r="P208" s="215"/>
      <c r="Q208" s="215"/>
      <c r="R208" s="215"/>
      <c r="S208" s="215"/>
      <c r="T208" s="215"/>
      <c r="U208" s="215"/>
      <c r="V208" s="215"/>
      <c r="W208" s="215"/>
      <c r="X208" s="215"/>
      <c r="Y208" s="215"/>
      <c r="Z208" s="215"/>
      <c r="AA208" s="215"/>
      <c r="AB208" s="247"/>
      <c r="AC208" s="219" t="s">
        <v>281</v>
      </c>
      <c r="AD208" s="220" t="s">
        <v>247</v>
      </c>
      <c r="AE208" s="221">
        <v>2878.87</v>
      </c>
      <c r="AF208" s="233">
        <v>0</v>
      </c>
      <c r="AG208" s="233">
        <v>0</v>
      </c>
      <c r="AH208" s="234">
        <v>0</v>
      </c>
      <c r="AI208" s="228"/>
      <c r="AJ208" s="225"/>
      <c r="AK208" s="225"/>
      <c r="AL208" s="227"/>
      <c r="AM208" s="224">
        <v>88.62</v>
      </c>
      <c r="AN208" s="225">
        <v>30.5</v>
      </c>
      <c r="AO208" s="225">
        <v>97.51</v>
      </c>
      <c r="AP208" s="226"/>
      <c r="AQ208" s="228">
        <v>9.82</v>
      </c>
      <c r="AR208" s="225"/>
      <c r="AS208" s="225">
        <v>10.8</v>
      </c>
      <c r="AT208" s="227"/>
      <c r="AU208" s="224">
        <v>14.36</v>
      </c>
      <c r="AV208" s="225"/>
      <c r="AW208" s="225">
        <v>15.8</v>
      </c>
      <c r="AX208" s="227"/>
      <c r="AY208" s="224">
        <v>2.31</v>
      </c>
      <c r="AZ208" s="225"/>
      <c r="BA208" s="225">
        <v>2.54</v>
      </c>
      <c r="BB208" s="227"/>
      <c r="BC208" s="224">
        <v>146.084</v>
      </c>
      <c r="BD208" s="225"/>
      <c r="BE208" s="225">
        <v>29.658999999999999</v>
      </c>
      <c r="BF208" s="236"/>
      <c r="BG208" s="224">
        <v>103.855</v>
      </c>
      <c r="BH208" s="225">
        <v>8.06</v>
      </c>
      <c r="BI208" s="770">
        <v>24.847999999999999</v>
      </c>
      <c r="BJ208" s="236">
        <f>BH208*1.04048</f>
        <v>8.3862688000000016</v>
      </c>
      <c r="BK208" s="224">
        <v>99.25</v>
      </c>
      <c r="BL208" s="225"/>
      <c r="BM208" s="225">
        <v>59.84</v>
      </c>
      <c r="BN208" s="227"/>
      <c r="BO208" s="240">
        <v>8.9550000000000001</v>
      </c>
      <c r="BP208" s="238"/>
      <c r="BQ208" s="238">
        <v>6.1849999999999996</v>
      </c>
      <c r="BR208" s="241"/>
      <c r="BS208" s="240">
        <v>5.76</v>
      </c>
      <c r="BT208" s="238"/>
      <c r="BU208" s="238">
        <v>6.33</v>
      </c>
      <c r="BV208" s="241"/>
      <c r="BW208" s="229"/>
      <c r="BX208" s="215"/>
      <c r="BY208" s="125">
        <f t="shared" si="38"/>
        <v>3357.884</v>
      </c>
      <c r="BZ208" s="126">
        <f t="shared" si="39"/>
        <v>38.56</v>
      </c>
      <c r="CA208" s="126">
        <f t="shared" si="40"/>
        <v>253.512</v>
      </c>
      <c r="CB208" s="127">
        <f t="shared" si="41"/>
        <v>8.3862688000000016</v>
      </c>
      <c r="CC208" s="768"/>
    </row>
    <row r="209" spans="1:81" s="230" customFormat="1" ht="16.7" customHeight="1" outlineLevel="5" x14ac:dyDescent="0.25">
      <c r="A209" s="216"/>
      <c r="B209" s="215"/>
      <c r="C209" s="216"/>
      <c r="D209" s="216"/>
      <c r="E209" s="216"/>
      <c r="F209" s="216"/>
      <c r="G209" s="216"/>
      <c r="H209" s="216"/>
      <c r="I209" s="216"/>
      <c r="J209" s="215"/>
      <c r="K209" s="217"/>
      <c r="L209" s="216"/>
      <c r="M209" s="215"/>
      <c r="N209" s="215"/>
      <c r="O209" s="215"/>
      <c r="P209" s="215"/>
      <c r="Q209" s="215"/>
      <c r="R209" s="215"/>
      <c r="S209" s="215"/>
      <c r="T209" s="215"/>
      <c r="U209" s="215"/>
      <c r="V209" s="215"/>
      <c r="W209" s="215"/>
      <c r="X209" s="215"/>
      <c r="Y209" s="215"/>
      <c r="Z209" s="215"/>
      <c r="AA209" s="215"/>
      <c r="AB209" s="247"/>
      <c r="AC209" s="219" t="s">
        <v>282</v>
      </c>
      <c r="AD209" s="220" t="s">
        <v>247</v>
      </c>
      <c r="AE209" s="221"/>
      <c r="AF209" s="233"/>
      <c r="AG209" s="233"/>
      <c r="AH209" s="234"/>
      <c r="AI209" s="228"/>
      <c r="AJ209" s="225"/>
      <c r="AK209" s="225"/>
      <c r="AL209" s="227"/>
      <c r="AM209" s="224"/>
      <c r="AN209" s="225">
        <v>4.33</v>
      </c>
      <c r="AO209" s="225"/>
      <c r="AP209" s="226"/>
      <c r="AQ209" s="228"/>
      <c r="AR209" s="225">
        <v>96.03</v>
      </c>
      <c r="AS209" s="225"/>
      <c r="AT209" s="227"/>
      <c r="AU209" s="224"/>
      <c r="AV209" s="225"/>
      <c r="AW209" s="225"/>
      <c r="AX209" s="227"/>
      <c r="AY209" s="224"/>
      <c r="AZ209" s="225"/>
      <c r="BA209" s="225"/>
      <c r="BB209" s="227"/>
      <c r="BC209" s="224"/>
      <c r="BD209" s="225"/>
      <c r="BE209" s="225"/>
      <c r="BF209" s="236"/>
      <c r="BG209" s="224"/>
      <c r="BH209" s="225"/>
      <c r="BI209" s="225"/>
      <c r="BJ209" s="227"/>
      <c r="BK209" s="224"/>
      <c r="BL209" s="225"/>
      <c r="BM209" s="225"/>
      <c r="BN209" s="227"/>
      <c r="BO209" s="240"/>
      <c r="BP209" s="238"/>
      <c r="BQ209" s="238"/>
      <c r="BR209" s="241"/>
      <c r="BS209" s="240"/>
      <c r="BT209" s="238"/>
      <c r="BU209" s="238"/>
      <c r="BV209" s="241"/>
      <c r="BW209" s="229"/>
      <c r="BX209" s="215"/>
      <c r="BY209" s="125">
        <f t="shared" si="38"/>
        <v>0</v>
      </c>
      <c r="BZ209" s="126">
        <f t="shared" si="39"/>
        <v>100.36</v>
      </c>
      <c r="CA209" s="126">
        <f t="shared" si="40"/>
        <v>0</v>
      </c>
      <c r="CB209" s="127">
        <f t="shared" si="41"/>
        <v>0</v>
      </c>
      <c r="CC209" s="768"/>
    </row>
    <row r="210" spans="1:81" s="230" customFormat="1" ht="16.7" customHeight="1" outlineLevel="5" x14ac:dyDescent="0.25">
      <c r="A210" s="216"/>
      <c r="B210" s="215"/>
      <c r="C210" s="216"/>
      <c r="D210" s="216"/>
      <c r="E210" s="216"/>
      <c r="F210" s="216"/>
      <c r="G210" s="216"/>
      <c r="H210" s="216"/>
      <c r="I210" s="216"/>
      <c r="J210" s="215"/>
      <c r="K210" s="217"/>
      <c r="L210" s="216"/>
      <c r="M210" s="215"/>
      <c r="N210" s="215"/>
      <c r="O210" s="215"/>
      <c r="P210" s="215"/>
      <c r="Q210" s="215"/>
      <c r="R210" s="215"/>
      <c r="S210" s="215"/>
      <c r="T210" s="215"/>
      <c r="U210" s="215"/>
      <c r="V210" s="215"/>
      <c r="W210" s="215"/>
      <c r="X210" s="215"/>
      <c r="Y210" s="215"/>
      <c r="Z210" s="215"/>
      <c r="AA210" s="215"/>
      <c r="AB210" s="247"/>
      <c r="AC210" s="219" t="s">
        <v>248</v>
      </c>
      <c r="AD210" s="220" t="s">
        <v>247</v>
      </c>
      <c r="AE210" s="221"/>
      <c r="AF210" s="248"/>
      <c r="AG210" s="248"/>
      <c r="AH210" s="249"/>
      <c r="AI210" s="228"/>
      <c r="AJ210" s="225"/>
      <c r="AK210" s="225"/>
      <c r="AL210" s="227"/>
      <c r="AM210" s="224">
        <v>9.06</v>
      </c>
      <c r="AN210" s="225">
        <v>29.4</v>
      </c>
      <c r="AO210" s="225">
        <v>9.9700000000000006</v>
      </c>
      <c r="AP210" s="226"/>
      <c r="AQ210" s="228">
        <v>16.3</v>
      </c>
      <c r="AR210" s="225">
        <v>21.1</v>
      </c>
      <c r="AS210" s="225">
        <v>17.940000000000001</v>
      </c>
      <c r="AT210" s="227"/>
      <c r="AU210" s="224">
        <v>23.66</v>
      </c>
      <c r="AV210" s="225"/>
      <c r="AW210" s="225">
        <v>26.04</v>
      </c>
      <c r="AX210" s="227"/>
      <c r="AY210" s="224"/>
      <c r="AZ210" s="225"/>
      <c r="BA210" s="225"/>
      <c r="BB210" s="227"/>
      <c r="BC210" s="224">
        <v>20.619</v>
      </c>
      <c r="BD210" s="225"/>
      <c r="BE210" s="225">
        <v>20</v>
      </c>
      <c r="BF210" s="236"/>
      <c r="BG210" s="224">
        <v>21.6</v>
      </c>
      <c r="BH210" s="225"/>
      <c r="BI210" s="770">
        <v>23.766999999999999</v>
      </c>
      <c r="BJ210" s="236"/>
      <c r="BK210" s="224">
        <v>50.86</v>
      </c>
      <c r="BL210" s="225"/>
      <c r="BM210" s="225"/>
      <c r="BN210" s="227"/>
      <c r="BO210" s="240"/>
      <c r="BP210" s="238"/>
      <c r="BQ210" s="238"/>
      <c r="BR210" s="241"/>
      <c r="BS210" s="240">
        <v>9.06</v>
      </c>
      <c r="BT210" s="238"/>
      <c r="BU210" s="238">
        <v>9.9700000000000006</v>
      </c>
      <c r="BV210" s="241"/>
      <c r="BW210" s="229"/>
      <c r="BX210" s="215"/>
      <c r="BY210" s="125">
        <f t="shared" si="38"/>
        <v>151.15899999999999</v>
      </c>
      <c r="BZ210" s="126">
        <f t="shared" si="39"/>
        <v>50.5</v>
      </c>
      <c r="CA210" s="126">
        <f t="shared" si="40"/>
        <v>107.687</v>
      </c>
      <c r="CB210" s="127">
        <f t="shared" si="41"/>
        <v>0</v>
      </c>
      <c r="CC210" s="768"/>
    </row>
    <row r="211" spans="1:81" s="230" customFormat="1" ht="16.7" customHeight="1" outlineLevel="5" x14ac:dyDescent="0.25">
      <c r="A211" s="216"/>
      <c r="B211" s="215"/>
      <c r="C211" s="216"/>
      <c r="D211" s="216"/>
      <c r="E211" s="216"/>
      <c r="F211" s="216"/>
      <c r="G211" s="216"/>
      <c r="H211" s="216"/>
      <c r="I211" s="216"/>
      <c r="J211" s="215"/>
      <c r="K211" s="217"/>
      <c r="L211" s="216"/>
      <c r="M211" s="215"/>
      <c r="N211" s="215"/>
      <c r="O211" s="215"/>
      <c r="P211" s="215"/>
      <c r="Q211" s="215"/>
      <c r="R211" s="215"/>
      <c r="S211" s="215"/>
      <c r="T211" s="215"/>
      <c r="U211" s="215"/>
      <c r="V211" s="215"/>
      <c r="W211" s="215"/>
      <c r="X211" s="215"/>
      <c r="Y211" s="215"/>
      <c r="Z211" s="215"/>
      <c r="AA211" s="215"/>
      <c r="AB211" s="247"/>
      <c r="AC211" s="219" t="s">
        <v>255</v>
      </c>
      <c r="AD211" s="220" t="s">
        <v>247</v>
      </c>
      <c r="AE211" s="221"/>
      <c r="AF211" s="248"/>
      <c r="AG211" s="248"/>
      <c r="AH211" s="249"/>
      <c r="AI211" s="228"/>
      <c r="AJ211" s="225"/>
      <c r="AK211" s="225"/>
      <c r="AL211" s="227"/>
      <c r="AM211" s="224">
        <v>123.65</v>
      </c>
      <c r="AN211" s="225">
        <v>80</v>
      </c>
      <c r="AO211" s="225">
        <v>136.05000000000001</v>
      </c>
      <c r="AP211" s="226"/>
      <c r="AQ211" s="228">
        <v>35.82</v>
      </c>
      <c r="AR211" s="225">
        <v>36.93</v>
      </c>
      <c r="AS211" s="225">
        <v>39.42</v>
      </c>
      <c r="AT211" s="227"/>
      <c r="AU211" s="224"/>
      <c r="AV211" s="225"/>
      <c r="AW211" s="225"/>
      <c r="AX211" s="227"/>
      <c r="AY211" s="224">
        <v>202.23</v>
      </c>
      <c r="AZ211" s="225"/>
      <c r="BA211" s="225">
        <f>222.52+39.66</f>
        <v>262.18</v>
      </c>
      <c r="BB211" s="227"/>
      <c r="BC211" s="224">
        <v>319.48700000000002</v>
      </c>
      <c r="BD211" s="225"/>
      <c r="BE211" s="225">
        <v>351.53699999999998</v>
      </c>
      <c r="BF211" s="236"/>
      <c r="BG211" s="224">
        <v>99.683000000000007</v>
      </c>
      <c r="BH211" s="225"/>
      <c r="BI211" s="770">
        <v>109.68300000000001</v>
      </c>
      <c r="BJ211" s="236"/>
      <c r="BK211" s="224">
        <v>195.54</v>
      </c>
      <c r="BL211" s="225"/>
      <c r="BM211" s="225"/>
      <c r="BN211" s="227"/>
      <c r="BO211" s="240"/>
      <c r="BP211" s="238"/>
      <c r="BQ211" s="238"/>
      <c r="BR211" s="241"/>
      <c r="BS211" s="240">
        <v>265.33999999999997</v>
      </c>
      <c r="BT211" s="238"/>
      <c r="BU211" s="238">
        <v>275.45</v>
      </c>
      <c r="BV211" s="241"/>
      <c r="BW211" s="229"/>
      <c r="BX211" s="215"/>
      <c r="BY211" s="125">
        <f t="shared" si="38"/>
        <v>1241.75</v>
      </c>
      <c r="BZ211" s="126">
        <f t="shared" si="39"/>
        <v>116.93</v>
      </c>
      <c r="CA211" s="126">
        <f t="shared" si="40"/>
        <v>1174.32</v>
      </c>
      <c r="CB211" s="127">
        <f t="shared" si="41"/>
        <v>0</v>
      </c>
      <c r="CC211" s="768"/>
    </row>
    <row r="212" spans="1:81" s="230" customFormat="1" ht="16.7" customHeight="1" outlineLevel="5" x14ac:dyDescent="0.25">
      <c r="A212" s="216"/>
      <c r="B212" s="215"/>
      <c r="C212" s="216"/>
      <c r="D212" s="216"/>
      <c r="E212" s="216"/>
      <c r="F212" s="216"/>
      <c r="G212" s="216"/>
      <c r="H212" s="216"/>
      <c r="I212" s="216"/>
      <c r="J212" s="215"/>
      <c r="K212" s="217"/>
      <c r="L212" s="216"/>
      <c r="M212" s="215"/>
      <c r="N212" s="215"/>
      <c r="O212" s="215"/>
      <c r="P212" s="215"/>
      <c r="Q212" s="215"/>
      <c r="R212" s="215"/>
      <c r="S212" s="215"/>
      <c r="T212" s="215"/>
      <c r="U212" s="215"/>
      <c r="V212" s="215"/>
      <c r="W212" s="215"/>
      <c r="X212" s="215"/>
      <c r="Y212" s="215"/>
      <c r="Z212" s="215"/>
      <c r="AA212" s="215"/>
      <c r="AB212" s="247"/>
      <c r="AC212" s="219" t="s">
        <v>253</v>
      </c>
      <c r="AD212" s="220" t="s">
        <v>247</v>
      </c>
      <c r="AE212" s="221"/>
      <c r="AF212" s="248"/>
      <c r="AG212" s="248"/>
      <c r="AH212" s="249"/>
      <c r="AI212" s="228"/>
      <c r="AJ212" s="225"/>
      <c r="AK212" s="225"/>
      <c r="AL212" s="227"/>
      <c r="AM212" s="224">
        <v>36.770000000000003</v>
      </c>
      <c r="AN212" s="225">
        <v>0</v>
      </c>
      <c r="AO212" s="225">
        <v>40.46</v>
      </c>
      <c r="AP212" s="226"/>
      <c r="AQ212" s="228">
        <v>141.71</v>
      </c>
      <c r="AR212" s="225"/>
      <c r="AS212" s="225">
        <v>155.91999999999999</v>
      </c>
      <c r="AT212" s="227"/>
      <c r="AU212" s="224">
        <v>68.599999999999994</v>
      </c>
      <c r="AV212" s="225"/>
      <c r="AW212" s="225">
        <v>75.48</v>
      </c>
      <c r="AX212" s="227"/>
      <c r="AY212" s="224">
        <v>63.01</v>
      </c>
      <c r="AZ212" s="225"/>
      <c r="BA212" s="225">
        <v>69.33</v>
      </c>
      <c r="BB212" s="227"/>
      <c r="BC212" s="224">
        <v>182.76400000000001</v>
      </c>
      <c r="BD212" s="225"/>
      <c r="BE212" s="225">
        <v>180</v>
      </c>
      <c r="BF212" s="236"/>
      <c r="BG212" s="224">
        <v>1500</v>
      </c>
      <c r="BH212" s="225"/>
      <c r="BI212" s="770">
        <v>500</v>
      </c>
      <c r="BJ212" s="236"/>
      <c r="BK212" s="224">
        <v>625.55999999999995</v>
      </c>
      <c r="BL212" s="225"/>
      <c r="BM212" s="225">
        <v>19.23</v>
      </c>
      <c r="BN212" s="227"/>
      <c r="BO212" s="240"/>
      <c r="BP212" s="238"/>
      <c r="BQ212" s="238"/>
      <c r="BR212" s="241"/>
      <c r="BS212" s="240"/>
      <c r="BT212" s="238"/>
      <c r="BU212" s="238"/>
      <c r="BV212" s="241"/>
      <c r="BW212" s="229"/>
      <c r="BX212" s="215"/>
      <c r="BY212" s="125">
        <f t="shared" si="38"/>
        <v>2618.4139999999998</v>
      </c>
      <c r="BZ212" s="126">
        <f t="shared" si="39"/>
        <v>0</v>
      </c>
      <c r="CA212" s="126">
        <f t="shared" si="40"/>
        <v>1040.42</v>
      </c>
      <c r="CB212" s="127">
        <f t="shared" si="41"/>
        <v>0</v>
      </c>
      <c r="CC212" s="768"/>
    </row>
    <row r="213" spans="1:81" s="230" customFormat="1" ht="31.5" customHeight="1" outlineLevel="5" x14ac:dyDescent="0.25">
      <c r="A213" s="216"/>
      <c r="B213" s="215"/>
      <c r="C213" s="216"/>
      <c r="D213" s="216"/>
      <c r="E213" s="216"/>
      <c r="F213" s="216"/>
      <c r="G213" s="216"/>
      <c r="H213" s="216"/>
      <c r="I213" s="216"/>
      <c r="J213" s="215"/>
      <c r="K213" s="217"/>
      <c r="L213" s="216"/>
      <c r="M213" s="215"/>
      <c r="N213" s="215"/>
      <c r="O213" s="215"/>
      <c r="P213" s="215"/>
      <c r="Q213" s="215"/>
      <c r="R213" s="215"/>
      <c r="S213" s="215"/>
      <c r="T213" s="215"/>
      <c r="U213" s="215"/>
      <c r="V213" s="215"/>
      <c r="W213" s="215"/>
      <c r="X213" s="215"/>
      <c r="Y213" s="215"/>
      <c r="Z213" s="215"/>
      <c r="AA213" s="215"/>
      <c r="AB213" s="247"/>
      <c r="AC213" s="219" t="s">
        <v>283</v>
      </c>
      <c r="AD213" s="220" t="s">
        <v>247</v>
      </c>
      <c r="AE213" s="221"/>
      <c r="AF213" s="248"/>
      <c r="AG213" s="248"/>
      <c r="AH213" s="249"/>
      <c r="AI213" s="228"/>
      <c r="AJ213" s="225"/>
      <c r="AK213" s="225"/>
      <c r="AL213" s="227"/>
      <c r="AM213" s="224">
        <v>0</v>
      </c>
      <c r="AN213" s="225">
        <v>22.57</v>
      </c>
      <c r="AO213" s="225">
        <v>0</v>
      </c>
      <c r="AP213" s="226"/>
      <c r="AQ213" s="228"/>
      <c r="AR213" s="225"/>
      <c r="AS213" s="225"/>
      <c r="AT213" s="227"/>
      <c r="AU213" s="224"/>
      <c r="AV213" s="225"/>
      <c r="AW213" s="225"/>
      <c r="AX213" s="227"/>
      <c r="AY213" s="224"/>
      <c r="AZ213" s="225"/>
      <c r="BA213" s="225"/>
      <c r="BB213" s="227"/>
      <c r="BC213" s="224"/>
      <c r="BD213" s="225"/>
      <c r="BE213" s="225"/>
      <c r="BF213" s="236"/>
      <c r="BG213" s="224"/>
      <c r="BH213" s="225"/>
      <c r="BI213" s="225"/>
      <c r="BJ213" s="227"/>
      <c r="BK213" s="224"/>
      <c r="BL213" s="225"/>
      <c r="BM213" s="225"/>
      <c r="BN213" s="227"/>
      <c r="BO213" s="240"/>
      <c r="BP213" s="238"/>
      <c r="BQ213" s="238"/>
      <c r="BR213" s="241"/>
      <c r="BS213" s="240"/>
      <c r="BT213" s="238"/>
      <c r="BU213" s="238"/>
      <c r="BV213" s="241"/>
      <c r="BW213" s="229"/>
      <c r="BX213" s="215"/>
      <c r="BY213" s="125">
        <f t="shared" si="38"/>
        <v>0</v>
      </c>
      <c r="BZ213" s="126">
        <f t="shared" si="39"/>
        <v>22.57</v>
      </c>
      <c r="CA213" s="126">
        <f t="shared" si="40"/>
        <v>0</v>
      </c>
      <c r="CB213" s="127">
        <f t="shared" si="41"/>
        <v>0</v>
      </c>
      <c r="CC213" s="768"/>
    </row>
    <row r="214" spans="1:81" s="230" customFormat="1" ht="16.7" customHeight="1" outlineLevel="5" x14ac:dyDescent="0.25">
      <c r="A214" s="216"/>
      <c r="B214" s="215"/>
      <c r="C214" s="216"/>
      <c r="D214" s="216"/>
      <c r="E214" s="216"/>
      <c r="F214" s="216"/>
      <c r="G214" s="216"/>
      <c r="H214" s="216"/>
      <c r="I214" s="216"/>
      <c r="J214" s="215"/>
      <c r="K214" s="217"/>
      <c r="L214" s="216"/>
      <c r="M214" s="215"/>
      <c r="N214" s="215"/>
      <c r="O214" s="215"/>
      <c r="P214" s="215"/>
      <c r="Q214" s="215"/>
      <c r="R214" s="215"/>
      <c r="S214" s="215"/>
      <c r="T214" s="215"/>
      <c r="U214" s="215"/>
      <c r="V214" s="215"/>
      <c r="W214" s="215"/>
      <c r="X214" s="215"/>
      <c r="Y214" s="215"/>
      <c r="Z214" s="215"/>
      <c r="AA214" s="215"/>
      <c r="AB214" s="247"/>
      <c r="AC214" s="219" t="s">
        <v>284</v>
      </c>
      <c r="AD214" s="220" t="s">
        <v>247</v>
      </c>
      <c r="AE214" s="221"/>
      <c r="AF214" s="248"/>
      <c r="AG214" s="248"/>
      <c r="AH214" s="249"/>
      <c r="AI214" s="228"/>
      <c r="AJ214" s="225"/>
      <c r="AK214" s="225"/>
      <c r="AL214" s="227"/>
      <c r="AM214" s="224">
        <v>17.63</v>
      </c>
      <c r="AN214" s="225">
        <v>42.05</v>
      </c>
      <c r="AO214" s="225">
        <v>21.06</v>
      </c>
      <c r="AP214" s="226"/>
      <c r="AQ214" s="228">
        <v>21.98</v>
      </c>
      <c r="AR214" s="225"/>
      <c r="AS214" s="225">
        <v>24.19</v>
      </c>
      <c r="AT214" s="227"/>
      <c r="AU214" s="224"/>
      <c r="AV214" s="225"/>
      <c r="AW214" s="225"/>
      <c r="AX214" s="227"/>
      <c r="AY214" s="224">
        <v>20.84</v>
      </c>
      <c r="AZ214" s="225"/>
      <c r="BA214" s="225">
        <v>30.84</v>
      </c>
      <c r="BB214" s="227"/>
      <c r="BC214" s="224"/>
      <c r="BD214" s="225"/>
      <c r="BE214" s="225"/>
      <c r="BF214" s="236"/>
      <c r="BG214" s="224"/>
      <c r="BH214" s="225"/>
      <c r="BI214" s="225"/>
      <c r="BJ214" s="227"/>
      <c r="BK214" s="224"/>
      <c r="BL214" s="225"/>
      <c r="BM214" s="225">
        <v>52.38</v>
      </c>
      <c r="BN214" s="227"/>
      <c r="BO214" s="240">
        <v>23.655000000000001</v>
      </c>
      <c r="BP214" s="238"/>
      <c r="BQ214" s="238"/>
      <c r="BR214" s="241"/>
      <c r="BS214" s="240">
        <v>38.770000000000003</v>
      </c>
      <c r="BT214" s="238"/>
      <c r="BU214" s="238"/>
      <c r="BV214" s="241"/>
      <c r="BW214" s="229"/>
      <c r="BX214" s="215"/>
      <c r="BY214" s="125">
        <f t="shared" si="38"/>
        <v>122.875</v>
      </c>
      <c r="BZ214" s="126">
        <f t="shared" si="39"/>
        <v>42.05</v>
      </c>
      <c r="CA214" s="126">
        <f t="shared" si="40"/>
        <v>128.47</v>
      </c>
      <c r="CB214" s="127">
        <f t="shared" si="41"/>
        <v>0</v>
      </c>
      <c r="CC214" s="768"/>
    </row>
    <row r="215" spans="1:81" s="230" customFormat="1" ht="16.7" customHeight="1" outlineLevel="5" x14ac:dyDescent="0.25">
      <c r="A215" s="216"/>
      <c r="B215" s="215"/>
      <c r="C215" s="216"/>
      <c r="D215" s="216"/>
      <c r="E215" s="216"/>
      <c r="F215" s="216"/>
      <c r="G215" s="216"/>
      <c r="H215" s="216"/>
      <c r="I215" s="216"/>
      <c r="J215" s="215"/>
      <c r="K215" s="217"/>
      <c r="L215" s="216"/>
      <c r="M215" s="215"/>
      <c r="N215" s="215"/>
      <c r="O215" s="215"/>
      <c r="P215" s="215"/>
      <c r="Q215" s="215"/>
      <c r="R215" s="215"/>
      <c r="S215" s="215"/>
      <c r="T215" s="215"/>
      <c r="U215" s="215"/>
      <c r="V215" s="215"/>
      <c r="W215" s="215"/>
      <c r="X215" s="215"/>
      <c r="Y215" s="215"/>
      <c r="Z215" s="215"/>
      <c r="AA215" s="215"/>
      <c r="AB215" s="247"/>
      <c r="AC215" s="219" t="s">
        <v>285</v>
      </c>
      <c r="AD215" s="220" t="s">
        <v>247</v>
      </c>
      <c r="AE215" s="221"/>
      <c r="AF215" s="248"/>
      <c r="AG215" s="248"/>
      <c r="AH215" s="249"/>
      <c r="AI215" s="228"/>
      <c r="AJ215" s="225">
        <v>664.31</v>
      </c>
      <c r="AK215" s="225"/>
      <c r="AL215" s="227"/>
      <c r="AM215" s="224"/>
      <c r="AN215" s="225"/>
      <c r="AO215" s="225"/>
      <c r="AP215" s="226"/>
      <c r="AQ215" s="228"/>
      <c r="AR215" s="225"/>
      <c r="AS215" s="225"/>
      <c r="AT215" s="227"/>
      <c r="AU215" s="224"/>
      <c r="AV215" s="225"/>
      <c r="AW215" s="225"/>
      <c r="AX215" s="227"/>
      <c r="AY215" s="224"/>
      <c r="AZ215" s="225"/>
      <c r="BA215" s="225"/>
      <c r="BB215" s="227"/>
      <c r="BC215" s="224"/>
      <c r="BD215" s="225"/>
      <c r="BE215" s="225"/>
      <c r="BF215" s="236"/>
      <c r="BG215" s="224"/>
      <c r="BH215" s="225">
        <v>96.83</v>
      </c>
      <c r="BI215" s="225"/>
      <c r="BJ215" s="227">
        <f>BH215*1.04048</f>
        <v>100.74967840000001</v>
      </c>
      <c r="BK215" s="224"/>
      <c r="BL215" s="225"/>
      <c r="BM215" s="225"/>
      <c r="BN215" s="227"/>
      <c r="BO215" s="240"/>
      <c r="BP215" s="238"/>
      <c r="BQ215" s="238"/>
      <c r="BR215" s="241"/>
      <c r="BS215" s="240"/>
      <c r="BT215" s="238"/>
      <c r="BU215" s="238"/>
      <c r="BV215" s="241"/>
      <c r="BW215" s="229"/>
      <c r="BX215" s="215"/>
      <c r="BY215" s="125">
        <f t="shared" si="38"/>
        <v>0</v>
      </c>
      <c r="BZ215" s="126">
        <f t="shared" si="39"/>
        <v>761.14</v>
      </c>
      <c r="CA215" s="126">
        <f t="shared" si="40"/>
        <v>0</v>
      </c>
      <c r="CB215" s="127">
        <f t="shared" si="41"/>
        <v>100.74967840000001</v>
      </c>
      <c r="CC215" s="768"/>
    </row>
    <row r="216" spans="1:81" s="230" customFormat="1" ht="16.7" customHeight="1" outlineLevel="5" x14ac:dyDescent="0.25">
      <c r="A216" s="216"/>
      <c r="B216" s="215"/>
      <c r="C216" s="216"/>
      <c r="D216" s="216"/>
      <c r="E216" s="216"/>
      <c r="F216" s="216"/>
      <c r="G216" s="216"/>
      <c r="H216" s="216"/>
      <c r="I216" s="216"/>
      <c r="J216" s="215"/>
      <c r="K216" s="217"/>
      <c r="L216" s="216"/>
      <c r="M216" s="215"/>
      <c r="N216" s="215"/>
      <c r="O216" s="215"/>
      <c r="P216" s="215"/>
      <c r="Q216" s="215"/>
      <c r="R216" s="215"/>
      <c r="S216" s="215"/>
      <c r="T216" s="215"/>
      <c r="U216" s="215"/>
      <c r="V216" s="215"/>
      <c r="W216" s="215"/>
      <c r="X216" s="215"/>
      <c r="Y216" s="215"/>
      <c r="Z216" s="215"/>
      <c r="AA216" s="215"/>
      <c r="AB216" s="247"/>
      <c r="AC216" s="219" t="s">
        <v>724</v>
      </c>
      <c r="AD216" s="220" t="s">
        <v>247</v>
      </c>
      <c r="AE216" s="221"/>
      <c r="AF216" s="248"/>
      <c r="AG216" s="248"/>
      <c r="AH216" s="249"/>
      <c r="AI216" s="228"/>
      <c r="AJ216" s="225"/>
      <c r="AK216" s="225"/>
      <c r="AL216" s="227"/>
      <c r="AM216" s="224"/>
      <c r="AN216" s="225"/>
      <c r="AO216" s="225"/>
      <c r="AP216" s="226"/>
      <c r="AQ216" s="228"/>
      <c r="AR216" s="225"/>
      <c r="AS216" s="225"/>
      <c r="AT216" s="227"/>
      <c r="AU216" s="224"/>
      <c r="AV216" s="225"/>
      <c r="AW216" s="225"/>
      <c r="AX216" s="227"/>
      <c r="AY216" s="224">
        <v>16.36</v>
      </c>
      <c r="AZ216" s="225"/>
      <c r="BA216" s="225">
        <v>18</v>
      </c>
      <c r="BB216" s="227"/>
      <c r="BC216" s="224"/>
      <c r="BD216" s="225"/>
      <c r="BE216" s="225"/>
      <c r="BF216" s="236">
        <f>45.5+96.39</f>
        <v>141.88999999999999</v>
      </c>
      <c r="BG216" s="224"/>
      <c r="BH216" s="225"/>
      <c r="BI216" s="225"/>
      <c r="BJ216" s="227"/>
      <c r="BK216" s="224"/>
      <c r="BL216" s="225"/>
      <c r="BM216" s="225"/>
      <c r="BN216" s="227"/>
      <c r="BO216" s="240"/>
      <c r="BP216" s="238"/>
      <c r="BQ216" s="238"/>
      <c r="BR216" s="241"/>
      <c r="BS216" s="240"/>
      <c r="BT216" s="238"/>
      <c r="BU216" s="238"/>
      <c r="BV216" s="241"/>
      <c r="BW216" s="229"/>
      <c r="BX216" s="215"/>
      <c r="BY216" s="125">
        <f t="shared" si="38"/>
        <v>16.36</v>
      </c>
      <c r="BZ216" s="126">
        <f t="shared" si="39"/>
        <v>0</v>
      </c>
      <c r="CA216" s="126">
        <f t="shared" si="40"/>
        <v>18</v>
      </c>
      <c r="CB216" s="127">
        <f t="shared" si="41"/>
        <v>141.88999999999999</v>
      </c>
      <c r="CC216" s="768"/>
    </row>
    <row r="217" spans="1:81" s="230" customFormat="1" ht="16.7" customHeight="1" outlineLevel="5" x14ac:dyDescent="0.25">
      <c r="A217" s="216"/>
      <c r="B217" s="215"/>
      <c r="C217" s="216"/>
      <c r="D217" s="216"/>
      <c r="E217" s="216"/>
      <c r="F217" s="216"/>
      <c r="G217" s="216"/>
      <c r="H217" s="216"/>
      <c r="I217" s="216"/>
      <c r="J217" s="215"/>
      <c r="K217" s="217"/>
      <c r="L217" s="216"/>
      <c r="M217" s="215"/>
      <c r="N217" s="215"/>
      <c r="O217" s="215"/>
      <c r="P217" s="215"/>
      <c r="Q217" s="215"/>
      <c r="R217" s="215"/>
      <c r="S217" s="215"/>
      <c r="T217" s="215"/>
      <c r="U217" s="215"/>
      <c r="V217" s="215"/>
      <c r="W217" s="215"/>
      <c r="X217" s="215"/>
      <c r="Y217" s="215"/>
      <c r="Z217" s="215"/>
      <c r="AA217" s="215"/>
      <c r="AB217" s="247"/>
      <c r="AC217" s="219" t="s">
        <v>287</v>
      </c>
      <c r="AD217" s="220" t="s">
        <v>247</v>
      </c>
      <c r="AE217" s="221"/>
      <c r="AF217" s="248"/>
      <c r="AG217" s="248"/>
      <c r="AH217" s="249"/>
      <c r="AI217" s="228">
        <v>9.6300000000000008</v>
      </c>
      <c r="AJ217" s="225"/>
      <c r="AK217" s="225"/>
      <c r="AL217" s="227"/>
      <c r="AM217" s="224">
        <v>9.6300000000000008</v>
      </c>
      <c r="AN217" s="225">
        <v>11.35</v>
      </c>
      <c r="AO217" s="225">
        <v>10.6</v>
      </c>
      <c r="AP217" s="226"/>
      <c r="AQ217" s="228">
        <v>9.6300000000000008</v>
      </c>
      <c r="AR217" s="225"/>
      <c r="AS217" s="225">
        <v>10.6</v>
      </c>
      <c r="AT217" s="227"/>
      <c r="AU217" s="224">
        <v>9.6300000000000008</v>
      </c>
      <c r="AV217" s="225"/>
      <c r="AW217" s="225">
        <v>10.6</v>
      </c>
      <c r="AX217" s="227"/>
      <c r="AY217" s="224">
        <v>17.12</v>
      </c>
      <c r="AZ217" s="225"/>
      <c r="BA217" s="225">
        <v>18.84</v>
      </c>
      <c r="BB217" s="227"/>
      <c r="BC217" s="224"/>
      <c r="BD217" s="225"/>
      <c r="BE217" s="225"/>
      <c r="BF217" s="236"/>
      <c r="BG217" s="224"/>
      <c r="BH217" s="225"/>
      <c r="BI217" s="225"/>
      <c r="BJ217" s="227"/>
      <c r="BK217" s="224"/>
      <c r="BL217" s="225"/>
      <c r="BM217" s="225"/>
      <c r="BN217" s="227"/>
      <c r="BO217" s="240"/>
      <c r="BP217" s="238"/>
      <c r="BQ217" s="238"/>
      <c r="BR217" s="241"/>
      <c r="BS217" s="240"/>
      <c r="BT217" s="238"/>
      <c r="BU217" s="238"/>
      <c r="BV217" s="241"/>
      <c r="BW217" s="229"/>
      <c r="BX217" s="215"/>
      <c r="BY217" s="125">
        <f t="shared" si="38"/>
        <v>55.64</v>
      </c>
      <c r="BZ217" s="126">
        <f t="shared" si="39"/>
        <v>11.35</v>
      </c>
      <c r="CA217" s="126">
        <f t="shared" si="40"/>
        <v>50.64</v>
      </c>
      <c r="CB217" s="127">
        <f t="shared" si="41"/>
        <v>0</v>
      </c>
      <c r="CC217" s="768"/>
    </row>
    <row r="218" spans="1:81" s="230" customFormat="1" ht="16.7" customHeight="1" outlineLevel="5" x14ac:dyDescent="0.25">
      <c r="A218" s="216"/>
      <c r="B218" s="215"/>
      <c r="C218" s="216"/>
      <c r="D218" s="216"/>
      <c r="E218" s="216"/>
      <c r="F218" s="216"/>
      <c r="G218" s="216"/>
      <c r="H218" s="216"/>
      <c r="I218" s="216"/>
      <c r="J218" s="215"/>
      <c r="K218" s="217"/>
      <c r="L218" s="216"/>
      <c r="M218" s="215"/>
      <c r="N218" s="215"/>
      <c r="O218" s="215"/>
      <c r="P218" s="215"/>
      <c r="Q218" s="215"/>
      <c r="R218" s="215"/>
      <c r="S218" s="215"/>
      <c r="T218" s="215"/>
      <c r="U218" s="215"/>
      <c r="V218" s="215"/>
      <c r="W218" s="215"/>
      <c r="X218" s="215"/>
      <c r="Y218" s="215"/>
      <c r="Z218" s="215"/>
      <c r="AA218" s="215"/>
      <c r="AB218" s="247"/>
      <c r="AC218" s="219" t="s">
        <v>288</v>
      </c>
      <c r="AD218" s="220" t="s">
        <v>247</v>
      </c>
      <c r="AE218" s="221"/>
      <c r="AF218" s="248"/>
      <c r="AG218" s="248"/>
      <c r="AH218" s="249"/>
      <c r="AI218" s="228"/>
      <c r="AJ218" s="225"/>
      <c r="AK218" s="225"/>
      <c r="AL218" s="227"/>
      <c r="AM218" s="224">
        <v>44.01</v>
      </c>
      <c r="AN218" s="225">
        <v>1.9</v>
      </c>
      <c r="AO218" s="225">
        <v>48.43</v>
      </c>
      <c r="AP218" s="226"/>
      <c r="AQ218" s="228">
        <v>2.2599999999999998</v>
      </c>
      <c r="AR218" s="225"/>
      <c r="AS218" s="225">
        <v>2.4900000000000002</v>
      </c>
      <c r="AT218" s="227"/>
      <c r="AU218" s="224">
        <v>39.6</v>
      </c>
      <c r="AV218" s="225"/>
      <c r="AW218" s="225">
        <v>43.57</v>
      </c>
      <c r="AX218" s="227"/>
      <c r="AY218" s="224">
        <v>110.62</v>
      </c>
      <c r="AZ218" s="225"/>
      <c r="BA218" s="225">
        <v>121.72</v>
      </c>
      <c r="BB218" s="227"/>
      <c r="BC218" s="224">
        <v>66.087999999999994</v>
      </c>
      <c r="BD218" s="225"/>
      <c r="BE218" s="225">
        <v>0.71499999999999997</v>
      </c>
      <c r="BF218" s="236"/>
      <c r="BG218" s="224">
        <v>103.899</v>
      </c>
      <c r="BH218" s="225"/>
      <c r="BI218" s="770">
        <v>114.32299999999999</v>
      </c>
      <c r="BJ218" s="236"/>
      <c r="BK218" s="224"/>
      <c r="BL218" s="225"/>
      <c r="BM218" s="225"/>
      <c r="BN218" s="227"/>
      <c r="BO218" s="240"/>
      <c r="BP218" s="238"/>
      <c r="BQ218" s="238"/>
      <c r="BR218" s="241"/>
      <c r="BS218" s="240"/>
      <c r="BT218" s="238"/>
      <c r="BU218" s="238"/>
      <c r="BV218" s="241"/>
      <c r="BW218" s="229"/>
      <c r="BX218" s="215"/>
      <c r="BY218" s="125">
        <f t="shared" si="38"/>
        <v>366.47699999999998</v>
      </c>
      <c r="BZ218" s="126">
        <f t="shared" si="39"/>
        <v>1.9</v>
      </c>
      <c r="CA218" s="126">
        <f t="shared" si="40"/>
        <v>331.24799999999999</v>
      </c>
      <c r="CB218" s="127">
        <f t="shared" si="41"/>
        <v>0</v>
      </c>
      <c r="CC218" s="768"/>
    </row>
    <row r="219" spans="1:81" s="230" customFormat="1" ht="16.7" customHeight="1" outlineLevel="5" x14ac:dyDescent="0.25">
      <c r="A219" s="216"/>
      <c r="B219" s="215"/>
      <c r="C219" s="216"/>
      <c r="D219" s="216"/>
      <c r="E219" s="216"/>
      <c r="F219" s="216"/>
      <c r="G219" s="216"/>
      <c r="H219" s="216"/>
      <c r="I219" s="216"/>
      <c r="J219" s="215"/>
      <c r="K219" s="217"/>
      <c r="L219" s="216"/>
      <c r="M219" s="215"/>
      <c r="N219" s="215"/>
      <c r="O219" s="215"/>
      <c r="P219" s="215"/>
      <c r="Q219" s="215"/>
      <c r="R219" s="215"/>
      <c r="S219" s="215"/>
      <c r="T219" s="215"/>
      <c r="U219" s="215"/>
      <c r="V219" s="215"/>
      <c r="W219" s="215"/>
      <c r="X219" s="215"/>
      <c r="Y219" s="215"/>
      <c r="Z219" s="215"/>
      <c r="AA219" s="215"/>
      <c r="AB219" s="247"/>
      <c r="AC219" s="219" t="s">
        <v>289</v>
      </c>
      <c r="AD219" s="220" t="s">
        <v>247</v>
      </c>
      <c r="AE219" s="221"/>
      <c r="AF219" s="248"/>
      <c r="AG219" s="248"/>
      <c r="AH219" s="249"/>
      <c r="AI219" s="228"/>
      <c r="AJ219" s="225"/>
      <c r="AK219" s="225"/>
      <c r="AL219" s="227"/>
      <c r="AM219" s="224">
        <v>47.02</v>
      </c>
      <c r="AN219" s="225">
        <v>49.91</v>
      </c>
      <c r="AO219" s="225">
        <v>59.19</v>
      </c>
      <c r="AP219" s="226"/>
      <c r="AQ219" s="228">
        <v>19.29</v>
      </c>
      <c r="AR219" s="225">
        <v>237.98</v>
      </c>
      <c r="AS219" s="225">
        <v>24.28</v>
      </c>
      <c r="AT219" s="227"/>
      <c r="AU219" s="224">
        <v>18.09</v>
      </c>
      <c r="AV219" s="225"/>
      <c r="AW219" s="225">
        <v>19.899999999999999</v>
      </c>
      <c r="AX219" s="227"/>
      <c r="AY219" s="224">
        <v>36.17</v>
      </c>
      <c r="AZ219" s="225"/>
      <c r="BA219" s="225">
        <v>39.799999999999997</v>
      </c>
      <c r="BB219" s="227"/>
      <c r="BC219" s="224">
        <v>4.8230000000000004</v>
      </c>
      <c r="BD219" s="225"/>
      <c r="BE219" s="225">
        <v>6.0709999999999997</v>
      </c>
      <c r="BF219" s="236">
        <v>6.0650000000000004</v>
      </c>
      <c r="BG219" s="224">
        <v>27.71</v>
      </c>
      <c r="BH219" s="225"/>
      <c r="BI219" s="770">
        <v>35.479999999999997</v>
      </c>
      <c r="BJ219" s="236"/>
      <c r="BK219" s="224">
        <v>78.37</v>
      </c>
      <c r="BL219" s="225"/>
      <c r="BM219" s="225">
        <v>91.75</v>
      </c>
      <c r="BN219" s="227"/>
      <c r="BO219" s="240">
        <v>18.09</v>
      </c>
      <c r="BP219" s="238">
        <v>13.07</v>
      </c>
      <c r="BQ219" s="238">
        <v>22.77</v>
      </c>
      <c r="BR219" s="241"/>
      <c r="BS219" s="240">
        <v>33.76</v>
      </c>
      <c r="BT219" s="238"/>
      <c r="BU219" s="238">
        <v>42.5</v>
      </c>
      <c r="BV219" s="241"/>
      <c r="BW219" s="229"/>
      <c r="BX219" s="215"/>
      <c r="BY219" s="125">
        <f t="shared" si="38"/>
        <v>283.32300000000004</v>
      </c>
      <c r="BZ219" s="126">
        <f t="shared" si="39"/>
        <v>300.95999999999998</v>
      </c>
      <c r="CA219" s="126">
        <f t="shared" si="40"/>
        <v>341.74099999999999</v>
      </c>
      <c r="CB219" s="127">
        <f t="shared" si="41"/>
        <v>6.0650000000000004</v>
      </c>
      <c r="CC219" s="768"/>
    </row>
    <row r="220" spans="1:81" s="246" customFormat="1" ht="28.9" customHeight="1" outlineLevel="5" x14ac:dyDescent="0.25">
      <c r="A220" s="242"/>
      <c r="B220" s="229"/>
      <c r="C220" s="242"/>
      <c r="D220" s="242"/>
      <c r="E220" s="242"/>
      <c r="F220" s="242"/>
      <c r="G220" s="242"/>
      <c r="H220" s="242"/>
      <c r="I220" s="242"/>
      <c r="J220" s="229"/>
      <c r="K220" s="243"/>
      <c r="L220" s="242"/>
      <c r="M220" s="229"/>
      <c r="N220" s="229"/>
      <c r="O220" s="229"/>
      <c r="P220" s="229"/>
      <c r="Q220" s="229"/>
      <c r="R220" s="229"/>
      <c r="S220" s="229"/>
      <c r="T220" s="229"/>
      <c r="U220" s="229"/>
      <c r="V220" s="229"/>
      <c r="W220" s="229"/>
      <c r="X220" s="229"/>
      <c r="Y220" s="229"/>
      <c r="Z220" s="229"/>
      <c r="AA220" s="229"/>
      <c r="AB220" s="247"/>
      <c r="AC220" s="219" t="s">
        <v>290</v>
      </c>
      <c r="AD220" s="220" t="s">
        <v>247</v>
      </c>
      <c r="AE220" s="221"/>
      <c r="AF220" s="248"/>
      <c r="AG220" s="248"/>
      <c r="AH220" s="249"/>
      <c r="AI220" s="228"/>
      <c r="AJ220" s="225"/>
      <c r="AK220" s="225"/>
      <c r="AL220" s="227"/>
      <c r="AM220" s="224"/>
      <c r="AN220" s="225"/>
      <c r="AO220" s="225"/>
      <c r="AP220" s="226"/>
      <c r="AQ220" s="228"/>
      <c r="AR220" s="225"/>
      <c r="AS220" s="225"/>
      <c r="AT220" s="227"/>
      <c r="AU220" s="224"/>
      <c r="AV220" s="225"/>
      <c r="AW220" s="225"/>
      <c r="AX220" s="227"/>
      <c r="AY220" s="224"/>
      <c r="AZ220" s="225"/>
      <c r="BA220" s="225"/>
      <c r="BB220" s="227"/>
      <c r="BC220" s="224"/>
      <c r="BD220" s="225"/>
      <c r="BE220" s="225"/>
      <c r="BF220" s="236"/>
      <c r="BG220" s="224"/>
      <c r="BH220" s="225"/>
      <c r="BI220" s="225"/>
      <c r="BJ220" s="227"/>
      <c r="BK220" s="224"/>
      <c r="BL220" s="225"/>
      <c r="BM220" s="225"/>
      <c r="BN220" s="227"/>
      <c r="BO220" s="240"/>
      <c r="BP220" s="238"/>
      <c r="BQ220" s="238"/>
      <c r="BR220" s="241"/>
      <c r="BS220" s="240"/>
      <c r="BT220" s="238"/>
      <c r="BU220" s="238"/>
      <c r="BV220" s="241"/>
      <c r="BW220" s="229"/>
      <c r="BX220" s="229"/>
      <c r="BY220" s="125">
        <f t="shared" ref="BY220:BY249" si="45">AE220+AI220+AM220+AQ220+AU220+AY220+BC220+BG220+BK220+BO220+BS220</f>
        <v>0</v>
      </c>
      <c r="BZ220" s="126">
        <f t="shared" ref="BZ220:BZ249" si="46">AF220+AJ220+AN220+AR220+AV220+AZ220+BD220+BH220+BL220+BP220+BT220</f>
        <v>0</v>
      </c>
      <c r="CA220" s="126">
        <f t="shared" ref="CA220:CA249" si="47">AG220+AK220+AO220+AS220+AW220+BA220+BE220+BI220+BM220+BQ220+BU220</f>
        <v>0</v>
      </c>
      <c r="CB220" s="127">
        <f t="shared" ref="CB220:CB249" si="48">AH220+AL220+AP220+AT220+AX220+BB220+BF220+BJ220+BN220+BR220+BV220</f>
        <v>0</v>
      </c>
      <c r="CC220" s="771"/>
    </row>
    <row r="221" spans="1:81" s="230" customFormat="1" ht="15.95" customHeight="1" outlineLevel="5" x14ac:dyDescent="0.25">
      <c r="A221" s="216"/>
      <c r="B221" s="215"/>
      <c r="C221" s="216"/>
      <c r="D221" s="216"/>
      <c r="E221" s="216"/>
      <c r="F221" s="216"/>
      <c r="G221" s="216"/>
      <c r="H221" s="216"/>
      <c r="I221" s="216"/>
      <c r="J221" s="215"/>
      <c r="K221" s="217"/>
      <c r="L221" s="216"/>
      <c r="M221" s="215"/>
      <c r="N221" s="215"/>
      <c r="O221" s="215"/>
      <c r="P221" s="215"/>
      <c r="Q221" s="215"/>
      <c r="R221" s="215"/>
      <c r="S221" s="215"/>
      <c r="T221" s="215"/>
      <c r="U221" s="215"/>
      <c r="V221" s="215"/>
      <c r="W221" s="215"/>
      <c r="X221" s="215"/>
      <c r="Y221" s="215"/>
      <c r="Z221" s="215"/>
      <c r="AA221" s="215"/>
      <c r="AB221" s="247"/>
      <c r="AC221" s="219" t="s">
        <v>291</v>
      </c>
      <c r="AD221" s="220" t="s">
        <v>247</v>
      </c>
      <c r="AE221" s="221"/>
      <c r="AF221" s="248"/>
      <c r="AG221" s="248"/>
      <c r="AH221" s="249"/>
      <c r="AI221" s="228"/>
      <c r="AJ221" s="225"/>
      <c r="AK221" s="225"/>
      <c r="AL221" s="227"/>
      <c r="AM221" s="224"/>
      <c r="AN221" s="225"/>
      <c r="AO221" s="225"/>
      <c r="AP221" s="226"/>
      <c r="AQ221" s="228">
        <f>27.25+5.08</f>
        <v>32.33</v>
      </c>
      <c r="AR221" s="225"/>
      <c r="AS221" s="225">
        <f>36.96+8.99</f>
        <v>45.95</v>
      </c>
      <c r="AT221" s="227"/>
      <c r="AU221" s="224"/>
      <c r="AV221" s="225"/>
      <c r="AW221" s="225"/>
      <c r="AX221" s="227"/>
      <c r="AY221" s="224"/>
      <c r="AZ221" s="225"/>
      <c r="BA221" s="225"/>
      <c r="BB221" s="227"/>
      <c r="BC221" s="224"/>
      <c r="BD221" s="225"/>
      <c r="BE221" s="225"/>
      <c r="BF221" s="236"/>
      <c r="BG221" s="224"/>
      <c r="BH221" s="225"/>
      <c r="BI221" s="225"/>
      <c r="BJ221" s="227"/>
      <c r="BK221" s="224"/>
      <c r="BL221" s="225"/>
      <c r="BM221" s="225"/>
      <c r="BN221" s="227"/>
      <c r="BO221" s="240"/>
      <c r="BP221" s="238"/>
      <c r="BQ221" s="238"/>
      <c r="BR221" s="241"/>
      <c r="BS221" s="240"/>
      <c r="BT221" s="238"/>
      <c r="BU221" s="238"/>
      <c r="BV221" s="241"/>
      <c r="BW221" s="229"/>
      <c r="BX221" s="215"/>
      <c r="BY221" s="125">
        <f t="shared" si="45"/>
        <v>32.33</v>
      </c>
      <c r="BZ221" s="126">
        <f t="shared" si="46"/>
        <v>0</v>
      </c>
      <c r="CA221" s="126">
        <f t="shared" si="47"/>
        <v>45.95</v>
      </c>
      <c r="CB221" s="127">
        <f t="shared" si="48"/>
        <v>0</v>
      </c>
      <c r="CC221" s="768"/>
    </row>
    <row r="222" spans="1:81" s="230" customFormat="1" ht="15.95" customHeight="1" outlineLevel="5" x14ac:dyDescent="0.25">
      <c r="A222" s="216"/>
      <c r="B222" s="215"/>
      <c r="C222" s="216"/>
      <c r="D222" s="216"/>
      <c r="E222" s="216"/>
      <c r="F222" s="216"/>
      <c r="G222" s="216"/>
      <c r="H222" s="216"/>
      <c r="I222" s="216"/>
      <c r="J222" s="215"/>
      <c r="K222" s="217"/>
      <c r="L222" s="216"/>
      <c r="M222" s="215"/>
      <c r="N222" s="215"/>
      <c r="O222" s="215"/>
      <c r="P222" s="215"/>
      <c r="Q222" s="215"/>
      <c r="R222" s="215"/>
      <c r="S222" s="215"/>
      <c r="T222" s="215"/>
      <c r="U222" s="215"/>
      <c r="V222" s="215"/>
      <c r="W222" s="215"/>
      <c r="X222" s="215"/>
      <c r="Y222" s="215"/>
      <c r="Z222" s="215"/>
      <c r="AA222" s="215"/>
      <c r="AB222" s="247"/>
      <c r="AC222" s="219" t="s">
        <v>292</v>
      </c>
      <c r="AD222" s="220" t="s">
        <v>247</v>
      </c>
      <c r="AE222" s="221"/>
      <c r="AF222" s="248"/>
      <c r="AG222" s="248"/>
      <c r="AH222" s="249"/>
      <c r="AI222" s="228"/>
      <c r="AJ222" s="225"/>
      <c r="AK222" s="225"/>
      <c r="AL222" s="227"/>
      <c r="AM222" s="224"/>
      <c r="AN222" s="225"/>
      <c r="AO222" s="225"/>
      <c r="AP222" s="226"/>
      <c r="AQ222" s="228">
        <v>46.09</v>
      </c>
      <c r="AR222" s="225">
        <v>69.650000000000006</v>
      </c>
      <c r="AS222" s="225">
        <v>50.71</v>
      </c>
      <c r="AT222" s="227"/>
      <c r="AU222" s="224"/>
      <c r="AV222" s="225"/>
      <c r="AW222" s="225"/>
      <c r="AX222" s="227"/>
      <c r="AY222" s="224"/>
      <c r="AZ222" s="225"/>
      <c r="BA222" s="225"/>
      <c r="BB222" s="227"/>
      <c r="BC222" s="224"/>
      <c r="BD222" s="225"/>
      <c r="BE222" s="225"/>
      <c r="BF222" s="236"/>
      <c r="BG222" s="224"/>
      <c r="BH222" s="225"/>
      <c r="BI222" s="225"/>
      <c r="BJ222" s="227"/>
      <c r="BK222" s="224"/>
      <c r="BL222" s="225"/>
      <c r="BM222" s="225"/>
      <c r="BN222" s="227"/>
      <c r="BO222" s="240"/>
      <c r="BP222" s="238"/>
      <c r="BQ222" s="238"/>
      <c r="BR222" s="241"/>
      <c r="BS222" s="240"/>
      <c r="BT222" s="238"/>
      <c r="BU222" s="238"/>
      <c r="BV222" s="241"/>
      <c r="BW222" s="229"/>
      <c r="BX222" s="215"/>
      <c r="BY222" s="125">
        <f t="shared" si="45"/>
        <v>46.09</v>
      </c>
      <c r="BZ222" s="126">
        <f t="shared" si="46"/>
        <v>69.650000000000006</v>
      </c>
      <c r="CA222" s="126">
        <f t="shared" si="47"/>
        <v>50.71</v>
      </c>
      <c r="CB222" s="127">
        <f t="shared" si="48"/>
        <v>0</v>
      </c>
      <c r="CC222" s="768"/>
    </row>
    <row r="223" spans="1:81" s="246" customFormat="1" ht="29.85" customHeight="1" outlineLevel="5" x14ac:dyDescent="0.25">
      <c r="A223" s="242"/>
      <c r="B223" s="229"/>
      <c r="C223" s="242"/>
      <c r="D223" s="242"/>
      <c r="E223" s="242"/>
      <c r="F223" s="242"/>
      <c r="G223" s="242"/>
      <c r="H223" s="242"/>
      <c r="I223" s="242"/>
      <c r="J223" s="229"/>
      <c r="K223" s="243"/>
      <c r="L223" s="242"/>
      <c r="M223" s="229"/>
      <c r="N223" s="229"/>
      <c r="O223" s="229"/>
      <c r="P223" s="229"/>
      <c r="Q223" s="229"/>
      <c r="R223" s="229"/>
      <c r="S223" s="229"/>
      <c r="T223" s="229"/>
      <c r="U223" s="229"/>
      <c r="V223" s="229"/>
      <c r="W223" s="229"/>
      <c r="X223" s="229"/>
      <c r="Y223" s="229"/>
      <c r="Z223" s="229"/>
      <c r="AA223" s="229"/>
      <c r="AB223" s="247"/>
      <c r="AC223" s="219" t="s">
        <v>293</v>
      </c>
      <c r="AD223" s="220" t="s">
        <v>247</v>
      </c>
      <c r="AE223" s="221"/>
      <c r="AF223" s="248"/>
      <c r="AG223" s="248"/>
      <c r="AH223" s="249"/>
      <c r="AI223" s="228"/>
      <c r="AJ223" s="225"/>
      <c r="AK223" s="225"/>
      <c r="AL223" s="227"/>
      <c r="AM223" s="224">
        <v>21.66</v>
      </c>
      <c r="AN223" s="225">
        <v>43.76</v>
      </c>
      <c r="AO223" s="225">
        <v>23.83</v>
      </c>
      <c r="AP223" s="226"/>
      <c r="AQ223" s="228">
        <v>62.97</v>
      </c>
      <c r="AR223" s="225"/>
      <c r="AS223" s="225">
        <v>69.28</v>
      </c>
      <c r="AT223" s="227"/>
      <c r="AU223" s="224">
        <v>32.380000000000003</v>
      </c>
      <c r="AV223" s="225">
        <v>0</v>
      </c>
      <c r="AW223" s="225">
        <v>35.619999999999997</v>
      </c>
      <c r="AX223" s="227"/>
      <c r="AY223" s="224">
        <f>67.5+0.13</f>
        <v>67.63</v>
      </c>
      <c r="AZ223" s="225"/>
      <c r="BA223" s="225">
        <v>74.27</v>
      </c>
      <c r="BB223" s="227"/>
      <c r="BC223" s="224">
        <v>413</v>
      </c>
      <c r="BD223" s="225"/>
      <c r="BE223" s="225">
        <v>400</v>
      </c>
      <c r="BF223" s="236"/>
      <c r="BG223" s="224">
        <v>32.5</v>
      </c>
      <c r="BH223" s="225"/>
      <c r="BI223" s="770">
        <v>35.76</v>
      </c>
      <c r="BJ223" s="236"/>
      <c r="BK223" s="224">
        <v>70</v>
      </c>
      <c r="BL223" s="225"/>
      <c r="BM223" s="225">
        <f>63.4+223.51</f>
        <v>286.90999999999997</v>
      </c>
      <c r="BN223" s="227"/>
      <c r="BO223" s="240"/>
      <c r="BP223" s="238"/>
      <c r="BQ223" s="238"/>
      <c r="BR223" s="241"/>
      <c r="BS223" s="240">
        <v>16.5</v>
      </c>
      <c r="BT223" s="238"/>
      <c r="BU223" s="238">
        <v>18.16</v>
      </c>
      <c r="BV223" s="241"/>
      <c r="BW223" s="229"/>
      <c r="BX223" s="229"/>
      <c r="BY223" s="125">
        <f t="shared" si="45"/>
        <v>716.64</v>
      </c>
      <c r="BZ223" s="126">
        <f t="shared" si="46"/>
        <v>43.76</v>
      </c>
      <c r="CA223" s="126">
        <f t="shared" si="47"/>
        <v>943.82999999999993</v>
      </c>
      <c r="CB223" s="127">
        <f t="shared" si="48"/>
        <v>0</v>
      </c>
      <c r="CC223" s="771"/>
    </row>
    <row r="224" spans="1:81" s="230" customFormat="1" ht="29.85" customHeight="1" outlineLevel="5" x14ac:dyDescent="0.25">
      <c r="A224" s="216"/>
      <c r="B224" s="215"/>
      <c r="C224" s="216"/>
      <c r="D224" s="216"/>
      <c r="E224" s="216"/>
      <c r="F224" s="216"/>
      <c r="G224" s="216"/>
      <c r="H224" s="216"/>
      <c r="I224" s="216"/>
      <c r="J224" s="215"/>
      <c r="K224" s="217"/>
      <c r="L224" s="216"/>
      <c r="M224" s="215"/>
      <c r="N224" s="215"/>
      <c r="O224" s="215"/>
      <c r="P224" s="215"/>
      <c r="Q224" s="215"/>
      <c r="R224" s="215"/>
      <c r="S224" s="215"/>
      <c r="T224" s="215"/>
      <c r="U224" s="215"/>
      <c r="V224" s="215"/>
      <c r="W224" s="215"/>
      <c r="X224" s="215"/>
      <c r="Y224" s="215"/>
      <c r="Z224" s="215"/>
      <c r="AA224" s="215"/>
      <c r="AB224" s="247"/>
      <c r="AC224" s="219" t="s">
        <v>294</v>
      </c>
      <c r="AD224" s="220" t="s">
        <v>247</v>
      </c>
      <c r="AE224" s="221"/>
      <c r="AF224" s="248"/>
      <c r="AG224" s="248"/>
      <c r="AH224" s="249"/>
      <c r="AI224" s="228">
        <v>2.7</v>
      </c>
      <c r="AJ224" s="225"/>
      <c r="AK224" s="225">
        <f>2.8+37.7</f>
        <v>40.5</v>
      </c>
      <c r="AL224" s="227"/>
      <c r="AM224" s="224">
        <v>8.8000000000000007</v>
      </c>
      <c r="AN224" s="225">
        <v>19.37</v>
      </c>
      <c r="AO224" s="225">
        <v>10.67</v>
      </c>
      <c r="AP224" s="226"/>
      <c r="AQ224" s="228"/>
      <c r="AR224" s="225"/>
      <c r="AS224" s="225">
        <v>2.5</v>
      </c>
      <c r="AT224" s="227"/>
      <c r="AU224" s="224"/>
      <c r="AV224" s="225"/>
      <c r="AW224" s="225">
        <v>0.78</v>
      </c>
      <c r="AX224" s="227"/>
      <c r="AY224" s="224"/>
      <c r="AZ224" s="225"/>
      <c r="BA224" s="225"/>
      <c r="BB224" s="227"/>
      <c r="BC224" s="224"/>
      <c r="BD224" s="225"/>
      <c r="BE224" s="225">
        <v>1.2829999999999999</v>
      </c>
      <c r="BF224" s="236"/>
      <c r="BG224" s="224">
        <v>9.1</v>
      </c>
      <c r="BH224" s="225"/>
      <c r="BI224" s="770">
        <v>7.3010000000000002</v>
      </c>
      <c r="BJ224" s="236"/>
      <c r="BK224" s="224"/>
      <c r="BL224" s="225"/>
      <c r="BM224" s="225"/>
      <c r="BN224" s="227"/>
      <c r="BO224" s="240"/>
      <c r="BP224" s="238"/>
      <c r="BQ224" s="238"/>
      <c r="BR224" s="241"/>
      <c r="BS224" s="240">
        <v>6.15</v>
      </c>
      <c r="BT224" s="238"/>
      <c r="BU224" s="238">
        <v>14.77</v>
      </c>
      <c r="BV224" s="241"/>
      <c r="BW224" s="229"/>
      <c r="BX224" s="215"/>
      <c r="BY224" s="125">
        <f t="shared" si="45"/>
        <v>26.75</v>
      </c>
      <c r="BZ224" s="126">
        <f t="shared" si="46"/>
        <v>19.37</v>
      </c>
      <c r="CA224" s="126">
        <f t="shared" si="47"/>
        <v>77.804000000000002</v>
      </c>
      <c r="CB224" s="127">
        <f t="shared" si="48"/>
        <v>0</v>
      </c>
      <c r="CC224" s="768"/>
    </row>
    <row r="225" spans="1:81" s="230" customFormat="1" ht="16.7" customHeight="1" outlineLevel="5" x14ac:dyDescent="0.25">
      <c r="A225" s="216"/>
      <c r="B225" s="215"/>
      <c r="C225" s="216"/>
      <c r="D225" s="216"/>
      <c r="E225" s="216"/>
      <c r="F225" s="216"/>
      <c r="G225" s="216"/>
      <c r="H225" s="216"/>
      <c r="I225" s="216"/>
      <c r="J225" s="215"/>
      <c r="K225" s="217"/>
      <c r="L225" s="216"/>
      <c r="M225" s="215"/>
      <c r="N225" s="215"/>
      <c r="O225" s="215"/>
      <c r="P225" s="215"/>
      <c r="Q225" s="215"/>
      <c r="R225" s="215"/>
      <c r="S225" s="215"/>
      <c r="T225" s="215"/>
      <c r="U225" s="215"/>
      <c r="V225" s="215"/>
      <c r="W225" s="215"/>
      <c r="X225" s="215"/>
      <c r="Y225" s="215"/>
      <c r="Z225" s="215"/>
      <c r="AA225" s="215"/>
      <c r="AB225" s="247"/>
      <c r="AC225" s="219" t="s">
        <v>295</v>
      </c>
      <c r="AD225" s="220" t="s">
        <v>247</v>
      </c>
      <c r="AE225" s="221"/>
      <c r="AF225" s="248"/>
      <c r="AG225" s="248"/>
      <c r="AH225" s="249"/>
      <c r="AI225" s="228"/>
      <c r="AJ225" s="225"/>
      <c r="AK225" s="225"/>
      <c r="AL225" s="227"/>
      <c r="AM225" s="224">
        <v>42.55</v>
      </c>
      <c r="AN225" s="225"/>
      <c r="AO225" s="225">
        <v>46.82</v>
      </c>
      <c r="AP225" s="226"/>
      <c r="AQ225" s="228"/>
      <c r="AR225" s="225"/>
      <c r="AS225" s="225"/>
      <c r="AT225" s="227"/>
      <c r="AU225" s="224"/>
      <c r="AV225" s="225"/>
      <c r="AW225" s="225"/>
      <c r="AX225" s="227"/>
      <c r="AY225" s="224"/>
      <c r="AZ225" s="225"/>
      <c r="BA225" s="225"/>
      <c r="BB225" s="227"/>
      <c r="BC225" s="224"/>
      <c r="BD225" s="225"/>
      <c r="BE225" s="225"/>
      <c r="BF225" s="236"/>
      <c r="BG225" s="224">
        <v>5.4</v>
      </c>
      <c r="BH225" s="225"/>
      <c r="BI225" s="770">
        <v>23.766999999999999</v>
      </c>
      <c r="BJ225" s="236"/>
      <c r="BK225" s="224">
        <v>14.5</v>
      </c>
      <c r="BL225" s="225"/>
      <c r="BM225" s="225"/>
      <c r="BN225" s="227"/>
      <c r="BO225" s="240"/>
      <c r="BP225" s="238"/>
      <c r="BQ225" s="238"/>
      <c r="BR225" s="241"/>
      <c r="BS225" s="240"/>
      <c r="BT225" s="238"/>
      <c r="BU225" s="238"/>
      <c r="BV225" s="241"/>
      <c r="BW225" s="229"/>
      <c r="BX225" s="215"/>
      <c r="BY225" s="125">
        <f t="shared" si="45"/>
        <v>62.449999999999996</v>
      </c>
      <c r="BZ225" s="126">
        <f t="shared" si="46"/>
        <v>0</v>
      </c>
      <c r="CA225" s="126">
        <f t="shared" si="47"/>
        <v>70.587000000000003</v>
      </c>
      <c r="CB225" s="127">
        <f t="shared" si="48"/>
        <v>0</v>
      </c>
      <c r="CC225" s="768"/>
    </row>
    <row r="226" spans="1:81" s="230" customFormat="1" ht="16.7" customHeight="1" outlineLevel="5" x14ac:dyDescent="0.25">
      <c r="A226" s="216"/>
      <c r="B226" s="215"/>
      <c r="C226" s="216"/>
      <c r="D226" s="216"/>
      <c r="E226" s="216"/>
      <c r="F226" s="216"/>
      <c r="G226" s="216"/>
      <c r="H226" s="216"/>
      <c r="I226" s="216"/>
      <c r="J226" s="215"/>
      <c r="K226" s="217"/>
      <c r="L226" s="216"/>
      <c r="M226" s="215"/>
      <c r="N226" s="215"/>
      <c r="O226" s="215"/>
      <c r="P226" s="215"/>
      <c r="Q226" s="215"/>
      <c r="R226" s="215"/>
      <c r="S226" s="215"/>
      <c r="T226" s="215"/>
      <c r="U226" s="215"/>
      <c r="V226" s="215"/>
      <c r="W226" s="215"/>
      <c r="X226" s="215"/>
      <c r="Y226" s="215"/>
      <c r="Z226" s="215"/>
      <c r="AA226" s="215"/>
      <c r="AB226" s="247"/>
      <c r="AC226" s="219" t="s">
        <v>246</v>
      </c>
      <c r="AD226" s="220" t="s">
        <v>247</v>
      </c>
      <c r="AE226" s="221"/>
      <c r="AF226" s="248"/>
      <c r="AG226" s="248"/>
      <c r="AH226" s="249"/>
      <c r="AI226" s="228"/>
      <c r="AJ226" s="225"/>
      <c r="AK226" s="225"/>
      <c r="AL226" s="227"/>
      <c r="AM226" s="224"/>
      <c r="AN226" s="225"/>
      <c r="AO226" s="225"/>
      <c r="AP226" s="226"/>
      <c r="AQ226" s="228">
        <v>5.24</v>
      </c>
      <c r="AR226" s="225">
        <v>10.16</v>
      </c>
      <c r="AS226" s="225">
        <v>5.76</v>
      </c>
      <c r="AT226" s="227"/>
      <c r="AU226" s="224"/>
      <c r="AV226" s="225"/>
      <c r="AW226" s="225"/>
      <c r="AX226" s="227"/>
      <c r="AY226" s="224"/>
      <c r="AZ226" s="225"/>
      <c r="BA226" s="225"/>
      <c r="BB226" s="227"/>
      <c r="BC226" s="224"/>
      <c r="BD226" s="225"/>
      <c r="BE226" s="225"/>
      <c r="BF226" s="236"/>
      <c r="BG226" s="224"/>
      <c r="BH226" s="225"/>
      <c r="BI226" s="225"/>
      <c r="BJ226" s="227"/>
      <c r="BK226" s="224">
        <v>20.86</v>
      </c>
      <c r="BL226" s="225"/>
      <c r="BM226" s="225">
        <v>2.08</v>
      </c>
      <c r="BN226" s="227"/>
      <c r="BO226" s="240"/>
      <c r="BP226" s="238"/>
      <c r="BQ226" s="238"/>
      <c r="BR226" s="241"/>
      <c r="BS226" s="240"/>
      <c r="BT226" s="238"/>
      <c r="BU226" s="238"/>
      <c r="BV226" s="241"/>
      <c r="BW226" s="229"/>
      <c r="BX226" s="215"/>
      <c r="BY226" s="125">
        <f t="shared" si="45"/>
        <v>26.1</v>
      </c>
      <c r="BZ226" s="126">
        <f t="shared" si="46"/>
        <v>10.16</v>
      </c>
      <c r="CA226" s="126">
        <f t="shared" si="47"/>
        <v>7.84</v>
      </c>
      <c r="CB226" s="127">
        <f t="shared" si="48"/>
        <v>0</v>
      </c>
      <c r="CC226" s="768"/>
    </row>
    <row r="227" spans="1:81" s="230" customFormat="1" ht="30" customHeight="1" outlineLevel="5" x14ac:dyDescent="0.25">
      <c r="A227" s="216"/>
      <c r="B227" s="215"/>
      <c r="C227" s="216"/>
      <c r="D227" s="216"/>
      <c r="E227" s="216"/>
      <c r="F227" s="216"/>
      <c r="G227" s="216"/>
      <c r="H227" s="216"/>
      <c r="I227" s="216"/>
      <c r="J227" s="215"/>
      <c r="K227" s="217"/>
      <c r="L227" s="216"/>
      <c r="M227" s="215"/>
      <c r="N227" s="215"/>
      <c r="O227" s="215"/>
      <c r="P227" s="215"/>
      <c r="Q227" s="215"/>
      <c r="R227" s="215"/>
      <c r="S227" s="215"/>
      <c r="T227" s="215"/>
      <c r="U227" s="215"/>
      <c r="V227" s="215"/>
      <c r="W227" s="215"/>
      <c r="X227" s="215"/>
      <c r="Y227" s="215"/>
      <c r="Z227" s="215"/>
      <c r="AA227" s="215"/>
      <c r="AB227" s="247"/>
      <c r="AC227" s="219" t="s">
        <v>296</v>
      </c>
      <c r="AD227" s="220" t="s">
        <v>247</v>
      </c>
      <c r="AE227" s="221"/>
      <c r="AF227" s="248"/>
      <c r="AG227" s="248"/>
      <c r="AH227" s="249"/>
      <c r="AI227" s="228"/>
      <c r="AJ227" s="225"/>
      <c r="AK227" s="225"/>
      <c r="AL227" s="227"/>
      <c r="AM227" s="224">
        <v>7.5</v>
      </c>
      <c r="AN227" s="225"/>
      <c r="AO227" s="225">
        <v>7.54</v>
      </c>
      <c r="AP227" s="226"/>
      <c r="AQ227" s="228"/>
      <c r="AR227" s="225"/>
      <c r="AS227" s="225"/>
      <c r="AT227" s="227"/>
      <c r="AU227" s="224"/>
      <c r="AV227" s="225"/>
      <c r="AW227" s="225"/>
      <c r="AX227" s="227"/>
      <c r="AY227" s="224"/>
      <c r="AZ227" s="225"/>
      <c r="BA227" s="225">
        <v>3.13</v>
      </c>
      <c r="BB227" s="227"/>
      <c r="BC227" s="224"/>
      <c r="BD227" s="225"/>
      <c r="BE227" s="225"/>
      <c r="BF227" s="236"/>
      <c r="BG227" s="224"/>
      <c r="BH227" s="225"/>
      <c r="BI227" s="225"/>
      <c r="BJ227" s="227"/>
      <c r="BK227" s="224">
        <v>12.31</v>
      </c>
      <c r="BL227" s="225"/>
      <c r="BM227" s="225">
        <v>48.76</v>
      </c>
      <c r="BN227" s="227"/>
      <c r="BO227" s="240"/>
      <c r="BP227" s="238"/>
      <c r="BQ227" s="238">
        <v>1.4350000000000001</v>
      </c>
      <c r="BR227" s="241"/>
      <c r="BS227" s="240"/>
      <c r="BT227" s="238"/>
      <c r="BU227" s="238"/>
      <c r="BV227" s="241"/>
      <c r="BW227" s="229"/>
      <c r="BX227" s="215"/>
      <c r="BY227" s="125">
        <f t="shared" si="45"/>
        <v>19.810000000000002</v>
      </c>
      <c r="BZ227" s="126">
        <f t="shared" si="46"/>
        <v>0</v>
      </c>
      <c r="CA227" s="126">
        <f t="shared" si="47"/>
        <v>60.865000000000002</v>
      </c>
      <c r="CB227" s="127">
        <f t="shared" si="48"/>
        <v>0</v>
      </c>
      <c r="CC227" s="768"/>
    </row>
    <row r="228" spans="1:81" s="246" customFormat="1" ht="30.75" customHeight="1" outlineLevel="5" x14ac:dyDescent="0.25">
      <c r="A228" s="242"/>
      <c r="B228" s="229"/>
      <c r="C228" s="242"/>
      <c r="D228" s="242"/>
      <c r="E228" s="242"/>
      <c r="F228" s="242"/>
      <c r="G228" s="242"/>
      <c r="H228" s="242"/>
      <c r="I228" s="242"/>
      <c r="J228" s="229"/>
      <c r="K228" s="243"/>
      <c r="L228" s="242"/>
      <c r="M228" s="229"/>
      <c r="N228" s="229"/>
      <c r="O228" s="229"/>
      <c r="P228" s="229"/>
      <c r="Q228" s="229"/>
      <c r="R228" s="229"/>
      <c r="S228" s="229"/>
      <c r="T228" s="229"/>
      <c r="U228" s="229"/>
      <c r="V228" s="229"/>
      <c r="W228" s="229"/>
      <c r="X228" s="229"/>
      <c r="Y228" s="229"/>
      <c r="Z228" s="229"/>
      <c r="AA228" s="229"/>
      <c r="AB228" s="247"/>
      <c r="AC228" s="250" t="s">
        <v>297</v>
      </c>
      <c r="AD228" s="220" t="s">
        <v>247</v>
      </c>
      <c r="AE228" s="221"/>
      <c r="AF228" s="248"/>
      <c r="AG228" s="248"/>
      <c r="AH228" s="249"/>
      <c r="AI228" s="228"/>
      <c r="AJ228" s="225"/>
      <c r="AK228" s="225"/>
      <c r="AL228" s="227"/>
      <c r="AM228" s="224"/>
      <c r="AN228" s="225"/>
      <c r="AO228" s="225"/>
      <c r="AP228" s="226"/>
      <c r="AQ228" s="228"/>
      <c r="AR228" s="225"/>
      <c r="AS228" s="225"/>
      <c r="AT228" s="227"/>
      <c r="AU228" s="224"/>
      <c r="AV228" s="225"/>
      <c r="AW228" s="225"/>
      <c r="AX228" s="227"/>
      <c r="AY228" s="224"/>
      <c r="AZ228" s="225"/>
      <c r="BA228" s="225"/>
      <c r="BB228" s="227"/>
      <c r="BC228" s="224"/>
      <c r="BD228" s="225"/>
      <c r="BE228" s="225"/>
      <c r="BF228" s="236"/>
      <c r="BG228" s="224"/>
      <c r="BH228" s="225"/>
      <c r="BI228" s="225"/>
      <c r="BJ228" s="227"/>
      <c r="BK228" s="224"/>
      <c r="BL228" s="225"/>
      <c r="BM228" s="225"/>
      <c r="BN228" s="227"/>
      <c r="BO228" s="240"/>
      <c r="BP228" s="238"/>
      <c r="BQ228" s="238"/>
      <c r="BR228" s="241"/>
      <c r="BS228" s="240"/>
      <c r="BT228" s="238"/>
      <c r="BU228" s="238"/>
      <c r="BV228" s="241"/>
      <c r="BW228" s="229"/>
      <c r="BX228" s="229"/>
      <c r="BY228" s="125">
        <f t="shared" si="45"/>
        <v>0</v>
      </c>
      <c r="BZ228" s="126">
        <f t="shared" si="46"/>
        <v>0</v>
      </c>
      <c r="CA228" s="126">
        <f t="shared" si="47"/>
        <v>0</v>
      </c>
      <c r="CB228" s="127">
        <f t="shared" si="48"/>
        <v>0</v>
      </c>
      <c r="CC228" s="771"/>
    </row>
    <row r="229" spans="1:81" s="230" customFormat="1" ht="16.7" customHeight="1" outlineLevel="5" x14ac:dyDescent="0.25">
      <c r="A229" s="216"/>
      <c r="B229" s="215"/>
      <c r="C229" s="216"/>
      <c r="D229" s="216"/>
      <c r="E229" s="216"/>
      <c r="F229" s="216"/>
      <c r="G229" s="216"/>
      <c r="H229" s="216"/>
      <c r="I229" s="216"/>
      <c r="J229" s="215"/>
      <c r="K229" s="217"/>
      <c r="L229" s="216"/>
      <c r="M229" s="215"/>
      <c r="N229" s="215"/>
      <c r="O229" s="215"/>
      <c r="P229" s="215"/>
      <c r="Q229" s="215"/>
      <c r="R229" s="215"/>
      <c r="S229" s="215"/>
      <c r="T229" s="215"/>
      <c r="U229" s="215"/>
      <c r="V229" s="215"/>
      <c r="W229" s="215"/>
      <c r="X229" s="215"/>
      <c r="Y229" s="215"/>
      <c r="Z229" s="215"/>
      <c r="AA229" s="215"/>
      <c r="AB229" s="247"/>
      <c r="AC229" s="219" t="s">
        <v>298</v>
      </c>
      <c r="AD229" s="220" t="s">
        <v>247</v>
      </c>
      <c r="AE229" s="221"/>
      <c r="AF229" s="248"/>
      <c r="AG229" s="248"/>
      <c r="AH229" s="249"/>
      <c r="AI229" s="228"/>
      <c r="AJ229" s="225"/>
      <c r="AK229" s="225"/>
      <c r="AL229" s="227"/>
      <c r="AM229" s="224">
        <v>39.549999999999997</v>
      </c>
      <c r="AN229" s="225"/>
      <c r="AO229" s="225">
        <v>43.52</v>
      </c>
      <c r="AP229" s="226"/>
      <c r="AQ229" s="228">
        <v>90.9</v>
      </c>
      <c r="AR229" s="225"/>
      <c r="AS229" s="225">
        <v>100.02</v>
      </c>
      <c r="AT229" s="227"/>
      <c r="AU229" s="224">
        <v>19.7</v>
      </c>
      <c r="AV229" s="225">
        <v>1.72</v>
      </c>
      <c r="AW229" s="225">
        <f>21.68+7.54</f>
        <v>29.22</v>
      </c>
      <c r="AX229" s="227"/>
      <c r="AY229" s="224">
        <v>9.6999999999999993</v>
      </c>
      <c r="AZ229" s="225"/>
      <c r="BA229" s="225">
        <v>10.67</v>
      </c>
      <c r="BB229" s="227"/>
      <c r="BC229" s="224">
        <v>89.242000000000004</v>
      </c>
      <c r="BD229" s="225"/>
      <c r="BE229" s="225">
        <v>89</v>
      </c>
      <c r="BF229" s="236"/>
      <c r="BG229" s="224"/>
      <c r="BH229" s="225"/>
      <c r="BI229" s="225"/>
      <c r="BJ229" s="227"/>
      <c r="BK229" s="224"/>
      <c r="BL229" s="225"/>
      <c r="BM229" s="225"/>
      <c r="BN229" s="227"/>
      <c r="BO229" s="240"/>
      <c r="BP229" s="238"/>
      <c r="BQ229" s="238"/>
      <c r="BR229" s="241"/>
      <c r="BS229" s="240"/>
      <c r="BT229" s="238"/>
      <c r="BU229" s="238"/>
      <c r="BV229" s="241"/>
      <c r="BW229" s="229"/>
      <c r="BX229" s="215"/>
      <c r="BY229" s="125">
        <f t="shared" si="45"/>
        <v>249.09199999999998</v>
      </c>
      <c r="BZ229" s="126">
        <f t="shared" si="46"/>
        <v>1.72</v>
      </c>
      <c r="CA229" s="126">
        <f t="shared" si="47"/>
        <v>272.42999999999995</v>
      </c>
      <c r="CB229" s="127">
        <f t="shared" si="48"/>
        <v>0</v>
      </c>
      <c r="CC229" s="768"/>
    </row>
    <row r="230" spans="1:81" s="230" customFormat="1" ht="16.7" customHeight="1" outlineLevel="5" x14ac:dyDescent="0.25">
      <c r="A230" s="216"/>
      <c r="B230" s="215"/>
      <c r="C230" s="216"/>
      <c r="D230" s="216"/>
      <c r="E230" s="216"/>
      <c r="F230" s="216"/>
      <c r="G230" s="216"/>
      <c r="H230" s="216"/>
      <c r="I230" s="216"/>
      <c r="J230" s="215"/>
      <c r="K230" s="217"/>
      <c r="L230" s="216"/>
      <c r="M230" s="215"/>
      <c r="N230" s="215"/>
      <c r="O230" s="215"/>
      <c r="P230" s="215"/>
      <c r="Q230" s="215"/>
      <c r="R230" s="215"/>
      <c r="S230" s="215"/>
      <c r="T230" s="215"/>
      <c r="U230" s="215"/>
      <c r="V230" s="215"/>
      <c r="W230" s="215"/>
      <c r="X230" s="215"/>
      <c r="Y230" s="215"/>
      <c r="Z230" s="215"/>
      <c r="AA230" s="215"/>
      <c r="AB230" s="247"/>
      <c r="AC230" s="219" t="s">
        <v>299</v>
      </c>
      <c r="AD230" s="220" t="s">
        <v>247</v>
      </c>
      <c r="AE230" s="221"/>
      <c r="AF230" s="248"/>
      <c r="AG230" s="248"/>
      <c r="AH230" s="249"/>
      <c r="AI230" s="228"/>
      <c r="AJ230" s="225"/>
      <c r="AK230" s="225"/>
      <c r="AL230" s="227"/>
      <c r="AM230" s="224"/>
      <c r="AN230" s="225"/>
      <c r="AO230" s="225">
        <v>700</v>
      </c>
      <c r="AP230" s="226"/>
      <c r="AQ230" s="228"/>
      <c r="AR230" s="225"/>
      <c r="AS230" s="225"/>
      <c r="AT230" s="227"/>
      <c r="AU230" s="224"/>
      <c r="AV230" s="225"/>
      <c r="AW230" s="225"/>
      <c r="AX230" s="227"/>
      <c r="AY230" s="224"/>
      <c r="AZ230" s="225"/>
      <c r="BA230" s="225">
        <v>277.5</v>
      </c>
      <c r="BB230" s="227"/>
      <c r="BC230" s="224"/>
      <c r="BD230" s="225"/>
      <c r="BE230" s="225">
        <v>124.167</v>
      </c>
      <c r="BF230" s="236"/>
      <c r="BG230" s="224"/>
      <c r="BH230" s="225"/>
      <c r="BI230" s="225">
        <v>352.5</v>
      </c>
      <c r="BJ230" s="227"/>
      <c r="BK230" s="224"/>
      <c r="BL230" s="225"/>
      <c r="BM230" s="225"/>
      <c r="BN230" s="227"/>
      <c r="BO230" s="240"/>
      <c r="BP230" s="238"/>
      <c r="BQ230" s="238"/>
      <c r="BR230" s="241"/>
      <c r="BS230" s="240"/>
      <c r="BT230" s="238"/>
      <c r="BU230" s="238"/>
      <c r="BV230" s="241"/>
      <c r="BW230" s="229"/>
      <c r="BX230" s="215"/>
      <c r="BY230" s="125">
        <f t="shared" si="45"/>
        <v>0</v>
      </c>
      <c r="BZ230" s="126">
        <f t="shared" si="46"/>
        <v>0</v>
      </c>
      <c r="CA230" s="126">
        <f t="shared" si="47"/>
        <v>1454.1669999999999</v>
      </c>
      <c r="CB230" s="127">
        <f t="shared" si="48"/>
        <v>0</v>
      </c>
      <c r="CC230" s="768"/>
    </row>
    <row r="231" spans="1:81" s="230" customFormat="1" ht="16.7" customHeight="1" outlineLevel="5" x14ac:dyDescent="0.25">
      <c r="A231" s="216"/>
      <c r="B231" s="215"/>
      <c r="C231" s="216"/>
      <c r="D231" s="216"/>
      <c r="E231" s="216"/>
      <c r="F231" s="216"/>
      <c r="G231" s="216"/>
      <c r="H231" s="216"/>
      <c r="I231" s="216"/>
      <c r="J231" s="215"/>
      <c r="K231" s="217"/>
      <c r="L231" s="216"/>
      <c r="M231" s="215"/>
      <c r="N231" s="215"/>
      <c r="O231" s="215"/>
      <c r="P231" s="215"/>
      <c r="Q231" s="215"/>
      <c r="R231" s="215"/>
      <c r="S231" s="215"/>
      <c r="T231" s="215"/>
      <c r="U231" s="215"/>
      <c r="V231" s="215"/>
      <c r="W231" s="215"/>
      <c r="X231" s="215"/>
      <c r="Y231" s="215"/>
      <c r="Z231" s="215"/>
      <c r="AA231" s="215"/>
      <c r="AB231" s="247"/>
      <c r="AC231" s="219" t="s">
        <v>725</v>
      </c>
      <c r="AD231" s="220" t="s">
        <v>247</v>
      </c>
      <c r="AE231" s="221">
        <v>51587.15</v>
      </c>
      <c r="AF231" s="233">
        <f>28731.78-9796.32</f>
        <v>18935.46</v>
      </c>
      <c r="AG231" s="233">
        <v>62975.33</v>
      </c>
      <c r="AH231" s="234">
        <v>41936.85</v>
      </c>
      <c r="AI231" s="228">
        <v>1317.6</v>
      </c>
      <c r="AJ231" s="225"/>
      <c r="AK231" s="225">
        <v>2365.1999999999998</v>
      </c>
      <c r="AL231" s="227"/>
      <c r="AM231" s="224">
        <v>1389.6</v>
      </c>
      <c r="AN231" s="225">
        <v>1054.71</v>
      </c>
      <c r="AO231" s="225">
        <v>2464.08</v>
      </c>
      <c r="AP231" s="226"/>
      <c r="AQ231" s="228">
        <v>1527.1</v>
      </c>
      <c r="AR231" s="225"/>
      <c r="AS231" s="225">
        <v>2628.82</v>
      </c>
      <c r="AT231" s="227"/>
      <c r="AU231" s="224">
        <v>1377.1</v>
      </c>
      <c r="AV231" s="225">
        <v>0</v>
      </c>
      <c r="AW231" s="225">
        <v>2467.54</v>
      </c>
      <c r="AX231" s="227"/>
      <c r="AY231" s="224">
        <v>1173.5999999999999</v>
      </c>
      <c r="AZ231" s="225"/>
      <c r="BA231" s="225">
        <v>2444.4</v>
      </c>
      <c r="BB231" s="227"/>
      <c r="BC231" s="224">
        <v>916.79</v>
      </c>
      <c r="BD231" s="225"/>
      <c r="BE231" s="225">
        <v>2573.808</v>
      </c>
      <c r="BF231" s="236"/>
      <c r="BG231" s="224">
        <v>261.05</v>
      </c>
      <c r="BH231" s="225"/>
      <c r="BI231" s="770">
        <v>180.048</v>
      </c>
      <c r="BJ231" s="236"/>
      <c r="BK231" s="224">
        <v>2123.19</v>
      </c>
      <c r="BL231" s="225">
        <v>59.28</v>
      </c>
      <c r="BM231" s="225">
        <f>2579.2-23.4</f>
        <v>2555.7999999999997</v>
      </c>
      <c r="BN231" s="227"/>
      <c r="BO231" s="240">
        <v>658.8</v>
      </c>
      <c r="BP231" s="238">
        <v>515.03</v>
      </c>
      <c r="BQ231" s="238">
        <v>1236.5999999999999</v>
      </c>
      <c r="BR231" s="241"/>
      <c r="BS231" s="240">
        <v>42.5</v>
      </c>
      <c r="BT231" s="238">
        <v>75.62</v>
      </c>
      <c r="BU231" s="238">
        <v>46.8</v>
      </c>
      <c r="BV231" s="241"/>
      <c r="BW231" s="229"/>
      <c r="BX231" s="215"/>
      <c r="BY231" s="125">
        <f t="shared" si="45"/>
        <v>62374.48</v>
      </c>
      <c r="BZ231" s="126">
        <f t="shared" si="46"/>
        <v>20640.099999999995</v>
      </c>
      <c r="CA231" s="126">
        <f t="shared" si="47"/>
        <v>81938.426000000007</v>
      </c>
      <c r="CB231" s="127">
        <f t="shared" si="48"/>
        <v>41936.85</v>
      </c>
      <c r="CC231" s="768"/>
    </row>
    <row r="232" spans="1:81" s="230" customFormat="1" ht="16.7" customHeight="1" outlineLevel="5" x14ac:dyDescent="0.25">
      <c r="A232" s="216"/>
      <c r="B232" s="215"/>
      <c r="C232" s="216"/>
      <c r="D232" s="216"/>
      <c r="E232" s="216"/>
      <c r="F232" s="216"/>
      <c r="G232" s="216"/>
      <c r="H232" s="216"/>
      <c r="I232" s="216"/>
      <c r="J232" s="215"/>
      <c r="K232" s="217"/>
      <c r="L232" s="216"/>
      <c r="M232" s="215"/>
      <c r="N232" s="215"/>
      <c r="O232" s="215"/>
      <c r="P232" s="215"/>
      <c r="Q232" s="215"/>
      <c r="R232" s="215"/>
      <c r="S232" s="215"/>
      <c r="T232" s="215"/>
      <c r="U232" s="215"/>
      <c r="V232" s="215"/>
      <c r="W232" s="215"/>
      <c r="X232" s="215"/>
      <c r="Y232" s="215"/>
      <c r="Z232" s="215"/>
      <c r="AA232" s="215"/>
      <c r="AB232" s="247"/>
      <c r="AC232" s="219" t="s">
        <v>301</v>
      </c>
      <c r="AD232" s="220" t="s">
        <v>247</v>
      </c>
      <c r="AE232" s="221"/>
      <c r="AF232" s="248"/>
      <c r="AG232" s="248"/>
      <c r="AH232" s="249"/>
      <c r="AI232" s="228"/>
      <c r="AJ232" s="225"/>
      <c r="AK232" s="225"/>
      <c r="AL232" s="227"/>
      <c r="AM232" s="224"/>
      <c r="AN232" s="225"/>
      <c r="AO232" s="225"/>
      <c r="AP232" s="226"/>
      <c r="AQ232" s="228"/>
      <c r="AR232" s="225"/>
      <c r="AS232" s="225"/>
      <c r="AT232" s="227"/>
      <c r="AU232" s="224"/>
      <c r="AV232" s="225"/>
      <c r="AW232" s="225"/>
      <c r="AX232" s="227"/>
      <c r="AY232" s="224"/>
      <c r="AZ232" s="225"/>
      <c r="BA232" s="225"/>
      <c r="BB232" s="227"/>
      <c r="BC232" s="224"/>
      <c r="BD232" s="225"/>
      <c r="BE232" s="225"/>
      <c r="BF232" s="236"/>
      <c r="BG232" s="224"/>
      <c r="BH232" s="225"/>
      <c r="BI232" s="225"/>
      <c r="BJ232" s="227"/>
      <c r="BK232" s="224"/>
      <c r="BL232" s="225"/>
      <c r="BM232" s="225"/>
      <c r="BN232" s="227"/>
      <c r="BO232" s="240"/>
      <c r="BP232" s="238"/>
      <c r="BQ232" s="238"/>
      <c r="BR232" s="241"/>
      <c r="BS232" s="240"/>
      <c r="BT232" s="238"/>
      <c r="BU232" s="238"/>
      <c r="BV232" s="241"/>
      <c r="BW232" s="229"/>
      <c r="BX232" s="215"/>
      <c r="BY232" s="125">
        <f t="shared" si="45"/>
        <v>0</v>
      </c>
      <c r="BZ232" s="126">
        <f t="shared" si="46"/>
        <v>0</v>
      </c>
      <c r="CA232" s="126">
        <f t="shared" si="47"/>
        <v>0</v>
      </c>
      <c r="CB232" s="127">
        <f t="shared" si="48"/>
        <v>0</v>
      </c>
      <c r="CC232" s="768"/>
    </row>
    <row r="233" spans="1:81" s="230" customFormat="1" ht="16.7" customHeight="1" outlineLevel="5" x14ac:dyDescent="0.25">
      <c r="A233" s="216"/>
      <c r="B233" s="215"/>
      <c r="C233" s="216"/>
      <c r="D233" s="216"/>
      <c r="E233" s="216"/>
      <c r="F233" s="216"/>
      <c r="G233" s="216"/>
      <c r="H233" s="216"/>
      <c r="I233" s="216"/>
      <c r="J233" s="215"/>
      <c r="K233" s="217"/>
      <c r="L233" s="216"/>
      <c r="M233" s="215"/>
      <c r="N233" s="215"/>
      <c r="O233" s="215"/>
      <c r="P233" s="215"/>
      <c r="Q233" s="215"/>
      <c r="R233" s="215"/>
      <c r="S233" s="215"/>
      <c r="T233" s="215"/>
      <c r="U233" s="215"/>
      <c r="V233" s="215"/>
      <c r="W233" s="215"/>
      <c r="X233" s="215"/>
      <c r="Y233" s="215"/>
      <c r="Z233" s="215"/>
      <c r="AA233" s="215"/>
      <c r="AB233" s="247"/>
      <c r="AC233" s="219" t="s">
        <v>302</v>
      </c>
      <c r="AD233" s="220" t="s">
        <v>247</v>
      </c>
      <c r="AE233" s="221"/>
      <c r="AF233" s="248"/>
      <c r="AG233" s="248"/>
      <c r="AH233" s="249"/>
      <c r="AI233" s="228"/>
      <c r="AJ233" s="225"/>
      <c r="AK233" s="225"/>
      <c r="AL233" s="227"/>
      <c r="AM233" s="224">
        <v>58.5</v>
      </c>
      <c r="AN233" s="225"/>
      <c r="AO233" s="225">
        <v>64.37</v>
      </c>
      <c r="AP233" s="226"/>
      <c r="AQ233" s="228">
        <v>50.45</v>
      </c>
      <c r="AR233" s="225"/>
      <c r="AS233" s="225">
        <v>55.52</v>
      </c>
      <c r="AT233" s="227"/>
      <c r="AU233" s="224">
        <v>20.27</v>
      </c>
      <c r="AV233" s="225">
        <v>0</v>
      </c>
      <c r="AW233" s="225">
        <v>22.3</v>
      </c>
      <c r="AX233" s="227"/>
      <c r="AY233" s="224"/>
      <c r="AZ233" s="225"/>
      <c r="BA233" s="225"/>
      <c r="BB233" s="227"/>
      <c r="BC233" s="224"/>
      <c r="BD233" s="225"/>
      <c r="BE233" s="225"/>
      <c r="BF233" s="236"/>
      <c r="BG233" s="224"/>
      <c r="BH233" s="225"/>
      <c r="BI233" s="225"/>
      <c r="BJ233" s="227"/>
      <c r="BK233" s="224"/>
      <c r="BL233" s="225"/>
      <c r="BM233" s="225"/>
      <c r="BN233" s="227"/>
      <c r="BO233" s="240"/>
      <c r="BP233" s="238"/>
      <c r="BQ233" s="238"/>
      <c r="BR233" s="241"/>
      <c r="BS233" s="240"/>
      <c r="BT233" s="238"/>
      <c r="BU233" s="238"/>
      <c r="BV233" s="241"/>
      <c r="BW233" s="229"/>
      <c r="BX233" s="215"/>
      <c r="BY233" s="125">
        <f t="shared" si="45"/>
        <v>129.22</v>
      </c>
      <c r="BZ233" s="126">
        <f t="shared" si="46"/>
        <v>0</v>
      </c>
      <c r="CA233" s="126">
        <f t="shared" si="47"/>
        <v>142.19000000000003</v>
      </c>
      <c r="CB233" s="127">
        <f t="shared" si="48"/>
        <v>0</v>
      </c>
      <c r="CC233" s="768"/>
    </row>
    <row r="234" spans="1:81" s="230" customFormat="1" ht="16.7" customHeight="1" outlineLevel="5" x14ac:dyDescent="0.25">
      <c r="A234" s="216"/>
      <c r="B234" s="215"/>
      <c r="C234" s="216"/>
      <c r="D234" s="216"/>
      <c r="E234" s="216"/>
      <c r="F234" s="216"/>
      <c r="G234" s="216"/>
      <c r="H234" s="216"/>
      <c r="I234" s="216"/>
      <c r="J234" s="215"/>
      <c r="K234" s="217"/>
      <c r="L234" s="216"/>
      <c r="M234" s="215"/>
      <c r="N234" s="215"/>
      <c r="O234" s="215"/>
      <c r="P234" s="215"/>
      <c r="Q234" s="215"/>
      <c r="R234" s="215"/>
      <c r="S234" s="215"/>
      <c r="T234" s="215"/>
      <c r="U234" s="215"/>
      <c r="V234" s="215"/>
      <c r="W234" s="215"/>
      <c r="X234" s="215"/>
      <c r="Y234" s="215"/>
      <c r="Z234" s="215"/>
      <c r="AA234" s="215"/>
      <c r="AB234" s="247"/>
      <c r="AC234" s="250" t="s">
        <v>303</v>
      </c>
      <c r="AD234" s="220" t="s">
        <v>247</v>
      </c>
      <c r="AE234" s="221"/>
      <c r="AF234" s="248"/>
      <c r="AG234" s="248"/>
      <c r="AH234" s="249"/>
      <c r="AI234" s="228"/>
      <c r="AJ234" s="225"/>
      <c r="AK234" s="225"/>
      <c r="AL234" s="227"/>
      <c r="AM234" s="224"/>
      <c r="AN234" s="225"/>
      <c r="AO234" s="225"/>
      <c r="AP234" s="226"/>
      <c r="AQ234" s="228">
        <v>45.32</v>
      </c>
      <c r="AR234" s="225"/>
      <c r="AS234" s="225">
        <v>49.86</v>
      </c>
      <c r="AT234" s="227"/>
      <c r="AU234" s="224">
        <v>169.39</v>
      </c>
      <c r="AV234" s="225">
        <v>0</v>
      </c>
      <c r="AW234" s="225">
        <v>186.38</v>
      </c>
      <c r="AX234" s="227"/>
      <c r="AY234" s="224">
        <v>10.83</v>
      </c>
      <c r="AZ234" s="225"/>
      <c r="BA234" s="225">
        <v>11.92</v>
      </c>
      <c r="BB234" s="227"/>
      <c r="BC234" s="224">
        <v>12.036</v>
      </c>
      <c r="BD234" s="225"/>
      <c r="BE234" s="225">
        <v>12</v>
      </c>
      <c r="BF234" s="236"/>
      <c r="BG234" s="224">
        <v>52.5</v>
      </c>
      <c r="BH234" s="225"/>
      <c r="BI234" s="770">
        <v>52.5</v>
      </c>
      <c r="BJ234" s="236"/>
      <c r="BK234" s="224">
        <v>3.33</v>
      </c>
      <c r="BL234" s="225"/>
      <c r="BM234" s="225">
        <v>36.04</v>
      </c>
      <c r="BN234" s="227"/>
      <c r="BO234" s="240"/>
      <c r="BP234" s="238"/>
      <c r="BQ234" s="238"/>
      <c r="BR234" s="241"/>
      <c r="BS234" s="240"/>
      <c r="BT234" s="238"/>
      <c r="BU234" s="238"/>
      <c r="BV234" s="241"/>
      <c r="BW234" s="229"/>
      <c r="BX234" s="215"/>
      <c r="BY234" s="125">
        <f t="shared" si="45"/>
        <v>293.40600000000001</v>
      </c>
      <c r="BZ234" s="126">
        <f t="shared" si="46"/>
        <v>0</v>
      </c>
      <c r="CA234" s="126">
        <f t="shared" si="47"/>
        <v>348.7</v>
      </c>
      <c r="CB234" s="127">
        <f t="shared" si="48"/>
        <v>0</v>
      </c>
      <c r="CC234" s="768"/>
    </row>
    <row r="235" spans="1:81" s="230" customFormat="1" ht="16.7" customHeight="1" outlineLevel="5" x14ac:dyDescent="0.25">
      <c r="A235" s="216"/>
      <c r="B235" s="215"/>
      <c r="C235" s="216"/>
      <c r="D235" s="216"/>
      <c r="E235" s="216"/>
      <c r="F235" s="216"/>
      <c r="G235" s="216"/>
      <c r="H235" s="216"/>
      <c r="I235" s="216"/>
      <c r="J235" s="215"/>
      <c r="K235" s="217"/>
      <c r="L235" s="216"/>
      <c r="M235" s="215"/>
      <c r="N235" s="215"/>
      <c r="O235" s="215"/>
      <c r="P235" s="215"/>
      <c r="Q235" s="215"/>
      <c r="R235" s="215"/>
      <c r="S235" s="215"/>
      <c r="T235" s="215"/>
      <c r="U235" s="215"/>
      <c r="V235" s="215"/>
      <c r="W235" s="215"/>
      <c r="X235" s="215"/>
      <c r="Y235" s="215"/>
      <c r="Z235" s="215"/>
      <c r="AA235" s="215"/>
      <c r="AB235" s="247"/>
      <c r="AC235" s="219" t="s">
        <v>304</v>
      </c>
      <c r="AD235" s="220" t="s">
        <v>247</v>
      </c>
      <c r="AE235" s="221"/>
      <c r="AF235" s="248"/>
      <c r="AG235" s="248"/>
      <c r="AH235" s="249"/>
      <c r="AI235" s="228"/>
      <c r="AJ235" s="225"/>
      <c r="AK235" s="225"/>
      <c r="AL235" s="227"/>
      <c r="AM235" s="224"/>
      <c r="AN235" s="225"/>
      <c r="AO235" s="225">
        <v>97.51</v>
      </c>
      <c r="AP235" s="226"/>
      <c r="AQ235" s="228"/>
      <c r="AR235" s="225"/>
      <c r="AS235" s="225">
        <v>32.5</v>
      </c>
      <c r="AT235" s="227"/>
      <c r="AU235" s="224"/>
      <c r="AV235" s="225">
        <v>0</v>
      </c>
      <c r="AW235" s="225">
        <v>48.76</v>
      </c>
      <c r="AX235" s="227"/>
      <c r="AY235" s="224"/>
      <c r="AZ235" s="225"/>
      <c r="BA235" s="225">
        <v>5.16</v>
      </c>
      <c r="BB235" s="227"/>
      <c r="BC235" s="224"/>
      <c r="BD235" s="225"/>
      <c r="BE235" s="225"/>
      <c r="BF235" s="236"/>
      <c r="BG235" s="224"/>
      <c r="BH235" s="225"/>
      <c r="BI235" s="225"/>
      <c r="BJ235" s="227"/>
      <c r="BK235" s="224"/>
      <c r="BL235" s="225"/>
      <c r="BM235" s="225"/>
      <c r="BN235" s="227"/>
      <c r="BO235" s="240"/>
      <c r="BP235" s="238"/>
      <c r="BQ235" s="238"/>
      <c r="BR235" s="241"/>
      <c r="BS235" s="240"/>
      <c r="BT235" s="238"/>
      <c r="BU235" s="238"/>
      <c r="BV235" s="241"/>
      <c r="BW235" s="229"/>
      <c r="BX235" s="215"/>
      <c r="BY235" s="125">
        <f t="shared" si="45"/>
        <v>0</v>
      </c>
      <c r="BZ235" s="126">
        <f t="shared" si="46"/>
        <v>0</v>
      </c>
      <c r="CA235" s="126">
        <f t="shared" si="47"/>
        <v>183.92999999999998</v>
      </c>
      <c r="CB235" s="127">
        <f t="shared" si="48"/>
        <v>0</v>
      </c>
      <c r="CC235" s="768"/>
    </row>
    <row r="236" spans="1:81" s="230" customFormat="1" ht="16.7" customHeight="1" outlineLevel="5" x14ac:dyDescent="0.25">
      <c r="A236" s="216"/>
      <c r="B236" s="215"/>
      <c r="C236" s="216"/>
      <c r="D236" s="216"/>
      <c r="E236" s="216"/>
      <c r="F236" s="216"/>
      <c r="G236" s="216"/>
      <c r="H236" s="216"/>
      <c r="I236" s="216"/>
      <c r="J236" s="215"/>
      <c r="K236" s="217"/>
      <c r="L236" s="216"/>
      <c r="M236" s="215"/>
      <c r="N236" s="215"/>
      <c r="O236" s="215"/>
      <c r="P236" s="215"/>
      <c r="Q236" s="215"/>
      <c r="R236" s="215"/>
      <c r="S236" s="215"/>
      <c r="T236" s="215"/>
      <c r="U236" s="215"/>
      <c r="V236" s="215"/>
      <c r="W236" s="215"/>
      <c r="X236" s="215"/>
      <c r="Y236" s="215"/>
      <c r="Z236" s="215"/>
      <c r="AA236" s="215"/>
      <c r="AB236" s="247"/>
      <c r="AC236" s="219" t="s">
        <v>299</v>
      </c>
      <c r="AD236" s="220" t="s">
        <v>247</v>
      </c>
      <c r="AE236" s="221"/>
      <c r="AF236" s="248"/>
      <c r="AG236" s="248"/>
      <c r="AH236" s="249"/>
      <c r="AI236" s="228"/>
      <c r="AJ236" s="225"/>
      <c r="AK236" s="225">
        <v>68.599999999999994</v>
      </c>
      <c r="AL236" s="227"/>
      <c r="AM236" s="224"/>
      <c r="AN236" s="225"/>
      <c r="AO236" s="225"/>
      <c r="AP236" s="226"/>
      <c r="AQ236" s="228"/>
      <c r="AR236" s="225"/>
      <c r="AS236" s="225">
        <v>124.17</v>
      </c>
      <c r="AT236" s="227"/>
      <c r="AU236" s="224"/>
      <c r="AV236" s="225"/>
      <c r="AW236" s="225"/>
      <c r="AX236" s="227"/>
      <c r="AY236" s="224"/>
      <c r="AZ236" s="225"/>
      <c r="BA236" s="225"/>
      <c r="BB236" s="227"/>
      <c r="BC236" s="224"/>
      <c r="BD236" s="225"/>
      <c r="BE236" s="225"/>
      <c r="BF236" s="236"/>
      <c r="BG236" s="224"/>
      <c r="BH236" s="225"/>
      <c r="BI236" s="225"/>
      <c r="BJ236" s="227"/>
      <c r="BK236" s="224"/>
      <c r="BL236" s="225"/>
      <c r="BM236" s="225"/>
      <c r="BN236" s="227"/>
      <c r="BO236" s="240"/>
      <c r="BP236" s="238"/>
      <c r="BQ236" s="238"/>
      <c r="BR236" s="241"/>
      <c r="BS236" s="240"/>
      <c r="BT236" s="238"/>
      <c r="BU236" s="238"/>
      <c r="BV236" s="241"/>
      <c r="BW236" s="229"/>
      <c r="BX236" s="215"/>
      <c r="BY236" s="125">
        <f t="shared" si="45"/>
        <v>0</v>
      </c>
      <c r="BZ236" s="126">
        <f t="shared" si="46"/>
        <v>0</v>
      </c>
      <c r="CA236" s="126">
        <f t="shared" si="47"/>
        <v>192.76999999999998</v>
      </c>
      <c r="CB236" s="127">
        <f t="shared" si="48"/>
        <v>0</v>
      </c>
      <c r="CC236" s="768"/>
    </row>
    <row r="237" spans="1:81" s="230" customFormat="1" ht="16.7" customHeight="1" outlineLevel="5" x14ac:dyDescent="0.25">
      <c r="A237" s="216"/>
      <c r="B237" s="215"/>
      <c r="C237" s="216"/>
      <c r="D237" s="216"/>
      <c r="E237" s="216"/>
      <c r="F237" s="216"/>
      <c r="G237" s="216"/>
      <c r="H237" s="216"/>
      <c r="I237" s="216"/>
      <c r="J237" s="215"/>
      <c r="K237" s="217"/>
      <c r="L237" s="216"/>
      <c r="M237" s="215"/>
      <c r="N237" s="215"/>
      <c r="O237" s="215"/>
      <c r="P237" s="215"/>
      <c r="Q237" s="215"/>
      <c r="R237" s="215"/>
      <c r="S237" s="215"/>
      <c r="T237" s="215"/>
      <c r="U237" s="215"/>
      <c r="V237" s="215"/>
      <c r="W237" s="215"/>
      <c r="X237" s="215"/>
      <c r="Y237" s="215"/>
      <c r="Z237" s="215"/>
      <c r="AA237" s="215"/>
      <c r="AB237" s="247"/>
      <c r="AC237" s="219" t="s">
        <v>305</v>
      </c>
      <c r="AD237" s="220" t="s">
        <v>247</v>
      </c>
      <c r="AE237" s="221"/>
      <c r="AF237" s="248"/>
      <c r="AG237" s="248"/>
      <c r="AH237" s="249"/>
      <c r="AI237" s="228"/>
      <c r="AJ237" s="225"/>
      <c r="AK237" s="225"/>
      <c r="AL237" s="227"/>
      <c r="AM237" s="224"/>
      <c r="AN237" s="225"/>
      <c r="AO237" s="225"/>
      <c r="AP237" s="226"/>
      <c r="AQ237" s="228">
        <v>2.74</v>
      </c>
      <c r="AR237" s="225"/>
      <c r="AS237" s="225">
        <v>3.01</v>
      </c>
      <c r="AT237" s="227"/>
      <c r="AU237" s="224"/>
      <c r="AV237" s="225"/>
      <c r="AW237" s="225">
        <v>124.17</v>
      </c>
      <c r="AX237" s="227"/>
      <c r="AY237" s="224"/>
      <c r="AZ237" s="225"/>
      <c r="BA237" s="225"/>
      <c r="BB237" s="227"/>
      <c r="BC237" s="224">
        <v>0.65</v>
      </c>
      <c r="BD237" s="225"/>
      <c r="BE237" s="225">
        <v>1</v>
      </c>
      <c r="BF237" s="236"/>
      <c r="BG237" s="224"/>
      <c r="BH237" s="225"/>
      <c r="BI237" s="225"/>
      <c r="BJ237" s="227"/>
      <c r="BK237" s="224"/>
      <c r="BL237" s="225"/>
      <c r="BM237" s="225"/>
      <c r="BN237" s="227"/>
      <c r="BO237" s="240"/>
      <c r="BP237" s="238"/>
      <c r="BQ237" s="238"/>
      <c r="BR237" s="241"/>
      <c r="BS237" s="240"/>
      <c r="BT237" s="238"/>
      <c r="BU237" s="238"/>
      <c r="BV237" s="241"/>
      <c r="BW237" s="229"/>
      <c r="BX237" s="215"/>
      <c r="BY237" s="125">
        <f t="shared" si="45"/>
        <v>3.39</v>
      </c>
      <c r="BZ237" s="126">
        <f t="shared" si="46"/>
        <v>0</v>
      </c>
      <c r="CA237" s="126">
        <f t="shared" si="47"/>
        <v>128.18</v>
      </c>
      <c r="CB237" s="127">
        <f t="shared" si="48"/>
        <v>0</v>
      </c>
      <c r="CC237" s="768"/>
    </row>
    <row r="238" spans="1:81" s="246" customFormat="1" ht="16.7" customHeight="1" outlineLevel="5" x14ac:dyDescent="0.25">
      <c r="A238" s="242"/>
      <c r="B238" s="229"/>
      <c r="C238" s="242"/>
      <c r="D238" s="242"/>
      <c r="E238" s="242"/>
      <c r="F238" s="242"/>
      <c r="G238" s="242"/>
      <c r="H238" s="242"/>
      <c r="I238" s="242"/>
      <c r="J238" s="229"/>
      <c r="K238" s="243"/>
      <c r="L238" s="242"/>
      <c r="M238" s="229"/>
      <c r="N238" s="229"/>
      <c r="O238" s="229"/>
      <c r="P238" s="229"/>
      <c r="Q238" s="229"/>
      <c r="R238" s="229"/>
      <c r="S238" s="229"/>
      <c r="T238" s="229"/>
      <c r="U238" s="229"/>
      <c r="V238" s="229"/>
      <c r="W238" s="229"/>
      <c r="X238" s="229"/>
      <c r="Y238" s="229"/>
      <c r="Z238" s="229"/>
      <c r="AA238" s="229"/>
      <c r="AB238" s="247"/>
      <c r="AC238" s="219" t="s">
        <v>306</v>
      </c>
      <c r="AD238" s="220" t="s">
        <v>247</v>
      </c>
      <c r="AE238" s="221"/>
      <c r="AF238" s="248"/>
      <c r="AG238" s="248"/>
      <c r="AH238" s="249"/>
      <c r="AI238" s="228">
        <f>63.155+23.182</f>
        <v>86.337000000000003</v>
      </c>
      <c r="AJ238" s="225"/>
      <c r="AK238" s="225">
        <f>65.68+25.508</f>
        <v>91.188000000000002</v>
      </c>
      <c r="AL238" s="227"/>
      <c r="AM238" s="224">
        <v>21.99</v>
      </c>
      <c r="AN238" s="225">
        <v>35.94</v>
      </c>
      <c r="AO238" s="225">
        <v>24.19</v>
      </c>
      <c r="AP238" s="226"/>
      <c r="AQ238" s="228">
        <v>820.41</v>
      </c>
      <c r="AR238" s="225"/>
      <c r="AS238" s="225">
        <v>902.71</v>
      </c>
      <c r="AT238" s="227"/>
      <c r="AU238" s="224">
        <v>16.98</v>
      </c>
      <c r="AV238" s="225">
        <v>0</v>
      </c>
      <c r="AW238" s="225">
        <v>18.68</v>
      </c>
      <c r="AX238" s="227"/>
      <c r="AY238" s="224"/>
      <c r="AZ238" s="225"/>
      <c r="BA238" s="225">
        <v>17</v>
      </c>
      <c r="BB238" s="227"/>
      <c r="BC238" s="224"/>
      <c r="BD238" s="225"/>
      <c r="BE238" s="225"/>
      <c r="BF238" s="236"/>
      <c r="BG238" s="224">
        <f>124.605+122.363</f>
        <v>246.96800000000002</v>
      </c>
      <c r="BH238" s="225"/>
      <c r="BI238" s="770">
        <f>137.105+134.635</f>
        <v>271.74</v>
      </c>
      <c r="BJ238" s="236"/>
      <c r="BK238" s="235">
        <v>652.66</v>
      </c>
      <c r="BL238" s="225"/>
      <c r="BM238" s="225">
        <v>718.36</v>
      </c>
      <c r="BN238" s="227"/>
      <c r="BO238" s="245">
        <v>11.34</v>
      </c>
      <c r="BP238" s="238"/>
      <c r="BQ238" s="238">
        <v>12.48</v>
      </c>
      <c r="BR238" s="241"/>
      <c r="BS238" s="245">
        <v>24.07</v>
      </c>
      <c r="BT238" s="238"/>
      <c r="BU238" s="238">
        <v>26.48</v>
      </c>
      <c r="BV238" s="241"/>
      <c r="BW238" s="229"/>
      <c r="BX238" s="229"/>
      <c r="BY238" s="125">
        <f t="shared" si="45"/>
        <v>1880.7549999999997</v>
      </c>
      <c r="BZ238" s="126">
        <f t="shared" si="46"/>
        <v>35.94</v>
      </c>
      <c r="CA238" s="126">
        <f t="shared" si="47"/>
        <v>2082.828</v>
      </c>
      <c r="CB238" s="127">
        <f t="shared" si="48"/>
        <v>0</v>
      </c>
      <c r="CC238" s="771"/>
    </row>
    <row r="239" spans="1:81" s="246" customFormat="1" ht="16.7" customHeight="1" outlineLevel="5" x14ac:dyDescent="0.25">
      <c r="A239" s="242"/>
      <c r="B239" s="229"/>
      <c r="C239" s="242"/>
      <c r="D239" s="242"/>
      <c r="E239" s="242"/>
      <c r="F239" s="242"/>
      <c r="G239" s="242"/>
      <c r="H239" s="242"/>
      <c r="I239" s="242"/>
      <c r="J239" s="229"/>
      <c r="K239" s="243"/>
      <c r="L239" s="242"/>
      <c r="M239" s="229"/>
      <c r="N239" s="229"/>
      <c r="O239" s="229"/>
      <c r="P239" s="229"/>
      <c r="Q239" s="229"/>
      <c r="R239" s="229"/>
      <c r="S239" s="229"/>
      <c r="T239" s="229"/>
      <c r="U239" s="229"/>
      <c r="V239" s="229"/>
      <c r="W239" s="229"/>
      <c r="X239" s="229"/>
      <c r="Y239" s="229"/>
      <c r="Z239" s="229"/>
      <c r="AA239" s="229"/>
      <c r="AB239" s="247"/>
      <c r="AC239" s="219" t="s">
        <v>307</v>
      </c>
      <c r="AD239" s="220" t="s">
        <v>247</v>
      </c>
      <c r="AE239" s="221">
        <v>93.46</v>
      </c>
      <c r="AF239" s="233">
        <v>0</v>
      </c>
      <c r="AG239" s="233">
        <v>70.86</v>
      </c>
      <c r="AH239" s="234"/>
      <c r="AI239" s="228">
        <f>1.33+10.6</f>
        <v>11.93</v>
      </c>
      <c r="AJ239" s="225"/>
      <c r="AK239" s="225">
        <f>0.88+9.4</f>
        <v>10.280000000000001</v>
      </c>
      <c r="AL239" s="227"/>
      <c r="AM239" s="224">
        <v>0</v>
      </c>
      <c r="AN239" s="225">
        <v>0</v>
      </c>
      <c r="AO239" s="225">
        <v>10.56</v>
      </c>
      <c r="AP239" s="226"/>
      <c r="AQ239" s="228"/>
      <c r="AR239" s="225"/>
      <c r="AS239" s="225">
        <v>6.16</v>
      </c>
      <c r="AT239" s="227"/>
      <c r="AU239" s="224">
        <v>0.66</v>
      </c>
      <c r="AV239" s="225"/>
      <c r="AW239" s="225">
        <v>0</v>
      </c>
      <c r="AX239" s="227"/>
      <c r="AY239" s="224">
        <v>18.53</v>
      </c>
      <c r="AZ239" s="225"/>
      <c r="BA239" s="225">
        <v>4.51</v>
      </c>
      <c r="BB239" s="227"/>
      <c r="BC239" s="224">
        <v>3.867</v>
      </c>
      <c r="BD239" s="225"/>
      <c r="BE239" s="225">
        <v>4.4009999999999998</v>
      </c>
      <c r="BF239" s="236"/>
      <c r="BG239" s="224">
        <v>19.989999999999998</v>
      </c>
      <c r="BH239" s="225"/>
      <c r="BI239" s="770">
        <v>5.8680000000000003</v>
      </c>
      <c r="BJ239" s="236"/>
      <c r="BK239" s="224">
        <v>11.9</v>
      </c>
      <c r="BL239" s="225"/>
      <c r="BM239" s="225">
        <v>6.8</v>
      </c>
      <c r="BN239" s="227"/>
      <c r="BO239" s="224">
        <v>1.6</v>
      </c>
      <c r="BP239" s="225"/>
      <c r="BQ239" s="225">
        <v>0.88</v>
      </c>
      <c r="BR239" s="226"/>
      <c r="BS239" s="240">
        <v>1.6</v>
      </c>
      <c r="BT239" s="238"/>
      <c r="BU239" s="238">
        <v>1.76</v>
      </c>
      <c r="BV239" s="241"/>
      <c r="BW239" s="229"/>
      <c r="BX239" s="229"/>
      <c r="BY239" s="125">
        <f t="shared" si="45"/>
        <v>163.53699999999998</v>
      </c>
      <c r="BZ239" s="126">
        <f t="shared" si="46"/>
        <v>0</v>
      </c>
      <c r="CA239" s="126">
        <f t="shared" si="47"/>
        <v>122.07899999999999</v>
      </c>
      <c r="CB239" s="127">
        <f t="shared" si="48"/>
        <v>0</v>
      </c>
      <c r="CC239" s="771"/>
    </row>
    <row r="240" spans="1:81" s="230" customFormat="1" ht="16.7" customHeight="1" outlineLevel="5" x14ac:dyDescent="0.25">
      <c r="A240" s="216"/>
      <c r="B240" s="215"/>
      <c r="C240" s="216"/>
      <c r="D240" s="216"/>
      <c r="E240" s="216"/>
      <c r="F240" s="216"/>
      <c r="G240" s="216"/>
      <c r="H240" s="216"/>
      <c r="I240" s="216"/>
      <c r="J240" s="215"/>
      <c r="K240" s="217"/>
      <c r="L240" s="216"/>
      <c r="M240" s="215"/>
      <c r="N240" s="215"/>
      <c r="O240" s="215"/>
      <c r="P240" s="215"/>
      <c r="Q240" s="215"/>
      <c r="R240" s="215"/>
      <c r="S240" s="215"/>
      <c r="T240" s="215"/>
      <c r="U240" s="215"/>
      <c r="V240" s="215"/>
      <c r="W240" s="215"/>
      <c r="X240" s="215"/>
      <c r="Y240" s="215"/>
      <c r="Z240" s="215"/>
      <c r="AA240" s="215"/>
      <c r="AB240" s="247"/>
      <c r="AC240" s="219" t="s">
        <v>308</v>
      </c>
      <c r="AD240" s="220" t="s">
        <v>247</v>
      </c>
      <c r="AE240" s="221"/>
      <c r="AF240" s="248"/>
      <c r="AG240" s="248"/>
      <c r="AH240" s="249"/>
      <c r="AI240" s="228"/>
      <c r="AJ240" s="225"/>
      <c r="AK240" s="225"/>
      <c r="AL240" s="227"/>
      <c r="AM240" s="224"/>
      <c r="AN240" s="225"/>
      <c r="AO240" s="225"/>
      <c r="AP240" s="226"/>
      <c r="AQ240" s="228"/>
      <c r="AR240" s="225"/>
      <c r="AS240" s="225"/>
      <c r="AT240" s="227"/>
      <c r="AU240" s="224"/>
      <c r="AV240" s="225"/>
      <c r="AW240" s="225"/>
      <c r="AX240" s="227"/>
      <c r="AY240" s="224"/>
      <c r="AZ240" s="225"/>
      <c r="BA240" s="225"/>
      <c r="BB240" s="227"/>
      <c r="BC240" s="224">
        <f>87.6+45.39+113.4+1669.193</f>
        <v>1915.5830000000001</v>
      </c>
      <c r="BD240" s="225"/>
      <c r="BE240" s="225">
        <f>96.388+49.944+124.784+2263.623</f>
        <v>2534.739</v>
      </c>
      <c r="BF240" s="236"/>
      <c r="BG240" s="224">
        <f>1896.287-3.594</f>
        <v>1892.693</v>
      </c>
      <c r="BH240" s="225"/>
      <c r="BI240" s="770">
        <v>2495.91</v>
      </c>
      <c r="BJ240" s="236"/>
      <c r="BK240" s="224"/>
      <c r="BL240" s="225"/>
      <c r="BM240" s="225"/>
      <c r="BN240" s="227"/>
      <c r="BO240" s="240">
        <v>2711.28</v>
      </c>
      <c r="BP240" s="238"/>
      <c r="BQ240" s="238">
        <v>2711.28</v>
      </c>
      <c r="BR240" s="241"/>
      <c r="BS240" s="240"/>
      <c r="BT240" s="238"/>
      <c r="BU240" s="238"/>
      <c r="BV240" s="241"/>
      <c r="BW240" s="229"/>
      <c r="BX240" s="215"/>
      <c r="BY240" s="125">
        <f t="shared" si="45"/>
        <v>6519.5560000000005</v>
      </c>
      <c r="BZ240" s="126">
        <f t="shared" si="46"/>
        <v>0</v>
      </c>
      <c r="CA240" s="126">
        <f t="shared" si="47"/>
        <v>7741.9290000000001</v>
      </c>
      <c r="CB240" s="127">
        <f t="shared" si="48"/>
        <v>0</v>
      </c>
      <c r="CC240" s="768"/>
    </row>
    <row r="241" spans="1:82" s="230" customFormat="1" ht="16.7" customHeight="1" outlineLevel="5" x14ac:dyDescent="0.25">
      <c r="A241" s="216"/>
      <c r="B241" s="215"/>
      <c r="C241" s="216"/>
      <c r="D241" s="216"/>
      <c r="E241" s="216"/>
      <c r="F241" s="216"/>
      <c r="G241" s="216"/>
      <c r="H241" s="216"/>
      <c r="I241" s="216"/>
      <c r="J241" s="215"/>
      <c r="K241" s="217"/>
      <c r="L241" s="216"/>
      <c r="M241" s="215"/>
      <c r="N241" s="215"/>
      <c r="O241" s="215"/>
      <c r="P241" s="215"/>
      <c r="Q241" s="215"/>
      <c r="R241" s="215"/>
      <c r="S241" s="215"/>
      <c r="T241" s="215"/>
      <c r="U241" s="215"/>
      <c r="V241" s="215"/>
      <c r="W241" s="215"/>
      <c r="X241" s="215"/>
      <c r="Y241" s="215"/>
      <c r="Z241" s="215"/>
      <c r="AA241" s="215"/>
      <c r="AB241" s="251"/>
      <c r="AC241" s="219" t="s">
        <v>309</v>
      </c>
      <c r="AD241" s="220" t="s">
        <v>247</v>
      </c>
      <c r="AE241" s="221"/>
      <c r="AF241" s="248"/>
      <c r="AG241" s="248"/>
      <c r="AH241" s="249"/>
      <c r="AI241" s="228"/>
      <c r="AJ241" s="225"/>
      <c r="AK241" s="225"/>
      <c r="AL241" s="227"/>
      <c r="AM241" s="224"/>
      <c r="AN241" s="225"/>
      <c r="AO241" s="225"/>
      <c r="AP241" s="226"/>
      <c r="AQ241" s="228"/>
      <c r="AR241" s="225"/>
      <c r="AS241" s="225"/>
      <c r="AT241" s="227"/>
      <c r="AU241" s="224"/>
      <c r="AV241" s="225"/>
      <c r="AW241" s="225"/>
      <c r="AX241" s="227"/>
      <c r="AY241" s="224"/>
      <c r="AZ241" s="225"/>
      <c r="BA241" s="225"/>
      <c r="BB241" s="227"/>
      <c r="BC241" s="224"/>
      <c r="BD241" s="225"/>
      <c r="BE241" s="225"/>
      <c r="BF241" s="236"/>
      <c r="BG241" s="224"/>
      <c r="BH241" s="225"/>
      <c r="BI241" s="225"/>
      <c r="BJ241" s="227"/>
      <c r="BK241" s="224"/>
      <c r="BL241" s="225"/>
      <c r="BM241" s="225"/>
      <c r="BN241" s="227"/>
      <c r="BO241" s="240"/>
      <c r="BP241" s="238"/>
      <c r="BQ241" s="238"/>
      <c r="BR241" s="241"/>
      <c r="BS241" s="240">
        <v>147.63999999999999</v>
      </c>
      <c r="BT241" s="238"/>
      <c r="BU241" s="238">
        <v>168.3</v>
      </c>
      <c r="BV241" s="241"/>
      <c r="BW241" s="229"/>
      <c r="BX241" s="215"/>
      <c r="BY241" s="125">
        <f t="shared" si="45"/>
        <v>147.63999999999999</v>
      </c>
      <c r="BZ241" s="126">
        <f t="shared" si="46"/>
        <v>0</v>
      </c>
      <c r="CA241" s="126">
        <f t="shared" si="47"/>
        <v>168.3</v>
      </c>
      <c r="CB241" s="127">
        <f t="shared" si="48"/>
        <v>0</v>
      </c>
      <c r="CC241" s="768"/>
    </row>
    <row r="242" spans="1:82" s="230" customFormat="1" ht="16.7" customHeight="1" outlineLevel="5" x14ac:dyDescent="0.25">
      <c r="A242" s="216"/>
      <c r="B242" s="215"/>
      <c r="C242" s="216"/>
      <c r="D242" s="216"/>
      <c r="E242" s="216"/>
      <c r="F242" s="216"/>
      <c r="G242" s="216"/>
      <c r="H242" s="216"/>
      <c r="I242" s="216"/>
      <c r="J242" s="215"/>
      <c r="K242" s="217"/>
      <c r="L242" s="216"/>
      <c r="M242" s="215"/>
      <c r="N242" s="215"/>
      <c r="O242" s="215"/>
      <c r="P242" s="215"/>
      <c r="Q242" s="215"/>
      <c r="R242" s="215"/>
      <c r="S242" s="215"/>
      <c r="T242" s="215"/>
      <c r="U242" s="215"/>
      <c r="V242" s="215"/>
      <c r="W242" s="215"/>
      <c r="X242" s="215"/>
      <c r="Y242" s="215"/>
      <c r="Z242" s="215"/>
      <c r="AA242" s="215"/>
      <c r="AB242" s="251"/>
      <c r="AC242" s="219" t="s">
        <v>310</v>
      </c>
      <c r="AD242" s="220" t="s">
        <v>247</v>
      </c>
      <c r="AE242" s="221"/>
      <c r="AF242" s="248"/>
      <c r="AG242" s="248"/>
      <c r="AH242" s="249"/>
      <c r="AI242" s="228"/>
      <c r="AJ242" s="225"/>
      <c r="AK242" s="225"/>
      <c r="AL242" s="227"/>
      <c r="AM242" s="224"/>
      <c r="AN242" s="225"/>
      <c r="AO242" s="225"/>
      <c r="AP242" s="226"/>
      <c r="AQ242" s="228"/>
      <c r="AR242" s="225"/>
      <c r="AS242" s="225"/>
      <c r="AT242" s="227"/>
      <c r="AU242" s="224"/>
      <c r="AV242" s="225"/>
      <c r="AW242" s="225"/>
      <c r="AX242" s="227"/>
      <c r="AY242" s="224"/>
      <c r="AZ242" s="225"/>
      <c r="BA242" s="225"/>
      <c r="BB242" s="227"/>
      <c r="BC242" s="224"/>
      <c r="BD242" s="225"/>
      <c r="BE242" s="225"/>
      <c r="BF242" s="236"/>
      <c r="BG242" s="224"/>
      <c r="BH242" s="225"/>
      <c r="BI242" s="225"/>
      <c r="BJ242" s="227"/>
      <c r="BK242" s="224"/>
      <c r="BL242" s="225"/>
      <c r="BM242" s="225"/>
      <c r="BN242" s="227"/>
      <c r="BO242" s="240"/>
      <c r="BP242" s="238"/>
      <c r="BQ242" s="238"/>
      <c r="BR242" s="241"/>
      <c r="BS242" s="240">
        <v>1.1000000000000001</v>
      </c>
      <c r="BT242" s="238"/>
      <c r="BU242" s="238">
        <v>1.22</v>
      </c>
      <c r="BV242" s="241"/>
      <c r="BW242" s="229"/>
      <c r="BX242" s="215"/>
      <c r="BY242" s="125">
        <f t="shared" si="45"/>
        <v>1.1000000000000001</v>
      </c>
      <c r="BZ242" s="126">
        <f t="shared" si="46"/>
        <v>0</v>
      </c>
      <c r="CA242" s="126">
        <f t="shared" si="47"/>
        <v>1.22</v>
      </c>
      <c r="CB242" s="127">
        <f t="shared" si="48"/>
        <v>0</v>
      </c>
      <c r="CC242" s="768"/>
    </row>
    <row r="243" spans="1:82" s="230" customFormat="1" ht="16.7" customHeight="1" outlineLevel="5" x14ac:dyDescent="0.25">
      <c r="A243" s="216"/>
      <c r="B243" s="215"/>
      <c r="C243" s="216"/>
      <c r="D243" s="216"/>
      <c r="E243" s="216"/>
      <c r="F243" s="216"/>
      <c r="G243" s="216"/>
      <c r="H243" s="216"/>
      <c r="I243" s="216"/>
      <c r="J243" s="215"/>
      <c r="K243" s="217"/>
      <c r="L243" s="216"/>
      <c r="M243" s="215"/>
      <c r="N243" s="215"/>
      <c r="O243" s="215"/>
      <c r="P243" s="215"/>
      <c r="Q243" s="215"/>
      <c r="R243" s="215"/>
      <c r="S243" s="215"/>
      <c r="T243" s="215"/>
      <c r="U243" s="215"/>
      <c r="V243" s="215"/>
      <c r="W243" s="215"/>
      <c r="X243" s="215"/>
      <c r="Y243" s="215"/>
      <c r="Z243" s="215"/>
      <c r="AA243" s="215"/>
      <c r="AB243" s="251"/>
      <c r="AC243" s="219" t="s">
        <v>311</v>
      </c>
      <c r="AD243" s="220" t="s">
        <v>247</v>
      </c>
      <c r="AE243" s="245"/>
      <c r="AF243" s="248"/>
      <c r="AG243" s="248"/>
      <c r="AH243" s="249"/>
      <c r="AI243" s="228"/>
      <c r="AJ243" s="225"/>
      <c r="AK243" s="225"/>
      <c r="AL243" s="227"/>
      <c r="AM243" s="224"/>
      <c r="AN243" s="225"/>
      <c r="AO243" s="225"/>
      <c r="AP243" s="226"/>
      <c r="AQ243" s="228"/>
      <c r="AR243" s="225"/>
      <c r="AS243" s="225"/>
      <c r="AT243" s="227"/>
      <c r="AU243" s="224"/>
      <c r="AV243" s="225"/>
      <c r="AW243" s="225"/>
      <c r="AX243" s="227"/>
      <c r="AY243" s="224"/>
      <c r="AZ243" s="225"/>
      <c r="BA243" s="225"/>
      <c r="BB243" s="227"/>
      <c r="BC243" s="224"/>
      <c r="BD243" s="225"/>
      <c r="BE243" s="225"/>
      <c r="BF243" s="236"/>
      <c r="BG243" s="224"/>
      <c r="BH243" s="225"/>
      <c r="BI243" s="225"/>
      <c r="BJ243" s="227"/>
      <c r="BK243" s="224"/>
      <c r="BL243" s="225"/>
      <c r="BM243" s="225"/>
      <c r="BN243" s="227"/>
      <c r="BO243" s="224"/>
      <c r="BP243" s="225"/>
      <c r="BQ243" s="225"/>
      <c r="BR243" s="226"/>
      <c r="BS243" s="240">
        <v>26.11</v>
      </c>
      <c r="BT243" s="238"/>
      <c r="BU243" s="238">
        <v>28.73</v>
      </c>
      <c r="BV243" s="241"/>
      <c r="BW243" s="229"/>
      <c r="BX243" s="215"/>
      <c r="BY243" s="125">
        <f t="shared" si="45"/>
        <v>26.11</v>
      </c>
      <c r="BZ243" s="126">
        <f t="shared" si="46"/>
        <v>0</v>
      </c>
      <c r="CA243" s="126">
        <f t="shared" si="47"/>
        <v>28.73</v>
      </c>
      <c r="CB243" s="127">
        <f t="shared" si="48"/>
        <v>0</v>
      </c>
      <c r="CC243" s="768"/>
    </row>
    <row r="244" spans="1:82" s="230" customFormat="1" ht="16.7" customHeight="1" outlineLevel="5" x14ac:dyDescent="0.25">
      <c r="A244" s="216"/>
      <c r="B244" s="215"/>
      <c r="C244" s="216"/>
      <c r="D244" s="216"/>
      <c r="E244" s="216"/>
      <c r="F244" s="216"/>
      <c r="G244" s="216"/>
      <c r="H244" s="216"/>
      <c r="I244" s="216"/>
      <c r="J244" s="215"/>
      <c r="K244" s="217"/>
      <c r="L244" s="216"/>
      <c r="M244" s="215"/>
      <c r="N244" s="215"/>
      <c r="O244" s="215"/>
      <c r="P244" s="215"/>
      <c r="Q244" s="215"/>
      <c r="R244" s="215"/>
      <c r="S244" s="215"/>
      <c r="T244" s="215"/>
      <c r="U244" s="215"/>
      <c r="V244" s="215"/>
      <c r="W244" s="215"/>
      <c r="X244" s="215"/>
      <c r="Y244" s="215"/>
      <c r="Z244" s="215"/>
      <c r="AA244" s="215"/>
      <c r="AB244" s="247"/>
      <c r="AC244" s="219" t="s">
        <v>312</v>
      </c>
      <c r="AD244" s="220" t="s">
        <v>247</v>
      </c>
      <c r="AE244" s="221"/>
      <c r="AF244" s="248"/>
      <c r="AG244" s="248"/>
      <c r="AH244" s="249"/>
      <c r="AI244" s="228"/>
      <c r="AJ244" s="225"/>
      <c r="AK244" s="225"/>
      <c r="AL244" s="227"/>
      <c r="AM244" s="224"/>
      <c r="AN244" s="225"/>
      <c r="AO244" s="225"/>
      <c r="AP244" s="226"/>
      <c r="AQ244" s="228"/>
      <c r="AR244" s="225"/>
      <c r="AS244" s="225"/>
      <c r="AT244" s="227"/>
      <c r="AU244" s="224"/>
      <c r="AV244" s="225"/>
      <c r="AW244" s="225"/>
      <c r="AX244" s="227"/>
      <c r="AY244" s="224"/>
      <c r="AZ244" s="225"/>
      <c r="BA244" s="225"/>
      <c r="BB244" s="227"/>
      <c r="BC244" s="224"/>
      <c r="BD244" s="225"/>
      <c r="BE244" s="225"/>
      <c r="BF244" s="236"/>
      <c r="BG244" s="224">
        <v>3702.97</v>
      </c>
      <c r="BH244" s="225"/>
      <c r="BI244" s="225"/>
      <c r="BJ244" s="227"/>
      <c r="BK244" s="224"/>
      <c r="BL244" s="225"/>
      <c r="BM244" s="225"/>
      <c r="BN244" s="227"/>
      <c r="BO244" s="224"/>
      <c r="BP244" s="225"/>
      <c r="BQ244" s="225"/>
      <c r="BR244" s="226"/>
      <c r="BS244" s="224"/>
      <c r="BT244" s="225"/>
      <c r="BU244" s="225"/>
      <c r="BV244" s="226"/>
      <c r="BW244" s="229"/>
      <c r="BX244" s="215"/>
      <c r="BY244" s="125">
        <f t="shared" si="45"/>
        <v>3702.97</v>
      </c>
      <c r="BZ244" s="126">
        <f t="shared" si="46"/>
        <v>0</v>
      </c>
      <c r="CA244" s="126">
        <f t="shared" si="47"/>
        <v>0</v>
      </c>
      <c r="CB244" s="127">
        <f t="shared" si="48"/>
        <v>0</v>
      </c>
      <c r="CC244" s="768"/>
    </row>
    <row r="245" spans="1:82" s="171" customFormat="1" ht="16.7" customHeight="1" outlineLevel="3" x14ac:dyDescent="0.25">
      <c r="A245" s="166"/>
      <c r="B245" s="166"/>
      <c r="C245" s="167" t="s">
        <v>83</v>
      </c>
      <c r="D245" s="167" t="s">
        <v>84</v>
      </c>
      <c r="E245" s="167" t="s">
        <v>73</v>
      </c>
      <c r="F245" s="167" t="s">
        <v>74</v>
      </c>
      <c r="G245" s="167" t="s">
        <v>313</v>
      </c>
      <c r="H245" s="167" t="s">
        <v>73</v>
      </c>
      <c r="I245" s="167" t="s">
        <v>73</v>
      </c>
      <c r="J245" s="166"/>
      <c r="K245" s="168" t="s">
        <v>73</v>
      </c>
      <c r="L245" s="167" t="s">
        <v>192</v>
      </c>
      <c r="M245" s="166" t="str">
        <f t="array" ref="M245">Y95</f>
        <v>1ХВС::1.1</v>
      </c>
      <c r="N245" s="166"/>
      <c r="O245" s="166"/>
      <c r="P245" s="166"/>
      <c r="Q245" s="166"/>
      <c r="R245" s="166"/>
      <c r="S245" s="166"/>
      <c r="T245" s="166"/>
      <c r="U245" s="166"/>
      <c r="V245" s="166"/>
      <c r="W245" s="166"/>
      <c r="X245" s="166"/>
      <c r="Y245" s="166"/>
      <c r="Z245" s="166"/>
      <c r="AA245" s="166"/>
      <c r="AB245" s="155" t="str">
        <f>AB143&amp;".2"</f>
        <v>3.1.1.2</v>
      </c>
      <c r="AC245" s="252" t="s">
        <v>314</v>
      </c>
      <c r="AD245" s="157" t="s">
        <v>111</v>
      </c>
      <c r="AE245" s="253">
        <f t="shared" ref="AE245:BV245" si="49">AE246+AE247+AE248</f>
        <v>88223.900660000014</v>
      </c>
      <c r="AF245" s="159">
        <f t="shared" si="49"/>
        <v>131876.88</v>
      </c>
      <c r="AG245" s="159">
        <f t="shared" si="49"/>
        <v>245682.41476000001</v>
      </c>
      <c r="AH245" s="254">
        <f>AH246+AH247+AH248</f>
        <v>141383.93160000001</v>
      </c>
      <c r="AI245" s="162">
        <f t="shared" si="49"/>
        <v>479.90248000000003</v>
      </c>
      <c r="AJ245" s="159">
        <f t="shared" si="49"/>
        <v>611.29</v>
      </c>
      <c r="AK245" s="159">
        <f t="shared" si="49"/>
        <v>2295.3040799999999</v>
      </c>
      <c r="AL245" s="263">
        <f t="shared" si="49"/>
        <v>422.22886</v>
      </c>
      <c r="AM245" s="253">
        <f t="shared" si="49"/>
        <v>12244.75</v>
      </c>
      <c r="AN245" s="159">
        <f t="shared" si="49"/>
        <v>11165.470000000001</v>
      </c>
      <c r="AO245" s="159">
        <f t="shared" si="49"/>
        <v>19832.07</v>
      </c>
      <c r="AP245" s="254">
        <f t="shared" si="49"/>
        <v>16392.620329999998</v>
      </c>
      <c r="AQ245" s="162">
        <f t="shared" si="49"/>
        <v>11820.376</v>
      </c>
      <c r="AR245" s="159">
        <f t="shared" si="49"/>
        <v>10300.25</v>
      </c>
      <c r="AS245" s="159">
        <f t="shared" si="49"/>
        <v>17947.806</v>
      </c>
      <c r="AT245" s="263">
        <f t="shared" si="49"/>
        <v>16945.390240000001</v>
      </c>
      <c r="AU245" s="253">
        <f t="shared" si="49"/>
        <v>11826.354000000001</v>
      </c>
      <c r="AV245" s="159">
        <f t="shared" si="49"/>
        <v>1426.2194</v>
      </c>
      <c r="AW245" s="159">
        <f t="shared" si="49"/>
        <v>20946.941999999999</v>
      </c>
      <c r="AX245" s="263">
        <f t="shared" si="49"/>
        <v>14559.58634</v>
      </c>
      <c r="AY245" s="253">
        <f t="shared" si="49"/>
        <v>25670.975000000002</v>
      </c>
      <c r="AZ245" s="159">
        <f t="shared" si="49"/>
        <v>27797.5</v>
      </c>
      <c r="BA245" s="159">
        <f t="shared" si="49"/>
        <v>31407.010000000002</v>
      </c>
      <c r="BB245" s="263">
        <f t="shared" si="49"/>
        <v>28923.015634979398</v>
      </c>
      <c r="BC245" s="253">
        <f t="shared" si="49"/>
        <v>26267.035842000001</v>
      </c>
      <c r="BD245" s="159">
        <f t="shared" si="49"/>
        <v>1624.6013573999999</v>
      </c>
      <c r="BE245" s="159">
        <f t="shared" si="49"/>
        <v>24977.382546000001</v>
      </c>
      <c r="BF245" s="976">
        <f t="shared" si="49"/>
        <v>23296.977740000002</v>
      </c>
      <c r="BG245" s="253">
        <f t="shared" si="49"/>
        <v>23142.955625999999</v>
      </c>
      <c r="BH245" s="159">
        <f t="shared" si="49"/>
        <v>39929.092865999999</v>
      </c>
      <c r="BI245" s="159">
        <f t="shared" si="49"/>
        <v>43285.577514000004</v>
      </c>
      <c r="BJ245" s="263">
        <f t="shared" si="49"/>
        <v>41545.422545215682</v>
      </c>
      <c r="BK245" s="253">
        <f t="shared" si="49"/>
        <v>73431.900000000009</v>
      </c>
      <c r="BL245" s="159">
        <f t="shared" si="49"/>
        <v>49703.5</v>
      </c>
      <c r="BM245" s="159">
        <f t="shared" si="49"/>
        <v>76894.962199999994</v>
      </c>
      <c r="BN245" s="263">
        <f>BN246+BN247+BN248</f>
        <v>54215.337899999999</v>
      </c>
      <c r="BO245" s="253">
        <f t="shared" si="49"/>
        <v>20628.200819999998</v>
      </c>
      <c r="BP245" s="159">
        <f t="shared" si="49"/>
        <v>20305.100839999999</v>
      </c>
      <c r="BQ245" s="159">
        <f t="shared" si="49"/>
        <v>22738.719079999999</v>
      </c>
      <c r="BR245" s="254">
        <f t="shared" si="49"/>
        <v>28307.772932327996</v>
      </c>
      <c r="BS245" s="253">
        <f t="shared" si="49"/>
        <v>17310.487959999999</v>
      </c>
      <c r="BT245" s="159">
        <f t="shared" si="49"/>
        <v>22104.10626</v>
      </c>
      <c r="BU245" s="159">
        <f t="shared" si="49"/>
        <v>21695.509160000001</v>
      </c>
      <c r="BV245" s="254">
        <f t="shared" si="49"/>
        <v>24079.309079999999</v>
      </c>
      <c r="BW245" s="170"/>
      <c r="BX245" s="166"/>
      <c r="BY245" s="163">
        <f t="shared" si="45"/>
        <v>311046.83838800009</v>
      </c>
      <c r="BZ245" s="164">
        <f t="shared" si="46"/>
        <v>316844.01072340005</v>
      </c>
      <c r="CA245" s="164">
        <f t="shared" si="47"/>
        <v>527703.69733999996</v>
      </c>
      <c r="CB245" s="165">
        <f t="shared" si="48"/>
        <v>390071.59320252307</v>
      </c>
      <c r="CC245" s="760"/>
      <c r="CD245" s="1027"/>
    </row>
    <row r="246" spans="1:82" ht="16.7" customHeight="1" outlineLevel="4" x14ac:dyDescent="0.25">
      <c r="C246" s="10" t="s">
        <v>83</v>
      </c>
      <c r="D246" s="10" t="s">
        <v>84</v>
      </c>
      <c r="E246" s="10" t="s">
        <v>73</v>
      </c>
      <c r="F246" s="10" t="s">
        <v>74</v>
      </c>
      <c r="G246" s="10" t="s">
        <v>315</v>
      </c>
      <c r="H246" s="10" t="s">
        <v>73</v>
      </c>
      <c r="I246" s="10" t="s">
        <v>73</v>
      </c>
      <c r="K246" s="12" t="s">
        <v>73</v>
      </c>
      <c r="L246" s="10" t="s">
        <v>192</v>
      </c>
      <c r="M246" s="5" t="str">
        <f t="array" ref="M246">Y95</f>
        <v>1ХВС::1.1</v>
      </c>
      <c r="AB246" s="29" t="str">
        <f>AB245&amp;".1"</f>
        <v>3.1.1.2.1</v>
      </c>
      <c r="AC246" s="174" t="s">
        <v>316</v>
      </c>
      <c r="AD246" s="51" t="s">
        <v>111</v>
      </c>
      <c r="AE246" s="72">
        <v>10712.64</v>
      </c>
      <c r="AF246" s="178">
        <v>13947.25</v>
      </c>
      <c r="AG246" s="178">
        <v>14354.42</v>
      </c>
      <c r="AH246" s="96">
        <v>15100.764999999999</v>
      </c>
      <c r="AI246" s="179">
        <v>165.58</v>
      </c>
      <c r="AJ246" s="178"/>
      <c r="AK246" s="178">
        <v>77.290000000000006</v>
      </c>
      <c r="AL246" s="181">
        <v>77.290000000000006</v>
      </c>
      <c r="AM246" s="72">
        <v>443.99</v>
      </c>
      <c r="AN246" s="178">
        <v>609.63</v>
      </c>
      <c r="AO246" s="178">
        <v>328.89</v>
      </c>
      <c r="AP246" s="96">
        <v>328.89</v>
      </c>
      <c r="AQ246" s="179">
        <v>232.29</v>
      </c>
      <c r="AR246" s="178">
        <v>1625.16</v>
      </c>
      <c r="AS246" s="178">
        <v>363.82</v>
      </c>
      <c r="AT246" s="181">
        <v>363.82</v>
      </c>
      <c r="AU246" s="72">
        <v>156.03</v>
      </c>
      <c r="AV246" s="178">
        <v>217.71</v>
      </c>
      <c r="AW246" s="178">
        <v>339.89</v>
      </c>
      <c r="AX246" s="181">
        <v>339.9</v>
      </c>
      <c r="AY246" s="72">
        <v>485.11</v>
      </c>
      <c r="AZ246" s="178">
        <v>1220.58</v>
      </c>
      <c r="BA246" s="178">
        <v>1293.8399999999999</v>
      </c>
      <c r="BB246" s="181">
        <f>AZ246*1.04049</f>
        <v>1270.0012841999999</v>
      </c>
      <c r="BC246" s="72">
        <v>624.76300000000003</v>
      </c>
      <c r="BD246" s="178"/>
      <c r="BE246" s="178">
        <v>432.44499999999999</v>
      </c>
      <c r="BF246" s="210">
        <v>366.76</v>
      </c>
      <c r="BG246" s="72">
        <v>1822.76</v>
      </c>
      <c r="BH246" s="178">
        <v>652.14</v>
      </c>
      <c r="BI246" s="178">
        <v>2156.11</v>
      </c>
      <c r="BJ246" s="181">
        <f>BH246*1.04048</f>
        <v>678.53862720000006</v>
      </c>
      <c r="BK246" s="72">
        <v>2095.64</v>
      </c>
      <c r="BL246" s="178">
        <v>721.11</v>
      </c>
      <c r="BM246" s="178">
        <v>2179.4657000000002</v>
      </c>
      <c r="BN246" s="181">
        <v>780.8</v>
      </c>
      <c r="BO246" s="142">
        <v>68.66</v>
      </c>
      <c r="BP246" s="183">
        <v>304.86</v>
      </c>
      <c r="BQ246" s="183">
        <v>170.59</v>
      </c>
      <c r="BR246" s="186">
        <f>335.165*1.2468</f>
        <v>417.88372199999998</v>
      </c>
      <c r="BS246" s="142">
        <v>443.91</v>
      </c>
      <c r="BT246" s="183">
        <v>404.83</v>
      </c>
      <c r="BU246" s="183">
        <v>488.4</v>
      </c>
      <c r="BV246" s="186">
        <v>445.08</v>
      </c>
      <c r="BY246" s="125">
        <f t="shared" si="45"/>
        <v>17251.373000000003</v>
      </c>
      <c r="BZ246" s="126">
        <f t="shared" si="46"/>
        <v>19703.270000000004</v>
      </c>
      <c r="CA246" s="126">
        <f t="shared" si="47"/>
        <v>22185.1607</v>
      </c>
      <c r="CB246" s="127">
        <f t="shared" si="48"/>
        <v>20169.728633399998</v>
      </c>
    </row>
    <row r="247" spans="1:82" ht="16.7" customHeight="1" outlineLevel="4" x14ac:dyDescent="0.25">
      <c r="C247" s="10" t="s">
        <v>83</v>
      </c>
      <c r="D247" s="10" t="s">
        <v>84</v>
      </c>
      <c r="E247" s="10" t="s">
        <v>73</v>
      </c>
      <c r="F247" s="10" t="s">
        <v>74</v>
      </c>
      <c r="G247" s="10" t="s">
        <v>317</v>
      </c>
      <c r="H247" s="10" t="s">
        <v>73</v>
      </c>
      <c r="I247" s="10" t="s">
        <v>73</v>
      </c>
      <c r="K247" s="12" t="s">
        <v>73</v>
      </c>
      <c r="L247" s="10" t="s">
        <v>192</v>
      </c>
      <c r="M247" s="5" t="str">
        <f t="array" ref="M247">Y95</f>
        <v>1ХВС::1.1</v>
      </c>
      <c r="AB247" s="29" t="str">
        <f>AB245&amp;".2"</f>
        <v>3.1.1.2.2</v>
      </c>
      <c r="AC247" s="174" t="s">
        <v>318</v>
      </c>
      <c r="AD247" s="51" t="s">
        <v>111</v>
      </c>
      <c r="AE247" s="72">
        <v>38974.980000000003</v>
      </c>
      <c r="AF247" s="178">
        <v>73584.66</v>
      </c>
      <c r="AG247" s="178">
        <v>114297.23</v>
      </c>
      <c r="AH247" s="96">
        <v>79670.524999999994</v>
      </c>
      <c r="AI247" s="179">
        <v>40.590000000000003</v>
      </c>
      <c r="AJ247" s="178"/>
      <c r="AK247" s="178">
        <v>302.72000000000003</v>
      </c>
      <c r="AL247" s="181">
        <v>0</v>
      </c>
      <c r="AM247" s="72">
        <v>5614.78</v>
      </c>
      <c r="AN247" s="178">
        <v>1416.82</v>
      </c>
      <c r="AO247" s="178">
        <v>8270.7199999999993</v>
      </c>
      <c r="AP247" s="96">
        <v>8270.7199999999993</v>
      </c>
      <c r="AQ247" s="179">
        <v>3759.32</v>
      </c>
      <c r="AR247" s="178">
        <v>2411.23</v>
      </c>
      <c r="AS247" s="178">
        <v>8689.44</v>
      </c>
      <c r="AT247" s="181">
        <v>6716.16</v>
      </c>
      <c r="AU247" s="72">
        <v>8728.0730000000003</v>
      </c>
      <c r="AV247" s="178"/>
      <c r="AW247" s="178">
        <v>15954.81</v>
      </c>
      <c r="AX247" s="181">
        <v>10512.02</v>
      </c>
      <c r="AY247" s="72">
        <v>22204.47</v>
      </c>
      <c r="AZ247" s="178">
        <v>7596.32</v>
      </c>
      <c r="BA247" s="178">
        <v>14607.34</v>
      </c>
      <c r="BB247" s="181">
        <f>AZ247*1.04049</f>
        <v>7903.8949967999988</v>
      </c>
      <c r="BC247" s="72">
        <v>19961.294000000002</v>
      </c>
      <c r="BD247" s="178"/>
      <c r="BE247" s="178">
        <v>17481.167000000001</v>
      </c>
      <c r="BF247" s="210">
        <v>15771.34</v>
      </c>
      <c r="BG247" s="72">
        <v>14508.31</v>
      </c>
      <c r="BH247" s="178">
        <v>8227.5300000000007</v>
      </c>
      <c r="BI247" s="178">
        <f>28730.393-6314.19</f>
        <v>22416.203000000001</v>
      </c>
      <c r="BJ247" s="181">
        <f>BH247*1.04048</f>
        <v>8560.5804144000012</v>
      </c>
      <c r="BK247" s="72">
        <v>62387.16</v>
      </c>
      <c r="BL247" s="178">
        <v>39210.870000000003</v>
      </c>
      <c r="BM247" s="178">
        <f>64882.6465-690.29</f>
        <v>64192.356500000002</v>
      </c>
      <c r="BN247" s="181">
        <v>42457.077899999997</v>
      </c>
      <c r="BO247" s="142">
        <v>18783.73</v>
      </c>
      <c r="BP247" s="183">
        <v>18311</v>
      </c>
      <c r="BQ247" s="183">
        <v>19015.57</v>
      </c>
      <c r="BR247" s="186">
        <f>20131.39*1.2468</f>
        <v>25099.817051999999</v>
      </c>
      <c r="BS247" s="142">
        <v>15607.57</v>
      </c>
      <c r="BT247" s="183">
        <v>20054.03</v>
      </c>
      <c r="BU247" s="183">
        <v>19341.89</v>
      </c>
      <c r="BV247" s="186">
        <v>22047.69</v>
      </c>
      <c r="BY247" s="125">
        <f t="shared" si="45"/>
        <v>210570.27700000003</v>
      </c>
      <c r="BZ247" s="126">
        <f t="shared" si="46"/>
        <v>170812.46</v>
      </c>
      <c r="CA247" s="126">
        <f t="shared" si="47"/>
        <v>304569.44650000002</v>
      </c>
      <c r="CB247" s="127">
        <f t="shared" si="48"/>
        <v>227009.82536320001</v>
      </c>
    </row>
    <row r="248" spans="1:82" ht="38.25" customHeight="1" outlineLevel="4" x14ac:dyDescent="0.25">
      <c r="C248" s="10" t="s">
        <v>83</v>
      </c>
      <c r="D248" s="10" t="s">
        <v>84</v>
      </c>
      <c r="E248" s="10" t="s">
        <v>73</v>
      </c>
      <c r="F248" s="10" t="s">
        <v>74</v>
      </c>
      <c r="G248" s="10" t="s">
        <v>201</v>
      </c>
      <c r="H248" s="10" t="s">
        <v>319</v>
      </c>
      <c r="I248" s="10" t="s">
        <v>73</v>
      </c>
      <c r="K248" s="12" t="s">
        <v>73</v>
      </c>
      <c r="L248" s="10" t="s">
        <v>192</v>
      </c>
      <c r="M248" s="5" t="str">
        <f t="array" ref="M248">Y95</f>
        <v>1ХВС::1.1</v>
      </c>
      <c r="AB248" s="29" t="str">
        <f>AB245&amp;".3"</f>
        <v>3.1.1.2.3</v>
      </c>
      <c r="AC248" s="174" t="s">
        <v>320</v>
      </c>
      <c r="AD248" s="51" t="s">
        <v>111</v>
      </c>
      <c r="AE248" s="72">
        <f t="shared" ref="AE248:AL248" si="50">AE249+AE252</f>
        <v>38536.280660000004</v>
      </c>
      <c r="AF248" s="73">
        <f t="shared" si="50"/>
        <v>44344.97</v>
      </c>
      <c r="AG248" s="73">
        <f t="shared" si="50"/>
        <v>117030.76476000001</v>
      </c>
      <c r="AH248" s="74">
        <f t="shared" si="50"/>
        <v>46612.641600000003</v>
      </c>
      <c r="AI248" s="179">
        <f t="shared" si="50"/>
        <v>273.73248000000001</v>
      </c>
      <c r="AJ248" s="73">
        <f t="shared" si="50"/>
        <v>611.29</v>
      </c>
      <c r="AK248" s="73">
        <f t="shared" si="50"/>
        <v>1915.2940799999999</v>
      </c>
      <c r="AL248" s="138">
        <f t="shared" si="50"/>
        <v>344.93885999999998</v>
      </c>
      <c r="AM248" s="72">
        <v>6185.98</v>
      </c>
      <c r="AN248" s="73">
        <v>9139.02</v>
      </c>
      <c r="AO248" s="73">
        <v>11232.46</v>
      </c>
      <c r="AP248" s="74">
        <f t="shared" ref="AP248:BJ248" si="51">AP249+AP252</f>
        <v>7793.0103300000001</v>
      </c>
      <c r="AQ248" s="179">
        <f t="shared" si="51"/>
        <v>7828.7660000000005</v>
      </c>
      <c r="AR248" s="73">
        <f t="shared" si="51"/>
        <v>6263.8600000000006</v>
      </c>
      <c r="AS248" s="73">
        <f t="shared" si="51"/>
        <v>8894.5460000000003</v>
      </c>
      <c r="AT248" s="138">
        <f t="shared" si="51"/>
        <v>9865.4102399999992</v>
      </c>
      <c r="AU248" s="72">
        <f t="shared" si="51"/>
        <v>2942.2510000000002</v>
      </c>
      <c r="AV248" s="73">
        <f t="shared" si="51"/>
        <v>1208.5093999999999</v>
      </c>
      <c r="AW248" s="73">
        <f t="shared" si="51"/>
        <v>4652.2420000000002</v>
      </c>
      <c r="AX248" s="138">
        <f t="shared" si="51"/>
        <v>3707.6663400000002</v>
      </c>
      <c r="AY248" s="72">
        <f t="shared" si="51"/>
        <v>2981.395</v>
      </c>
      <c r="AZ248" s="73">
        <f t="shared" si="51"/>
        <v>18980.599999999999</v>
      </c>
      <c r="BA248" s="73">
        <f t="shared" si="51"/>
        <v>15505.83</v>
      </c>
      <c r="BB248" s="138">
        <f t="shared" si="51"/>
        <v>19749.1193539794</v>
      </c>
      <c r="BC248" s="72">
        <f t="shared" si="51"/>
        <v>5680.9788419999995</v>
      </c>
      <c r="BD248" s="73">
        <f t="shared" si="51"/>
        <v>1624.6013573999999</v>
      </c>
      <c r="BE248" s="73">
        <f t="shared" si="51"/>
        <v>7063.7705460000006</v>
      </c>
      <c r="BF248" s="774">
        <f t="shared" si="51"/>
        <v>7158.8777399999999</v>
      </c>
      <c r="BG248" s="72">
        <f t="shared" si="51"/>
        <v>6811.8856260000002</v>
      </c>
      <c r="BH248" s="73">
        <f t="shared" si="51"/>
        <v>31049.422866000001</v>
      </c>
      <c r="BI248" s="73">
        <f t="shared" si="51"/>
        <v>18713.264514000002</v>
      </c>
      <c r="BJ248" s="138">
        <f t="shared" si="51"/>
        <v>32306.30350361568</v>
      </c>
      <c r="BK248" s="72">
        <v>8949.1</v>
      </c>
      <c r="BL248" s="73">
        <v>9771.52</v>
      </c>
      <c r="BM248" s="73">
        <v>10523.14</v>
      </c>
      <c r="BN248" s="138">
        <f>BN249+BN252</f>
        <v>10977.46</v>
      </c>
      <c r="BO248" s="142">
        <f t="shared" ref="BO248:BV248" si="52">BO249+BO252</f>
        <v>1775.8108200000001</v>
      </c>
      <c r="BP248" s="140">
        <f t="shared" si="52"/>
        <v>1689.2408400000002</v>
      </c>
      <c r="BQ248" s="140">
        <f t="shared" si="52"/>
        <v>3552.55908</v>
      </c>
      <c r="BR248" s="143">
        <f t="shared" si="52"/>
        <v>2790.0721583279997</v>
      </c>
      <c r="BS248" s="142">
        <f t="shared" si="52"/>
        <v>1259.0079599999999</v>
      </c>
      <c r="BT248" s="140">
        <f t="shared" si="52"/>
        <v>1645.2462600000001</v>
      </c>
      <c r="BU248" s="140">
        <f t="shared" si="52"/>
        <v>1865.2191599999999</v>
      </c>
      <c r="BV248" s="143">
        <f t="shared" si="52"/>
        <v>1586.53908</v>
      </c>
      <c r="BY248" s="125">
        <f t="shared" si="45"/>
        <v>83225.18838800001</v>
      </c>
      <c r="BZ248" s="126">
        <f t="shared" si="46"/>
        <v>126328.28072339999</v>
      </c>
      <c r="CA248" s="126">
        <f t="shared" si="47"/>
        <v>200949.09014000004</v>
      </c>
      <c r="CB248" s="127">
        <f t="shared" si="48"/>
        <v>142892.03920592307</v>
      </c>
    </row>
    <row r="249" spans="1:82" ht="15" customHeight="1" outlineLevel="4" x14ac:dyDescent="0.25">
      <c r="C249" s="10" t="s">
        <v>83</v>
      </c>
      <c r="D249" s="10" t="s">
        <v>84</v>
      </c>
      <c r="E249" s="10" t="s">
        <v>73</v>
      </c>
      <c r="F249" s="10" t="s">
        <v>74</v>
      </c>
      <c r="G249" s="10" t="s">
        <v>204</v>
      </c>
      <c r="H249" s="10" t="s">
        <v>319</v>
      </c>
      <c r="I249" s="10" t="s">
        <v>73</v>
      </c>
      <c r="K249" s="12" t="s">
        <v>73</v>
      </c>
      <c r="L249" s="10" t="s">
        <v>192</v>
      </c>
      <c r="M249" s="5" t="str">
        <f t="array" ref="M249">Y95</f>
        <v>1ХВС::1.1</v>
      </c>
      <c r="AB249" s="29" t="str">
        <f>AB248&amp;".1"</f>
        <v>3.1.1.2.3.1</v>
      </c>
      <c r="AC249" s="177" t="s">
        <v>321</v>
      </c>
      <c r="AD249" s="51" t="s">
        <v>111</v>
      </c>
      <c r="AE249" s="95">
        <f>33530.83-10241.72/2</f>
        <v>28409.97</v>
      </c>
      <c r="AF249" s="178">
        <v>34059.120000000003</v>
      </c>
      <c r="AG249" s="178">
        <f>69885.38+20000</f>
        <v>89885.38</v>
      </c>
      <c r="AH249" s="96">
        <v>35800.800000000003</v>
      </c>
      <c r="AI249" s="187">
        <v>210.24</v>
      </c>
      <c r="AJ249" s="178">
        <v>469.5</v>
      </c>
      <c r="AK249" s="178">
        <v>1471.04</v>
      </c>
      <c r="AL249" s="181">
        <v>264.93</v>
      </c>
      <c r="AM249" s="95">
        <v>4751.1350000000002</v>
      </c>
      <c r="AN249" s="178">
        <v>7019.22</v>
      </c>
      <c r="AO249" s="178">
        <v>8627.0789999999997</v>
      </c>
      <c r="AP249" s="96">
        <v>5985.415</v>
      </c>
      <c r="AQ249" s="187">
        <v>6012.8760000000002</v>
      </c>
      <c r="AR249" s="178">
        <f>4078.69+732.27</f>
        <v>4810.96</v>
      </c>
      <c r="AS249" s="178">
        <v>6831.4459999999999</v>
      </c>
      <c r="AT249" s="181">
        <v>7577.12</v>
      </c>
      <c r="AU249" s="95">
        <v>2259.7910000000002</v>
      </c>
      <c r="AV249" s="178">
        <v>928.18939999999998</v>
      </c>
      <c r="AW249" s="178">
        <v>3573.152</v>
      </c>
      <c r="AX249" s="181">
        <v>2847.67</v>
      </c>
      <c r="AY249" s="95">
        <v>2289.855</v>
      </c>
      <c r="AZ249" s="178">
        <v>14578.03</v>
      </c>
      <c r="BA249" s="178">
        <v>11909.24</v>
      </c>
      <c r="BB249" s="181">
        <f>AZ249*1.04049</f>
        <v>15168.294434699999</v>
      </c>
      <c r="BC249" s="95">
        <v>4363.2709999999997</v>
      </c>
      <c r="BD249" s="178">
        <v>1247.7737</v>
      </c>
      <c r="BE249" s="178">
        <v>5425.3230000000003</v>
      </c>
      <c r="BF249" s="210">
        <v>5498.37</v>
      </c>
      <c r="BG249" s="95">
        <v>5231.8630000000003</v>
      </c>
      <c r="BH249" s="178">
        <v>23847.483</v>
      </c>
      <c r="BI249" s="178">
        <v>14372.707</v>
      </c>
      <c r="BJ249" s="181">
        <f>BH249*1.04048</f>
        <v>24812.829111840001</v>
      </c>
      <c r="BK249" s="95">
        <v>6873.3469999999998</v>
      </c>
      <c r="BL249" s="178">
        <v>7505.01</v>
      </c>
      <c r="BM249" s="178">
        <v>8082.29</v>
      </c>
      <c r="BN249" s="181">
        <v>8341.23</v>
      </c>
      <c r="BO249" s="185">
        <v>1363.91</v>
      </c>
      <c r="BP249" s="183">
        <v>1297.42</v>
      </c>
      <c r="BQ249" s="183">
        <v>2728.54</v>
      </c>
      <c r="BR249" s="186">
        <f>1718.73*1.2468</f>
        <v>2142.9125639999997</v>
      </c>
      <c r="BS249" s="185">
        <v>966.98</v>
      </c>
      <c r="BT249" s="183">
        <v>1263.6300000000001</v>
      </c>
      <c r="BU249" s="183">
        <v>1432.58</v>
      </c>
      <c r="BV249" s="186">
        <v>1218.54</v>
      </c>
      <c r="BY249" s="125">
        <f t="shared" si="45"/>
        <v>62733.238000000012</v>
      </c>
      <c r="BZ249" s="126">
        <f t="shared" si="46"/>
        <v>97026.3361</v>
      </c>
      <c r="CA249" s="126">
        <f t="shared" si="47"/>
        <v>154338.777</v>
      </c>
      <c r="CB249" s="127">
        <f t="shared" si="48"/>
        <v>109658.11111053999</v>
      </c>
    </row>
    <row r="250" spans="1:82" s="115" customFormat="1" ht="18" customHeight="1" outlineLevel="4" x14ac:dyDescent="0.25">
      <c r="A250" s="100"/>
      <c r="B250" s="100"/>
      <c r="C250" s="99" t="s">
        <v>206</v>
      </c>
      <c r="D250" s="99" t="s">
        <v>207</v>
      </c>
      <c r="E250" s="99" t="s">
        <v>73</v>
      </c>
      <c r="F250" s="99" t="s">
        <v>74</v>
      </c>
      <c r="G250" s="99" t="s">
        <v>73</v>
      </c>
      <c r="H250" s="99" t="s">
        <v>319</v>
      </c>
      <c r="I250" s="99" t="s">
        <v>73</v>
      </c>
      <c r="J250" s="100"/>
      <c r="K250" s="102" t="s">
        <v>73</v>
      </c>
      <c r="L250" s="99" t="s">
        <v>192</v>
      </c>
      <c r="M250" s="100" t="str">
        <f t="array" ref="M250">Y95</f>
        <v>1ХВС::1.1</v>
      </c>
      <c r="N250" s="100"/>
      <c r="O250" s="100"/>
      <c r="P250" s="100"/>
      <c r="Q250" s="100"/>
      <c r="R250" s="100"/>
      <c r="S250" s="100"/>
      <c r="T250" s="100"/>
      <c r="U250" s="100"/>
      <c r="V250" s="100"/>
      <c r="W250" s="100"/>
      <c r="X250" s="100"/>
      <c r="Y250" s="100"/>
      <c r="Z250" s="100"/>
      <c r="AA250" s="100"/>
      <c r="AB250" s="103" t="str">
        <f>AB249&amp;".1"</f>
        <v>3.1.1.2.3.1.1</v>
      </c>
      <c r="AC250" s="188" t="s">
        <v>208</v>
      </c>
      <c r="AD250" s="189" t="s">
        <v>209</v>
      </c>
      <c r="AE250" s="190">
        <f t="shared" ref="AE250:AK250" si="53">(AE249/AE251)/12*1000</f>
        <v>58456.728395061727</v>
      </c>
      <c r="AF250" s="191">
        <f t="shared" si="53"/>
        <v>57501.215559157223</v>
      </c>
      <c r="AG250" s="191">
        <f t="shared" si="53"/>
        <v>79432.11382113822</v>
      </c>
      <c r="AH250" s="192">
        <f t="shared" si="53"/>
        <v>66967.452300785633</v>
      </c>
      <c r="AI250" s="640">
        <f t="shared" si="53"/>
        <v>58400.000000000007</v>
      </c>
      <c r="AJ250" s="191">
        <f t="shared" si="53"/>
        <v>39125</v>
      </c>
      <c r="AK250" s="191">
        <f t="shared" si="53"/>
        <v>49034.666666666657</v>
      </c>
      <c r="AL250" s="193">
        <v>66902.460000000006</v>
      </c>
      <c r="AM250" s="190">
        <f t="shared" ref="AM250:BV250" si="54">(AM249/AM251)/12*1000</f>
        <v>62646.822257383967</v>
      </c>
      <c r="AN250" s="191">
        <f t="shared" si="54"/>
        <v>40733.635097493039</v>
      </c>
      <c r="AO250" s="191">
        <f t="shared" si="54"/>
        <v>48906.343537414963</v>
      </c>
      <c r="AP250" s="192">
        <f t="shared" si="54"/>
        <v>71767.565947242198</v>
      </c>
      <c r="AQ250" s="640">
        <f t="shared" si="54"/>
        <v>70573.661971830981</v>
      </c>
      <c r="AR250" s="191">
        <f t="shared" si="54"/>
        <v>37294.263565891473</v>
      </c>
      <c r="AS250" s="191">
        <f t="shared" si="54"/>
        <v>46662.882513661199</v>
      </c>
      <c r="AT250" s="193">
        <f t="shared" si="54"/>
        <v>80848.484848484863</v>
      </c>
      <c r="AU250" s="190">
        <f t="shared" si="54"/>
        <v>51735.141941391936</v>
      </c>
      <c r="AV250" s="191">
        <f t="shared" si="54"/>
        <v>34377.38518518518</v>
      </c>
      <c r="AW250" s="191">
        <f t="shared" si="54"/>
        <v>48813.551912568306</v>
      </c>
      <c r="AX250" s="193">
        <f t="shared" si="54"/>
        <v>59326.458333333336</v>
      </c>
      <c r="AY250" s="190">
        <f t="shared" si="54"/>
        <v>28020.741556534507</v>
      </c>
      <c r="AZ250" s="191">
        <f t="shared" si="54"/>
        <v>42402.646887725423</v>
      </c>
      <c r="BA250" s="191">
        <f t="shared" si="54"/>
        <v>48648.856209150334</v>
      </c>
      <c r="BB250" s="193">
        <f t="shared" si="54"/>
        <v>44119.530060209428</v>
      </c>
      <c r="BC250" s="190">
        <f t="shared" si="54"/>
        <v>60000.976347634765</v>
      </c>
      <c r="BD250" s="191">
        <f t="shared" si="54"/>
        <v>34660.380555555552</v>
      </c>
      <c r="BE250" s="191">
        <f t="shared" si="54"/>
        <v>47590.552631578954</v>
      </c>
      <c r="BF250" s="977">
        <f t="shared" si="54"/>
        <v>68695.277361319342</v>
      </c>
      <c r="BG250" s="190">
        <f t="shared" si="54"/>
        <v>34879.08666666667</v>
      </c>
      <c r="BH250" s="191">
        <f t="shared" si="54"/>
        <v>47985.796047756674</v>
      </c>
      <c r="BI250" s="191">
        <f t="shared" si="54"/>
        <v>49905.232638888898</v>
      </c>
      <c r="BJ250" s="193">
        <f t="shared" si="54"/>
        <v>49933.247025356199</v>
      </c>
      <c r="BK250" s="190">
        <f t="shared" si="54"/>
        <v>53331.37026691495</v>
      </c>
      <c r="BL250" s="191">
        <f t="shared" si="54"/>
        <v>44672.67857142858</v>
      </c>
      <c r="BM250" s="191">
        <f t="shared" si="54"/>
        <v>48108.869047619046</v>
      </c>
      <c r="BN250" s="193">
        <f t="shared" si="54"/>
        <v>60443.695652173905</v>
      </c>
      <c r="BO250" s="190">
        <f t="shared" si="54"/>
        <v>56266.91419141915</v>
      </c>
      <c r="BP250" s="191">
        <f t="shared" si="54"/>
        <v>43596.102150537641</v>
      </c>
      <c r="BQ250" s="191">
        <f t="shared" si="54"/>
        <v>47869.122807017542</v>
      </c>
      <c r="BR250" s="192">
        <f t="shared" si="54"/>
        <v>80439.66081081079</v>
      </c>
      <c r="BS250" s="190">
        <f t="shared" si="54"/>
        <v>49135.162601626012</v>
      </c>
      <c r="BT250" s="191">
        <f t="shared" si="54"/>
        <v>42460.68548387097</v>
      </c>
      <c r="BU250" s="191">
        <f t="shared" si="54"/>
        <v>47752.666666666664</v>
      </c>
      <c r="BV250" s="192">
        <f t="shared" si="54"/>
        <v>56413.888888888883</v>
      </c>
      <c r="BW250" s="111"/>
      <c r="BX250" s="100"/>
      <c r="BY250" s="112">
        <f>(BY249/BY251)/12*1000</f>
        <v>53546.756461470191</v>
      </c>
      <c r="BZ250" s="113">
        <f>(BZ249/BZ251)/12*1000</f>
        <v>47633.622181074163</v>
      </c>
      <c r="CA250" s="113">
        <f>(CA249/CA251)/12*1000</f>
        <v>62754.646255184183</v>
      </c>
      <c r="CB250" s="114">
        <f>(CB249/CB251)/12*1000</f>
        <v>58619.384988635138</v>
      </c>
      <c r="CC250" s="759"/>
    </row>
    <row r="251" spans="1:82" s="115" customFormat="1" ht="15" customHeight="1" outlineLevel="4" x14ac:dyDescent="0.25">
      <c r="A251" s="100"/>
      <c r="B251" s="100"/>
      <c r="C251" s="99" t="s">
        <v>210</v>
      </c>
      <c r="D251" s="99" t="s">
        <v>211</v>
      </c>
      <c r="E251" s="99" t="s">
        <v>73</v>
      </c>
      <c r="F251" s="99" t="s">
        <v>74</v>
      </c>
      <c r="G251" s="99" t="s">
        <v>73</v>
      </c>
      <c r="H251" s="99" t="s">
        <v>319</v>
      </c>
      <c r="I251" s="99" t="s">
        <v>73</v>
      </c>
      <c r="J251" s="100"/>
      <c r="K251" s="102" t="s">
        <v>73</v>
      </c>
      <c r="L251" s="99" t="s">
        <v>192</v>
      </c>
      <c r="M251" s="100" t="str">
        <f t="array" ref="M251">Y95</f>
        <v>1ХВС::1.1</v>
      </c>
      <c r="N251" s="100"/>
      <c r="O251" s="100"/>
      <c r="P251" s="100"/>
      <c r="Q251" s="100"/>
      <c r="R251" s="100"/>
      <c r="S251" s="100"/>
      <c r="T251" s="100"/>
      <c r="U251" s="100"/>
      <c r="V251" s="100"/>
      <c r="W251" s="100"/>
      <c r="X251" s="100"/>
      <c r="Y251" s="100"/>
      <c r="Z251" s="100"/>
      <c r="AA251" s="100"/>
      <c r="AB251" s="103" t="str">
        <f>AB249&amp;".2"</f>
        <v>3.1.1.2.3.1.2</v>
      </c>
      <c r="AC251" s="188" t="s">
        <v>212</v>
      </c>
      <c r="AD251" s="189" t="s">
        <v>213</v>
      </c>
      <c r="AE251" s="199">
        <v>40.5</v>
      </c>
      <c r="AF251" s="200">
        <v>49.36</v>
      </c>
      <c r="AG251" s="200">
        <v>94.3</v>
      </c>
      <c r="AH251" s="201">
        <v>44.55</v>
      </c>
      <c r="AI251" s="933">
        <v>0.3</v>
      </c>
      <c r="AJ251" s="200">
        <v>1</v>
      </c>
      <c r="AK251" s="200">
        <v>2.5</v>
      </c>
      <c r="AL251" s="202">
        <v>0.33</v>
      </c>
      <c r="AM251" s="199">
        <v>6.32</v>
      </c>
      <c r="AN251" s="200">
        <v>14.36</v>
      </c>
      <c r="AO251" s="200">
        <v>14.7</v>
      </c>
      <c r="AP251" s="201">
        <v>6.95</v>
      </c>
      <c r="AQ251" s="933">
        <v>7.1</v>
      </c>
      <c r="AR251" s="200">
        <v>10.75</v>
      </c>
      <c r="AS251" s="200">
        <v>12.2</v>
      </c>
      <c r="AT251" s="202">
        <v>7.81</v>
      </c>
      <c r="AU251" s="199">
        <v>3.64</v>
      </c>
      <c r="AV251" s="200">
        <v>2.25</v>
      </c>
      <c r="AW251" s="200">
        <v>6.1</v>
      </c>
      <c r="AX251" s="202">
        <v>4</v>
      </c>
      <c r="AY251" s="199">
        <v>6.81</v>
      </c>
      <c r="AZ251" s="200">
        <v>28.65</v>
      </c>
      <c r="BA251" s="200">
        <v>20.399999999999999</v>
      </c>
      <c r="BB251" s="202">
        <v>28.65</v>
      </c>
      <c r="BC251" s="199">
        <v>6.06</v>
      </c>
      <c r="BD251" s="200">
        <v>3</v>
      </c>
      <c r="BE251" s="200">
        <v>9.5</v>
      </c>
      <c r="BF251" s="978">
        <v>6.67</v>
      </c>
      <c r="BG251" s="199">
        <v>12.5</v>
      </c>
      <c r="BH251" s="200">
        <v>41.414135299999998</v>
      </c>
      <c r="BI251" s="200">
        <f>42.3-18.3</f>
        <v>23.999999999999996</v>
      </c>
      <c r="BJ251" s="202">
        <v>41.41</v>
      </c>
      <c r="BK251" s="199">
        <v>10.74</v>
      </c>
      <c r="BL251" s="200">
        <v>14</v>
      </c>
      <c r="BM251" s="200">
        <v>14</v>
      </c>
      <c r="BN251" s="202">
        <v>11.5</v>
      </c>
      <c r="BO251" s="206">
        <v>2.02</v>
      </c>
      <c r="BP251" s="204">
        <v>2.48</v>
      </c>
      <c r="BQ251" s="204">
        <v>4.75</v>
      </c>
      <c r="BR251" s="207">
        <v>2.2200000000000002</v>
      </c>
      <c r="BS251" s="206">
        <v>1.64</v>
      </c>
      <c r="BT251" s="204">
        <v>2.48</v>
      </c>
      <c r="BU251" s="204">
        <v>2.5</v>
      </c>
      <c r="BV251" s="207">
        <v>1.8</v>
      </c>
      <c r="BW251" s="111"/>
      <c r="BX251" s="100"/>
      <c r="BY251" s="112">
        <f t="shared" ref="BY251:CB252" si="55">AE251+AI251+AM251+AQ251+AU251+AY251+BC251+BG251+BK251+BO251+BS251</f>
        <v>97.63</v>
      </c>
      <c r="BZ251" s="113">
        <f t="shared" si="55"/>
        <v>169.74413529999998</v>
      </c>
      <c r="CA251" s="113">
        <f t="shared" si="55"/>
        <v>204.95000000000002</v>
      </c>
      <c r="CB251" s="114">
        <f t="shared" si="55"/>
        <v>155.89000000000001</v>
      </c>
      <c r="CC251" s="759"/>
    </row>
    <row r="252" spans="1:82" ht="20.25" customHeight="1" outlineLevel="4" x14ac:dyDescent="0.25">
      <c r="C252" s="10" t="s">
        <v>83</v>
      </c>
      <c r="D252" s="10" t="s">
        <v>84</v>
      </c>
      <c r="E252" s="10" t="s">
        <v>73</v>
      </c>
      <c r="F252" s="10" t="s">
        <v>74</v>
      </c>
      <c r="G252" s="10" t="s">
        <v>214</v>
      </c>
      <c r="H252" s="10" t="s">
        <v>319</v>
      </c>
      <c r="I252" s="10" t="s">
        <v>73</v>
      </c>
      <c r="K252" s="12" t="s">
        <v>73</v>
      </c>
      <c r="L252" s="10" t="s">
        <v>192</v>
      </c>
      <c r="M252" s="5" t="str">
        <f t="array" ref="M252">Y95</f>
        <v>1ХВС::1.1</v>
      </c>
      <c r="AB252" s="29" t="str">
        <f>AB248&amp;".2"</f>
        <v>3.1.1.2.3.2</v>
      </c>
      <c r="AC252" s="177" t="s">
        <v>322</v>
      </c>
      <c r="AD252" s="51" t="s">
        <v>111</v>
      </c>
      <c r="AE252" s="95">
        <f>33530.83*0.302</f>
        <v>10126.310660000001</v>
      </c>
      <c r="AF252" s="178">
        <v>10285.85</v>
      </c>
      <c r="AG252" s="178">
        <f>AG249/100*30.2</f>
        <v>27145.384760000001</v>
      </c>
      <c r="AH252" s="96">
        <f>AH249/100*30.2</f>
        <v>10811.841600000002</v>
      </c>
      <c r="AI252" s="187">
        <f>AI249*0.302</f>
        <v>63.49248</v>
      </c>
      <c r="AJ252" s="178">
        <v>141.79</v>
      </c>
      <c r="AK252" s="178">
        <f>AK249*0.302</f>
        <v>444.25407999999999</v>
      </c>
      <c r="AL252" s="181">
        <f>AL249*30.2%</f>
        <v>80.008859999999999</v>
      </c>
      <c r="AM252" s="95">
        <v>1434.84</v>
      </c>
      <c r="AN252" s="178">
        <v>2119.8000000000002</v>
      </c>
      <c r="AO252" s="178">
        <v>2605.38</v>
      </c>
      <c r="AP252" s="96">
        <f>AP249*30.2%</f>
        <v>1807.5953299999999</v>
      </c>
      <c r="AQ252" s="187">
        <v>1815.89</v>
      </c>
      <c r="AR252" s="178">
        <f>1231.76+221.14</f>
        <v>1452.9</v>
      </c>
      <c r="AS252" s="178">
        <v>2063.1</v>
      </c>
      <c r="AT252" s="181">
        <f>AT249*30.2%</f>
        <v>2288.2902399999998</v>
      </c>
      <c r="AU252" s="95">
        <v>682.46</v>
      </c>
      <c r="AV252" s="178">
        <v>280.32</v>
      </c>
      <c r="AW252" s="178">
        <v>1079.0899999999999</v>
      </c>
      <c r="AX252" s="181">
        <f>AX249*30.2%</f>
        <v>859.99634000000003</v>
      </c>
      <c r="AY252" s="95">
        <v>691.54</v>
      </c>
      <c r="AZ252" s="178">
        <v>4402.57</v>
      </c>
      <c r="BA252" s="178">
        <v>3596.59</v>
      </c>
      <c r="BB252" s="181">
        <f t="shared" ref="BB252:BJ252" si="56">BB249*30.2%</f>
        <v>4580.8249192794001</v>
      </c>
      <c r="BC252" s="95">
        <f t="shared" si="56"/>
        <v>1317.7078419999998</v>
      </c>
      <c r="BD252" s="178">
        <f t="shared" si="56"/>
        <v>376.82765739999996</v>
      </c>
      <c r="BE252" s="178">
        <f t="shared" si="56"/>
        <v>1638.4475460000001</v>
      </c>
      <c r="BF252" s="210">
        <f t="shared" si="56"/>
        <v>1660.50774</v>
      </c>
      <c r="BG252" s="95">
        <f t="shared" si="56"/>
        <v>1580.0226259999999</v>
      </c>
      <c r="BH252" s="178">
        <f t="shared" si="56"/>
        <v>7201.9398659999997</v>
      </c>
      <c r="BI252" s="178">
        <f t="shared" si="56"/>
        <v>4340.5575140000001</v>
      </c>
      <c r="BJ252" s="181">
        <f t="shared" si="56"/>
        <v>7493.4743917756805</v>
      </c>
      <c r="BK252" s="95">
        <v>2075.75</v>
      </c>
      <c r="BL252" s="178">
        <v>2266.5100000000002</v>
      </c>
      <c r="BM252" s="178">
        <v>2440.85</v>
      </c>
      <c r="BN252" s="181">
        <v>2636.23</v>
      </c>
      <c r="BO252" s="185">
        <f>BO249*BO253/100</f>
        <v>411.90082000000001</v>
      </c>
      <c r="BP252" s="183">
        <f>BP249*BP253/100</f>
        <v>391.82084000000003</v>
      </c>
      <c r="BQ252" s="183">
        <f>BQ249*BQ253/100</f>
        <v>824.01907999999992</v>
      </c>
      <c r="BR252" s="186">
        <f>BR249*30.2%</f>
        <v>647.15959432799991</v>
      </c>
      <c r="BS252" s="185">
        <f>BS249*BS253/100</f>
        <v>292.02796000000001</v>
      </c>
      <c r="BT252" s="183">
        <f>BT249*BT253/100</f>
        <v>381.61626000000001</v>
      </c>
      <c r="BU252" s="183">
        <f>BU249*BU253/100</f>
        <v>432.63915999999995</v>
      </c>
      <c r="BV252" s="186">
        <f>BV249*30.2%</f>
        <v>367.99907999999999</v>
      </c>
      <c r="BY252" s="125">
        <f t="shared" si="55"/>
        <v>20491.942387999999</v>
      </c>
      <c r="BZ252" s="126">
        <f t="shared" si="55"/>
        <v>29301.944623400002</v>
      </c>
      <c r="CA252" s="126">
        <f t="shared" si="55"/>
        <v>46610.312140000002</v>
      </c>
      <c r="CB252" s="127">
        <f t="shared" si="55"/>
        <v>33233.928095383082</v>
      </c>
    </row>
    <row r="253" spans="1:82" ht="15" customHeight="1" outlineLevel="4" x14ac:dyDescent="0.25">
      <c r="C253" s="10" t="s">
        <v>216</v>
      </c>
      <c r="D253" s="10" t="s">
        <v>217</v>
      </c>
      <c r="E253" s="10" t="s">
        <v>73</v>
      </c>
      <c r="F253" s="10" t="s">
        <v>74</v>
      </c>
      <c r="G253" s="10" t="s">
        <v>73</v>
      </c>
      <c r="H253" s="10" t="s">
        <v>319</v>
      </c>
      <c r="I253" s="10" t="s">
        <v>73</v>
      </c>
      <c r="K253" s="12" t="s">
        <v>73</v>
      </c>
      <c r="L253" s="10" t="s">
        <v>192</v>
      </c>
      <c r="M253" s="5" t="str">
        <f t="array" ref="M253">Y95</f>
        <v>1ХВС::1.1</v>
      </c>
      <c r="AB253" s="29" t="str">
        <f>AB252&amp;".1"</f>
        <v>3.1.1.2.3.2.1</v>
      </c>
      <c r="AC253" s="208" t="s">
        <v>218</v>
      </c>
      <c r="AD253" s="51" t="s">
        <v>119</v>
      </c>
      <c r="AE253" s="72">
        <v>30.2</v>
      </c>
      <c r="AF253" s="73">
        <v>30.2</v>
      </c>
      <c r="AG253" s="73">
        <v>30.2</v>
      </c>
      <c r="AH253" s="74">
        <v>30.2</v>
      </c>
      <c r="AI253" s="179">
        <v>30.2</v>
      </c>
      <c r="AJ253" s="73">
        <v>30.2</v>
      </c>
      <c r="AK253" s="73">
        <v>30.2</v>
      </c>
      <c r="AL253" s="138">
        <v>30.2</v>
      </c>
      <c r="AM253" s="72">
        <v>30.2</v>
      </c>
      <c r="AN253" s="73">
        <v>30.2</v>
      </c>
      <c r="AO253" s="73">
        <v>30.2</v>
      </c>
      <c r="AP253" s="74">
        <v>30.2</v>
      </c>
      <c r="AQ253" s="179">
        <v>30.2</v>
      </c>
      <c r="AR253" s="73">
        <v>30.2</v>
      </c>
      <c r="AS253" s="73">
        <v>30.2</v>
      </c>
      <c r="AT253" s="138">
        <v>30.2</v>
      </c>
      <c r="AU253" s="72">
        <v>30.2</v>
      </c>
      <c r="AV253" s="73">
        <v>30.2</v>
      </c>
      <c r="AW253" s="73">
        <v>30.2</v>
      </c>
      <c r="AX253" s="138">
        <v>30.2</v>
      </c>
      <c r="AY253" s="72">
        <v>30.2</v>
      </c>
      <c r="AZ253" s="73">
        <v>30.2</v>
      </c>
      <c r="BA253" s="73">
        <v>30.2</v>
      </c>
      <c r="BB253" s="138">
        <v>30.2</v>
      </c>
      <c r="BC253" s="72">
        <v>30.2</v>
      </c>
      <c r="BD253" s="73">
        <v>30.2</v>
      </c>
      <c r="BE253" s="73">
        <v>30.2</v>
      </c>
      <c r="BF253" s="774">
        <v>30.2</v>
      </c>
      <c r="BG253" s="72">
        <v>30.2</v>
      </c>
      <c r="BH253" s="73">
        <v>30.2</v>
      </c>
      <c r="BI253" s="73">
        <v>30.2</v>
      </c>
      <c r="BJ253" s="138">
        <v>30.2</v>
      </c>
      <c r="BK253" s="72">
        <v>30.2</v>
      </c>
      <c r="BL253" s="73">
        <v>30.2</v>
      </c>
      <c r="BM253" s="73">
        <v>30.2</v>
      </c>
      <c r="BN253" s="181">
        <v>30.2</v>
      </c>
      <c r="BO253" s="142">
        <v>30.2</v>
      </c>
      <c r="BP253" s="140">
        <v>30.2</v>
      </c>
      <c r="BQ253" s="140">
        <v>30.2</v>
      </c>
      <c r="BR253" s="143">
        <v>30.2</v>
      </c>
      <c r="BS253" s="142">
        <v>30.2</v>
      </c>
      <c r="BT253" s="140">
        <v>30.2</v>
      </c>
      <c r="BU253" s="140">
        <v>30.2</v>
      </c>
      <c r="BV253" s="143">
        <v>30.2</v>
      </c>
      <c r="BY253" s="125">
        <v>30.2</v>
      </c>
      <c r="BZ253" s="126">
        <v>30.2</v>
      </c>
      <c r="CA253" s="126">
        <v>30.2</v>
      </c>
      <c r="CB253" s="127">
        <v>30.2</v>
      </c>
    </row>
    <row r="254" spans="1:82" s="171" customFormat="1" ht="19.5" customHeight="1" outlineLevel="3" x14ac:dyDescent="0.25">
      <c r="A254" s="166"/>
      <c r="B254" s="166"/>
      <c r="C254" s="167" t="s">
        <v>83</v>
      </c>
      <c r="D254" s="167" t="s">
        <v>84</v>
      </c>
      <c r="E254" s="167" t="s">
        <v>73</v>
      </c>
      <c r="F254" s="167" t="s">
        <v>74</v>
      </c>
      <c r="G254" s="167" t="s">
        <v>323</v>
      </c>
      <c r="H254" s="167" t="s">
        <v>73</v>
      </c>
      <c r="I254" s="167" t="s">
        <v>73</v>
      </c>
      <c r="J254" s="166"/>
      <c r="K254" s="168" t="s">
        <v>73</v>
      </c>
      <c r="L254" s="167" t="s">
        <v>192</v>
      </c>
      <c r="M254" s="166" t="str">
        <f t="array" ref="M254">Y95</f>
        <v>1ХВС::1.1</v>
      </c>
      <c r="N254" s="166"/>
      <c r="O254" s="166"/>
      <c r="P254" s="166"/>
      <c r="Q254" s="166"/>
      <c r="R254" s="166"/>
      <c r="S254" s="166"/>
      <c r="T254" s="166"/>
      <c r="U254" s="166"/>
      <c r="V254" s="166"/>
      <c r="W254" s="166"/>
      <c r="X254" s="166"/>
      <c r="Y254" s="166"/>
      <c r="Z254" s="166"/>
      <c r="AA254" s="166"/>
      <c r="AB254" s="155" t="str">
        <f>AB143&amp;".3"</f>
        <v>3.1.1.3</v>
      </c>
      <c r="AC254" s="252" t="s">
        <v>323</v>
      </c>
      <c r="AD254" s="157" t="s">
        <v>111</v>
      </c>
      <c r="AE254" s="253">
        <f t="shared" ref="AE254:BV254" si="57">AE255+AE263+AE269+AE270+AE271+AE272+AE273</f>
        <v>122975.1</v>
      </c>
      <c r="AF254" s="159">
        <f t="shared" si="57"/>
        <v>100001.461485422</v>
      </c>
      <c r="AG254" s="159">
        <f t="shared" si="57"/>
        <v>133266.682</v>
      </c>
      <c r="AH254" s="254">
        <f>AH255+AH263+AH269+AH270+AH271+AH272+AH273</f>
        <v>125985.25189999999</v>
      </c>
      <c r="AI254" s="162">
        <f t="shared" si="57"/>
        <v>90.223000000000013</v>
      </c>
      <c r="AJ254" s="159">
        <f t="shared" si="57"/>
        <v>183.6</v>
      </c>
      <c r="AK254" s="159">
        <f t="shared" si="57"/>
        <v>122.476</v>
      </c>
      <c r="AL254" s="263">
        <f t="shared" si="57"/>
        <v>0</v>
      </c>
      <c r="AM254" s="253">
        <f t="shared" si="57"/>
        <v>2683.16</v>
      </c>
      <c r="AN254" s="159">
        <f t="shared" si="57"/>
        <v>3281.5199999999995</v>
      </c>
      <c r="AO254" s="159">
        <f t="shared" si="57"/>
        <v>4859.3999999999996</v>
      </c>
      <c r="AP254" s="254">
        <f t="shared" si="57"/>
        <v>3115.33446</v>
      </c>
      <c r="AQ254" s="162">
        <f t="shared" si="57"/>
        <v>3712.3040000000001</v>
      </c>
      <c r="AR254" s="159">
        <f t="shared" si="57"/>
        <v>4251.3040000000001</v>
      </c>
      <c r="AS254" s="159">
        <f t="shared" si="57"/>
        <v>4108.8899999999994</v>
      </c>
      <c r="AT254" s="263">
        <f t="shared" si="57"/>
        <v>3298.3956600000001</v>
      </c>
      <c r="AU254" s="253">
        <f t="shared" si="57"/>
        <v>1957.59</v>
      </c>
      <c r="AV254" s="159">
        <f t="shared" si="57"/>
        <v>769.94209999999998</v>
      </c>
      <c r="AW254" s="159">
        <f t="shared" si="57"/>
        <v>1111.9000000000001</v>
      </c>
      <c r="AX254" s="263">
        <f t="shared" si="57"/>
        <v>2373.6371399999998</v>
      </c>
      <c r="AY254" s="253">
        <f t="shared" si="57"/>
        <v>3252.7180000000003</v>
      </c>
      <c r="AZ254" s="159">
        <f t="shared" si="57"/>
        <v>6195.42</v>
      </c>
      <c r="BA254" s="159">
        <f t="shared" si="57"/>
        <v>4812.6558999999997</v>
      </c>
      <c r="BB254" s="263">
        <f t="shared" si="57"/>
        <v>6446.2764888521997</v>
      </c>
      <c r="BC254" s="253">
        <f t="shared" si="57"/>
        <v>191.57600000000002</v>
      </c>
      <c r="BD254" s="159">
        <f t="shared" si="57"/>
        <v>1086.3457037999999</v>
      </c>
      <c r="BE254" s="159">
        <f t="shared" si="57"/>
        <v>1708.888046</v>
      </c>
      <c r="BF254" s="976">
        <f t="shared" si="57"/>
        <v>73.040000000000006</v>
      </c>
      <c r="BG254" s="253">
        <f t="shared" si="57"/>
        <v>8423.5234599999985</v>
      </c>
      <c r="BH254" s="159">
        <f t="shared" si="57"/>
        <v>11012.302971999999</v>
      </c>
      <c r="BI254" s="159">
        <f t="shared" si="57"/>
        <v>9678.5909769999998</v>
      </c>
      <c r="BJ254" s="263">
        <f t="shared" si="57"/>
        <v>11458.08099630656</v>
      </c>
      <c r="BK254" s="253">
        <f t="shared" si="57"/>
        <v>300.62</v>
      </c>
      <c r="BL254" s="159">
        <f t="shared" si="57"/>
        <v>88.12</v>
      </c>
      <c r="BM254" s="159">
        <f t="shared" si="57"/>
        <v>512.41999999999996</v>
      </c>
      <c r="BN254" s="263">
        <f t="shared" si="57"/>
        <v>64.19</v>
      </c>
      <c r="BO254" s="253">
        <f t="shared" si="57"/>
        <v>22.869999999999997</v>
      </c>
      <c r="BP254" s="159">
        <f t="shared" si="57"/>
        <v>0</v>
      </c>
      <c r="BQ254" s="159">
        <f t="shared" si="57"/>
        <v>704.80736000000002</v>
      </c>
      <c r="BR254" s="254">
        <f t="shared" si="57"/>
        <v>695.29672199999993</v>
      </c>
      <c r="BS254" s="253">
        <f t="shared" si="57"/>
        <v>217.76000000000002</v>
      </c>
      <c r="BT254" s="159">
        <f t="shared" si="57"/>
        <v>134.22</v>
      </c>
      <c r="BU254" s="159">
        <f t="shared" si="57"/>
        <v>2299.9388680000002</v>
      </c>
      <c r="BV254" s="254">
        <f t="shared" si="57"/>
        <v>85.27000000000001</v>
      </c>
      <c r="BW254" s="170"/>
      <c r="BX254" s="166"/>
      <c r="BY254" s="163">
        <f t="shared" ref="BY254:BY264" si="58">AE254+AI254+AM254+AQ254+AU254+AY254+BC254+BG254+BK254+BO254+BS254</f>
        <v>143827.44446</v>
      </c>
      <c r="BZ254" s="164">
        <f t="shared" ref="BZ254:BZ264" si="59">AF254+AJ254+AN254+AR254+AV254+AZ254+BD254+BH254+BL254+BP254+BT254</f>
        <v>127004.23626122202</v>
      </c>
      <c r="CA254" s="164">
        <f t="shared" ref="CA254:CA264" si="60">AG254+AK254+AO254+AS254+AW254+BA254+BE254+BI254+BM254+BQ254+BU254</f>
        <v>163186.64915100002</v>
      </c>
      <c r="CB254" s="165">
        <f t="shared" ref="CB254:CB264" si="61">AH254+AL254+AP254+AT254+AX254+BB254+BF254+BJ254+BN254+BR254+BV254</f>
        <v>153594.77336715875</v>
      </c>
      <c r="CC254" s="760"/>
      <c r="CD254" s="1027"/>
    </row>
    <row r="255" spans="1:82" ht="36" customHeight="1" outlineLevel="4" x14ac:dyDescent="0.25">
      <c r="C255" s="10" t="s">
        <v>83</v>
      </c>
      <c r="D255" s="10" t="s">
        <v>84</v>
      </c>
      <c r="E255" s="10" t="s">
        <v>73</v>
      </c>
      <c r="F255" s="10" t="s">
        <v>74</v>
      </c>
      <c r="G255" s="10" t="s">
        <v>324</v>
      </c>
      <c r="H255" s="10" t="s">
        <v>73</v>
      </c>
      <c r="I255" s="10" t="s">
        <v>73</v>
      </c>
      <c r="K255" s="12" t="s">
        <v>73</v>
      </c>
      <c r="L255" s="10" t="s">
        <v>192</v>
      </c>
      <c r="M255" s="5" t="str">
        <f t="array" ref="M255">Y95</f>
        <v>1ХВС::1.1</v>
      </c>
      <c r="AB255" s="29" t="str">
        <f>AB254&amp;".1"</f>
        <v>3.1.1.3.1</v>
      </c>
      <c r="AC255" s="174" t="s">
        <v>325</v>
      </c>
      <c r="AD255" s="51" t="s">
        <v>111</v>
      </c>
      <c r="AE255" s="72">
        <f>AE257+AE258+AE259+AE260+AE261+AE262</f>
        <v>12294.55</v>
      </c>
      <c r="AF255" s="73">
        <f>AF257+AF258+AF259+AF260+AF261+AF262</f>
        <v>9219.2814854219996</v>
      </c>
      <c r="AG255" s="73">
        <f>AG257+AG258+AG259+AG260+AG261+AG262</f>
        <v>17395.738000000001</v>
      </c>
      <c r="AH255" s="74">
        <f>AH256+AH257+AH258+AH259+AH260+AH261+AH262</f>
        <v>10058.225</v>
      </c>
      <c r="AI255" s="179">
        <f>AI257+AI258+AI259+AI260+AI261+AI262</f>
        <v>34.123000000000005</v>
      </c>
      <c r="AJ255" s="73">
        <f>AJ257+AJ258+AJ259+AJ260+AJ261+AJ262</f>
        <v>0</v>
      </c>
      <c r="AK255" s="73">
        <f>AK257+AK258+AK259+AK260+AK261+AK262</f>
        <v>58.900000000000006</v>
      </c>
      <c r="AL255" s="138"/>
      <c r="AM255" s="72">
        <f>AM257+AM258+AM259+AM260+AM261+AM262</f>
        <v>0</v>
      </c>
      <c r="AN255" s="73">
        <f>AN257+AN258+AN259+AN260+AN261+AN262</f>
        <v>212.49</v>
      </c>
      <c r="AO255" s="73">
        <f>AO257+AO258+AO259+AO260+AO261+AO262</f>
        <v>0</v>
      </c>
      <c r="AP255" s="74"/>
      <c r="AQ255" s="179">
        <f>AQ257+AQ258+AQ259+AQ260+AQ261+AQ262</f>
        <v>0</v>
      </c>
      <c r="AR255" s="73">
        <f>AR257+AR258+AR259+AR260+AR261+AR262</f>
        <v>0</v>
      </c>
      <c r="AS255" s="73">
        <f>AS257+AS258+AS259+AS260+AS261+AS262</f>
        <v>0</v>
      </c>
      <c r="AT255" s="138"/>
      <c r="AU255" s="72">
        <f>AU257+AU258+AU259+AU260+AU261+AU262</f>
        <v>0</v>
      </c>
      <c r="AV255" s="73">
        <f>AV257+AV258+AV259+AV260+AV261+AV262</f>
        <v>0</v>
      </c>
      <c r="AW255" s="73">
        <f>AW257+AW258+AW259+AW260+AW261+AW262</f>
        <v>0</v>
      </c>
      <c r="AX255" s="138"/>
      <c r="AY255" s="72">
        <f>AY257+AY258+AY259+AY260+AY261+AY262</f>
        <v>0</v>
      </c>
      <c r="AZ255" s="73">
        <f>AZ257+AZ258+AZ259+AZ260+AZ261+AZ262</f>
        <v>0</v>
      </c>
      <c r="BA255" s="73">
        <f>BA257+BA258+BA259+BA260+BA261+BA262</f>
        <v>0</v>
      </c>
      <c r="BB255" s="138"/>
      <c r="BC255" s="72">
        <f>BC257+BC258+BC259+BC260+BC261+BC262</f>
        <v>0</v>
      </c>
      <c r="BD255" s="73">
        <f>BD257+BD258+BD259+BD260+BD261+BD262</f>
        <v>0</v>
      </c>
      <c r="BE255" s="73">
        <f>BE257+BE258+BE259+BE260+BE261+BE262</f>
        <v>83.48</v>
      </c>
      <c r="BF255" s="774">
        <f>SUM(BF256:BF262)</f>
        <v>73.040000000000006</v>
      </c>
      <c r="BG255" s="72">
        <f>BG257+BG258+BG259+BG260+BG261+BG262</f>
        <v>0</v>
      </c>
      <c r="BH255" s="73">
        <f>BH257+BH258+BH259+BH260+BH261+BH262</f>
        <v>0</v>
      </c>
      <c r="BI255" s="73">
        <f>BI256+BI257+BI258+BI259+BI260+BI261+BI262</f>
        <v>172.34</v>
      </c>
      <c r="BJ255" s="138">
        <v>0</v>
      </c>
      <c r="BK255" s="72">
        <f>BK257+BK258+BK259+BK260+BK261+BK262</f>
        <v>0</v>
      </c>
      <c r="BL255" s="73">
        <f>BL257+BL258+BL259+BL260+BL261+BL262</f>
        <v>88.12</v>
      </c>
      <c r="BM255" s="73">
        <f>BM257+BM258+BM259+BM260+BM261+BM262</f>
        <v>165.19</v>
      </c>
      <c r="BN255" s="138">
        <f>BN257+BN258+BN259+BN260+BN261+BN262</f>
        <v>64.19</v>
      </c>
      <c r="BO255" s="72">
        <f t="shared" ref="BO255:BU255" si="62">BO257+BO258+BO259+BO260+BO261+BO262</f>
        <v>0</v>
      </c>
      <c r="BP255" s="73">
        <f t="shared" si="62"/>
        <v>0</v>
      </c>
      <c r="BQ255" s="73">
        <f t="shared" si="62"/>
        <v>0</v>
      </c>
      <c r="BR255" s="74">
        <f t="shared" si="62"/>
        <v>695.29672199999993</v>
      </c>
      <c r="BS255" s="72">
        <f t="shared" si="62"/>
        <v>0</v>
      </c>
      <c r="BT255" s="73">
        <f t="shared" si="62"/>
        <v>0</v>
      </c>
      <c r="BU255" s="73">
        <f t="shared" si="62"/>
        <v>0</v>
      </c>
      <c r="BV255" s="74">
        <f>SUM(BV256:BV262)</f>
        <v>81.87</v>
      </c>
      <c r="BY255" s="125">
        <f t="shared" si="58"/>
        <v>12328.672999999999</v>
      </c>
      <c r="BZ255" s="126">
        <f t="shared" si="59"/>
        <v>9519.8914854220002</v>
      </c>
      <c r="CA255" s="126">
        <f t="shared" si="60"/>
        <v>17875.648000000001</v>
      </c>
      <c r="CB255" s="127">
        <f t="shared" si="61"/>
        <v>10972.621722000002</v>
      </c>
    </row>
    <row r="256" spans="1:82" s="211" customFormat="1" ht="14.25" customHeight="1" outlineLevel="5" x14ac:dyDescent="0.25">
      <c r="A256" s="6"/>
      <c r="B256" s="6"/>
      <c r="C256" s="116" t="s">
        <v>83</v>
      </c>
      <c r="D256" s="116" t="s">
        <v>84</v>
      </c>
      <c r="E256" s="116" t="s">
        <v>73</v>
      </c>
      <c r="F256" s="116" t="s">
        <v>74</v>
      </c>
      <c r="G256" s="116" t="s">
        <v>326</v>
      </c>
      <c r="H256" s="116" t="s">
        <v>73</v>
      </c>
      <c r="I256" s="116" t="s">
        <v>73</v>
      </c>
      <c r="J256" s="6"/>
      <c r="K256" s="209" t="s">
        <v>73</v>
      </c>
      <c r="L256" s="116" t="s">
        <v>192</v>
      </c>
      <c r="M256" s="6" t="str">
        <f t="array" ref="M256">Y95</f>
        <v>1ХВС::1.1</v>
      </c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29" t="str">
        <f>AB255&amp;".1"</f>
        <v>3.1.1.3.1.1</v>
      </c>
      <c r="AC256" s="177" t="s">
        <v>327</v>
      </c>
      <c r="AD256" s="51" t="s">
        <v>111</v>
      </c>
      <c r="AE256" s="56"/>
      <c r="AF256" s="93"/>
      <c r="AG256" s="93"/>
      <c r="AH256" s="96">
        <v>1369.41</v>
      </c>
      <c r="AI256" s="44"/>
      <c r="AJ256" s="41"/>
      <c r="AK256" s="41"/>
      <c r="AL256" s="43"/>
      <c r="AM256" s="72"/>
      <c r="AN256" s="178"/>
      <c r="AO256" s="178"/>
      <c r="AP256" s="96"/>
      <c r="AQ256" s="179"/>
      <c r="AR256" s="178"/>
      <c r="AS256" s="178"/>
      <c r="AT256" s="181"/>
      <c r="AU256" s="72"/>
      <c r="AV256" s="178"/>
      <c r="AW256" s="178"/>
      <c r="AX256" s="181"/>
      <c r="AY256" s="72"/>
      <c r="AZ256" s="178"/>
      <c r="BA256" s="178"/>
      <c r="BB256" s="181"/>
      <c r="BC256" s="72"/>
      <c r="BD256" s="178"/>
      <c r="BE256" s="178"/>
      <c r="BF256" s="210">
        <v>73.040000000000006</v>
      </c>
      <c r="BG256" s="72"/>
      <c r="BH256" s="178"/>
      <c r="BI256" s="178"/>
      <c r="BJ256" s="181"/>
      <c r="BK256" s="72"/>
      <c r="BL256" s="178"/>
      <c r="BM256" s="178"/>
      <c r="BN256" s="181"/>
      <c r="BO256" s="142"/>
      <c r="BP256" s="183"/>
      <c r="BQ256" s="183"/>
      <c r="BR256" s="186"/>
      <c r="BS256" s="142"/>
      <c r="BT256" s="183"/>
      <c r="BU256" s="183"/>
      <c r="BV256" s="186"/>
      <c r="BW256" s="6"/>
      <c r="BX256" s="6"/>
      <c r="BY256" s="125">
        <f t="shared" si="58"/>
        <v>0</v>
      </c>
      <c r="BZ256" s="126">
        <f t="shared" si="59"/>
        <v>0</v>
      </c>
      <c r="CA256" s="126">
        <f t="shared" si="60"/>
        <v>0</v>
      </c>
      <c r="CB256" s="127">
        <f t="shared" si="61"/>
        <v>1442.45</v>
      </c>
      <c r="CC256" s="766"/>
    </row>
    <row r="257" spans="1:81" ht="14.25" customHeight="1" outlineLevel="5" x14ac:dyDescent="0.25">
      <c r="C257" s="10" t="s">
        <v>83</v>
      </c>
      <c r="D257" s="10" t="s">
        <v>84</v>
      </c>
      <c r="E257" s="10" t="s">
        <v>73</v>
      </c>
      <c r="F257" s="10" t="s">
        <v>74</v>
      </c>
      <c r="G257" s="10" t="s">
        <v>328</v>
      </c>
      <c r="H257" s="10" t="s">
        <v>73</v>
      </c>
      <c r="I257" s="10" t="s">
        <v>73</v>
      </c>
      <c r="K257" s="12" t="s">
        <v>73</v>
      </c>
      <c r="L257" s="10" t="s">
        <v>192</v>
      </c>
      <c r="M257" s="5" t="str">
        <f t="array" ref="M257">Y95</f>
        <v>1ХВС::1.1</v>
      </c>
      <c r="AB257" s="29" t="str">
        <f>AB255&amp;".2"</f>
        <v>3.1.1.3.1.2</v>
      </c>
      <c r="AC257" s="177" t="s">
        <v>329</v>
      </c>
      <c r="AD257" s="51" t="s">
        <v>111</v>
      </c>
      <c r="AE257" s="72">
        <v>26.22</v>
      </c>
      <c r="AF257" s="178"/>
      <c r="AG257" s="178"/>
      <c r="AH257" s="96">
        <v>0</v>
      </c>
      <c r="AI257" s="179"/>
      <c r="AJ257" s="178"/>
      <c r="AK257" s="178"/>
      <c r="AL257" s="181"/>
      <c r="AM257" s="72"/>
      <c r="AN257" s="178"/>
      <c r="AO257" s="178"/>
      <c r="AP257" s="96"/>
      <c r="AQ257" s="179"/>
      <c r="AR257" s="178"/>
      <c r="AS257" s="178"/>
      <c r="AT257" s="181"/>
      <c r="AU257" s="72"/>
      <c r="AV257" s="178"/>
      <c r="AW257" s="178"/>
      <c r="AX257" s="181"/>
      <c r="AY257" s="72"/>
      <c r="AZ257" s="178"/>
      <c r="BA257" s="178"/>
      <c r="BB257" s="181"/>
      <c r="BC257" s="72"/>
      <c r="BD257" s="178"/>
      <c r="BE257" s="178"/>
      <c r="BF257" s="210"/>
      <c r="BG257" s="72"/>
      <c r="BH257" s="178"/>
      <c r="BI257" s="178"/>
      <c r="BJ257" s="181"/>
      <c r="BK257" s="72"/>
      <c r="BL257" s="178"/>
      <c r="BM257" s="178"/>
      <c r="BN257" s="181"/>
      <c r="BO257" s="142"/>
      <c r="BP257" s="183"/>
      <c r="BQ257" s="183"/>
      <c r="BR257" s="186"/>
      <c r="BS257" s="142"/>
      <c r="BT257" s="183"/>
      <c r="BU257" s="183"/>
      <c r="BV257" s="186"/>
      <c r="BY257" s="125">
        <f t="shared" si="58"/>
        <v>26.22</v>
      </c>
      <c r="BZ257" s="126">
        <f t="shared" si="59"/>
        <v>0</v>
      </c>
      <c r="CA257" s="126">
        <f t="shared" si="60"/>
        <v>0</v>
      </c>
      <c r="CB257" s="127">
        <f t="shared" si="61"/>
        <v>0</v>
      </c>
    </row>
    <row r="258" spans="1:81" ht="14.25" customHeight="1" outlineLevel="5" x14ac:dyDescent="0.25">
      <c r="C258" s="10" t="s">
        <v>83</v>
      </c>
      <c r="D258" s="10" t="s">
        <v>84</v>
      </c>
      <c r="E258" s="10" t="s">
        <v>73</v>
      </c>
      <c r="F258" s="10" t="s">
        <v>74</v>
      </c>
      <c r="G258" s="10" t="s">
        <v>330</v>
      </c>
      <c r="H258" s="10" t="s">
        <v>73</v>
      </c>
      <c r="I258" s="10" t="s">
        <v>73</v>
      </c>
      <c r="K258" s="12" t="s">
        <v>73</v>
      </c>
      <c r="L258" s="10" t="s">
        <v>192</v>
      </c>
      <c r="M258" s="5" t="str">
        <f t="array" ref="M258">Y95</f>
        <v>1ХВС::1.1</v>
      </c>
      <c r="AB258" s="29" t="str">
        <f>AB255&amp;".3"</f>
        <v>3.1.1.3.1.3</v>
      </c>
      <c r="AC258" s="177" t="s">
        <v>331</v>
      </c>
      <c r="AD258" s="51" t="s">
        <v>111</v>
      </c>
      <c r="AE258" s="72">
        <v>792.68</v>
      </c>
      <c r="AF258" s="178">
        <v>2249.287863863</v>
      </c>
      <c r="AG258" s="178">
        <v>2419.94</v>
      </c>
      <c r="AH258" s="96">
        <v>2038.97</v>
      </c>
      <c r="AI258" s="179"/>
      <c r="AJ258" s="178"/>
      <c r="AK258" s="178"/>
      <c r="AL258" s="181"/>
      <c r="AM258" s="72"/>
      <c r="AN258" s="178"/>
      <c r="AO258" s="178"/>
      <c r="AP258" s="96"/>
      <c r="AQ258" s="179"/>
      <c r="AR258" s="178"/>
      <c r="AS258" s="178"/>
      <c r="AT258" s="181"/>
      <c r="AU258" s="72"/>
      <c r="AV258" s="178"/>
      <c r="AW258" s="178"/>
      <c r="AX258" s="181"/>
      <c r="AY258" s="72"/>
      <c r="AZ258" s="178"/>
      <c r="BA258" s="178"/>
      <c r="BB258" s="181"/>
      <c r="BC258" s="72"/>
      <c r="BD258" s="178"/>
      <c r="BE258" s="178"/>
      <c r="BF258" s="210"/>
      <c r="BG258" s="72"/>
      <c r="BH258" s="178"/>
      <c r="BI258" s="178"/>
      <c r="BJ258" s="181"/>
      <c r="BK258" s="72"/>
      <c r="BL258" s="178"/>
      <c r="BM258" s="178"/>
      <c r="BN258" s="181"/>
      <c r="BO258" s="142"/>
      <c r="BP258" s="183"/>
      <c r="BQ258" s="183"/>
      <c r="BR258" s="186"/>
      <c r="BS258" s="142"/>
      <c r="BT258" s="183"/>
      <c r="BU258" s="183"/>
      <c r="BV258" s="186"/>
      <c r="BY258" s="125">
        <f t="shared" si="58"/>
        <v>792.68</v>
      </c>
      <c r="BZ258" s="126">
        <f t="shared" si="59"/>
        <v>2249.287863863</v>
      </c>
      <c r="CA258" s="126">
        <f t="shared" si="60"/>
        <v>2419.94</v>
      </c>
      <c r="CB258" s="127">
        <f t="shared" si="61"/>
        <v>2038.97</v>
      </c>
    </row>
    <row r="259" spans="1:81" ht="14.25" customHeight="1" outlineLevel="5" x14ac:dyDescent="0.25">
      <c r="C259" s="10" t="s">
        <v>83</v>
      </c>
      <c r="D259" s="10" t="s">
        <v>84</v>
      </c>
      <c r="E259" s="10" t="s">
        <v>73</v>
      </c>
      <c r="F259" s="10" t="s">
        <v>74</v>
      </c>
      <c r="G259" s="10" t="s">
        <v>332</v>
      </c>
      <c r="H259" s="10" t="s">
        <v>73</v>
      </c>
      <c r="I259" s="10" t="s">
        <v>73</v>
      </c>
      <c r="K259" s="12" t="s">
        <v>73</v>
      </c>
      <c r="L259" s="10" t="s">
        <v>192</v>
      </c>
      <c r="M259" s="5" t="str">
        <f t="array" ref="M259">Y95</f>
        <v>1ХВС::1.1</v>
      </c>
      <c r="AB259" s="65" t="str">
        <f>AB255&amp;".4"</f>
        <v>3.1.1.3.1.4</v>
      </c>
      <c r="AC259" s="177" t="s">
        <v>333</v>
      </c>
      <c r="AD259" s="51" t="s">
        <v>111</v>
      </c>
      <c r="AE259" s="72">
        <v>1460.3</v>
      </c>
      <c r="AF259" s="178">
        <v>1423.69</v>
      </c>
      <c r="AG259" s="178">
        <v>1531.7</v>
      </c>
      <c r="AH259" s="96">
        <v>1541.4349999999999</v>
      </c>
      <c r="AI259" s="179"/>
      <c r="AJ259" s="178"/>
      <c r="AK259" s="178"/>
      <c r="AL259" s="181"/>
      <c r="AM259" s="72"/>
      <c r="AN259" s="178">
        <v>21.6</v>
      </c>
      <c r="AO259" s="178"/>
      <c r="AP259" s="96"/>
      <c r="AQ259" s="179"/>
      <c r="AR259" s="178"/>
      <c r="AS259" s="178"/>
      <c r="AT259" s="181"/>
      <c r="AU259" s="72"/>
      <c r="AV259" s="178"/>
      <c r="AW259" s="178"/>
      <c r="AX259" s="181"/>
      <c r="AY259" s="72"/>
      <c r="AZ259" s="178"/>
      <c r="BA259" s="178"/>
      <c r="BB259" s="181"/>
      <c r="BC259" s="72"/>
      <c r="BD259" s="178"/>
      <c r="BE259" s="178"/>
      <c r="BF259" s="210"/>
      <c r="BG259" s="72"/>
      <c r="BH259" s="178"/>
      <c r="BI259" s="178"/>
      <c r="BJ259" s="181"/>
      <c r="BK259" s="72"/>
      <c r="BL259" s="178"/>
      <c r="BM259" s="178">
        <v>18.91</v>
      </c>
      <c r="BN259" s="181"/>
      <c r="BO259" s="142"/>
      <c r="BP259" s="183"/>
      <c r="BQ259" s="183"/>
      <c r="BR259" s="186"/>
      <c r="BS259" s="142"/>
      <c r="BT259" s="183"/>
      <c r="BU259" s="183"/>
      <c r="BV259" s="186"/>
      <c r="BY259" s="125">
        <f t="shared" si="58"/>
        <v>1460.3</v>
      </c>
      <c r="BZ259" s="126">
        <f t="shared" si="59"/>
        <v>1445.29</v>
      </c>
      <c r="CA259" s="126">
        <f t="shared" si="60"/>
        <v>1550.6100000000001</v>
      </c>
      <c r="CB259" s="127">
        <f t="shared" si="61"/>
        <v>1541.4349999999999</v>
      </c>
    </row>
    <row r="260" spans="1:81" ht="14.25" customHeight="1" outlineLevel="5" x14ac:dyDescent="0.25">
      <c r="C260" s="10" t="s">
        <v>83</v>
      </c>
      <c r="D260" s="10" t="s">
        <v>84</v>
      </c>
      <c r="E260" s="10" t="s">
        <v>73</v>
      </c>
      <c r="F260" s="10" t="s">
        <v>74</v>
      </c>
      <c r="G260" s="10" t="s">
        <v>334</v>
      </c>
      <c r="H260" s="10" t="s">
        <v>73</v>
      </c>
      <c r="I260" s="10" t="s">
        <v>73</v>
      </c>
      <c r="K260" s="12" t="s">
        <v>73</v>
      </c>
      <c r="L260" s="10" t="s">
        <v>192</v>
      </c>
      <c r="M260" s="5" t="str">
        <f t="array" ref="M260">Y95</f>
        <v>1ХВС::1.1</v>
      </c>
      <c r="AB260" s="65" t="str">
        <f>AB255&amp;".5"</f>
        <v>3.1.1.3.1.5</v>
      </c>
      <c r="AC260" s="177" t="s">
        <v>335</v>
      </c>
      <c r="AD260" s="51" t="s">
        <v>111</v>
      </c>
      <c r="AE260" s="72">
        <v>0</v>
      </c>
      <c r="AF260" s="178">
        <v>1727.113621559</v>
      </c>
      <c r="AG260" s="178">
        <v>1858.15</v>
      </c>
      <c r="AH260" s="96">
        <v>1898.8050000000001</v>
      </c>
      <c r="AI260" s="179"/>
      <c r="AJ260" s="178"/>
      <c r="AK260" s="178"/>
      <c r="AL260" s="181"/>
      <c r="AM260" s="72"/>
      <c r="AN260" s="178"/>
      <c r="AO260" s="178"/>
      <c r="AP260" s="96"/>
      <c r="AQ260" s="179"/>
      <c r="AR260" s="178"/>
      <c r="AS260" s="178"/>
      <c r="AT260" s="181"/>
      <c r="AU260" s="72"/>
      <c r="AV260" s="178"/>
      <c r="AW260" s="178"/>
      <c r="AX260" s="181"/>
      <c r="AY260" s="72"/>
      <c r="AZ260" s="178"/>
      <c r="BA260" s="178"/>
      <c r="BB260" s="181"/>
      <c r="BC260" s="72"/>
      <c r="BD260" s="178"/>
      <c r="BE260" s="178"/>
      <c r="BF260" s="210"/>
      <c r="BG260" s="72"/>
      <c r="BH260" s="178"/>
      <c r="BI260" s="178"/>
      <c r="BJ260" s="181"/>
      <c r="BK260" s="72"/>
      <c r="BL260" s="183"/>
      <c r="BM260" s="183"/>
      <c r="BN260" s="184">
        <v>64.19</v>
      </c>
      <c r="BO260" s="142"/>
      <c r="BP260" s="183"/>
      <c r="BQ260" s="183"/>
      <c r="BR260" s="186">
        <f>557.665*1.2468</f>
        <v>695.29672199999993</v>
      </c>
      <c r="BS260" s="142"/>
      <c r="BT260" s="183"/>
      <c r="BU260" s="183"/>
      <c r="BV260" s="186">
        <v>81.87</v>
      </c>
      <c r="BY260" s="125">
        <f t="shared" si="58"/>
        <v>0</v>
      </c>
      <c r="BZ260" s="126">
        <f t="shared" si="59"/>
        <v>1727.113621559</v>
      </c>
      <c r="CA260" s="126">
        <f t="shared" si="60"/>
        <v>1858.15</v>
      </c>
      <c r="CB260" s="127">
        <f t="shared" si="61"/>
        <v>2740.1617219999998</v>
      </c>
    </row>
    <row r="261" spans="1:81" ht="14.25" customHeight="1" outlineLevel="5" x14ac:dyDescent="0.25">
      <c r="C261" s="10" t="s">
        <v>83</v>
      </c>
      <c r="D261" s="10" t="s">
        <v>84</v>
      </c>
      <c r="E261" s="10" t="s">
        <v>73</v>
      </c>
      <c r="F261" s="10" t="s">
        <v>74</v>
      </c>
      <c r="G261" s="10" t="s">
        <v>336</v>
      </c>
      <c r="H261" s="10" t="s">
        <v>73</v>
      </c>
      <c r="I261" s="10" t="s">
        <v>73</v>
      </c>
      <c r="J261" s="10" t="s">
        <v>73</v>
      </c>
      <c r="K261" s="12" t="s">
        <v>73</v>
      </c>
      <c r="L261" s="10" t="s">
        <v>192</v>
      </c>
      <c r="M261" s="5" t="str">
        <f t="array" ref="M261">Y95</f>
        <v>1ХВС::1.1</v>
      </c>
      <c r="AB261" s="65" t="str">
        <f>AB255&amp;".6"</f>
        <v>3.1.1.3.1.6</v>
      </c>
      <c r="AC261" s="177" t="s">
        <v>337</v>
      </c>
      <c r="AD261" s="51" t="s">
        <v>111</v>
      </c>
      <c r="AE261" s="72">
        <v>10015.35</v>
      </c>
      <c r="AF261" s="178">
        <v>2964.44</v>
      </c>
      <c r="AG261" s="178">
        <f>4291.497+4654.38</f>
        <v>8945.8770000000004</v>
      </c>
      <c r="AH261" s="96">
        <v>3209.605</v>
      </c>
      <c r="AI261" s="179"/>
      <c r="AJ261" s="178"/>
      <c r="AK261" s="178"/>
      <c r="AL261" s="181"/>
      <c r="AM261" s="72"/>
      <c r="AN261" s="178">
        <v>109.89</v>
      </c>
      <c r="AO261" s="178"/>
      <c r="AP261" s="96"/>
      <c r="AQ261" s="179"/>
      <c r="AR261" s="178"/>
      <c r="AS261" s="178"/>
      <c r="AT261" s="181"/>
      <c r="AU261" s="72"/>
      <c r="AV261" s="178"/>
      <c r="AW261" s="178"/>
      <c r="AX261" s="181"/>
      <c r="AY261" s="72"/>
      <c r="AZ261" s="178"/>
      <c r="BA261" s="178"/>
      <c r="BB261" s="181"/>
      <c r="BC261" s="72"/>
      <c r="BD261" s="178"/>
      <c r="BE261" s="178">
        <v>83.48</v>
      </c>
      <c r="BF261" s="210"/>
      <c r="BG261" s="72"/>
      <c r="BH261" s="178"/>
      <c r="BI261" s="178">
        <v>172.34</v>
      </c>
      <c r="BJ261" s="181"/>
      <c r="BK261" s="72"/>
      <c r="BL261" s="178"/>
      <c r="BM261" s="178">
        <v>83.57</v>
      </c>
      <c r="BN261" s="181"/>
      <c r="BO261" s="142"/>
      <c r="BP261" s="183"/>
      <c r="BQ261" s="183"/>
      <c r="BR261" s="186"/>
      <c r="BS261" s="142"/>
      <c r="BT261" s="183"/>
      <c r="BU261" s="183"/>
      <c r="BV261" s="186"/>
      <c r="BY261" s="125">
        <f t="shared" si="58"/>
        <v>10015.35</v>
      </c>
      <c r="BZ261" s="126">
        <f t="shared" si="59"/>
        <v>3074.33</v>
      </c>
      <c r="CA261" s="126">
        <f t="shared" si="60"/>
        <v>9285.2669999999998</v>
      </c>
      <c r="CB261" s="127">
        <f t="shared" si="61"/>
        <v>3209.605</v>
      </c>
    </row>
    <row r="262" spans="1:81" s="211" customFormat="1" ht="14.25" customHeight="1" outlineLevel="5" x14ac:dyDescent="0.25">
      <c r="A262" s="6"/>
      <c r="B262" s="6"/>
      <c r="C262" s="116" t="s">
        <v>83</v>
      </c>
      <c r="D262" s="116" t="s">
        <v>84</v>
      </c>
      <c r="E262" s="116" t="s">
        <v>73</v>
      </c>
      <c r="F262" s="116" t="s">
        <v>74</v>
      </c>
      <c r="G262" s="116" t="s">
        <v>338</v>
      </c>
      <c r="H262" s="116" t="s">
        <v>73</v>
      </c>
      <c r="I262" s="116" t="s">
        <v>73</v>
      </c>
      <c r="J262" s="116" t="s">
        <v>73</v>
      </c>
      <c r="K262" s="209" t="s">
        <v>73</v>
      </c>
      <c r="L262" s="116" t="s">
        <v>192</v>
      </c>
      <c r="M262" s="6" t="str">
        <f t="array" ref="M262">Y95</f>
        <v>1ХВС::1.1</v>
      </c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5" t="str">
        <f>AB255&amp;".7"</f>
        <v>3.1.1.3.1.7</v>
      </c>
      <c r="AC262" s="177" t="s">
        <v>339</v>
      </c>
      <c r="AD262" s="51" t="s">
        <v>111</v>
      </c>
      <c r="AE262" s="72">
        <v>0</v>
      </c>
      <c r="AF262" s="178">
        <f>1133.4+487.48+125.1-891.23</f>
        <v>854.75</v>
      </c>
      <c r="AG262" s="178">
        <f>1347.36+431.15+861.561</f>
        <v>2640.0709999999999</v>
      </c>
      <c r="AH262" s="96"/>
      <c r="AI262" s="179">
        <f>9.413+14.998+9.712</f>
        <v>34.123000000000005</v>
      </c>
      <c r="AJ262" s="178"/>
      <c r="AK262" s="178">
        <f>13.88+31.42+13.6</f>
        <v>58.900000000000006</v>
      </c>
      <c r="AL262" s="181"/>
      <c r="AM262" s="72"/>
      <c r="AN262" s="178">
        <v>81</v>
      </c>
      <c r="AO262" s="178"/>
      <c r="AP262" s="96"/>
      <c r="AQ262" s="179"/>
      <c r="AR262" s="178"/>
      <c r="AS262" s="178"/>
      <c r="AT262" s="181"/>
      <c r="AU262" s="72"/>
      <c r="AV262" s="178"/>
      <c r="AW262" s="178"/>
      <c r="AX262" s="181"/>
      <c r="AY262" s="72"/>
      <c r="AZ262" s="178"/>
      <c r="BA262" s="178"/>
      <c r="BB262" s="181"/>
      <c r="BC262" s="72"/>
      <c r="BD262" s="178"/>
      <c r="BE262" s="178"/>
      <c r="BF262" s="210"/>
      <c r="BG262" s="72"/>
      <c r="BH262" s="178"/>
      <c r="BI262" s="178"/>
      <c r="BJ262" s="181"/>
      <c r="BK262" s="72"/>
      <c r="BL262" s="178">
        <v>88.12</v>
      </c>
      <c r="BM262" s="178">
        <v>62.71</v>
      </c>
      <c r="BN262" s="181"/>
      <c r="BO262" s="142"/>
      <c r="BP262" s="183"/>
      <c r="BQ262" s="183"/>
      <c r="BR262" s="186"/>
      <c r="BS262" s="142"/>
      <c r="BT262" s="183"/>
      <c r="BU262" s="183"/>
      <c r="BV262" s="186"/>
      <c r="BW262" s="6"/>
      <c r="BX262" s="6"/>
      <c r="BY262" s="125">
        <f t="shared" si="58"/>
        <v>34.123000000000005</v>
      </c>
      <c r="BZ262" s="126">
        <f t="shared" si="59"/>
        <v>1023.87</v>
      </c>
      <c r="CA262" s="126">
        <f t="shared" si="60"/>
        <v>2761.681</v>
      </c>
      <c r="CB262" s="127">
        <f t="shared" si="61"/>
        <v>0</v>
      </c>
      <c r="CC262" s="766"/>
    </row>
    <row r="263" spans="1:81" ht="36" customHeight="1" outlineLevel="4" x14ac:dyDescent="0.25">
      <c r="C263" s="10" t="s">
        <v>83</v>
      </c>
      <c r="D263" s="10" t="s">
        <v>84</v>
      </c>
      <c r="E263" s="10" t="s">
        <v>73</v>
      </c>
      <c r="F263" s="10" t="s">
        <v>74</v>
      </c>
      <c r="G263" s="10" t="s">
        <v>201</v>
      </c>
      <c r="H263" s="10" t="s">
        <v>340</v>
      </c>
      <c r="I263" s="10" t="s">
        <v>73</v>
      </c>
      <c r="J263" s="10" t="s">
        <v>73</v>
      </c>
      <c r="K263" s="12" t="s">
        <v>73</v>
      </c>
      <c r="L263" s="10" t="s">
        <v>192</v>
      </c>
      <c r="M263" s="5" t="str">
        <f t="array" ref="M263">Y95</f>
        <v>1ХВС::1.1</v>
      </c>
      <c r="AB263" s="65" t="str">
        <f>AB254&amp;".2"</f>
        <v>3.1.1.3.2</v>
      </c>
      <c r="AC263" s="174" t="s">
        <v>341</v>
      </c>
      <c r="AD263" s="51" t="s">
        <v>111</v>
      </c>
      <c r="AE263" s="72">
        <f t="shared" ref="AE263:AK263" si="63">AE264+AE267</f>
        <v>87152.38</v>
      </c>
      <c r="AF263" s="73">
        <f t="shared" si="63"/>
        <v>69822.59</v>
      </c>
      <c r="AG263" s="73">
        <f t="shared" si="63"/>
        <v>91934.57</v>
      </c>
      <c r="AH263" s="74">
        <f t="shared" si="63"/>
        <v>109571.04689999999</v>
      </c>
      <c r="AI263" s="179">
        <f t="shared" si="63"/>
        <v>0</v>
      </c>
      <c r="AJ263" s="73">
        <f t="shared" si="63"/>
        <v>183.6</v>
      </c>
      <c r="AK263" s="73">
        <f t="shared" si="63"/>
        <v>0</v>
      </c>
      <c r="AL263" s="138"/>
      <c r="AM263" s="72">
        <f t="shared" ref="AM263:BE263" si="64">AM264+AM267</f>
        <v>2470.83</v>
      </c>
      <c r="AN263" s="73">
        <f t="shared" si="64"/>
        <v>3000.99</v>
      </c>
      <c r="AO263" s="73">
        <f t="shared" si="64"/>
        <v>2939.86</v>
      </c>
      <c r="AP263" s="74">
        <f t="shared" si="64"/>
        <v>3115.33446</v>
      </c>
      <c r="AQ263" s="179">
        <f t="shared" si="64"/>
        <v>3491.46</v>
      </c>
      <c r="AR263" s="73">
        <f t="shared" si="64"/>
        <v>3928.134</v>
      </c>
      <c r="AS263" s="73">
        <f t="shared" si="64"/>
        <v>3410.24</v>
      </c>
      <c r="AT263" s="138">
        <f t="shared" si="64"/>
        <v>3298.3956600000001</v>
      </c>
      <c r="AU263" s="72">
        <f t="shared" si="64"/>
        <v>1918.08</v>
      </c>
      <c r="AV263" s="73">
        <f t="shared" si="64"/>
        <v>764.37209999999993</v>
      </c>
      <c r="AW263" s="73">
        <f t="shared" si="64"/>
        <v>964.27</v>
      </c>
      <c r="AX263" s="138">
        <f t="shared" si="64"/>
        <v>2373.6371399999998</v>
      </c>
      <c r="AY263" s="72">
        <f t="shared" si="64"/>
        <v>2972.8690000000001</v>
      </c>
      <c r="AZ263" s="73">
        <f t="shared" si="64"/>
        <v>6195.42</v>
      </c>
      <c r="BA263" s="73">
        <f t="shared" si="64"/>
        <v>4468.5848999999998</v>
      </c>
      <c r="BB263" s="138">
        <f t="shared" si="64"/>
        <v>6446.2764888521997</v>
      </c>
      <c r="BC263" s="72">
        <f t="shared" si="64"/>
        <v>0</v>
      </c>
      <c r="BD263" s="73">
        <f t="shared" si="64"/>
        <v>1086.3457037999999</v>
      </c>
      <c r="BE263" s="73">
        <f t="shared" si="64"/>
        <v>1363.2890460000001</v>
      </c>
      <c r="BF263" s="774"/>
      <c r="BG263" s="72">
        <f t="shared" ref="BG263:BM263" si="65">BG264+BG267</f>
        <v>7988.7204599999995</v>
      </c>
      <c r="BH263" s="73">
        <f t="shared" si="65"/>
        <v>10957.092971999999</v>
      </c>
      <c r="BI263" s="73">
        <f t="shared" si="65"/>
        <v>9050.4799769999991</v>
      </c>
      <c r="BJ263" s="138">
        <f t="shared" si="65"/>
        <v>11400.636095506559</v>
      </c>
      <c r="BK263" s="72">
        <f t="shared" si="65"/>
        <v>0</v>
      </c>
      <c r="BL263" s="73">
        <f t="shared" si="65"/>
        <v>0</v>
      </c>
      <c r="BM263" s="73">
        <f t="shared" si="65"/>
        <v>0</v>
      </c>
      <c r="BN263" s="138"/>
      <c r="BO263" s="72">
        <f t="shared" ref="BO263:BU263" si="66">BO264+BO267</f>
        <v>0</v>
      </c>
      <c r="BP263" s="73">
        <f t="shared" si="66"/>
        <v>0</v>
      </c>
      <c r="BQ263" s="73">
        <f t="shared" si="66"/>
        <v>581.57736</v>
      </c>
      <c r="BR263" s="74">
        <f t="shared" si="66"/>
        <v>0</v>
      </c>
      <c r="BS263" s="72">
        <f t="shared" si="66"/>
        <v>0</v>
      </c>
      <c r="BT263" s="73">
        <f t="shared" si="66"/>
        <v>0</v>
      </c>
      <c r="BU263" s="73">
        <f t="shared" si="66"/>
        <v>1982.0788680000001</v>
      </c>
      <c r="BV263" s="74"/>
      <c r="BY263" s="125">
        <f t="shared" si="58"/>
        <v>105994.33946000002</v>
      </c>
      <c r="BZ263" s="126">
        <f t="shared" si="59"/>
        <v>95938.544775800008</v>
      </c>
      <c r="CA263" s="126">
        <f t="shared" si="60"/>
        <v>116694.95015100001</v>
      </c>
      <c r="CB263" s="127">
        <f t="shared" si="61"/>
        <v>136205.32674435872</v>
      </c>
    </row>
    <row r="264" spans="1:81" ht="27.75" customHeight="1" outlineLevel="5" x14ac:dyDescent="0.25">
      <c r="C264" s="10" t="s">
        <v>83</v>
      </c>
      <c r="D264" s="10" t="s">
        <v>84</v>
      </c>
      <c r="E264" s="10" t="s">
        <v>73</v>
      </c>
      <c r="F264" s="10" t="s">
        <v>74</v>
      </c>
      <c r="G264" s="10" t="s">
        <v>204</v>
      </c>
      <c r="H264" s="10" t="s">
        <v>340</v>
      </c>
      <c r="I264" s="10" t="s">
        <v>73</v>
      </c>
      <c r="J264" s="10" t="s">
        <v>73</v>
      </c>
      <c r="K264" s="12" t="s">
        <v>73</v>
      </c>
      <c r="L264" s="10" t="s">
        <v>192</v>
      </c>
      <c r="M264" s="5" t="str">
        <f t="array" ref="M264">Y95</f>
        <v>1ХВС::1.1</v>
      </c>
      <c r="AB264" s="29" t="str">
        <f>AB263&amp;".1"</f>
        <v>3.1.1.3.2.1</v>
      </c>
      <c r="AC264" s="177" t="s">
        <v>342</v>
      </c>
      <c r="AD264" s="51" t="s">
        <v>111</v>
      </c>
      <c r="AE264" s="72">
        <v>66937.31</v>
      </c>
      <c r="AF264" s="178">
        <v>53627.03</v>
      </c>
      <c r="AG264" s="178">
        <v>70610.27</v>
      </c>
      <c r="AH264" s="96">
        <v>84155.95</v>
      </c>
      <c r="AI264" s="179"/>
      <c r="AJ264" s="178">
        <v>141.01</v>
      </c>
      <c r="AK264" s="178"/>
      <c r="AL264" s="181"/>
      <c r="AM264" s="72">
        <v>1897.72</v>
      </c>
      <c r="AN264" s="178">
        <v>2304.91</v>
      </c>
      <c r="AO264" s="178">
        <v>2257.96</v>
      </c>
      <c r="AP264" s="96">
        <v>2392.73</v>
      </c>
      <c r="AQ264" s="179">
        <v>2681.61</v>
      </c>
      <c r="AR264" s="178">
        <v>3017</v>
      </c>
      <c r="AS264" s="178">
        <v>2619.23</v>
      </c>
      <c r="AT264" s="181">
        <v>2533.33</v>
      </c>
      <c r="AU264" s="72">
        <v>1473.18</v>
      </c>
      <c r="AV264" s="178">
        <v>587.08209999999997</v>
      </c>
      <c r="AW264" s="178">
        <v>740.61</v>
      </c>
      <c r="AX264" s="181">
        <v>1823.07</v>
      </c>
      <c r="AY264" s="72">
        <v>2283.3090000000002</v>
      </c>
      <c r="AZ264" s="178">
        <v>4758.3900000000003</v>
      </c>
      <c r="BA264" s="178">
        <v>3432.0949000000001</v>
      </c>
      <c r="BB264" s="181">
        <f>AZ264*1.04049</f>
        <v>4951.0572111000001</v>
      </c>
      <c r="BC264" s="72"/>
      <c r="BD264" s="178">
        <v>834.36689999999999</v>
      </c>
      <c r="BE264" s="178">
        <v>1047.0730000000001</v>
      </c>
      <c r="BF264" s="210"/>
      <c r="BG264" s="72">
        <v>6135.73</v>
      </c>
      <c r="BH264" s="178">
        <v>8415.5859999999993</v>
      </c>
      <c r="BI264" s="178">
        <v>6951.2134999999998</v>
      </c>
      <c r="BJ264" s="181">
        <f>BH264*1.04048</f>
        <v>8756.2489212799992</v>
      </c>
      <c r="BK264" s="72"/>
      <c r="BL264" s="178"/>
      <c r="BM264" s="178"/>
      <c r="BN264" s="181"/>
      <c r="BO264" s="142"/>
      <c r="BP264" s="183"/>
      <c r="BQ264" s="183">
        <v>446.68</v>
      </c>
      <c r="BR264" s="186"/>
      <c r="BS264" s="142"/>
      <c r="BT264" s="183"/>
      <c r="BU264" s="183">
        <v>1522.3340000000001</v>
      </c>
      <c r="BV264" s="186"/>
      <c r="BY264" s="125">
        <f t="shared" si="58"/>
        <v>81408.858999999982</v>
      </c>
      <c r="BZ264" s="126">
        <f t="shared" si="59"/>
        <v>73685.375</v>
      </c>
      <c r="CA264" s="126">
        <f t="shared" si="60"/>
        <v>89627.465400000001</v>
      </c>
      <c r="CB264" s="127">
        <f t="shared" si="61"/>
        <v>104612.38613237999</v>
      </c>
    </row>
    <row r="265" spans="1:81" s="115" customFormat="1" ht="14.25" customHeight="1" outlineLevel="5" x14ac:dyDescent="0.25">
      <c r="A265" s="100"/>
      <c r="B265" s="100"/>
      <c r="C265" s="99" t="s">
        <v>206</v>
      </c>
      <c r="D265" s="99" t="s">
        <v>207</v>
      </c>
      <c r="E265" s="99" t="s">
        <v>73</v>
      </c>
      <c r="F265" s="99" t="s">
        <v>74</v>
      </c>
      <c r="G265" s="99" t="s">
        <v>73</v>
      </c>
      <c r="H265" s="99" t="s">
        <v>340</v>
      </c>
      <c r="I265" s="99" t="s">
        <v>73</v>
      </c>
      <c r="J265" s="99" t="s">
        <v>73</v>
      </c>
      <c r="K265" s="102" t="s">
        <v>73</v>
      </c>
      <c r="L265" s="99" t="s">
        <v>192</v>
      </c>
      <c r="M265" s="100" t="str">
        <f t="array" ref="M265">Y95</f>
        <v>1ХВС::1.1</v>
      </c>
      <c r="N265" s="100"/>
      <c r="O265" s="100"/>
      <c r="P265" s="100"/>
      <c r="Q265" s="100"/>
      <c r="R265" s="100"/>
      <c r="S265" s="100"/>
      <c r="T265" s="100"/>
      <c r="U265" s="100"/>
      <c r="V265" s="100"/>
      <c r="W265" s="100"/>
      <c r="X265" s="100"/>
      <c r="Y265" s="100"/>
      <c r="Z265" s="100"/>
      <c r="AA265" s="100"/>
      <c r="AB265" s="103" t="str">
        <f>AB264&amp;".1"</f>
        <v>3.1.1.3.2.1.1</v>
      </c>
      <c r="AC265" s="188" t="s">
        <v>208</v>
      </c>
      <c r="AD265" s="189" t="s">
        <v>209</v>
      </c>
      <c r="AE265" s="190">
        <v>79710.039999999994</v>
      </c>
      <c r="AF265" s="191">
        <v>74432.36</v>
      </c>
      <c r="AG265" s="191">
        <f>IF(AG266=0,0,AG264*1000/AG$78/AG266)</f>
        <v>70133.363130711165</v>
      </c>
      <c r="AH265" s="192">
        <f>(AH264/AH266)/12*1000</f>
        <v>91315.049913194438</v>
      </c>
      <c r="AI265" s="640"/>
      <c r="AJ265" s="191">
        <f>AJ264/AJ266/12*1000</f>
        <v>47003.333333333328</v>
      </c>
      <c r="AK265" s="191"/>
      <c r="AL265" s="193"/>
      <c r="AM265" s="190">
        <v>48214.35</v>
      </c>
      <c r="AN265" s="191">
        <f>AN264/AN266/12*1000</f>
        <v>50413.604549431322</v>
      </c>
      <c r="AO265" s="191">
        <f>AO264/AO266/12*1000</f>
        <v>52267.592592592591</v>
      </c>
      <c r="AP265" s="192">
        <f>AP264/AP266/12*1000</f>
        <v>55233.841181902128</v>
      </c>
      <c r="AQ265" s="640">
        <v>52954.400000000001</v>
      </c>
      <c r="AR265" s="191">
        <f t="shared" ref="AR265:BB265" si="67">AR264/AR266/12*1000</f>
        <v>40098.351940457207</v>
      </c>
      <c r="AS265" s="191">
        <f t="shared" si="67"/>
        <v>51968.849206349201</v>
      </c>
      <c r="AT265" s="193">
        <f t="shared" si="67"/>
        <v>60664.032567049806</v>
      </c>
      <c r="AU265" s="190">
        <f t="shared" si="67"/>
        <v>69752.840909090926</v>
      </c>
      <c r="AV265" s="191">
        <f t="shared" si="67"/>
        <v>43295.140117994102</v>
      </c>
      <c r="AW265" s="191">
        <f t="shared" si="67"/>
        <v>51431.250000000007</v>
      </c>
      <c r="AX265" s="193">
        <f t="shared" si="67"/>
        <v>78310.567010309271</v>
      </c>
      <c r="AY265" s="190">
        <f t="shared" si="67"/>
        <v>48539.732142857152</v>
      </c>
      <c r="AZ265" s="191">
        <f t="shared" si="67"/>
        <v>48834.051724137935</v>
      </c>
      <c r="BA265" s="191">
        <f t="shared" si="67"/>
        <v>52001.437878787874</v>
      </c>
      <c r="BB265" s="193">
        <f t="shared" si="67"/>
        <v>50811.342478448292</v>
      </c>
      <c r="BC265" s="190"/>
      <c r="BD265" s="191">
        <f>BD264/BD266/12*1000</f>
        <v>43186.69254658385</v>
      </c>
      <c r="BE265" s="191">
        <f>BE264/BE266/12*1000</f>
        <v>49860.619047619053</v>
      </c>
      <c r="BF265" s="977"/>
      <c r="BG265" s="190">
        <f>BG264/12/BG266*1000</f>
        <v>63913.854166666657</v>
      </c>
      <c r="BH265" s="191">
        <f>BH264/12/BH266*1000</f>
        <v>50635.294825511432</v>
      </c>
      <c r="BI265" s="191">
        <f>BI264/12/BI266*1000</f>
        <v>52660.708333333328</v>
      </c>
      <c r="BJ265" s="193">
        <f>BJ264/12/BJ266*1000</f>
        <v>52685.011560048129</v>
      </c>
      <c r="BK265" s="190"/>
      <c r="BL265" s="191"/>
      <c r="BM265" s="191"/>
      <c r="BN265" s="193"/>
      <c r="BO265" s="197"/>
      <c r="BP265" s="195"/>
      <c r="BQ265" s="195">
        <f>BQ264*1000/BQ266/12</f>
        <v>74446.666666666672</v>
      </c>
      <c r="BR265" s="198"/>
      <c r="BS265" s="197"/>
      <c r="BT265" s="195"/>
      <c r="BU265" s="195">
        <v>42287.03</v>
      </c>
      <c r="BV265" s="198"/>
      <c r="BW265" s="111"/>
      <c r="BX265" s="100"/>
      <c r="BY265" s="112">
        <f>(BY264/BY266)/12*1000</f>
        <v>74419.389900541151</v>
      </c>
      <c r="BZ265" s="113">
        <f>(BZ264/BZ266)/12*1000</f>
        <v>64581.90909409622</v>
      </c>
      <c r="CA265" s="113">
        <f>(CA264/CA266)/12*1000</f>
        <v>65145.7082424771</v>
      </c>
      <c r="CB265" s="114">
        <f>(CB264/CB266)/12*1000</f>
        <v>80869.191506168834</v>
      </c>
      <c r="CC265" s="759"/>
    </row>
    <row r="266" spans="1:81" s="115" customFormat="1" ht="14.25" customHeight="1" outlineLevel="5" x14ac:dyDescent="0.25">
      <c r="A266" s="100"/>
      <c r="B266" s="100"/>
      <c r="C266" s="99" t="s">
        <v>210</v>
      </c>
      <c r="D266" s="99" t="s">
        <v>211</v>
      </c>
      <c r="E266" s="99" t="s">
        <v>73</v>
      </c>
      <c r="F266" s="99" t="s">
        <v>74</v>
      </c>
      <c r="G266" s="99" t="s">
        <v>73</v>
      </c>
      <c r="H266" s="99" t="s">
        <v>340</v>
      </c>
      <c r="I266" s="99" t="s">
        <v>73</v>
      </c>
      <c r="J266" s="99" t="s">
        <v>73</v>
      </c>
      <c r="K266" s="102" t="s">
        <v>73</v>
      </c>
      <c r="L266" s="99" t="s">
        <v>192</v>
      </c>
      <c r="M266" s="100" t="str">
        <f t="array" ref="M266">Y95</f>
        <v>1ХВС::1.1</v>
      </c>
      <c r="N266" s="100"/>
      <c r="O266" s="100"/>
      <c r="P266" s="100"/>
      <c r="Q266" s="100"/>
      <c r="R266" s="100"/>
      <c r="S266" s="100"/>
      <c r="T266" s="100"/>
      <c r="U266" s="100"/>
      <c r="V266" s="100"/>
      <c r="W266" s="100"/>
      <c r="X266" s="100"/>
      <c r="Y266" s="100"/>
      <c r="Z266" s="100"/>
      <c r="AA266" s="100"/>
      <c r="AB266" s="103" t="str">
        <f>AB264&amp;".2"</f>
        <v>3.1.1.3.2.1.2</v>
      </c>
      <c r="AC266" s="188" t="s">
        <v>212</v>
      </c>
      <c r="AD266" s="189" t="s">
        <v>213</v>
      </c>
      <c r="AE266" s="190">
        <v>69.98</v>
      </c>
      <c r="AF266" s="200">
        <v>60.04</v>
      </c>
      <c r="AG266" s="200">
        <v>83.9</v>
      </c>
      <c r="AH266" s="201">
        <v>76.8</v>
      </c>
      <c r="AI266" s="640"/>
      <c r="AJ266" s="200">
        <v>0.25</v>
      </c>
      <c r="AK266" s="200"/>
      <c r="AL266" s="202"/>
      <c r="AM266" s="190">
        <v>3.28</v>
      </c>
      <c r="AN266" s="200">
        <v>3.81</v>
      </c>
      <c r="AO266" s="200">
        <v>3.6</v>
      </c>
      <c r="AP266" s="201">
        <v>3.61</v>
      </c>
      <c r="AQ266" s="640">
        <v>4.22</v>
      </c>
      <c r="AR266" s="200">
        <f>5.46+0.81</f>
        <v>6.27</v>
      </c>
      <c r="AS266" s="200">
        <v>4.2</v>
      </c>
      <c r="AT266" s="202">
        <v>3.48</v>
      </c>
      <c r="AU266" s="190">
        <v>1.76</v>
      </c>
      <c r="AV266" s="200">
        <v>1.1299999999999999</v>
      </c>
      <c r="AW266" s="200">
        <v>1.2</v>
      </c>
      <c r="AX266" s="202">
        <v>1.94</v>
      </c>
      <c r="AY266" s="190">
        <v>3.92</v>
      </c>
      <c r="AZ266" s="200">
        <v>8.1199999999999992</v>
      </c>
      <c r="BA266" s="200">
        <v>5.5</v>
      </c>
      <c r="BB266" s="202">
        <v>8.1199999999999992</v>
      </c>
      <c r="BC266" s="190"/>
      <c r="BD266" s="200">
        <v>1.61</v>
      </c>
      <c r="BE266" s="200">
        <v>1.75</v>
      </c>
      <c r="BF266" s="978"/>
      <c r="BG266" s="190">
        <v>8</v>
      </c>
      <c r="BH266" s="200">
        <v>13.85</v>
      </c>
      <c r="BI266" s="200">
        <f>12.8-1.8</f>
        <v>11</v>
      </c>
      <c r="BJ266" s="202">
        <v>13.85</v>
      </c>
      <c r="BK266" s="190"/>
      <c r="BL266" s="200"/>
      <c r="BM266" s="200"/>
      <c r="BN266" s="202"/>
      <c r="BO266" s="197"/>
      <c r="BP266" s="204"/>
      <c r="BQ266" s="204">
        <v>0.5</v>
      </c>
      <c r="BR266" s="207"/>
      <c r="BS266" s="197"/>
      <c r="BT266" s="204"/>
      <c r="BU266" s="204">
        <v>3</v>
      </c>
      <c r="BV266" s="207"/>
      <c r="BW266" s="111"/>
      <c r="BX266" s="100"/>
      <c r="BY266" s="112">
        <f t="shared" ref="BY266:CB267" si="68">AE266+AI266+AM266+AQ266+AU266+AY266+BC266+BG266+BK266+BO266+BS266</f>
        <v>91.160000000000011</v>
      </c>
      <c r="BZ266" s="113">
        <f t="shared" si="68"/>
        <v>95.079999999999984</v>
      </c>
      <c r="CA266" s="113">
        <f t="shared" si="68"/>
        <v>114.65</v>
      </c>
      <c r="CB266" s="114">
        <f t="shared" si="68"/>
        <v>107.8</v>
      </c>
      <c r="CC266" s="759"/>
    </row>
    <row r="267" spans="1:81" ht="14.25" customHeight="1" outlineLevel="5" x14ac:dyDescent="0.25">
      <c r="C267" s="10" t="s">
        <v>83</v>
      </c>
      <c r="D267" s="10" t="s">
        <v>84</v>
      </c>
      <c r="E267" s="10" t="s">
        <v>73</v>
      </c>
      <c r="F267" s="10" t="s">
        <v>74</v>
      </c>
      <c r="G267" s="10" t="s">
        <v>214</v>
      </c>
      <c r="H267" s="10" t="s">
        <v>340</v>
      </c>
      <c r="I267" s="10" t="s">
        <v>73</v>
      </c>
      <c r="J267" s="10" t="s">
        <v>73</v>
      </c>
      <c r="K267" s="12" t="s">
        <v>73</v>
      </c>
      <c r="L267" s="10" t="s">
        <v>192</v>
      </c>
      <c r="M267" s="5" t="str">
        <f t="array" ref="M267">Y95</f>
        <v>1ХВС::1.1</v>
      </c>
      <c r="AB267" s="29" t="str">
        <f>AB263&amp;".2"</f>
        <v>3.1.1.3.2.2</v>
      </c>
      <c r="AC267" s="177" t="s">
        <v>343</v>
      </c>
      <c r="AD267" s="51" t="s">
        <v>111</v>
      </c>
      <c r="AE267" s="72">
        <v>20215.07</v>
      </c>
      <c r="AF267" s="178">
        <v>16195.56</v>
      </c>
      <c r="AG267" s="178">
        <v>21324.3</v>
      </c>
      <c r="AH267" s="96">
        <f>AH264/100*30.2</f>
        <v>25415.096899999997</v>
      </c>
      <c r="AI267" s="179"/>
      <c r="AJ267" s="178">
        <v>42.59</v>
      </c>
      <c r="AK267" s="178"/>
      <c r="AL267" s="181"/>
      <c r="AM267" s="72">
        <v>573.11</v>
      </c>
      <c r="AN267" s="178">
        <v>696.08</v>
      </c>
      <c r="AO267" s="178">
        <v>681.9</v>
      </c>
      <c r="AP267" s="96">
        <f>AP264*30.2%</f>
        <v>722.60446000000002</v>
      </c>
      <c r="AQ267" s="179">
        <v>809.85</v>
      </c>
      <c r="AR267" s="178">
        <f>AR264*30.2%</f>
        <v>911.13400000000001</v>
      </c>
      <c r="AS267" s="178">
        <v>791.01</v>
      </c>
      <c r="AT267" s="181">
        <f>AT264*30.2%</f>
        <v>765.06565999999998</v>
      </c>
      <c r="AU267" s="72">
        <v>444.9</v>
      </c>
      <c r="AV267" s="178">
        <v>177.29</v>
      </c>
      <c r="AW267" s="178">
        <v>223.66</v>
      </c>
      <c r="AX267" s="181">
        <f>AX264*30.2%</f>
        <v>550.56713999999999</v>
      </c>
      <c r="AY267" s="72">
        <v>689.56</v>
      </c>
      <c r="AZ267" s="178">
        <v>1437.03</v>
      </c>
      <c r="BA267" s="178">
        <v>1036.49</v>
      </c>
      <c r="BB267" s="181">
        <f>BB264*30.2%</f>
        <v>1495.2192777522</v>
      </c>
      <c r="BC267" s="72"/>
      <c r="BD267" s="178">
        <f>BD264*30.2%</f>
        <v>251.97880379999998</v>
      </c>
      <c r="BE267" s="178">
        <f>BE264*30.2%</f>
        <v>316.21604600000001</v>
      </c>
      <c r="BF267" s="210"/>
      <c r="BG267" s="72">
        <f>BG264*30.2%</f>
        <v>1852.9904599999998</v>
      </c>
      <c r="BH267" s="178">
        <f>BH264*30.2%</f>
        <v>2541.5069719999997</v>
      </c>
      <c r="BI267" s="178">
        <f>BI264*30.2%</f>
        <v>2099.2664769999997</v>
      </c>
      <c r="BJ267" s="181">
        <f>BJ264*30.2%</f>
        <v>2644.3871742265596</v>
      </c>
      <c r="BK267" s="72"/>
      <c r="BL267" s="178"/>
      <c r="BM267" s="178"/>
      <c r="BN267" s="181"/>
      <c r="BO267" s="142"/>
      <c r="BP267" s="183"/>
      <c r="BQ267" s="183">
        <f>BQ264*BQ268/100</f>
        <v>134.89736000000002</v>
      </c>
      <c r="BR267" s="186"/>
      <c r="BS267" s="142"/>
      <c r="BT267" s="183"/>
      <c r="BU267" s="183">
        <f>BU264*BU268/100</f>
        <v>459.744868</v>
      </c>
      <c r="BV267" s="186"/>
      <c r="BY267" s="125">
        <f t="shared" si="68"/>
        <v>24585.480460000002</v>
      </c>
      <c r="BZ267" s="126">
        <f t="shared" si="68"/>
        <v>22253.169775800001</v>
      </c>
      <c r="CA267" s="126">
        <f t="shared" si="68"/>
        <v>27067.484751000004</v>
      </c>
      <c r="CB267" s="127">
        <f t="shared" si="68"/>
        <v>31592.940611978753</v>
      </c>
    </row>
    <row r="268" spans="1:81" ht="14.25" customHeight="1" outlineLevel="5" x14ac:dyDescent="0.25">
      <c r="C268" s="10" t="s">
        <v>216</v>
      </c>
      <c r="D268" s="10" t="s">
        <v>217</v>
      </c>
      <c r="E268" s="10" t="s">
        <v>73</v>
      </c>
      <c r="F268" s="10" t="s">
        <v>74</v>
      </c>
      <c r="G268" s="10" t="s">
        <v>73</v>
      </c>
      <c r="H268" s="10" t="s">
        <v>340</v>
      </c>
      <c r="I268" s="10" t="s">
        <v>73</v>
      </c>
      <c r="J268" s="10" t="s">
        <v>73</v>
      </c>
      <c r="K268" s="12" t="s">
        <v>73</v>
      </c>
      <c r="L268" s="10" t="s">
        <v>192</v>
      </c>
      <c r="M268" s="5" t="str">
        <f t="array" ref="M268">Y95</f>
        <v>1ХВС::1.1</v>
      </c>
      <c r="AB268" s="29" t="str">
        <f>AB267&amp;".1"</f>
        <v>3.1.1.3.2.2.1</v>
      </c>
      <c r="AC268" s="208" t="s">
        <v>218</v>
      </c>
      <c r="AD268" s="51" t="s">
        <v>119</v>
      </c>
      <c r="AE268" s="72">
        <v>30.2</v>
      </c>
      <c r="AF268" s="73">
        <v>30.2</v>
      </c>
      <c r="AG268" s="73">
        <v>30.2</v>
      </c>
      <c r="AH268" s="74">
        <v>30.2</v>
      </c>
      <c r="AI268" s="179">
        <v>30.2</v>
      </c>
      <c r="AJ268" s="73">
        <v>30.2</v>
      </c>
      <c r="AK268" s="73">
        <v>30.2</v>
      </c>
      <c r="AL268" s="138"/>
      <c r="AM268" s="72">
        <v>30.2</v>
      </c>
      <c r="AN268" s="73">
        <v>30.2</v>
      </c>
      <c r="AO268" s="73">
        <v>30.2</v>
      </c>
      <c r="AP268" s="74">
        <v>30.2</v>
      </c>
      <c r="AQ268" s="179">
        <v>30.2</v>
      </c>
      <c r="AR268" s="73">
        <v>30.2</v>
      </c>
      <c r="AS268" s="73">
        <v>30.2</v>
      </c>
      <c r="AT268" s="138">
        <v>30.2</v>
      </c>
      <c r="AU268" s="72">
        <v>30.2</v>
      </c>
      <c r="AV268" s="73">
        <v>30.2</v>
      </c>
      <c r="AW268" s="73">
        <v>30.2</v>
      </c>
      <c r="AX268" s="138">
        <v>30.2</v>
      </c>
      <c r="AY268" s="72">
        <v>30.2</v>
      </c>
      <c r="AZ268" s="73">
        <v>30.2</v>
      </c>
      <c r="BA268" s="73">
        <v>30.2</v>
      </c>
      <c r="BB268" s="138">
        <v>30.2</v>
      </c>
      <c r="BC268" s="72">
        <v>30.2</v>
      </c>
      <c r="BD268" s="73">
        <v>30.2</v>
      </c>
      <c r="BE268" s="73">
        <v>30.2</v>
      </c>
      <c r="BF268" s="774"/>
      <c r="BG268" s="72">
        <v>30.2</v>
      </c>
      <c r="BH268" s="73">
        <v>30.2</v>
      </c>
      <c r="BI268" s="73">
        <v>30.2</v>
      </c>
      <c r="BJ268" s="138">
        <v>30.2</v>
      </c>
      <c r="BK268" s="72">
        <v>30.2</v>
      </c>
      <c r="BL268" s="73">
        <v>30.2</v>
      </c>
      <c r="BM268" s="73">
        <v>30.2</v>
      </c>
      <c r="BN268" s="138"/>
      <c r="BO268" s="72">
        <v>30.2</v>
      </c>
      <c r="BP268" s="73">
        <v>30.2</v>
      </c>
      <c r="BQ268" s="73">
        <v>30.2</v>
      </c>
      <c r="BR268" s="74"/>
      <c r="BS268" s="72">
        <v>30.2</v>
      </c>
      <c r="BT268" s="73">
        <v>30.2</v>
      </c>
      <c r="BU268" s="73">
        <v>30.2</v>
      </c>
      <c r="BV268" s="74"/>
      <c r="BY268" s="125">
        <v>30.2</v>
      </c>
      <c r="BZ268" s="126">
        <v>30.2</v>
      </c>
      <c r="CA268" s="126">
        <v>30.2</v>
      </c>
      <c r="CB268" s="127">
        <v>30.2</v>
      </c>
    </row>
    <row r="269" spans="1:81" s="211" customFormat="1" ht="43.9" customHeight="1" outlineLevel="4" x14ac:dyDescent="0.25">
      <c r="A269" s="6"/>
      <c r="B269" s="6"/>
      <c r="C269" s="116" t="s">
        <v>83</v>
      </c>
      <c r="D269" s="116" t="s">
        <v>84</v>
      </c>
      <c r="E269" s="116" t="s">
        <v>73</v>
      </c>
      <c r="F269" s="116" t="s">
        <v>74</v>
      </c>
      <c r="G269" s="116" t="s">
        <v>344</v>
      </c>
      <c r="H269" s="116" t="s">
        <v>73</v>
      </c>
      <c r="I269" s="116" t="s">
        <v>73</v>
      </c>
      <c r="J269" s="116" t="s">
        <v>73</v>
      </c>
      <c r="K269" s="209" t="s">
        <v>73</v>
      </c>
      <c r="L269" s="116" t="s">
        <v>192</v>
      </c>
      <c r="M269" s="6" t="str">
        <f t="array" ref="M269">Y95</f>
        <v>1ХВС::1.1</v>
      </c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5" t="str">
        <f>AB254&amp;".3"</f>
        <v>3.1.1.3.3</v>
      </c>
      <c r="AC269" s="174" t="s">
        <v>344</v>
      </c>
      <c r="AD269" s="51" t="s">
        <v>111</v>
      </c>
      <c r="AE269" s="72"/>
      <c r="AF269" s="178"/>
      <c r="AG269" s="178"/>
      <c r="AH269" s="96"/>
      <c r="AI269" s="179"/>
      <c r="AJ269" s="178"/>
      <c r="AK269" s="178"/>
      <c r="AL269" s="181"/>
      <c r="AM269" s="72">
        <v>0</v>
      </c>
      <c r="AN269" s="178">
        <v>0</v>
      </c>
      <c r="AO269" s="178">
        <v>0</v>
      </c>
      <c r="AP269" s="96"/>
      <c r="AQ269" s="179"/>
      <c r="AR269" s="178"/>
      <c r="AS269" s="178"/>
      <c r="AT269" s="181"/>
      <c r="AU269" s="72"/>
      <c r="AV269" s="178"/>
      <c r="AW269" s="178"/>
      <c r="AX269" s="181"/>
      <c r="AY269" s="72"/>
      <c r="AZ269" s="178"/>
      <c r="BA269" s="178"/>
      <c r="BB269" s="181"/>
      <c r="BC269" s="72"/>
      <c r="BD269" s="178"/>
      <c r="BE269" s="178"/>
      <c r="BF269" s="210"/>
      <c r="BG269" s="72"/>
      <c r="BH269" s="178"/>
      <c r="BI269" s="178"/>
      <c r="BJ269" s="181"/>
      <c r="BK269" s="72"/>
      <c r="BL269" s="178"/>
      <c r="BM269" s="178"/>
      <c r="BN269" s="181"/>
      <c r="BO269" s="72"/>
      <c r="BP269" s="178"/>
      <c r="BQ269" s="178"/>
      <c r="BR269" s="96"/>
      <c r="BS269" s="72"/>
      <c r="BT269" s="178"/>
      <c r="BU269" s="178"/>
      <c r="BV269" s="96"/>
      <c r="BW269" s="6"/>
      <c r="BX269" s="6"/>
      <c r="BY269" s="125">
        <f t="shared" ref="BY269:BY308" si="69">AE269+AI269+AM269+AQ269+AU269+AY269+BC269+BG269+BK269+BO269+BS269</f>
        <v>0</v>
      </c>
      <c r="BZ269" s="126">
        <f t="shared" ref="BZ269:BZ308" si="70">AF269+AJ269+AN269+AR269+AV269+AZ269+BD269+BH269+BL269+BP269+BT269</f>
        <v>0</v>
      </c>
      <c r="CA269" s="126">
        <f t="shared" ref="CA269:CA308" si="71">AG269+AK269+AO269+AS269+AW269+BA269+BE269+BI269+BM269+BQ269+BU269</f>
        <v>0</v>
      </c>
      <c r="CB269" s="127">
        <f t="shared" ref="CB269:CB308" si="72">AH269+AL269+AP269+AT269+AX269+BB269+BF269+BJ269+BN269+BR269+BV269</f>
        <v>0</v>
      </c>
      <c r="CC269" s="766"/>
    </row>
    <row r="270" spans="1:81" ht="14.25" customHeight="1" outlineLevel="4" x14ac:dyDescent="0.25">
      <c r="C270" s="10" t="s">
        <v>83</v>
      </c>
      <c r="D270" s="10" t="s">
        <v>84</v>
      </c>
      <c r="E270" s="10" t="s">
        <v>73</v>
      </c>
      <c r="F270" s="10" t="s">
        <v>74</v>
      </c>
      <c r="G270" s="10" t="s">
        <v>345</v>
      </c>
      <c r="H270" s="10" t="s">
        <v>73</v>
      </c>
      <c r="I270" s="10" t="s">
        <v>73</v>
      </c>
      <c r="J270" s="10" t="s">
        <v>73</v>
      </c>
      <c r="K270" s="12" t="s">
        <v>73</v>
      </c>
      <c r="L270" s="10" t="s">
        <v>192</v>
      </c>
      <c r="M270" s="5" t="str">
        <f t="array" ref="M270">Y95</f>
        <v>1ХВС::1.1</v>
      </c>
      <c r="AB270" s="65" t="str">
        <f>AB254&amp;".4"</f>
        <v>3.1.1.3.4</v>
      </c>
      <c r="AC270" s="174" t="s">
        <v>346</v>
      </c>
      <c r="AD270" s="51" t="s">
        <v>111</v>
      </c>
      <c r="AE270" s="72">
        <v>830.47</v>
      </c>
      <c r="AF270" s="178">
        <v>442.92</v>
      </c>
      <c r="AG270" s="178">
        <v>476.52</v>
      </c>
      <c r="AH270" s="96">
        <v>479.55500000000001</v>
      </c>
      <c r="AI270" s="179"/>
      <c r="AJ270" s="178"/>
      <c r="AK270" s="178"/>
      <c r="AL270" s="181"/>
      <c r="AM270" s="72"/>
      <c r="AN270" s="178">
        <v>10.8</v>
      </c>
      <c r="AO270" s="178"/>
      <c r="AP270" s="96"/>
      <c r="AQ270" s="179"/>
      <c r="AR270" s="178"/>
      <c r="AS270" s="178"/>
      <c r="AT270" s="181"/>
      <c r="AU270" s="72"/>
      <c r="AV270" s="178"/>
      <c r="AW270" s="178"/>
      <c r="AX270" s="181"/>
      <c r="AY270" s="72"/>
      <c r="AZ270" s="178"/>
      <c r="BA270" s="178"/>
      <c r="BB270" s="181"/>
      <c r="BC270" s="72"/>
      <c r="BD270" s="178"/>
      <c r="BE270" s="178"/>
      <c r="BF270" s="210"/>
      <c r="BG270" s="72"/>
      <c r="BH270" s="178"/>
      <c r="BI270" s="178"/>
      <c r="BJ270" s="181"/>
      <c r="BK270" s="72"/>
      <c r="BL270" s="178"/>
      <c r="BM270" s="178"/>
      <c r="BN270" s="181"/>
      <c r="BO270" s="72"/>
      <c r="BP270" s="178"/>
      <c r="BQ270" s="178"/>
      <c r="BR270" s="96"/>
      <c r="BS270" s="72"/>
      <c r="BT270" s="178"/>
      <c r="BU270" s="178"/>
      <c r="BV270" s="96"/>
      <c r="BY270" s="125">
        <f t="shared" si="69"/>
        <v>830.47</v>
      </c>
      <c r="BZ270" s="126">
        <f t="shared" si="70"/>
        <v>453.72</v>
      </c>
      <c r="CA270" s="126">
        <f t="shared" si="71"/>
        <v>476.52</v>
      </c>
      <c r="CB270" s="127">
        <f t="shared" si="72"/>
        <v>479.55500000000001</v>
      </c>
    </row>
    <row r="271" spans="1:81" s="211" customFormat="1" ht="14.25" customHeight="1" outlineLevel="4" x14ac:dyDescent="0.25">
      <c r="A271" s="6"/>
      <c r="B271" s="6"/>
      <c r="C271" s="116" t="s">
        <v>83</v>
      </c>
      <c r="D271" s="116" t="s">
        <v>84</v>
      </c>
      <c r="E271" s="116" t="s">
        <v>73</v>
      </c>
      <c r="F271" s="116" t="s">
        <v>74</v>
      </c>
      <c r="G271" s="116" t="s">
        <v>347</v>
      </c>
      <c r="H271" s="116" t="s">
        <v>73</v>
      </c>
      <c r="I271" s="116" t="s">
        <v>73</v>
      </c>
      <c r="J271" s="116" t="s">
        <v>73</v>
      </c>
      <c r="K271" s="209" t="s">
        <v>73</v>
      </c>
      <c r="L271" s="116" t="s">
        <v>192</v>
      </c>
      <c r="M271" s="6" t="str">
        <f t="array" ref="M271">Y95</f>
        <v>1ХВС::1.1</v>
      </c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5" t="str">
        <f>AB254&amp;".5"</f>
        <v>3.1.1.3.5</v>
      </c>
      <c r="AC271" s="174" t="s">
        <v>348</v>
      </c>
      <c r="AD271" s="51" t="s">
        <v>111</v>
      </c>
      <c r="AE271" s="72">
        <v>801.42</v>
      </c>
      <c r="AF271" s="178">
        <v>118.95</v>
      </c>
      <c r="AG271" s="178">
        <v>866.81</v>
      </c>
      <c r="AH271" s="96">
        <v>0</v>
      </c>
      <c r="AI271" s="179"/>
      <c r="AJ271" s="178"/>
      <c r="AK271" s="178"/>
      <c r="AL271" s="181"/>
      <c r="AM271" s="72">
        <v>7.25</v>
      </c>
      <c r="AN271" s="178">
        <v>27</v>
      </c>
      <c r="AO271" s="178">
        <v>14.54</v>
      </c>
      <c r="AP271" s="96"/>
      <c r="AQ271" s="179">
        <v>27.6</v>
      </c>
      <c r="AR271" s="178">
        <v>4.22</v>
      </c>
      <c r="AS271" s="178">
        <v>22.5</v>
      </c>
      <c r="AT271" s="181"/>
      <c r="AU271" s="72">
        <v>16.75</v>
      </c>
      <c r="AV271" s="178"/>
      <c r="AW271" s="178">
        <v>9.09</v>
      </c>
      <c r="AX271" s="181"/>
      <c r="AY271" s="72">
        <v>65.25</v>
      </c>
      <c r="AZ271" s="178"/>
      <c r="BA271" s="178">
        <v>45.98</v>
      </c>
      <c r="BB271" s="181"/>
      <c r="BC271" s="72">
        <v>23.5</v>
      </c>
      <c r="BD271" s="178"/>
      <c r="BE271" s="178">
        <v>11.83</v>
      </c>
      <c r="BF271" s="210"/>
      <c r="BG271" s="72">
        <v>38.86</v>
      </c>
      <c r="BH271" s="178">
        <v>15.7</v>
      </c>
      <c r="BI271" s="178">
        <v>17.329999999999998</v>
      </c>
      <c r="BJ271" s="181">
        <f>BH271*1.04048</f>
        <v>16.335536000000001</v>
      </c>
      <c r="BK271" s="72">
        <v>77.03</v>
      </c>
      <c r="BL271" s="178"/>
      <c r="BM271" s="178">
        <v>43.08</v>
      </c>
      <c r="BN271" s="181"/>
      <c r="BO271" s="142">
        <v>8</v>
      </c>
      <c r="BP271" s="183"/>
      <c r="BQ271" s="183">
        <v>4.24</v>
      </c>
      <c r="BR271" s="186"/>
      <c r="BS271" s="142">
        <v>8.15</v>
      </c>
      <c r="BT271" s="183">
        <v>9.14</v>
      </c>
      <c r="BU271" s="183">
        <v>6.15</v>
      </c>
      <c r="BV271" s="186">
        <v>3.4</v>
      </c>
      <c r="BW271" s="6"/>
      <c r="BX271" s="6"/>
      <c r="BY271" s="125">
        <f t="shared" si="69"/>
        <v>1073.8100000000002</v>
      </c>
      <c r="BZ271" s="126">
        <f t="shared" si="70"/>
        <v>175.01</v>
      </c>
      <c r="CA271" s="126">
        <f t="shared" si="71"/>
        <v>1041.5500000000002</v>
      </c>
      <c r="CB271" s="127">
        <f t="shared" si="72"/>
        <v>19.735536</v>
      </c>
      <c r="CC271" s="766"/>
    </row>
    <row r="272" spans="1:81" s="211" customFormat="1" ht="14.25" customHeight="1" outlineLevel="4" x14ac:dyDescent="0.25">
      <c r="A272" s="6"/>
      <c r="B272" s="6"/>
      <c r="C272" s="116" t="s">
        <v>83</v>
      </c>
      <c r="D272" s="116" t="s">
        <v>84</v>
      </c>
      <c r="E272" s="116" t="s">
        <v>73</v>
      </c>
      <c r="F272" s="116" t="s">
        <v>74</v>
      </c>
      <c r="G272" s="116" t="s">
        <v>349</v>
      </c>
      <c r="H272" s="116" t="s">
        <v>73</v>
      </c>
      <c r="I272" s="116" t="s">
        <v>73</v>
      </c>
      <c r="J272" s="116" t="s">
        <v>73</v>
      </c>
      <c r="K272" s="209" t="s">
        <v>73</v>
      </c>
      <c r="L272" s="116" t="s">
        <v>192</v>
      </c>
      <c r="M272" s="6" t="str">
        <f t="array" ref="M272">Y95</f>
        <v>1ХВС::1.1</v>
      </c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5" t="str">
        <f>AB254&amp;".6"</f>
        <v>3.1.1.3.6</v>
      </c>
      <c r="AC272" s="174" t="s">
        <v>350</v>
      </c>
      <c r="AD272" s="51" t="s">
        <v>111</v>
      </c>
      <c r="AE272" s="72"/>
      <c r="AF272" s="178"/>
      <c r="AG272" s="178"/>
      <c r="AH272" s="96"/>
      <c r="AI272" s="179"/>
      <c r="AJ272" s="178"/>
      <c r="AK272" s="178"/>
      <c r="AL272" s="181"/>
      <c r="AM272" s="72"/>
      <c r="AN272" s="178"/>
      <c r="AO272" s="178"/>
      <c r="AP272" s="96"/>
      <c r="AQ272" s="179"/>
      <c r="AR272" s="178"/>
      <c r="AS272" s="178"/>
      <c r="AT272" s="181"/>
      <c r="AU272" s="72"/>
      <c r="AV272" s="178"/>
      <c r="AW272" s="178"/>
      <c r="AX272" s="181"/>
      <c r="AY272" s="72"/>
      <c r="AZ272" s="178"/>
      <c r="BA272" s="178"/>
      <c r="BB272" s="181"/>
      <c r="BC272" s="72"/>
      <c r="BD272" s="178"/>
      <c r="BE272" s="178"/>
      <c r="BF272" s="210"/>
      <c r="BG272" s="72"/>
      <c r="BH272" s="178"/>
      <c r="BI272" s="178"/>
      <c r="BJ272" s="181"/>
      <c r="BK272" s="72"/>
      <c r="BL272" s="178"/>
      <c r="BM272" s="178"/>
      <c r="BN272" s="181"/>
      <c r="BO272" s="72"/>
      <c r="BP272" s="178"/>
      <c r="BQ272" s="178"/>
      <c r="BR272" s="96"/>
      <c r="BS272" s="72"/>
      <c r="BT272" s="178"/>
      <c r="BU272" s="178"/>
      <c r="BV272" s="96"/>
      <c r="BW272" s="6"/>
      <c r="BX272" s="6"/>
      <c r="BY272" s="125">
        <f t="shared" si="69"/>
        <v>0</v>
      </c>
      <c r="BZ272" s="126">
        <f t="shared" si="70"/>
        <v>0</v>
      </c>
      <c r="CA272" s="126">
        <f t="shared" si="71"/>
        <v>0</v>
      </c>
      <c r="CB272" s="127">
        <f t="shared" si="72"/>
        <v>0</v>
      </c>
      <c r="CC272" s="766"/>
    </row>
    <row r="273" spans="1:81" ht="24.75" customHeight="1" outlineLevel="4" x14ac:dyDescent="0.25">
      <c r="C273" s="10" t="s">
        <v>83</v>
      </c>
      <c r="D273" s="10" t="s">
        <v>84</v>
      </c>
      <c r="E273" s="10" t="s">
        <v>73</v>
      </c>
      <c r="F273" s="10" t="s">
        <v>74</v>
      </c>
      <c r="G273" s="10" t="s">
        <v>351</v>
      </c>
      <c r="H273" s="10" t="s">
        <v>73</v>
      </c>
      <c r="I273" s="10" t="s">
        <v>73</v>
      </c>
      <c r="J273" s="10" t="s">
        <v>73</v>
      </c>
      <c r="K273" s="12" t="s">
        <v>73</v>
      </c>
      <c r="L273" s="10" t="s">
        <v>192</v>
      </c>
      <c r="M273" s="5" t="str">
        <f t="array" ref="M273">Y95</f>
        <v>1ХВС::1.1</v>
      </c>
      <c r="AB273" s="65" t="str">
        <f>AB254&amp;".7"</f>
        <v>3.1.1.3.7</v>
      </c>
      <c r="AC273" s="174" t="s">
        <v>352</v>
      </c>
      <c r="AD273" s="51" t="s">
        <v>111</v>
      </c>
      <c r="AE273" s="72">
        <f>AE274+AE275+AE280+AE276+AE277+AE278+AE279</f>
        <v>21896.279999999995</v>
      </c>
      <c r="AF273" s="73">
        <f>AF274+AF275+AF280+AF276+AF277+AF278+AF279</f>
        <v>20397.72</v>
      </c>
      <c r="AG273" s="73">
        <f>AG274+AG275+AG280+AG276+AG277+AG278+AG279</f>
        <v>22593.044000000002</v>
      </c>
      <c r="AH273" s="74">
        <v>5876.4250000000002</v>
      </c>
      <c r="AI273" s="179">
        <f>AI274+AI275+AI280+AI276+AI277+AI278+AI279</f>
        <v>56.1</v>
      </c>
      <c r="AJ273" s="73">
        <f>AJ274+AJ275+AJ280+AJ276+AJ277+AJ278+AJ279</f>
        <v>0</v>
      </c>
      <c r="AK273" s="73">
        <f>AK274+AK275+AK280+AK276+AK277+AK278+AK279</f>
        <v>63.576000000000001</v>
      </c>
      <c r="AL273" s="138"/>
      <c r="AM273" s="72">
        <f>AM274+AM275+AM280+AM276+AM277+AM278+AM279</f>
        <v>205.07999999999998</v>
      </c>
      <c r="AN273" s="73">
        <f>AN274+AN275+AN280+AN276+AN277+AN278+AN279</f>
        <v>30.240000000000002</v>
      </c>
      <c r="AO273" s="73">
        <f>AO274+AO275+AO280+AO276+AO277+AO278+AO279</f>
        <v>1904.9999999999998</v>
      </c>
      <c r="AP273" s="74"/>
      <c r="AQ273" s="179">
        <f>AQ274+AQ275+AQ280+AQ276+AQ277+AQ278+AQ279</f>
        <v>193.24399999999997</v>
      </c>
      <c r="AR273" s="73">
        <f>AR274+AR275+AR280+AR276+AR277+AR278+AR279</f>
        <v>318.95</v>
      </c>
      <c r="AS273" s="73">
        <f>AS274+AS275+AS280+AS276+AS277+AS278+AS279</f>
        <v>676.15</v>
      </c>
      <c r="AT273" s="138"/>
      <c r="AU273" s="72">
        <f>AU274+AU275+AU280+AU276+AU277+AU278+AU279</f>
        <v>22.76</v>
      </c>
      <c r="AV273" s="73">
        <f>AV274+AV275+AV280+AV276+AV277+AV278+AV279</f>
        <v>5.57</v>
      </c>
      <c r="AW273" s="73">
        <f>AW274+AW275+AW280+AW276+AW277+AW278+AW279</f>
        <v>138.54000000000002</v>
      </c>
      <c r="AX273" s="138"/>
      <c r="AY273" s="72">
        <f>AY274+AY275+AY280+AY276+AY277+AY278+AY279</f>
        <v>214.59899999999999</v>
      </c>
      <c r="AZ273" s="73">
        <f>AZ274+AZ275+AZ280+AZ276+AZ277+AZ278+AZ279</f>
        <v>0</v>
      </c>
      <c r="BA273" s="73">
        <f>BA274+BA275+BA280+BA276+BA277+BA278+BA279</f>
        <v>298.09100000000001</v>
      </c>
      <c r="BB273" s="138"/>
      <c r="BC273" s="72">
        <f>BC274+BC275+BC280+BC276+BC277+BC278+BC279</f>
        <v>168.07600000000002</v>
      </c>
      <c r="BD273" s="73">
        <f>BD274+BD275+BD280+BD276+BD277+BD278+BD279</f>
        <v>0</v>
      </c>
      <c r="BE273" s="73">
        <f>BE274+BE275+BE280+BE276+BE277+BE278+BE279</f>
        <v>250.28899999999999</v>
      </c>
      <c r="BF273" s="774"/>
      <c r="BG273" s="72">
        <f>BG274+BG275+BG280+BG276+BG277+BG278+BG279</f>
        <v>395.94299999999998</v>
      </c>
      <c r="BH273" s="73">
        <f>BH274+BH275+BH280+BH276+BH277+BH278+BH279</f>
        <v>39.51</v>
      </c>
      <c r="BI273" s="73">
        <f>BI274+BI275+BI280+BI276+BI277+BI278+BI279</f>
        <v>438.44100000000003</v>
      </c>
      <c r="BJ273" s="138">
        <f>SUM(BJ274:BJ280)</f>
        <v>41.109364800000002</v>
      </c>
      <c r="BK273" s="72">
        <f>BK274+BK275+BK280+BK276+BK277+BK278+BK279</f>
        <v>223.58999999999997</v>
      </c>
      <c r="BL273" s="73">
        <f>BL274+BL275+BL280+BL276+BL277+BL278+BL279</f>
        <v>0</v>
      </c>
      <c r="BM273" s="73">
        <f>BM274+BM275+BM280+BM276+BM277+BM278+BM279</f>
        <v>304.14999999999998</v>
      </c>
      <c r="BN273" s="138"/>
      <c r="BO273" s="72">
        <f t="shared" ref="BO273:BU273" si="73">BO274+BO275+BO280+BO276+BO277+BO278+BO279</f>
        <v>14.87</v>
      </c>
      <c r="BP273" s="73">
        <f t="shared" si="73"/>
        <v>0</v>
      </c>
      <c r="BQ273" s="73">
        <f t="shared" si="73"/>
        <v>118.99000000000002</v>
      </c>
      <c r="BR273" s="74">
        <f t="shared" si="73"/>
        <v>0</v>
      </c>
      <c r="BS273" s="72">
        <f t="shared" si="73"/>
        <v>209.61</v>
      </c>
      <c r="BT273" s="73">
        <f t="shared" si="73"/>
        <v>125.08</v>
      </c>
      <c r="BU273" s="73">
        <f t="shared" si="73"/>
        <v>311.70999999999992</v>
      </c>
      <c r="BV273" s="74"/>
      <c r="BY273" s="125">
        <f t="shared" si="69"/>
        <v>23600.151999999991</v>
      </c>
      <c r="BZ273" s="126">
        <f t="shared" si="70"/>
        <v>20917.070000000003</v>
      </c>
      <c r="CA273" s="126">
        <f t="shared" si="71"/>
        <v>27097.981000000007</v>
      </c>
      <c r="CB273" s="127">
        <f t="shared" si="72"/>
        <v>5917.5343647999998</v>
      </c>
    </row>
    <row r="274" spans="1:81" ht="24" customHeight="1" outlineLevel="5" x14ac:dyDescent="0.25">
      <c r="C274" s="10" t="s">
        <v>83</v>
      </c>
      <c r="D274" s="10" t="s">
        <v>84</v>
      </c>
      <c r="E274" s="10" t="s">
        <v>73</v>
      </c>
      <c r="F274" s="10" t="s">
        <v>74</v>
      </c>
      <c r="G274" s="10" t="s">
        <v>353</v>
      </c>
      <c r="H274" s="10" t="s">
        <v>73</v>
      </c>
      <c r="I274" s="10" t="s">
        <v>73</v>
      </c>
      <c r="J274" s="10" t="s">
        <v>73</v>
      </c>
      <c r="K274" s="12" t="s">
        <v>73</v>
      </c>
      <c r="L274" s="10" t="s">
        <v>192</v>
      </c>
      <c r="M274" s="5" t="str">
        <f t="array" ref="M274">Y95</f>
        <v>1ХВС::1.1</v>
      </c>
      <c r="AB274" s="29" t="str">
        <f>AB273&amp;".1"</f>
        <v>3.1.1.3.7.1</v>
      </c>
      <c r="AC274" s="177" t="s">
        <v>354</v>
      </c>
      <c r="AD274" s="51" t="s">
        <v>111</v>
      </c>
      <c r="AE274" s="72">
        <v>89.17</v>
      </c>
      <c r="AF274" s="178">
        <v>645.92999999999995</v>
      </c>
      <c r="AG274" s="178">
        <v>694.94</v>
      </c>
      <c r="AH274" s="96"/>
      <c r="AI274" s="179"/>
      <c r="AJ274" s="178"/>
      <c r="AK274" s="178"/>
      <c r="AL274" s="181"/>
      <c r="AM274" s="72"/>
      <c r="AN274" s="178"/>
      <c r="AO274" s="178"/>
      <c r="AP274" s="96"/>
      <c r="AQ274" s="179"/>
      <c r="AR274" s="178"/>
      <c r="AS274" s="178"/>
      <c r="AT274" s="181"/>
      <c r="AU274" s="72"/>
      <c r="AV274" s="178"/>
      <c r="AW274" s="178"/>
      <c r="AX274" s="181"/>
      <c r="AY274" s="72"/>
      <c r="AZ274" s="178"/>
      <c r="BA274" s="178"/>
      <c r="BB274" s="181"/>
      <c r="BC274" s="72"/>
      <c r="BD274" s="178"/>
      <c r="BE274" s="178"/>
      <c r="BF274" s="210"/>
      <c r="BG274" s="72"/>
      <c r="BH274" s="178"/>
      <c r="BI274" s="178"/>
      <c r="BJ274" s="181"/>
      <c r="BK274" s="72"/>
      <c r="BL274" s="178"/>
      <c r="BM274" s="178"/>
      <c r="BN274" s="181"/>
      <c r="BO274" s="72"/>
      <c r="BP274" s="178"/>
      <c r="BQ274" s="178"/>
      <c r="BR274" s="96"/>
      <c r="BS274" s="72"/>
      <c r="BT274" s="178"/>
      <c r="BU274" s="178"/>
      <c r="BV274" s="96"/>
      <c r="BY274" s="125">
        <f t="shared" si="69"/>
        <v>89.17</v>
      </c>
      <c r="BZ274" s="126">
        <f t="shared" si="70"/>
        <v>645.92999999999995</v>
      </c>
      <c r="CA274" s="126">
        <f t="shared" si="71"/>
        <v>694.94</v>
      </c>
      <c r="CB274" s="127">
        <f t="shared" si="72"/>
        <v>0</v>
      </c>
    </row>
    <row r="275" spans="1:81" ht="33" customHeight="1" outlineLevel="5" x14ac:dyDescent="0.25">
      <c r="C275" s="10" t="s">
        <v>83</v>
      </c>
      <c r="D275" s="10" t="s">
        <v>84</v>
      </c>
      <c r="E275" s="10" t="s">
        <v>73</v>
      </c>
      <c r="F275" s="10" t="s">
        <v>74</v>
      </c>
      <c r="G275" s="10" t="s">
        <v>355</v>
      </c>
      <c r="H275" s="10" t="s">
        <v>73</v>
      </c>
      <c r="I275" s="10" t="s">
        <v>73</v>
      </c>
      <c r="J275" s="10" t="s">
        <v>73</v>
      </c>
      <c r="K275" s="12" t="s">
        <v>73</v>
      </c>
      <c r="L275" s="10" t="s">
        <v>192</v>
      </c>
      <c r="M275" s="5" t="str">
        <f t="array" ref="M275">Y95</f>
        <v>1ХВС::1.1</v>
      </c>
      <c r="AB275" s="29" t="str">
        <f>AB273&amp;".2"</f>
        <v>3.1.1.3.7.2</v>
      </c>
      <c r="AC275" s="177" t="s">
        <v>356</v>
      </c>
      <c r="AD275" s="51" t="s">
        <v>111</v>
      </c>
      <c r="AE275" s="72">
        <v>61.27</v>
      </c>
      <c r="AF275" s="178">
        <v>1753.77</v>
      </c>
      <c r="AG275" s="178">
        <v>1886.82</v>
      </c>
      <c r="AH275" s="96"/>
      <c r="AI275" s="179"/>
      <c r="AJ275" s="178"/>
      <c r="AK275" s="178"/>
      <c r="AL275" s="181"/>
      <c r="AM275" s="72"/>
      <c r="AN275" s="178"/>
      <c r="AO275" s="178"/>
      <c r="AP275" s="96"/>
      <c r="AQ275" s="179"/>
      <c r="AR275" s="178"/>
      <c r="AS275" s="178"/>
      <c r="AT275" s="181"/>
      <c r="AU275" s="72"/>
      <c r="AV275" s="178">
        <v>5.57</v>
      </c>
      <c r="AW275" s="178"/>
      <c r="AX275" s="181"/>
      <c r="AY275" s="72"/>
      <c r="AZ275" s="178"/>
      <c r="BA275" s="178"/>
      <c r="BB275" s="181"/>
      <c r="BC275" s="72"/>
      <c r="BD275" s="178"/>
      <c r="BE275" s="178"/>
      <c r="BF275" s="210"/>
      <c r="BG275" s="72"/>
      <c r="BH275" s="178"/>
      <c r="BI275" s="178"/>
      <c r="BJ275" s="181"/>
      <c r="BK275" s="72"/>
      <c r="BL275" s="178"/>
      <c r="BM275" s="178"/>
      <c r="BN275" s="181"/>
      <c r="BO275" s="72"/>
      <c r="BP275" s="178"/>
      <c r="BQ275" s="178"/>
      <c r="BR275" s="96"/>
      <c r="BS275" s="72"/>
      <c r="BT275" s="178"/>
      <c r="BU275" s="178"/>
      <c r="BV275" s="96"/>
      <c r="BY275" s="125">
        <f t="shared" si="69"/>
        <v>61.27</v>
      </c>
      <c r="BZ275" s="126">
        <f t="shared" si="70"/>
        <v>1759.34</v>
      </c>
      <c r="CA275" s="126">
        <f t="shared" si="71"/>
        <v>1886.82</v>
      </c>
      <c r="CB275" s="127">
        <f t="shared" si="72"/>
        <v>0</v>
      </c>
    </row>
    <row r="276" spans="1:81" ht="21" customHeight="1" outlineLevel="5" x14ac:dyDescent="0.25">
      <c r="C276" s="10" t="s">
        <v>83</v>
      </c>
      <c r="D276" s="10" t="s">
        <v>84</v>
      </c>
      <c r="E276" s="10" t="s">
        <v>73</v>
      </c>
      <c r="F276" s="10" t="s">
        <v>74</v>
      </c>
      <c r="G276" s="10" t="s">
        <v>357</v>
      </c>
      <c r="H276" s="10" t="s">
        <v>73</v>
      </c>
      <c r="I276" s="10" t="s">
        <v>73</v>
      </c>
      <c r="J276" s="10" t="s">
        <v>73</v>
      </c>
      <c r="K276" s="12" t="s">
        <v>73</v>
      </c>
      <c r="L276" s="10" t="s">
        <v>192</v>
      </c>
      <c r="M276" s="5" t="str">
        <f t="array" ref="M276">Y95</f>
        <v>1ХВС::1.1</v>
      </c>
      <c r="AB276" s="29" t="str">
        <f>AB273&amp;".3"</f>
        <v>3.1.1.3.7.3</v>
      </c>
      <c r="AC276" s="177" t="s">
        <v>358</v>
      </c>
      <c r="AD276" s="51" t="s">
        <v>111</v>
      </c>
      <c r="AE276" s="72"/>
      <c r="AF276" s="178">
        <v>123.25</v>
      </c>
      <c r="AG276" s="178">
        <v>132.61000000000001</v>
      </c>
      <c r="AH276" s="96"/>
      <c r="AI276" s="179"/>
      <c r="AJ276" s="178"/>
      <c r="AK276" s="178"/>
      <c r="AL276" s="181"/>
      <c r="AM276" s="72"/>
      <c r="AN276" s="178"/>
      <c r="AO276" s="178"/>
      <c r="AP276" s="96"/>
      <c r="AQ276" s="179"/>
      <c r="AR276" s="178"/>
      <c r="AS276" s="178"/>
      <c r="AT276" s="181"/>
      <c r="AU276" s="72"/>
      <c r="AV276" s="178"/>
      <c r="AW276" s="178"/>
      <c r="AX276" s="181"/>
      <c r="AY276" s="72"/>
      <c r="AZ276" s="178"/>
      <c r="BA276" s="178"/>
      <c r="BB276" s="181"/>
      <c r="BC276" s="72"/>
      <c r="BD276" s="178"/>
      <c r="BE276" s="178"/>
      <c r="BF276" s="210"/>
      <c r="BG276" s="72"/>
      <c r="BH276" s="178"/>
      <c r="BI276" s="178"/>
      <c r="BJ276" s="181"/>
      <c r="BK276" s="72"/>
      <c r="BL276" s="178"/>
      <c r="BM276" s="178"/>
      <c r="BN276" s="181"/>
      <c r="BO276" s="72"/>
      <c r="BP276" s="178"/>
      <c r="BQ276" s="178"/>
      <c r="BR276" s="96"/>
      <c r="BS276" s="72"/>
      <c r="BT276" s="178"/>
      <c r="BU276" s="178"/>
      <c r="BV276" s="96"/>
      <c r="BY276" s="125">
        <f t="shared" si="69"/>
        <v>0</v>
      </c>
      <c r="BZ276" s="126">
        <f t="shared" si="70"/>
        <v>123.25</v>
      </c>
      <c r="CA276" s="126">
        <f t="shared" si="71"/>
        <v>132.61000000000001</v>
      </c>
      <c r="CB276" s="127">
        <f t="shared" si="72"/>
        <v>0</v>
      </c>
    </row>
    <row r="277" spans="1:81" ht="21" customHeight="1" outlineLevel="5" x14ac:dyDescent="0.25">
      <c r="C277" s="10" t="s">
        <v>83</v>
      </c>
      <c r="D277" s="10" t="s">
        <v>84</v>
      </c>
      <c r="E277" s="10" t="s">
        <v>73</v>
      </c>
      <c r="F277" s="10" t="s">
        <v>74</v>
      </c>
      <c r="G277" s="10" t="s">
        <v>359</v>
      </c>
      <c r="H277" s="10" t="s">
        <v>73</v>
      </c>
      <c r="I277" s="10" t="s">
        <v>73</v>
      </c>
      <c r="J277" s="10" t="s">
        <v>73</v>
      </c>
      <c r="K277" s="12" t="s">
        <v>73</v>
      </c>
      <c r="L277" s="10" t="s">
        <v>192</v>
      </c>
      <c r="M277" s="5" t="str">
        <f t="array" ref="M277">Y95</f>
        <v>1ХВС::1.1</v>
      </c>
      <c r="AB277" s="65" t="str">
        <f>AB273&amp;".4"</f>
        <v>3.1.1.3.7.4</v>
      </c>
      <c r="AC277" s="177" t="s">
        <v>360</v>
      </c>
      <c r="AD277" s="51" t="s">
        <v>111</v>
      </c>
      <c r="AE277" s="72"/>
      <c r="AF277" s="178"/>
      <c r="AG277" s="178"/>
      <c r="AH277" s="96"/>
      <c r="AI277" s="179"/>
      <c r="AJ277" s="178"/>
      <c r="AK277" s="178"/>
      <c r="AL277" s="181"/>
      <c r="AM277" s="72"/>
      <c r="AN277" s="178"/>
      <c r="AO277" s="178"/>
      <c r="AP277" s="96"/>
      <c r="AQ277" s="179"/>
      <c r="AR277" s="178"/>
      <c r="AS277" s="178"/>
      <c r="AT277" s="181"/>
      <c r="AU277" s="72"/>
      <c r="AV277" s="178"/>
      <c r="AW277" s="178"/>
      <c r="AX277" s="181"/>
      <c r="AY277" s="72"/>
      <c r="AZ277" s="178"/>
      <c r="BA277" s="178"/>
      <c r="BB277" s="181"/>
      <c r="BC277" s="72"/>
      <c r="BD277" s="178"/>
      <c r="BE277" s="178"/>
      <c r="BF277" s="210"/>
      <c r="BG277" s="72"/>
      <c r="BH277" s="178"/>
      <c r="BI277" s="178"/>
      <c r="BJ277" s="181"/>
      <c r="BK277" s="72"/>
      <c r="BL277" s="178"/>
      <c r="BM277" s="178"/>
      <c r="BN277" s="181"/>
      <c r="BO277" s="72"/>
      <c r="BP277" s="178"/>
      <c r="BQ277" s="178"/>
      <c r="BR277" s="96"/>
      <c r="BS277" s="72"/>
      <c r="BT277" s="178"/>
      <c r="BU277" s="178"/>
      <c r="BV277" s="96"/>
      <c r="BY277" s="125">
        <f t="shared" si="69"/>
        <v>0</v>
      </c>
      <c r="BZ277" s="126">
        <f t="shared" si="70"/>
        <v>0</v>
      </c>
      <c r="CA277" s="126">
        <f t="shared" si="71"/>
        <v>0</v>
      </c>
      <c r="CB277" s="127">
        <f t="shared" si="72"/>
        <v>0</v>
      </c>
    </row>
    <row r="278" spans="1:81" ht="21" customHeight="1" outlineLevel="5" x14ac:dyDescent="0.25">
      <c r="C278" s="10" t="s">
        <v>83</v>
      </c>
      <c r="D278" s="10" t="s">
        <v>84</v>
      </c>
      <c r="E278" s="10" t="s">
        <v>73</v>
      </c>
      <c r="F278" s="10" t="s">
        <v>74</v>
      </c>
      <c r="G278" s="10" t="s">
        <v>361</v>
      </c>
      <c r="H278" s="10" t="s">
        <v>73</v>
      </c>
      <c r="I278" s="10" t="s">
        <v>73</v>
      </c>
      <c r="J278" s="10" t="s">
        <v>73</v>
      </c>
      <c r="K278" s="12" t="s">
        <v>73</v>
      </c>
      <c r="L278" s="10" t="s">
        <v>192</v>
      </c>
      <c r="M278" s="5" t="str">
        <f t="array" ref="M278">Y95</f>
        <v>1ХВС::1.1</v>
      </c>
      <c r="AB278" s="65" t="str">
        <f>AB273&amp;".5"</f>
        <v>3.1.1.3.7.5</v>
      </c>
      <c r="AC278" s="177" t="s">
        <v>362</v>
      </c>
      <c r="AD278" s="51" t="s">
        <v>111</v>
      </c>
      <c r="AE278" s="72"/>
      <c r="AF278" s="178"/>
      <c r="AG278" s="178"/>
      <c r="AH278" s="96"/>
      <c r="AI278" s="179"/>
      <c r="AJ278" s="178"/>
      <c r="AK278" s="178"/>
      <c r="AL278" s="181"/>
      <c r="AM278" s="72"/>
      <c r="AN278" s="178"/>
      <c r="AO278" s="178"/>
      <c r="AP278" s="96"/>
      <c r="AQ278" s="179"/>
      <c r="AR278" s="178"/>
      <c r="AS278" s="178"/>
      <c r="AT278" s="181"/>
      <c r="AU278" s="72"/>
      <c r="AV278" s="178"/>
      <c r="AW278" s="178"/>
      <c r="AX278" s="181"/>
      <c r="AY278" s="72"/>
      <c r="AZ278" s="178"/>
      <c r="BA278" s="178"/>
      <c r="BB278" s="181"/>
      <c r="BC278" s="72"/>
      <c r="BD278" s="178"/>
      <c r="BE278" s="178"/>
      <c r="BF278" s="210"/>
      <c r="BG278" s="72"/>
      <c r="BH278" s="178"/>
      <c r="BI278" s="178"/>
      <c r="BJ278" s="181"/>
      <c r="BK278" s="72"/>
      <c r="BL278" s="178"/>
      <c r="BM278" s="178"/>
      <c r="BN278" s="181"/>
      <c r="BO278" s="72"/>
      <c r="BP278" s="178"/>
      <c r="BQ278" s="178"/>
      <c r="BR278" s="96"/>
      <c r="BS278" s="72"/>
      <c r="BT278" s="178"/>
      <c r="BU278" s="178"/>
      <c r="BV278" s="96"/>
      <c r="BY278" s="125">
        <f t="shared" si="69"/>
        <v>0</v>
      </c>
      <c r="BZ278" s="126">
        <f t="shared" si="70"/>
        <v>0</v>
      </c>
      <c r="CA278" s="126">
        <f t="shared" si="71"/>
        <v>0</v>
      </c>
      <c r="CB278" s="127">
        <f t="shared" si="72"/>
        <v>0</v>
      </c>
    </row>
    <row r="279" spans="1:81" ht="21" customHeight="1" outlineLevel="5" x14ac:dyDescent="0.25">
      <c r="C279" s="10" t="s">
        <v>83</v>
      </c>
      <c r="D279" s="10" t="s">
        <v>84</v>
      </c>
      <c r="E279" s="10" t="s">
        <v>73</v>
      </c>
      <c r="F279" s="10" t="s">
        <v>74</v>
      </c>
      <c r="G279" s="10" t="s">
        <v>363</v>
      </c>
      <c r="H279" s="10" t="s">
        <v>73</v>
      </c>
      <c r="I279" s="10" t="s">
        <v>73</v>
      </c>
      <c r="J279" s="10" t="s">
        <v>73</v>
      </c>
      <c r="K279" s="12" t="s">
        <v>73</v>
      </c>
      <c r="L279" s="10" t="s">
        <v>192</v>
      </c>
      <c r="M279" s="5" t="str">
        <f t="array" ref="M279">Y95</f>
        <v>1ХВС::1.1</v>
      </c>
      <c r="AB279" s="65" t="str">
        <f>AB273&amp;".6"</f>
        <v>3.1.1.3.7.6</v>
      </c>
      <c r="AC279" s="177" t="s">
        <v>364</v>
      </c>
      <c r="AD279" s="51" t="s">
        <v>111</v>
      </c>
      <c r="AE279" s="72"/>
      <c r="AF279" s="178"/>
      <c r="AG279" s="178"/>
      <c r="AH279" s="96"/>
      <c r="AI279" s="179"/>
      <c r="AJ279" s="178"/>
      <c r="AK279" s="178"/>
      <c r="AL279" s="181"/>
      <c r="AM279" s="72"/>
      <c r="AN279" s="178"/>
      <c r="AO279" s="178"/>
      <c r="AP279" s="96"/>
      <c r="AQ279" s="179"/>
      <c r="AR279" s="178"/>
      <c r="AS279" s="178"/>
      <c r="AT279" s="181"/>
      <c r="AU279" s="72"/>
      <c r="AV279" s="178"/>
      <c r="AW279" s="178"/>
      <c r="AX279" s="181"/>
      <c r="AY279" s="72"/>
      <c r="AZ279" s="178"/>
      <c r="BA279" s="178"/>
      <c r="BB279" s="181"/>
      <c r="BC279" s="72"/>
      <c r="BD279" s="178"/>
      <c r="BE279" s="178"/>
      <c r="BF279" s="210"/>
      <c r="BG279" s="72"/>
      <c r="BH279" s="178"/>
      <c r="BI279" s="178"/>
      <c r="BJ279" s="181"/>
      <c r="BK279" s="72"/>
      <c r="BL279" s="178"/>
      <c r="BM279" s="178"/>
      <c r="BN279" s="181"/>
      <c r="BO279" s="72"/>
      <c r="BP279" s="178"/>
      <c r="BQ279" s="178"/>
      <c r="BR279" s="96"/>
      <c r="BS279" s="72"/>
      <c r="BT279" s="178"/>
      <c r="BU279" s="178"/>
      <c r="BV279" s="96"/>
      <c r="BY279" s="125">
        <f t="shared" si="69"/>
        <v>0</v>
      </c>
      <c r="BZ279" s="126">
        <f t="shared" si="70"/>
        <v>0</v>
      </c>
      <c r="CA279" s="126">
        <f t="shared" si="71"/>
        <v>0</v>
      </c>
      <c r="CB279" s="127">
        <f t="shared" si="72"/>
        <v>0</v>
      </c>
    </row>
    <row r="280" spans="1:81" s="214" customFormat="1" ht="21" customHeight="1" outlineLevel="5" x14ac:dyDescent="0.25">
      <c r="A280" s="5"/>
      <c r="B280" s="5"/>
      <c r="C280" s="10" t="s">
        <v>83</v>
      </c>
      <c r="D280" s="10" t="s">
        <v>84</v>
      </c>
      <c r="E280" s="10" t="s">
        <v>73</v>
      </c>
      <c r="F280" s="10" t="s">
        <v>74</v>
      </c>
      <c r="G280" s="10" t="s">
        <v>365</v>
      </c>
      <c r="H280" s="10" t="s">
        <v>73</v>
      </c>
      <c r="I280" s="10" t="s">
        <v>73</v>
      </c>
      <c r="J280" s="10" t="s">
        <v>73</v>
      </c>
      <c r="K280" s="12" t="s">
        <v>73</v>
      </c>
      <c r="L280" s="10" t="s">
        <v>192</v>
      </c>
      <c r="M280" s="5" t="str">
        <f t="array" ref="M280">Y95</f>
        <v>1ХВС::1.1</v>
      </c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65" t="str">
        <f>AB273&amp;".7"</f>
        <v>3.1.1.3.7.7</v>
      </c>
      <c r="AC280" s="177" t="s">
        <v>366</v>
      </c>
      <c r="AD280" s="51" t="s">
        <v>111</v>
      </c>
      <c r="AE280" s="72">
        <f>SUM(AE281:AE303)</f>
        <v>21745.839999999997</v>
      </c>
      <c r="AF280" s="73">
        <f>SUM(AF281:AF303)</f>
        <v>17874.77</v>
      </c>
      <c r="AG280" s="73">
        <f>SUM(AG281:AG303)</f>
        <v>19878.673999999999</v>
      </c>
      <c r="AH280" s="74">
        <v>5876.43</v>
      </c>
      <c r="AI280" s="179">
        <f>SUM(AI281:AI303)</f>
        <v>56.1</v>
      </c>
      <c r="AJ280" s="73">
        <f>SUM(AJ281:AJ303)</f>
        <v>0</v>
      </c>
      <c r="AK280" s="73">
        <f>SUM(AK281:AK303)</f>
        <v>63.576000000000001</v>
      </c>
      <c r="AL280" s="138"/>
      <c r="AM280" s="72">
        <f>SUM(AM281:AM303)</f>
        <v>205.07999999999998</v>
      </c>
      <c r="AN280" s="73">
        <f>SUM(AN281:AN303)</f>
        <v>30.240000000000002</v>
      </c>
      <c r="AO280" s="73">
        <f>SUM(AO281:AO303)</f>
        <v>1904.9999999999998</v>
      </c>
      <c r="AP280" s="74"/>
      <c r="AQ280" s="179">
        <f>SUM(AQ281:AQ303)</f>
        <v>193.24399999999997</v>
      </c>
      <c r="AR280" s="73">
        <f>SUM(AR281:AR303)</f>
        <v>318.95</v>
      </c>
      <c r="AS280" s="73">
        <f>SUM(AS281:AS303)</f>
        <v>676.15</v>
      </c>
      <c r="AT280" s="138"/>
      <c r="AU280" s="72">
        <f>SUM(AU281:AU303)</f>
        <v>22.76</v>
      </c>
      <c r="AV280" s="73">
        <f>SUM(AV281:AV303)</f>
        <v>0</v>
      </c>
      <c r="AW280" s="73">
        <f>SUM(AW281:AW303)</f>
        <v>138.54000000000002</v>
      </c>
      <c r="AX280" s="138"/>
      <c r="AY280" s="72">
        <f>SUM(AY281:AY303)</f>
        <v>214.59899999999999</v>
      </c>
      <c r="AZ280" s="73">
        <f>SUM(AZ281:AZ303)</f>
        <v>0</v>
      </c>
      <c r="BA280" s="73">
        <f>SUM(BA281:BA303)</f>
        <v>298.09100000000001</v>
      </c>
      <c r="BB280" s="138"/>
      <c r="BC280" s="72">
        <f>SUM(BC281:BC303)</f>
        <v>168.07600000000002</v>
      </c>
      <c r="BD280" s="73">
        <f>SUM(BD281:BD303)</f>
        <v>0</v>
      </c>
      <c r="BE280" s="73">
        <f>SUM(BE281:BE303)</f>
        <v>250.28899999999999</v>
      </c>
      <c r="BF280" s="774"/>
      <c r="BG280" s="72">
        <f t="shared" ref="BG280:BM280" si="74">SUM(BG281:BG303)</f>
        <v>395.94299999999998</v>
      </c>
      <c r="BH280" s="73">
        <f t="shared" si="74"/>
        <v>39.51</v>
      </c>
      <c r="BI280" s="73">
        <f t="shared" si="74"/>
        <v>438.44100000000003</v>
      </c>
      <c r="BJ280" s="138">
        <f t="shared" si="74"/>
        <v>41.109364800000002</v>
      </c>
      <c r="BK280" s="72">
        <f t="shared" si="74"/>
        <v>223.58999999999997</v>
      </c>
      <c r="BL280" s="73">
        <f t="shared" si="74"/>
        <v>0</v>
      </c>
      <c r="BM280" s="73">
        <f t="shared" si="74"/>
        <v>304.14999999999998</v>
      </c>
      <c r="BN280" s="138"/>
      <c r="BO280" s="72">
        <f t="shared" ref="BO280:BU280" si="75">SUM(BO281:BO303)</f>
        <v>14.87</v>
      </c>
      <c r="BP280" s="73">
        <f t="shared" si="75"/>
        <v>0</v>
      </c>
      <c r="BQ280" s="73">
        <f t="shared" si="75"/>
        <v>118.99000000000002</v>
      </c>
      <c r="BR280" s="74">
        <f t="shared" si="75"/>
        <v>0</v>
      </c>
      <c r="BS280" s="72">
        <f t="shared" si="75"/>
        <v>209.61</v>
      </c>
      <c r="BT280" s="73">
        <f t="shared" si="75"/>
        <v>125.08</v>
      </c>
      <c r="BU280" s="73">
        <f t="shared" si="75"/>
        <v>311.70999999999992</v>
      </c>
      <c r="BV280" s="74"/>
      <c r="BW280" s="6"/>
      <c r="BX280" s="5"/>
      <c r="BY280" s="125">
        <f t="shared" si="69"/>
        <v>23449.711999999992</v>
      </c>
      <c r="BZ280" s="126">
        <f t="shared" si="70"/>
        <v>18388.550000000003</v>
      </c>
      <c r="CA280" s="126">
        <f t="shared" si="71"/>
        <v>24383.611000000004</v>
      </c>
      <c r="CB280" s="127">
        <f t="shared" si="72"/>
        <v>5917.5393647999999</v>
      </c>
      <c r="CC280" s="739"/>
    </row>
    <row r="281" spans="1:81" s="230" customFormat="1" ht="43.9" customHeight="1" outlineLevel="6" x14ac:dyDescent="0.25">
      <c r="A281" s="215"/>
      <c r="B281" s="215"/>
      <c r="C281" s="216"/>
      <c r="D281" s="216"/>
      <c r="E281" s="216"/>
      <c r="F281" s="216"/>
      <c r="G281" s="216"/>
      <c r="H281" s="216"/>
      <c r="I281" s="216"/>
      <c r="J281" s="216"/>
      <c r="K281" s="217"/>
      <c r="L281" s="216"/>
      <c r="M281" s="215"/>
      <c r="N281" s="215"/>
      <c r="O281" s="215"/>
      <c r="P281" s="215"/>
      <c r="Q281" s="215"/>
      <c r="R281" s="215"/>
      <c r="S281" s="215"/>
      <c r="T281" s="215"/>
      <c r="U281" s="215"/>
      <c r="V281" s="215"/>
      <c r="W281" s="215"/>
      <c r="X281" s="215"/>
      <c r="Y281" s="215"/>
      <c r="Z281" s="215"/>
      <c r="AA281" s="215"/>
      <c r="AB281" s="218"/>
      <c r="AC281" s="219" t="s">
        <v>367</v>
      </c>
      <c r="AD281" s="259" t="s">
        <v>111</v>
      </c>
      <c r="AE281" s="260">
        <v>2398.85</v>
      </c>
      <c r="AF281" s="225">
        <v>2300</v>
      </c>
      <c r="AG281" s="772">
        <v>1025.2</v>
      </c>
      <c r="AH281" s="261">
        <v>2300</v>
      </c>
      <c r="AI281" s="228"/>
      <c r="AJ281" s="225"/>
      <c r="AK281" s="225"/>
      <c r="AL281" s="227"/>
      <c r="AM281" s="224"/>
      <c r="AN281" s="225"/>
      <c r="AO281" s="225">
        <v>551.27</v>
      </c>
      <c r="AP281" s="226"/>
      <c r="AQ281" s="228"/>
      <c r="AR281" s="225">
        <v>31.87</v>
      </c>
      <c r="AS281" s="225">
        <v>275.64</v>
      </c>
      <c r="AT281" s="227"/>
      <c r="AU281" s="224">
        <v>1</v>
      </c>
      <c r="AV281" s="225"/>
      <c r="AW281" s="225">
        <f>1.1+20.53+28.66</f>
        <v>50.290000000000006</v>
      </c>
      <c r="AX281" s="227"/>
      <c r="AY281" s="224"/>
      <c r="AZ281" s="225"/>
      <c r="BA281" s="225"/>
      <c r="BB281" s="227"/>
      <c r="BC281" s="224">
        <f>10.677+52.467</f>
        <v>63.143999999999998</v>
      </c>
      <c r="BD281" s="225"/>
      <c r="BE281" s="225">
        <f>82.689+46.735</f>
        <v>129.42399999999998</v>
      </c>
      <c r="BF281" s="236"/>
      <c r="BG281" s="224">
        <f>65+124.435</f>
        <v>189.435</v>
      </c>
      <c r="BH281" s="225"/>
      <c r="BI281" s="225">
        <f>27.563+119.107</f>
        <v>146.66999999999999</v>
      </c>
      <c r="BJ281" s="227"/>
      <c r="BK281" s="224"/>
      <c r="BL281" s="225"/>
      <c r="BM281" s="225"/>
      <c r="BN281" s="227"/>
      <c r="BO281" s="240"/>
      <c r="BP281" s="238"/>
      <c r="BQ281" s="238">
        <v>83.39</v>
      </c>
      <c r="BR281" s="241"/>
      <c r="BS281" s="240">
        <v>70.44</v>
      </c>
      <c r="BT281" s="238">
        <v>30</v>
      </c>
      <c r="BU281" s="238">
        <v>78.16</v>
      </c>
      <c r="BV281" s="241"/>
      <c r="BW281" s="229"/>
      <c r="BX281" s="215"/>
      <c r="BY281" s="125">
        <f t="shared" si="69"/>
        <v>2722.8689999999997</v>
      </c>
      <c r="BZ281" s="126">
        <f t="shared" si="70"/>
        <v>2361.87</v>
      </c>
      <c r="CA281" s="126">
        <f t="shared" si="71"/>
        <v>2340.0439999999999</v>
      </c>
      <c r="CB281" s="127">
        <f t="shared" si="72"/>
        <v>2300</v>
      </c>
      <c r="CC281" s="768"/>
    </row>
    <row r="282" spans="1:81" s="230" customFormat="1" ht="16.7" customHeight="1" outlineLevel="6" x14ac:dyDescent="0.25">
      <c r="A282" s="215"/>
      <c r="B282" s="215"/>
      <c r="C282" s="216"/>
      <c r="D282" s="216"/>
      <c r="E282" s="216"/>
      <c r="F282" s="216"/>
      <c r="G282" s="216"/>
      <c r="H282" s="216"/>
      <c r="I282" s="216"/>
      <c r="J282" s="216"/>
      <c r="K282" s="217"/>
      <c r="L282" s="216"/>
      <c r="M282" s="215"/>
      <c r="N282" s="215"/>
      <c r="O282" s="215"/>
      <c r="P282" s="215"/>
      <c r="Q282" s="215"/>
      <c r="R282" s="215"/>
      <c r="S282" s="215"/>
      <c r="T282" s="215"/>
      <c r="U282" s="215"/>
      <c r="V282" s="215"/>
      <c r="W282" s="215"/>
      <c r="X282" s="215"/>
      <c r="Y282" s="215"/>
      <c r="Z282" s="215"/>
      <c r="AA282" s="215"/>
      <c r="AB282" s="218"/>
      <c r="AC282" s="219" t="s">
        <v>368</v>
      </c>
      <c r="AD282" s="259" t="s">
        <v>111</v>
      </c>
      <c r="AE282" s="260">
        <v>2603.1</v>
      </c>
      <c r="AF282" s="225">
        <v>1250</v>
      </c>
      <c r="AG282" s="772">
        <v>1302.2</v>
      </c>
      <c r="AH282" s="261">
        <v>1250</v>
      </c>
      <c r="AI282" s="228"/>
      <c r="AJ282" s="225"/>
      <c r="AK282" s="225"/>
      <c r="AL282" s="227"/>
      <c r="AM282" s="224">
        <v>26.11</v>
      </c>
      <c r="AN282" s="225"/>
      <c r="AO282" s="225">
        <v>239.91</v>
      </c>
      <c r="AP282" s="226"/>
      <c r="AQ282" s="228">
        <v>4.4539999999999997</v>
      </c>
      <c r="AR282" s="225">
        <v>33.86</v>
      </c>
      <c r="AS282" s="225">
        <v>110.64</v>
      </c>
      <c r="AT282" s="227"/>
      <c r="AU282" s="224">
        <v>1.06</v>
      </c>
      <c r="AV282" s="225"/>
      <c r="AW282" s="225">
        <v>15.17</v>
      </c>
      <c r="AX282" s="227"/>
      <c r="AY282" s="224">
        <v>10.189</v>
      </c>
      <c r="AZ282" s="225"/>
      <c r="BA282" s="225">
        <v>87.39</v>
      </c>
      <c r="BB282" s="227"/>
      <c r="BC282" s="224">
        <v>20.16</v>
      </c>
      <c r="BD282" s="225"/>
      <c r="BE282" s="225">
        <v>27.754000000000001</v>
      </c>
      <c r="BF282" s="236"/>
      <c r="BG282" s="224">
        <v>78.844999999999999</v>
      </c>
      <c r="BH282" s="225"/>
      <c r="BI282" s="225">
        <v>158.91999999999999</v>
      </c>
      <c r="BJ282" s="227"/>
      <c r="BK282" s="224">
        <v>109.81</v>
      </c>
      <c r="BL282" s="225"/>
      <c r="BM282" s="225">
        <v>118.77</v>
      </c>
      <c r="BN282" s="227"/>
      <c r="BO282" s="240">
        <v>0.25</v>
      </c>
      <c r="BP282" s="238"/>
      <c r="BQ282" s="238">
        <v>1.68</v>
      </c>
      <c r="BR282" s="241"/>
      <c r="BS282" s="240">
        <v>43.17</v>
      </c>
      <c r="BT282" s="238">
        <v>30</v>
      </c>
      <c r="BU282" s="238">
        <v>39.229999999999997</v>
      </c>
      <c r="BV282" s="241"/>
      <c r="BW282" s="229"/>
      <c r="BX282" s="215"/>
      <c r="BY282" s="125">
        <f t="shared" si="69"/>
        <v>2897.1479999999997</v>
      </c>
      <c r="BZ282" s="126">
        <f t="shared" si="70"/>
        <v>1313.86</v>
      </c>
      <c r="CA282" s="126">
        <f t="shared" si="71"/>
        <v>2101.6640000000002</v>
      </c>
      <c r="CB282" s="127">
        <f t="shared" si="72"/>
        <v>1250</v>
      </c>
      <c r="CC282" s="768"/>
    </row>
    <row r="283" spans="1:81" s="230" customFormat="1" ht="16.7" customHeight="1" outlineLevel="6" x14ac:dyDescent="0.25">
      <c r="A283" s="215"/>
      <c r="B283" s="215"/>
      <c r="C283" s="216"/>
      <c r="D283" s="216"/>
      <c r="E283" s="216"/>
      <c r="F283" s="216"/>
      <c r="G283" s="216"/>
      <c r="H283" s="216"/>
      <c r="I283" s="216"/>
      <c r="J283" s="216"/>
      <c r="K283" s="217"/>
      <c r="L283" s="216"/>
      <c r="M283" s="215"/>
      <c r="N283" s="215"/>
      <c r="O283" s="215"/>
      <c r="P283" s="215"/>
      <c r="Q283" s="215"/>
      <c r="R283" s="215"/>
      <c r="S283" s="215"/>
      <c r="T283" s="215"/>
      <c r="U283" s="215"/>
      <c r="V283" s="215"/>
      <c r="W283" s="215"/>
      <c r="X283" s="215"/>
      <c r="Y283" s="215"/>
      <c r="Z283" s="215"/>
      <c r="AA283" s="215"/>
      <c r="AB283" s="218"/>
      <c r="AC283" s="219" t="s">
        <v>369</v>
      </c>
      <c r="AD283" s="259" t="s">
        <v>111</v>
      </c>
      <c r="AE283" s="260">
        <v>1298.8399999999999</v>
      </c>
      <c r="AF283" s="225">
        <v>1200</v>
      </c>
      <c r="AG283" s="772">
        <v>1585.73</v>
      </c>
      <c r="AH283" s="261">
        <v>1200</v>
      </c>
      <c r="AI283" s="228"/>
      <c r="AJ283" s="225"/>
      <c r="AK283" s="225"/>
      <c r="AL283" s="227"/>
      <c r="AM283" s="224"/>
      <c r="AN283" s="225">
        <v>19.440000000000001</v>
      </c>
      <c r="AO283" s="225"/>
      <c r="AP283" s="226"/>
      <c r="AQ283" s="228"/>
      <c r="AR283" s="225"/>
      <c r="AS283" s="225"/>
      <c r="AT283" s="227"/>
      <c r="AU283" s="224"/>
      <c r="AV283" s="225"/>
      <c r="AW283" s="225"/>
      <c r="AX283" s="227"/>
      <c r="AY283" s="224"/>
      <c r="AZ283" s="225"/>
      <c r="BA283" s="225"/>
      <c r="BB283" s="227"/>
      <c r="BC283" s="224"/>
      <c r="BD283" s="225"/>
      <c r="BE283" s="225"/>
      <c r="BF283" s="236"/>
      <c r="BG283" s="224"/>
      <c r="BH283" s="225"/>
      <c r="BI283" s="225"/>
      <c r="BJ283" s="227"/>
      <c r="BK283" s="224"/>
      <c r="BL283" s="225"/>
      <c r="BM283" s="225"/>
      <c r="BN283" s="227"/>
      <c r="BO283" s="224"/>
      <c r="BP283" s="225"/>
      <c r="BQ283" s="225"/>
      <c r="BR283" s="226"/>
      <c r="BS283" s="224"/>
      <c r="BT283" s="225"/>
      <c r="BU283" s="225"/>
      <c r="BV283" s="226"/>
      <c r="BW283" s="229"/>
      <c r="BX283" s="215"/>
      <c r="BY283" s="125">
        <f t="shared" si="69"/>
        <v>1298.8399999999999</v>
      </c>
      <c r="BZ283" s="126">
        <f t="shared" si="70"/>
        <v>1219.44</v>
      </c>
      <c r="CA283" s="126">
        <f t="shared" si="71"/>
        <v>1585.73</v>
      </c>
      <c r="CB283" s="127">
        <f t="shared" si="72"/>
        <v>1200</v>
      </c>
      <c r="CC283" s="768"/>
    </row>
    <row r="284" spans="1:81" s="230" customFormat="1" ht="16.7" customHeight="1" outlineLevel="6" x14ac:dyDescent="0.25">
      <c r="A284" s="215"/>
      <c r="B284" s="215"/>
      <c r="C284" s="216"/>
      <c r="D284" s="216"/>
      <c r="E284" s="216"/>
      <c r="F284" s="216"/>
      <c r="G284" s="216"/>
      <c r="H284" s="216"/>
      <c r="I284" s="216"/>
      <c r="J284" s="216"/>
      <c r="K284" s="217"/>
      <c r="L284" s="216"/>
      <c r="M284" s="215"/>
      <c r="N284" s="215"/>
      <c r="O284" s="215"/>
      <c r="P284" s="215"/>
      <c r="Q284" s="215"/>
      <c r="R284" s="215"/>
      <c r="S284" s="215"/>
      <c r="T284" s="215"/>
      <c r="U284" s="215"/>
      <c r="V284" s="215"/>
      <c r="W284" s="215"/>
      <c r="X284" s="215"/>
      <c r="Y284" s="215"/>
      <c r="Z284" s="215"/>
      <c r="AA284" s="215"/>
      <c r="AB284" s="218"/>
      <c r="AC284" s="219" t="s">
        <v>370</v>
      </c>
      <c r="AD284" s="259" t="s">
        <v>111</v>
      </c>
      <c r="AE284" s="260">
        <v>19.89</v>
      </c>
      <c r="AF284" s="225">
        <v>21</v>
      </c>
      <c r="AG284" s="772">
        <v>21.89</v>
      </c>
      <c r="AH284" s="261">
        <v>21</v>
      </c>
      <c r="AI284" s="228"/>
      <c r="AJ284" s="225"/>
      <c r="AK284" s="225"/>
      <c r="AL284" s="227"/>
      <c r="AM284" s="224"/>
      <c r="AN284" s="225"/>
      <c r="AO284" s="225"/>
      <c r="AP284" s="226"/>
      <c r="AQ284" s="228"/>
      <c r="AR284" s="225"/>
      <c r="AS284" s="225"/>
      <c r="AT284" s="227"/>
      <c r="AU284" s="224"/>
      <c r="AV284" s="225"/>
      <c r="AW284" s="225"/>
      <c r="AX284" s="227"/>
      <c r="AY284" s="224">
        <v>30.9</v>
      </c>
      <c r="AZ284" s="225"/>
      <c r="BA284" s="225">
        <v>22.11</v>
      </c>
      <c r="BB284" s="227"/>
      <c r="BC284" s="224">
        <v>3.3</v>
      </c>
      <c r="BD284" s="225"/>
      <c r="BE284" s="225">
        <v>3.6309999999999998</v>
      </c>
      <c r="BF284" s="236"/>
      <c r="BG284" s="224">
        <v>7.6</v>
      </c>
      <c r="BH284" s="225"/>
      <c r="BI284" s="225">
        <v>8.3620000000000001</v>
      </c>
      <c r="BJ284" s="227"/>
      <c r="BK284" s="224"/>
      <c r="BL284" s="225"/>
      <c r="BM284" s="225"/>
      <c r="BN284" s="227"/>
      <c r="BO284" s="224"/>
      <c r="BP284" s="225"/>
      <c r="BQ284" s="225"/>
      <c r="BR284" s="226"/>
      <c r="BS284" s="224"/>
      <c r="BT284" s="225"/>
      <c r="BU284" s="225"/>
      <c r="BV284" s="226"/>
      <c r="BW284" s="229"/>
      <c r="BX284" s="215"/>
      <c r="BY284" s="125">
        <f t="shared" si="69"/>
        <v>61.69</v>
      </c>
      <c r="BZ284" s="126">
        <f t="shared" si="70"/>
        <v>21</v>
      </c>
      <c r="CA284" s="126">
        <f t="shared" si="71"/>
        <v>55.993000000000002</v>
      </c>
      <c r="CB284" s="127">
        <f t="shared" si="72"/>
        <v>21</v>
      </c>
      <c r="CC284" s="768"/>
    </row>
    <row r="285" spans="1:81" s="230" customFormat="1" ht="16.7" customHeight="1" outlineLevel="6" x14ac:dyDescent="0.25">
      <c r="A285" s="215"/>
      <c r="B285" s="215"/>
      <c r="C285" s="216"/>
      <c r="D285" s="216"/>
      <c r="E285" s="216"/>
      <c r="F285" s="216"/>
      <c r="G285" s="216"/>
      <c r="H285" s="216"/>
      <c r="I285" s="216"/>
      <c r="J285" s="216"/>
      <c r="K285" s="217"/>
      <c r="L285" s="216"/>
      <c r="M285" s="215"/>
      <c r="N285" s="215"/>
      <c r="O285" s="215"/>
      <c r="P285" s="215"/>
      <c r="Q285" s="215"/>
      <c r="R285" s="215"/>
      <c r="S285" s="215"/>
      <c r="T285" s="215"/>
      <c r="U285" s="215"/>
      <c r="V285" s="215"/>
      <c r="W285" s="215"/>
      <c r="X285" s="215"/>
      <c r="Y285" s="215"/>
      <c r="Z285" s="215"/>
      <c r="AA285" s="215"/>
      <c r="AB285" s="218"/>
      <c r="AC285" s="219" t="s">
        <v>371</v>
      </c>
      <c r="AD285" s="259" t="s">
        <v>111</v>
      </c>
      <c r="AE285" s="260">
        <v>3182.71</v>
      </c>
      <c r="AF285" s="225">
        <v>3345</v>
      </c>
      <c r="AG285" s="772">
        <v>3502</v>
      </c>
      <c r="AH285" s="261"/>
      <c r="AI285" s="228"/>
      <c r="AJ285" s="225"/>
      <c r="AK285" s="225"/>
      <c r="AL285" s="227"/>
      <c r="AM285" s="224"/>
      <c r="AN285" s="225"/>
      <c r="AO285" s="225"/>
      <c r="AP285" s="226"/>
      <c r="AQ285" s="228"/>
      <c r="AR285" s="225">
        <v>44.31</v>
      </c>
      <c r="AS285" s="225"/>
      <c r="AT285" s="227"/>
      <c r="AU285" s="224"/>
      <c r="AV285" s="225"/>
      <c r="AW285" s="225"/>
      <c r="AX285" s="227"/>
      <c r="AY285" s="224"/>
      <c r="AZ285" s="225"/>
      <c r="BA285" s="225"/>
      <c r="BB285" s="227"/>
      <c r="BC285" s="224"/>
      <c r="BD285" s="225"/>
      <c r="BE285" s="225"/>
      <c r="BF285" s="236"/>
      <c r="BG285" s="224"/>
      <c r="BH285" s="225"/>
      <c r="BI285" s="225"/>
      <c r="BJ285" s="227"/>
      <c r="BK285" s="224">
        <v>0.12</v>
      </c>
      <c r="BL285" s="225"/>
      <c r="BM285" s="225">
        <v>35</v>
      </c>
      <c r="BN285" s="227"/>
      <c r="BO285" s="224"/>
      <c r="BP285" s="225"/>
      <c r="BQ285" s="225"/>
      <c r="BR285" s="226"/>
      <c r="BS285" s="224"/>
      <c r="BT285" s="225"/>
      <c r="BU285" s="225"/>
      <c r="BV285" s="226"/>
      <c r="BW285" s="229"/>
      <c r="BX285" s="215"/>
      <c r="BY285" s="125">
        <f t="shared" si="69"/>
        <v>3182.83</v>
      </c>
      <c r="BZ285" s="126">
        <f t="shared" si="70"/>
        <v>3389.31</v>
      </c>
      <c r="CA285" s="126">
        <f t="shared" si="71"/>
        <v>3537</v>
      </c>
      <c r="CB285" s="127">
        <f t="shared" si="72"/>
        <v>0</v>
      </c>
      <c r="CC285" s="768"/>
    </row>
    <row r="286" spans="1:81" s="230" customFormat="1" ht="16.7" customHeight="1" outlineLevel="6" x14ac:dyDescent="0.25">
      <c r="A286" s="215"/>
      <c r="B286" s="215"/>
      <c r="C286" s="216"/>
      <c r="D286" s="216"/>
      <c r="E286" s="216"/>
      <c r="F286" s="216"/>
      <c r="G286" s="216"/>
      <c r="H286" s="216"/>
      <c r="I286" s="216"/>
      <c r="J286" s="216"/>
      <c r="K286" s="217"/>
      <c r="L286" s="216"/>
      <c r="M286" s="215"/>
      <c r="N286" s="215"/>
      <c r="O286" s="215"/>
      <c r="P286" s="215"/>
      <c r="Q286" s="215"/>
      <c r="R286" s="215"/>
      <c r="S286" s="215"/>
      <c r="T286" s="215"/>
      <c r="U286" s="215"/>
      <c r="V286" s="215"/>
      <c r="W286" s="215"/>
      <c r="X286" s="215"/>
      <c r="Y286" s="215"/>
      <c r="Z286" s="215"/>
      <c r="AA286" s="215"/>
      <c r="AB286" s="218"/>
      <c r="AC286" s="219" t="s">
        <v>372</v>
      </c>
      <c r="AD286" s="259" t="s">
        <v>111</v>
      </c>
      <c r="AE286" s="260">
        <v>98.76</v>
      </c>
      <c r="AF286" s="225">
        <v>99.75</v>
      </c>
      <c r="AG286" s="772">
        <v>108.67</v>
      </c>
      <c r="AH286" s="261">
        <v>99.75</v>
      </c>
      <c r="AI286" s="228"/>
      <c r="AJ286" s="225"/>
      <c r="AK286" s="225"/>
      <c r="AL286" s="227"/>
      <c r="AM286" s="224"/>
      <c r="AN286" s="225"/>
      <c r="AO286" s="225"/>
      <c r="AP286" s="226"/>
      <c r="AQ286" s="228"/>
      <c r="AR286" s="225"/>
      <c r="AS286" s="225"/>
      <c r="AT286" s="227"/>
      <c r="AU286" s="224"/>
      <c r="AV286" s="225"/>
      <c r="AW286" s="225"/>
      <c r="AX286" s="227"/>
      <c r="AY286" s="224"/>
      <c r="AZ286" s="225"/>
      <c r="BA286" s="225"/>
      <c r="BB286" s="227"/>
      <c r="BC286" s="224"/>
      <c r="BD286" s="225"/>
      <c r="BE286" s="225"/>
      <c r="BF286" s="236"/>
      <c r="BG286" s="224"/>
      <c r="BH286" s="225"/>
      <c r="BI286" s="225"/>
      <c r="BJ286" s="227"/>
      <c r="BK286" s="224"/>
      <c r="BL286" s="225"/>
      <c r="BM286" s="225"/>
      <c r="BN286" s="227"/>
      <c r="BO286" s="224"/>
      <c r="BP286" s="225"/>
      <c r="BQ286" s="225"/>
      <c r="BR286" s="226"/>
      <c r="BS286" s="224"/>
      <c r="BT286" s="225"/>
      <c r="BU286" s="225"/>
      <c r="BV286" s="226"/>
      <c r="BW286" s="229"/>
      <c r="BX286" s="215"/>
      <c r="BY286" s="125">
        <f t="shared" si="69"/>
        <v>98.76</v>
      </c>
      <c r="BZ286" s="126">
        <f t="shared" si="70"/>
        <v>99.75</v>
      </c>
      <c r="CA286" s="126">
        <f t="shared" si="71"/>
        <v>108.67</v>
      </c>
      <c r="CB286" s="127">
        <f t="shared" si="72"/>
        <v>99.75</v>
      </c>
      <c r="CC286" s="768"/>
    </row>
    <row r="287" spans="1:81" s="230" customFormat="1" ht="16.7" customHeight="1" outlineLevel="6" x14ac:dyDescent="0.25">
      <c r="A287" s="215"/>
      <c r="B287" s="215"/>
      <c r="C287" s="216"/>
      <c r="D287" s="216"/>
      <c r="E287" s="216"/>
      <c r="F287" s="216"/>
      <c r="G287" s="216"/>
      <c r="H287" s="216"/>
      <c r="I287" s="216"/>
      <c r="J287" s="216"/>
      <c r="K287" s="217"/>
      <c r="L287" s="216"/>
      <c r="M287" s="215"/>
      <c r="N287" s="215"/>
      <c r="O287" s="215"/>
      <c r="P287" s="215"/>
      <c r="Q287" s="215"/>
      <c r="R287" s="215"/>
      <c r="S287" s="215"/>
      <c r="T287" s="215"/>
      <c r="U287" s="215"/>
      <c r="V287" s="215"/>
      <c r="W287" s="215"/>
      <c r="X287" s="215"/>
      <c r="Y287" s="215"/>
      <c r="Z287" s="215"/>
      <c r="AA287" s="215"/>
      <c r="AB287" s="218"/>
      <c r="AC287" s="219" t="s">
        <v>373</v>
      </c>
      <c r="AD287" s="259" t="s">
        <v>111</v>
      </c>
      <c r="AE287" s="260">
        <v>27.8</v>
      </c>
      <c r="AF287" s="225">
        <v>28.9</v>
      </c>
      <c r="AG287" s="772">
        <v>30.59</v>
      </c>
      <c r="AH287" s="261">
        <v>28.9</v>
      </c>
      <c r="AI287" s="228"/>
      <c r="AJ287" s="225"/>
      <c r="AK287" s="225"/>
      <c r="AL287" s="227"/>
      <c r="AM287" s="224"/>
      <c r="AN287" s="225"/>
      <c r="AO287" s="225"/>
      <c r="AP287" s="226"/>
      <c r="AQ287" s="228"/>
      <c r="AR287" s="225"/>
      <c r="AS287" s="225"/>
      <c r="AT287" s="227"/>
      <c r="AU287" s="224"/>
      <c r="AV287" s="225"/>
      <c r="AW287" s="225"/>
      <c r="AX287" s="227"/>
      <c r="AY287" s="224"/>
      <c r="AZ287" s="225"/>
      <c r="BA287" s="225"/>
      <c r="BB287" s="227"/>
      <c r="BC287" s="224"/>
      <c r="BD287" s="225"/>
      <c r="BE287" s="225"/>
      <c r="BF287" s="236"/>
      <c r="BG287" s="224"/>
      <c r="BH287" s="225"/>
      <c r="BI287" s="225"/>
      <c r="BJ287" s="227"/>
      <c r="BK287" s="224"/>
      <c r="BL287" s="225"/>
      <c r="BM287" s="225"/>
      <c r="BN287" s="227"/>
      <c r="BO287" s="224"/>
      <c r="BP287" s="225"/>
      <c r="BQ287" s="225"/>
      <c r="BR287" s="226"/>
      <c r="BS287" s="224"/>
      <c r="BT287" s="225"/>
      <c r="BU287" s="225"/>
      <c r="BV287" s="226"/>
      <c r="BW287" s="229"/>
      <c r="BX287" s="215"/>
      <c r="BY287" s="125">
        <f t="shared" si="69"/>
        <v>27.8</v>
      </c>
      <c r="BZ287" s="126">
        <f t="shared" si="70"/>
        <v>28.9</v>
      </c>
      <c r="CA287" s="126">
        <f t="shared" si="71"/>
        <v>30.59</v>
      </c>
      <c r="CB287" s="127">
        <f t="shared" si="72"/>
        <v>28.9</v>
      </c>
      <c r="CC287" s="768"/>
    </row>
    <row r="288" spans="1:81" s="230" customFormat="1" ht="16.7" customHeight="1" outlineLevel="6" x14ac:dyDescent="0.25">
      <c r="A288" s="215"/>
      <c r="B288" s="215"/>
      <c r="C288" s="216"/>
      <c r="D288" s="216"/>
      <c r="E288" s="216"/>
      <c r="F288" s="216"/>
      <c r="G288" s="216"/>
      <c r="H288" s="216"/>
      <c r="I288" s="216"/>
      <c r="J288" s="216"/>
      <c r="K288" s="217"/>
      <c r="L288" s="216"/>
      <c r="M288" s="215"/>
      <c r="N288" s="215"/>
      <c r="O288" s="215"/>
      <c r="P288" s="215"/>
      <c r="Q288" s="215"/>
      <c r="R288" s="215"/>
      <c r="S288" s="215"/>
      <c r="T288" s="215"/>
      <c r="U288" s="215"/>
      <c r="V288" s="215"/>
      <c r="W288" s="215"/>
      <c r="X288" s="215"/>
      <c r="Y288" s="215"/>
      <c r="Z288" s="215"/>
      <c r="AA288" s="215"/>
      <c r="AB288" s="218"/>
      <c r="AC288" s="219" t="s">
        <v>374</v>
      </c>
      <c r="AD288" s="259" t="s">
        <v>111</v>
      </c>
      <c r="AE288" s="260">
        <v>312.77</v>
      </c>
      <c r="AF288" s="225">
        <v>315.68</v>
      </c>
      <c r="AG288" s="772">
        <v>336.12</v>
      </c>
      <c r="AH288" s="261">
        <v>315.68</v>
      </c>
      <c r="AI288" s="228"/>
      <c r="AJ288" s="225"/>
      <c r="AK288" s="225"/>
      <c r="AL288" s="227"/>
      <c r="AM288" s="224"/>
      <c r="AN288" s="225"/>
      <c r="AO288" s="225"/>
      <c r="AP288" s="226"/>
      <c r="AQ288" s="228"/>
      <c r="AR288" s="225"/>
      <c r="AS288" s="225"/>
      <c r="AT288" s="227"/>
      <c r="AU288" s="224"/>
      <c r="AV288" s="225"/>
      <c r="AW288" s="225"/>
      <c r="AX288" s="227"/>
      <c r="AY288" s="224"/>
      <c r="AZ288" s="225"/>
      <c r="BA288" s="225"/>
      <c r="BB288" s="227"/>
      <c r="BC288" s="224"/>
      <c r="BD288" s="225"/>
      <c r="BE288" s="225"/>
      <c r="BF288" s="236"/>
      <c r="BG288" s="224"/>
      <c r="BH288" s="225"/>
      <c r="BI288" s="225"/>
      <c r="BJ288" s="227"/>
      <c r="BK288" s="224"/>
      <c r="BL288" s="225"/>
      <c r="BM288" s="225"/>
      <c r="BN288" s="227"/>
      <c r="BO288" s="224"/>
      <c r="BP288" s="225"/>
      <c r="BQ288" s="225"/>
      <c r="BR288" s="226"/>
      <c r="BS288" s="224"/>
      <c r="BT288" s="225"/>
      <c r="BU288" s="225"/>
      <c r="BV288" s="226"/>
      <c r="BW288" s="229"/>
      <c r="BX288" s="215"/>
      <c r="BY288" s="125">
        <f t="shared" si="69"/>
        <v>312.77</v>
      </c>
      <c r="BZ288" s="126">
        <f t="shared" si="70"/>
        <v>315.68</v>
      </c>
      <c r="CA288" s="126">
        <f t="shared" si="71"/>
        <v>336.12</v>
      </c>
      <c r="CB288" s="127">
        <f t="shared" si="72"/>
        <v>315.68</v>
      </c>
      <c r="CC288" s="768"/>
    </row>
    <row r="289" spans="1:82" s="230" customFormat="1" ht="16.7" customHeight="1" outlineLevel="6" x14ac:dyDescent="0.25">
      <c r="A289" s="215"/>
      <c r="B289" s="215"/>
      <c r="C289" s="216"/>
      <c r="D289" s="216"/>
      <c r="E289" s="216"/>
      <c r="F289" s="216"/>
      <c r="G289" s="216"/>
      <c r="H289" s="216"/>
      <c r="I289" s="216"/>
      <c r="J289" s="216"/>
      <c r="K289" s="217"/>
      <c r="L289" s="216"/>
      <c r="M289" s="215"/>
      <c r="N289" s="215"/>
      <c r="O289" s="215"/>
      <c r="P289" s="215"/>
      <c r="Q289" s="215"/>
      <c r="R289" s="215"/>
      <c r="S289" s="215"/>
      <c r="T289" s="215"/>
      <c r="U289" s="215"/>
      <c r="V289" s="215"/>
      <c r="W289" s="215"/>
      <c r="X289" s="215"/>
      <c r="Y289" s="215"/>
      <c r="Z289" s="215"/>
      <c r="AA289" s="215"/>
      <c r="AB289" s="218"/>
      <c r="AC289" s="219" t="s">
        <v>375</v>
      </c>
      <c r="AD289" s="259" t="s">
        <v>111</v>
      </c>
      <c r="AE289" s="260">
        <v>1210.1300000000001</v>
      </c>
      <c r="AF289" s="225">
        <v>1200</v>
      </c>
      <c r="AG289" s="772">
        <v>1210.1300000000001</v>
      </c>
      <c r="AH289" s="261">
        <v>661.1</v>
      </c>
      <c r="AI289" s="228"/>
      <c r="AJ289" s="225"/>
      <c r="AK289" s="225"/>
      <c r="AL289" s="227"/>
      <c r="AM289" s="224"/>
      <c r="AN289" s="225"/>
      <c r="AO289" s="225"/>
      <c r="AP289" s="226"/>
      <c r="AQ289" s="228"/>
      <c r="AR289" s="225"/>
      <c r="AS289" s="225"/>
      <c r="AT289" s="227"/>
      <c r="AU289" s="224"/>
      <c r="AV289" s="225"/>
      <c r="AW289" s="225"/>
      <c r="AX289" s="227"/>
      <c r="AY289" s="224"/>
      <c r="AZ289" s="225"/>
      <c r="BA289" s="225"/>
      <c r="BB289" s="227"/>
      <c r="BC289" s="224"/>
      <c r="BD289" s="225"/>
      <c r="BE289" s="225"/>
      <c r="BF289" s="236"/>
      <c r="BG289" s="224"/>
      <c r="BH289" s="225"/>
      <c r="BI289" s="225"/>
      <c r="BJ289" s="227"/>
      <c r="BK289" s="224"/>
      <c r="BL289" s="225"/>
      <c r="BM289" s="225"/>
      <c r="BN289" s="227"/>
      <c r="BO289" s="224"/>
      <c r="BP289" s="225"/>
      <c r="BQ289" s="225"/>
      <c r="BR289" s="226"/>
      <c r="BS289" s="224"/>
      <c r="BT289" s="225"/>
      <c r="BU289" s="225"/>
      <c r="BV289" s="226"/>
      <c r="BW289" s="229"/>
      <c r="BX289" s="215"/>
      <c r="BY289" s="125">
        <f t="shared" si="69"/>
        <v>1210.1300000000001</v>
      </c>
      <c r="BZ289" s="126">
        <f t="shared" si="70"/>
        <v>1200</v>
      </c>
      <c r="CA289" s="126">
        <f t="shared" si="71"/>
        <v>1210.1300000000001</v>
      </c>
      <c r="CB289" s="127">
        <f t="shared" si="72"/>
        <v>661.1</v>
      </c>
      <c r="CC289" s="768"/>
    </row>
    <row r="290" spans="1:82" s="230" customFormat="1" ht="16.7" customHeight="1" outlineLevel="6" x14ac:dyDescent="0.25">
      <c r="A290" s="215"/>
      <c r="B290" s="215"/>
      <c r="C290" s="216"/>
      <c r="D290" s="216"/>
      <c r="E290" s="216"/>
      <c r="F290" s="216"/>
      <c r="G290" s="216"/>
      <c r="H290" s="216"/>
      <c r="I290" s="216"/>
      <c r="J290" s="216"/>
      <c r="K290" s="217"/>
      <c r="L290" s="216"/>
      <c r="M290" s="215"/>
      <c r="N290" s="215"/>
      <c r="O290" s="215"/>
      <c r="P290" s="215"/>
      <c r="Q290" s="215"/>
      <c r="R290" s="215"/>
      <c r="S290" s="215"/>
      <c r="T290" s="215"/>
      <c r="U290" s="215"/>
      <c r="V290" s="215"/>
      <c r="W290" s="215"/>
      <c r="X290" s="215"/>
      <c r="Y290" s="215"/>
      <c r="Z290" s="215"/>
      <c r="AA290" s="215"/>
      <c r="AB290" s="218"/>
      <c r="AC290" s="219" t="s">
        <v>376</v>
      </c>
      <c r="AD290" s="259" t="s">
        <v>111</v>
      </c>
      <c r="AE290" s="260">
        <v>2732.05</v>
      </c>
      <c r="AF290" s="225">
        <v>2856.28</v>
      </c>
      <c r="AG290" s="772">
        <v>2954.98</v>
      </c>
      <c r="AH290" s="261"/>
      <c r="AI290" s="228"/>
      <c r="AJ290" s="225"/>
      <c r="AK290" s="225"/>
      <c r="AL290" s="227"/>
      <c r="AM290" s="224"/>
      <c r="AN290" s="225"/>
      <c r="AO290" s="225"/>
      <c r="AP290" s="226"/>
      <c r="AQ290" s="228"/>
      <c r="AR290" s="225"/>
      <c r="AS290" s="225"/>
      <c r="AT290" s="227"/>
      <c r="AU290" s="224"/>
      <c r="AV290" s="225"/>
      <c r="AW290" s="225"/>
      <c r="AX290" s="227"/>
      <c r="AY290" s="224"/>
      <c r="AZ290" s="225"/>
      <c r="BA290" s="225"/>
      <c r="BB290" s="227"/>
      <c r="BC290" s="224"/>
      <c r="BD290" s="225"/>
      <c r="BE290" s="225"/>
      <c r="BF290" s="236"/>
      <c r="BG290" s="224"/>
      <c r="BH290" s="225"/>
      <c r="BI290" s="225"/>
      <c r="BJ290" s="227"/>
      <c r="BK290" s="224"/>
      <c r="BL290" s="225"/>
      <c r="BM290" s="225"/>
      <c r="BN290" s="227"/>
      <c r="BO290" s="224"/>
      <c r="BP290" s="225"/>
      <c r="BQ290" s="225"/>
      <c r="BR290" s="226"/>
      <c r="BS290" s="224"/>
      <c r="BT290" s="225"/>
      <c r="BU290" s="225"/>
      <c r="BV290" s="226"/>
      <c r="BW290" s="229"/>
      <c r="BX290" s="215"/>
      <c r="BY290" s="125">
        <f t="shared" si="69"/>
        <v>2732.05</v>
      </c>
      <c r="BZ290" s="126">
        <f t="shared" si="70"/>
        <v>2856.28</v>
      </c>
      <c r="CA290" s="126">
        <f t="shared" si="71"/>
        <v>2954.98</v>
      </c>
      <c r="CB290" s="127">
        <f t="shared" si="72"/>
        <v>0</v>
      </c>
      <c r="CC290" s="768"/>
    </row>
    <row r="291" spans="1:82" s="230" customFormat="1" ht="16.7" customHeight="1" outlineLevel="6" x14ac:dyDescent="0.25">
      <c r="A291" s="215"/>
      <c r="B291" s="215"/>
      <c r="C291" s="216"/>
      <c r="D291" s="216"/>
      <c r="E291" s="216"/>
      <c r="F291" s="216"/>
      <c r="G291" s="216"/>
      <c r="H291" s="216"/>
      <c r="I291" s="216"/>
      <c r="J291" s="216"/>
      <c r="K291" s="217"/>
      <c r="L291" s="216"/>
      <c r="M291" s="215"/>
      <c r="N291" s="215"/>
      <c r="O291" s="215"/>
      <c r="P291" s="215"/>
      <c r="Q291" s="215"/>
      <c r="R291" s="215"/>
      <c r="S291" s="215"/>
      <c r="T291" s="215"/>
      <c r="U291" s="215"/>
      <c r="V291" s="215"/>
      <c r="W291" s="215"/>
      <c r="X291" s="215"/>
      <c r="Y291" s="215"/>
      <c r="Z291" s="215"/>
      <c r="AA291" s="215"/>
      <c r="AB291" s="218"/>
      <c r="AC291" s="219" t="s">
        <v>377</v>
      </c>
      <c r="AD291" s="259" t="s">
        <v>111</v>
      </c>
      <c r="AE291" s="260">
        <v>2695.07</v>
      </c>
      <c r="AF291" s="225">
        <v>2868.75</v>
      </c>
      <c r="AG291" s="772">
        <v>2914.99</v>
      </c>
      <c r="AH291" s="261"/>
      <c r="AI291" s="228"/>
      <c r="AJ291" s="225"/>
      <c r="AK291" s="225"/>
      <c r="AL291" s="227"/>
      <c r="AM291" s="224"/>
      <c r="AN291" s="225"/>
      <c r="AO291" s="225"/>
      <c r="AP291" s="226"/>
      <c r="AQ291" s="228"/>
      <c r="AR291" s="225"/>
      <c r="AS291" s="225"/>
      <c r="AT291" s="227"/>
      <c r="AU291" s="224"/>
      <c r="AV291" s="225"/>
      <c r="AW291" s="225"/>
      <c r="AX291" s="227"/>
      <c r="AY291" s="224"/>
      <c r="AZ291" s="225"/>
      <c r="BA291" s="225"/>
      <c r="BB291" s="227"/>
      <c r="BC291" s="224">
        <v>1.0349999999999999</v>
      </c>
      <c r="BD291" s="225"/>
      <c r="BE291" s="225">
        <v>1.139</v>
      </c>
      <c r="BF291" s="236"/>
      <c r="BG291" s="224">
        <v>2.2120000000000002</v>
      </c>
      <c r="BH291" s="225"/>
      <c r="BI291" s="225">
        <v>2.4340000000000002</v>
      </c>
      <c r="BJ291" s="227"/>
      <c r="BK291" s="224">
        <v>17.88</v>
      </c>
      <c r="BL291" s="225"/>
      <c r="BM291" s="225">
        <v>19.670000000000002</v>
      </c>
      <c r="BN291" s="227"/>
      <c r="BO291" s="240">
        <v>7.25</v>
      </c>
      <c r="BP291" s="238"/>
      <c r="BQ291" s="238">
        <v>7.98</v>
      </c>
      <c r="BR291" s="241"/>
      <c r="BS291" s="224"/>
      <c r="BT291" s="225"/>
      <c r="BU291" s="225"/>
      <c r="BV291" s="226"/>
      <c r="BW291" s="229"/>
      <c r="BX291" s="215"/>
      <c r="BY291" s="125">
        <f t="shared" si="69"/>
        <v>2723.4470000000001</v>
      </c>
      <c r="BZ291" s="126">
        <f t="shared" si="70"/>
        <v>2868.75</v>
      </c>
      <c r="CA291" s="126">
        <f t="shared" si="71"/>
        <v>2946.2130000000002</v>
      </c>
      <c r="CB291" s="127">
        <f t="shared" si="72"/>
        <v>0</v>
      </c>
      <c r="CC291" s="768"/>
    </row>
    <row r="292" spans="1:82" s="230" customFormat="1" ht="16.7" customHeight="1" outlineLevel="6" x14ac:dyDescent="0.25">
      <c r="A292" s="215"/>
      <c r="B292" s="215"/>
      <c r="C292" s="216"/>
      <c r="D292" s="216"/>
      <c r="E292" s="216"/>
      <c r="F292" s="216"/>
      <c r="G292" s="216"/>
      <c r="H292" s="216"/>
      <c r="I292" s="216"/>
      <c r="J292" s="216"/>
      <c r="K292" s="217"/>
      <c r="L292" s="216"/>
      <c r="M292" s="215"/>
      <c r="N292" s="215"/>
      <c r="O292" s="215"/>
      <c r="P292" s="215"/>
      <c r="Q292" s="215"/>
      <c r="R292" s="215"/>
      <c r="S292" s="215"/>
      <c r="T292" s="215"/>
      <c r="U292" s="215"/>
      <c r="V292" s="215"/>
      <c r="W292" s="215"/>
      <c r="X292" s="215"/>
      <c r="Y292" s="215"/>
      <c r="Z292" s="215"/>
      <c r="AA292" s="215"/>
      <c r="AB292" s="218"/>
      <c r="AC292" s="219" t="s">
        <v>378</v>
      </c>
      <c r="AD292" s="259" t="s">
        <v>111</v>
      </c>
      <c r="AE292" s="260"/>
      <c r="AF292" s="225"/>
      <c r="AG292" s="772"/>
      <c r="AH292" s="261"/>
      <c r="AI292" s="228"/>
      <c r="AJ292" s="225"/>
      <c r="AK292" s="225"/>
      <c r="AL292" s="227"/>
      <c r="AM292" s="224">
        <v>55.16</v>
      </c>
      <c r="AN292" s="225"/>
      <c r="AO292" s="225">
        <v>33.380000000000003</v>
      </c>
      <c r="AP292" s="226"/>
      <c r="AQ292" s="228"/>
      <c r="AR292" s="225"/>
      <c r="AS292" s="225"/>
      <c r="AT292" s="227"/>
      <c r="AU292" s="224"/>
      <c r="AV292" s="225"/>
      <c r="AW292" s="225"/>
      <c r="AX292" s="227"/>
      <c r="AY292" s="224"/>
      <c r="AZ292" s="225"/>
      <c r="BA292" s="225"/>
      <c r="BB292" s="227"/>
      <c r="BC292" s="224"/>
      <c r="BD292" s="225"/>
      <c r="BE292" s="225"/>
      <c r="BF292" s="236"/>
      <c r="BG292" s="224"/>
      <c r="BH292" s="225"/>
      <c r="BI292" s="225"/>
      <c r="BJ292" s="227"/>
      <c r="BK292" s="224"/>
      <c r="BL292" s="225"/>
      <c r="BM292" s="225"/>
      <c r="BN292" s="227"/>
      <c r="BO292" s="224"/>
      <c r="BP292" s="225"/>
      <c r="BQ292" s="225"/>
      <c r="BR292" s="226"/>
      <c r="BS292" s="224"/>
      <c r="BT292" s="225"/>
      <c r="BU292" s="225"/>
      <c r="BV292" s="226"/>
      <c r="BW292" s="229"/>
      <c r="BX292" s="215"/>
      <c r="BY292" s="125">
        <f t="shared" si="69"/>
        <v>55.16</v>
      </c>
      <c r="BZ292" s="126">
        <f t="shared" si="70"/>
        <v>0</v>
      </c>
      <c r="CA292" s="126">
        <f t="shared" si="71"/>
        <v>33.380000000000003</v>
      </c>
      <c r="CB292" s="127">
        <f t="shared" si="72"/>
        <v>0</v>
      </c>
      <c r="CC292" s="768"/>
    </row>
    <row r="293" spans="1:82" s="230" customFormat="1" ht="16.7" customHeight="1" outlineLevel="6" x14ac:dyDescent="0.25">
      <c r="A293" s="215"/>
      <c r="B293" s="215"/>
      <c r="C293" s="216"/>
      <c r="D293" s="216"/>
      <c r="E293" s="216"/>
      <c r="F293" s="216"/>
      <c r="G293" s="216"/>
      <c r="H293" s="216"/>
      <c r="I293" s="216"/>
      <c r="J293" s="216"/>
      <c r="K293" s="217"/>
      <c r="L293" s="216"/>
      <c r="M293" s="215"/>
      <c r="N293" s="215"/>
      <c r="O293" s="215"/>
      <c r="P293" s="215"/>
      <c r="Q293" s="215"/>
      <c r="R293" s="215"/>
      <c r="S293" s="215"/>
      <c r="T293" s="215"/>
      <c r="U293" s="215"/>
      <c r="V293" s="215"/>
      <c r="W293" s="215"/>
      <c r="X293" s="215"/>
      <c r="Y293" s="215"/>
      <c r="Z293" s="215"/>
      <c r="AA293" s="215"/>
      <c r="AB293" s="218"/>
      <c r="AC293" s="219" t="s">
        <v>379</v>
      </c>
      <c r="AD293" s="259" t="s">
        <v>111</v>
      </c>
      <c r="AE293" s="260"/>
      <c r="AF293" s="225"/>
      <c r="AG293" s="772"/>
      <c r="AH293" s="261"/>
      <c r="AI293" s="228"/>
      <c r="AJ293" s="225"/>
      <c r="AK293" s="225"/>
      <c r="AL293" s="227"/>
      <c r="AM293" s="224">
        <v>10.199999999999999</v>
      </c>
      <c r="AN293" s="225"/>
      <c r="AO293" s="225">
        <v>11.22</v>
      </c>
      <c r="AP293" s="226"/>
      <c r="AQ293" s="228"/>
      <c r="AR293" s="225"/>
      <c r="AS293" s="225"/>
      <c r="AT293" s="227"/>
      <c r="AU293" s="224"/>
      <c r="AV293" s="225"/>
      <c r="AW293" s="225">
        <v>3.42</v>
      </c>
      <c r="AX293" s="227"/>
      <c r="AY293" s="224">
        <v>34.6</v>
      </c>
      <c r="AZ293" s="225"/>
      <c r="BA293" s="225">
        <v>38.07</v>
      </c>
      <c r="BB293" s="227"/>
      <c r="BC293" s="224"/>
      <c r="BD293" s="225"/>
      <c r="BE293" s="225"/>
      <c r="BF293" s="236"/>
      <c r="BG293" s="224"/>
      <c r="BH293" s="225"/>
      <c r="BI293" s="225"/>
      <c r="BJ293" s="227"/>
      <c r="BK293" s="224"/>
      <c r="BL293" s="225"/>
      <c r="BM293" s="225"/>
      <c r="BN293" s="227"/>
      <c r="BO293" s="224"/>
      <c r="BP293" s="225"/>
      <c r="BQ293" s="225"/>
      <c r="BR293" s="226"/>
      <c r="BS293" s="224"/>
      <c r="BT293" s="225"/>
      <c r="BU293" s="225"/>
      <c r="BV293" s="226"/>
      <c r="BW293" s="229"/>
      <c r="BX293" s="215"/>
      <c r="BY293" s="125">
        <f t="shared" si="69"/>
        <v>44.8</v>
      </c>
      <c r="BZ293" s="126">
        <f t="shared" si="70"/>
        <v>0</v>
      </c>
      <c r="CA293" s="126">
        <f t="shared" si="71"/>
        <v>52.71</v>
      </c>
      <c r="CB293" s="127">
        <f t="shared" si="72"/>
        <v>0</v>
      </c>
      <c r="CC293" s="768"/>
    </row>
    <row r="294" spans="1:82" s="230" customFormat="1" ht="16.7" customHeight="1" outlineLevel="6" x14ac:dyDescent="0.25">
      <c r="A294" s="215"/>
      <c r="B294" s="215"/>
      <c r="C294" s="216"/>
      <c r="D294" s="216"/>
      <c r="E294" s="216"/>
      <c r="F294" s="216"/>
      <c r="G294" s="216"/>
      <c r="H294" s="216"/>
      <c r="I294" s="216"/>
      <c r="J294" s="216"/>
      <c r="K294" s="217"/>
      <c r="L294" s="216"/>
      <c r="M294" s="215"/>
      <c r="N294" s="215"/>
      <c r="O294" s="215"/>
      <c r="P294" s="215"/>
      <c r="Q294" s="215"/>
      <c r="R294" s="215"/>
      <c r="S294" s="215"/>
      <c r="T294" s="215"/>
      <c r="U294" s="215"/>
      <c r="V294" s="215"/>
      <c r="W294" s="215"/>
      <c r="X294" s="215"/>
      <c r="Y294" s="215"/>
      <c r="Z294" s="215"/>
      <c r="AA294" s="215"/>
      <c r="AB294" s="218"/>
      <c r="AC294" s="219" t="s">
        <v>380</v>
      </c>
      <c r="AD294" s="259" t="s">
        <v>111</v>
      </c>
      <c r="AE294" s="260"/>
      <c r="AF294" s="225"/>
      <c r="AG294" s="772"/>
      <c r="AH294" s="261"/>
      <c r="AI294" s="228"/>
      <c r="AJ294" s="225"/>
      <c r="AK294" s="225"/>
      <c r="AL294" s="227"/>
      <c r="AM294" s="224">
        <v>12.2</v>
      </c>
      <c r="AN294" s="225">
        <v>10.8</v>
      </c>
      <c r="AO294" s="225">
        <v>449.77</v>
      </c>
      <c r="AP294" s="226"/>
      <c r="AQ294" s="228">
        <v>10.199999999999999</v>
      </c>
      <c r="AR294" s="225">
        <v>20.48</v>
      </c>
      <c r="AS294" s="225">
        <v>11.22</v>
      </c>
      <c r="AT294" s="227"/>
      <c r="AU294" s="224"/>
      <c r="AV294" s="225"/>
      <c r="AW294" s="225"/>
      <c r="AX294" s="227"/>
      <c r="AY294" s="224"/>
      <c r="AZ294" s="225"/>
      <c r="BA294" s="225"/>
      <c r="BB294" s="227"/>
      <c r="BC294" s="224"/>
      <c r="BD294" s="225"/>
      <c r="BE294" s="225"/>
      <c r="BF294" s="236"/>
      <c r="BG294" s="224"/>
      <c r="BH294" s="225"/>
      <c r="BI294" s="225"/>
      <c r="BJ294" s="227"/>
      <c r="BK294" s="224">
        <v>43.08</v>
      </c>
      <c r="BL294" s="225"/>
      <c r="BM294" s="225">
        <v>46.6</v>
      </c>
      <c r="BN294" s="227"/>
      <c r="BO294" s="224"/>
      <c r="BP294" s="225"/>
      <c r="BQ294" s="225"/>
      <c r="BR294" s="226"/>
      <c r="BS294" s="240">
        <v>22.68</v>
      </c>
      <c r="BT294" s="238">
        <v>20</v>
      </c>
      <c r="BU294" s="238">
        <v>45</v>
      </c>
      <c r="BV294" s="241"/>
      <c r="BW294" s="229"/>
      <c r="BX294" s="215"/>
      <c r="BY294" s="125">
        <f t="shared" si="69"/>
        <v>88.16</v>
      </c>
      <c r="BZ294" s="126">
        <f t="shared" si="70"/>
        <v>51.28</v>
      </c>
      <c r="CA294" s="126">
        <f t="shared" si="71"/>
        <v>552.59</v>
      </c>
      <c r="CB294" s="127">
        <f t="shared" si="72"/>
        <v>0</v>
      </c>
      <c r="CC294" s="768"/>
    </row>
    <row r="295" spans="1:82" s="230" customFormat="1" ht="16.7" customHeight="1" outlineLevel="6" x14ac:dyDescent="0.25">
      <c r="A295" s="215"/>
      <c r="B295" s="215"/>
      <c r="C295" s="216"/>
      <c r="D295" s="216"/>
      <c r="E295" s="216"/>
      <c r="F295" s="216"/>
      <c r="G295" s="216"/>
      <c r="H295" s="216"/>
      <c r="I295" s="216"/>
      <c r="J295" s="216"/>
      <c r="K295" s="217"/>
      <c r="L295" s="216"/>
      <c r="M295" s="215"/>
      <c r="N295" s="215"/>
      <c r="O295" s="215"/>
      <c r="P295" s="215"/>
      <c r="Q295" s="215"/>
      <c r="R295" s="215"/>
      <c r="S295" s="215"/>
      <c r="T295" s="215"/>
      <c r="U295" s="215"/>
      <c r="V295" s="215"/>
      <c r="W295" s="215"/>
      <c r="X295" s="215"/>
      <c r="Y295" s="215"/>
      <c r="Z295" s="215"/>
      <c r="AA295" s="215"/>
      <c r="AB295" s="218"/>
      <c r="AC295" s="219" t="s">
        <v>377</v>
      </c>
      <c r="AD295" s="259" t="s">
        <v>111</v>
      </c>
      <c r="AE295" s="260"/>
      <c r="AF295" s="225"/>
      <c r="AG295" s="772"/>
      <c r="AH295" s="261"/>
      <c r="AI295" s="228"/>
      <c r="AJ295" s="225"/>
      <c r="AK295" s="225"/>
      <c r="AL295" s="227"/>
      <c r="AM295" s="224">
        <v>2.8</v>
      </c>
      <c r="AN295" s="225"/>
      <c r="AO295" s="225">
        <v>3.08</v>
      </c>
      <c r="AP295" s="226"/>
      <c r="AQ295" s="228">
        <v>76.94</v>
      </c>
      <c r="AR295" s="225">
        <v>80</v>
      </c>
      <c r="AS295" s="225">
        <v>84.65</v>
      </c>
      <c r="AT295" s="227"/>
      <c r="AU295" s="224">
        <v>10.91</v>
      </c>
      <c r="AV295" s="225"/>
      <c r="AW295" s="225">
        <v>12</v>
      </c>
      <c r="AX295" s="227"/>
      <c r="AY295" s="224">
        <v>38.64</v>
      </c>
      <c r="AZ295" s="225"/>
      <c r="BA295" s="225">
        <v>40.880000000000003</v>
      </c>
      <c r="BB295" s="227"/>
      <c r="BC295" s="224"/>
      <c r="BD295" s="225"/>
      <c r="BE295" s="225"/>
      <c r="BF295" s="236"/>
      <c r="BG295" s="224"/>
      <c r="BH295" s="225"/>
      <c r="BI295" s="225"/>
      <c r="BJ295" s="227"/>
      <c r="BK295" s="224"/>
      <c r="BL295" s="225"/>
      <c r="BM295" s="225"/>
      <c r="BN295" s="227"/>
      <c r="BO295" s="224"/>
      <c r="BP295" s="225"/>
      <c r="BQ295" s="225"/>
      <c r="BR295" s="226"/>
      <c r="BS295" s="224"/>
      <c r="BT295" s="225"/>
      <c r="BU295" s="225"/>
      <c r="BV295" s="226"/>
      <c r="BW295" s="229"/>
      <c r="BX295" s="215"/>
      <c r="BY295" s="125">
        <f t="shared" si="69"/>
        <v>129.29</v>
      </c>
      <c r="BZ295" s="126">
        <f t="shared" si="70"/>
        <v>80</v>
      </c>
      <c r="CA295" s="126">
        <f t="shared" si="71"/>
        <v>140.61000000000001</v>
      </c>
      <c r="CB295" s="127">
        <f t="shared" si="72"/>
        <v>0</v>
      </c>
      <c r="CC295" s="768"/>
    </row>
    <row r="296" spans="1:82" s="230" customFormat="1" ht="16.7" customHeight="1" outlineLevel="6" x14ac:dyDescent="0.25">
      <c r="A296" s="215"/>
      <c r="B296" s="215"/>
      <c r="C296" s="216"/>
      <c r="D296" s="216"/>
      <c r="E296" s="216"/>
      <c r="F296" s="216"/>
      <c r="G296" s="216"/>
      <c r="H296" s="216"/>
      <c r="I296" s="216"/>
      <c r="J296" s="216"/>
      <c r="K296" s="217"/>
      <c r="L296" s="216"/>
      <c r="M296" s="215"/>
      <c r="N296" s="215"/>
      <c r="O296" s="215"/>
      <c r="P296" s="215"/>
      <c r="Q296" s="215"/>
      <c r="R296" s="215"/>
      <c r="S296" s="215"/>
      <c r="T296" s="215"/>
      <c r="U296" s="215"/>
      <c r="V296" s="215"/>
      <c r="W296" s="215"/>
      <c r="X296" s="215"/>
      <c r="Y296" s="215"/>
      <c r="Z296" s="215"/>
      <c r="AA296" s="215"/>
      <c r="AB296" s="218"/>
      <c r="AC296" s="219" t="s">
        <v>381</v>
      </c>
      <c r="AD296" s="259" t="s">
        <v>111</v>
      </c>
      <c r="AE296" s="260"/>
      <c r="AF296" s="225"/>
      <c r="AG296" s="772"/>
      <c r="AH296" s="261"/>
      <c r="AI296" s="228"/>
      <c r="AJ296" s="225"/>
      <c r="AK296" s="225"/>
      <c r="AL296" s="227"/>
      <c r="AM296" s="224">
        <v>4.6500000000000004</v>
      </c>
      <c r="AN296" s="225"/>
      <c r="AO296" s="225">
        <v>5.12</v>
      </c>
      <c r="AP296" s="226"/>
      <c r="AQ296" s="228">
        <v>3.3</v>
      </c>
      <c r="AR296" s="225"/>
      <c r="AS296" s="225">
        <v>3.63</v>
      </c>
      <c r="AT296" s="227"/>
      <c r="AU296" s="224"/>
      <c r="AV296" s="225"/>
      <c r="AW296" s="225"/>
      <c r="AX296" s="227"/>
      <c r="AY296" s="224"/>
      <c r="AZ296" s="225"/>
      <c r="BA296" s="225"/>
      <c r="BB296" s="227"/>
      <c r="BC296" s="224"/>
      <c r="BD296" s="225"/>
      <c r="BE296" s="225"/>
      <c r="BF296" s="236"/>
      <c r="BG296" s="224"/>
      <c r="BH296" s="225"/>
      <c r="BI296" s="225"/>
      <c r="BJ296" s="227"/>
      <c r="BK296" s="224">
        <v>1</v>
      </c>
      <c r="BL296" s="225"/>
      <c r="BM296" s="225">
        <v>1</v>
      </c>
      <c r="BN296" s="227"/>
      <c r="BO296" s="224"/>
      <c r="BP296" s="225"/>
      <c r="BQ296" s="225"/>
      <c r="BR296" s="226"/>
      <c r="BS296" s="224"/>
      <c r="BT296" s="225"/>
      <c r="BU296" s="225"/>
      <c r="BV296" s="226"/>
      <c r="BW296" s="229"/>
      <c r="BX296" s="215"/>
      <c r="BY296" s="125">
        <f t="shared" si="69"/>
        <v>8.9499999999999993</v>
      </c>
      <c r="BZ296" s="126">
        <f t="shared" si="70"/>
        <v>0</v>
      </c>
      <c r="CA296" s="126">
        <f t="shared" si="71"/>
        <v>9.75</v>
      </c>
      <c r="CB296" s="127">
        <f t="shared" si="72"/>
        <v>0</v>
      </c>
      <c r="CC296" s="768"/>
    </row>
    <row r="297" spans="1:82" s="230" customFormat="1" ht="16.7" customHeight="1" outlineLevel="6" x14ac:dyDescent="0.25">
      <c r="A297" s="215"/>
      <c r="B297" s="215"/>
      <c r="C297" s="216"/>
      <c r="D297" s="216"/>
      <c r="E297" s="216"/>
      <c r="F297" s="216"/>
      <c r="G297" s="216"/>
      <c r="H297" s="216"/>
      <c r="I297" s="216"/>
      <c r="J297" s="216"/>
      <c r="K297" s="217"/>
      <c r="L297" s="216"/>
      <c r="M297" s="215"/>
      <c r="N297" s="215"/>
      <c r="O297" s="215"/>
      <c r="P297" s="215"/>
      <c r="Q297" s="215"/>
      <c r="R297" s="215"/>
      <c r="S297" s="215"/>
      <c r="T297" s="215"/>
      <c r="U297" s="215"/>
      <c r="V297" s="215"/>
      <c r="W297" s="215"/>
      <c r="X297" s="215"/>
      <c r="Y297" s="215"/>
      <c r="Z297" s="215"/>
      <c r="AA297" s="215"/>
      <c r="AB297" s="218"/>
      <c r="AC297" s="219" t="s">
        <v>382</v>
      </c>
      <c r="AD297" s="259" t="s">
        <v>111</v>
      </c>
      <c r="AE297" s="260"/>
      <c r="AF297" s="225"/>
      <c r="AG297" s="772"/>
      <c r="AH297" s="261"/>
      <c r="AI297" s="228"/>
      <c r="AJ297" s="225"/>
      <c r="AK297" s="225"/>
      <c r="AL297" s="227"/>
      <c r="AM297" s="224">
        <v>0</v>
      </c>
      <c r="AN297" s="225"/>
      <c r="AO297" s="225">
        <v>182.2</v>
      </c>
      <c r="AP297" s="226"/>
      <c r="AQ297" s="228"/>
      <c r="AR297" s="225">
        <v>46.43</v>
      </c>
      <c r="AS297" s="225">
        <v>98.86</v>
      </c>
      <c r="AT297" s="227"/>
      <c r="AU297" s="224"/>
      <c r="AV297" s="225"/>
      <c r="AW297" s="225">
        <v>3.99</v>
      </c>
      <c r="AX297" s="227"/>
      <c r="AY297" s="224"/>
      <c r="AZ297" s="225"/>
      <c r="BA297" s="225"/>
      <c r="BB297" s="227"/>
      <c r="BC297" s="224"/>
      <c r="BD297" s="225"/>
      <c r="BE297" s="225"/>
      <c r="BF297" s="236"/>
      <c r="BG297" s="224"/>
      <c r="BH297" s="225"/>
      <c r="BI297" s="225"/>
      <c r="BJ297" s="227"/>
      <c r="BK297" s="224"/>
      <c r="BL297" s="225"/>
      <c r="BM297" s="225"/>
      <c r="BN297" s="227"/>
      <c r="BO297" s="224"/>
      <c r="BP297" s="225"/>
      <c r="BQ297" s="225"/>
      <c r="BR297" s="226"/>
      <c r="BS297" s="224"/>
      <c r="BT297" s="225"/>
      <c r="BU297" s="225"/>
      <c r="BV297" s="226"/>
      <c r="BW297" s="229"/>
      <c r="BX297" s="215"/>
      <c r="BY297" s="125">
        <f t="shared" si="69"/>
        <v>0</v>
      </c>
      <c r="BZ297" s="126">
        <f t="shared" si="70"/>
        <v>46.43</v>
      </c>
      <c r="CA297" s="126">
        <f t="shared" si="71"/>
        <v>285.05</v>
      </c>
      <c r="CB297" s="127">
        <f t="shared" si="72"/>
        <v>0</v>
      </c>
      <c r="CC297" s="768"/>
    </row>
    <row r="298" spans="1:82" s="230" customFormat="1" ht="16.7" customHeight="1" outlineLevel="6" x14ac:dyDescent="0.25">
      <c r="A298" s="215"/>
      <c r="B298" s="215"/>
      <c r="C298" s="216"/>
      <c r="D298" s="216"/>
      <c r="E298" s="216"/>
      <c r="F298" s="216"/>
      <c r="G298" s="216"/>
      <c r="H298" s="216"/>
      <c r="I298" s="216"/>
      <c r="J298" s="216"/>
      <c r="K298" s="217"/>
      <c r="L298" s="216"/>
      <c r="M298" s="215"/>
      <c r="N298" s="215"/>
      <c r="O298" s="215"/>
      <c r="P298" s="215"/>
      <c r="Q298" s="215"/>
      <c r="R298" s="215"/>
      <c r="S298" s="215"/>
      <c r="T298" s="215"/>
      <c r="U298" s="215"/>
      <c r="V298" s="215"/>
      <c r="W298" s="215"/>
      <c r="X298" s="215"/>
      <c r="Y298" s="215"/>
      <c r="Z298" s="215"/>
      <c r="AA298" s="215"/>
      <c r="AB298" s="218"/>
      <c r="AC298" s="219" t="s">
        <v>383</v>
      </c>
      <c r="AD298" s="259" t="s">
        <v>111</v>
      </c>
      <c r="AE298" s="260"/>
      <c r="AF298" s="225"/>
      <c r="AG298" s="772"/>
      <c r="AH298" s="261"/>
      <c r="AI298" s="228"/>
      <c r="AJ298" s="225"/>
      <c r="AK298" s="225"/>
      <c r="AL298" s="227"/>
      <c r="AM298" s="224">
        <v>0</v>
      </c>
      <c r="AN298" s="225"/>
      <c r="AO298" s="225">
        <v>250.97</v>
      </c>
      <c r="AP298" s="226"/>
      <c r="AQ298" s="228"/>
      <c r="AR298" s="225"/>
      <c r="AS298" s="225">
        <v>21.13</v>
      </c>
      <c r="AT298" s="227"/>
      <c r="AU298" s="224"/>
      <c r="AV298" s="225"/>
      <c r="AW298" s="225">
        <v>13.39</v>
      </c>
      <c r="AX298" s="227"/>
      <c r="AY298" s="224"/>
      <c r="AZ298" s="225"/>
      <c r="BA298" s="225"/>
      <c r="BB298" s="227"/>
      <c r="BC298" s="224"/>
      <c r="BD298" s="225"/>
      <c r="BE298" s="225"/>
      <c r="BF298" s="236"/>
      <c r="BG298" s="224"/>
      <c r="BH298" s="225"/>
      <c r="BI298" s="225"/>
      <c r="BJ298" s="227"/>
      <c r="BK298" s="224"/>
      <c r="BL298" s="225"/>
      <c r="BM298" s="225"/>
      <c r="BN298" s="227"/>
      <c r="BO298" s="240"/>
      <c r="BP298" s="238"/>
      <c r="BQ298" s="238">
        <v>17.87</v>
      </c>
      <c r="BR298" s="241"/>
      <c r="BS298" s="240"/>
      <c r="BT298" s="238"/>
      <c r="BU298" s="238">
        <v>54.29</v>
      </c>
      <c r="BV298" s="241"/>
      <c r="BW298" s="229"/>
      <c r="BX298" s="215"/>
      <c r="BY298" s="125">
        <f t="shared" si="69"/>
        <v>0</v>
      </c>
      <c r="BZ298" s="126">
        <f t="shared" si="70"/>
        <v>0</v>
      </c>
      <c r="CA298" s="126">
        <f t="shared" si="71"/>
        <v>357.65000000000003</v>
      </c>
      <c r="CB298" s="127">
        <f t="shared" si="72"/>
        <v>0</v>
      </c>
      <c r="CC298" s="768"/>
    </row>
    <row r="299" spans="1:82" s="246" customFormat="1" ht="16.7" customHeight="1" outlineLevel="6" x14ac:dyDescent="0.25">
      <c r="A299" s="229"/>
      <c r="B299" s="229"/>
      <c r="C299" s="242"/>
      <c r="D299" s="242"/>
      <c r="E299" s="242"/>
      <c r="F299" s="242"/>
      <c r="G299" s="242"/>
      <c r="H299" s="242"/>
      <c r="I299" s="242"/>
      <c r="J299" s="242"/>
      <c r="K299" s="243"/>
      <c r="L299" s="242"/>
      <c r="M299" s="229"/>
      <c r="N299" s="229"/>
      <c r="O299" s="229"/>
      <c r="P299" s="229"/>
      <c r="Q299" s="229"/>
      <c r="R299" s="229"/>
      <c r="S299" s="229"/>
      <c r="T299" s="229"/>
      <c r="U299" s="229"/>
      <c r="V299" s="229"/>
      <c r="W299" s="229"/>
      <c r="X299" s="229"/>
      <c r="Y299" s="229"/>
      <c r="Z299" s="229"/>
      <c r="AA299" s="229"/>
      <c r="AB299" s="218"/>
      <c r="AC299" s="219" t="s">
        <v>384</v>
      </c>
      <c r="AD299" s="259" t="s">
        <v>111</v>
      </c>
      <c r="AE299" s="224">
        <v>2073.6999999999998</v>
      </c>
      <c r="AF299" s="225">
        <v>1294.8</v>
      </c>
      <c r="AG299" s="225">
        <f>393.621+743.663+656.72</f>
        <v>1794.0040000000001</v>
      </c>
      <c r="AH299" s="226"/>
      <c r="AI299" s="228">
        <v>56.1</v>
      </c>
      <c r="AJ299" s="225"/>
      <c r="AK299" s="225">
        <v>63.576000000000001</v>
      </c>
      <c r="AL299" s="227"/>
      <c r="AM299" s="224">
        <v>78.7</v>
      </c>
      <c r="AN299" s="225"/>
      <c r="AO299" s="225">
        <v>161.57</v>
      </c>
      <c r="AP299" s="226"/>
      <c r="AQ299" s="228">
        <v>65.22</v>
      </c>
      <c r="AR299" s="225">
        <v>30</v>
      </c>
      <c r="AS299" s="225">
        <v>34.549999999999997</v>
      </c>
      <c r="AT299" s="227"/>
      <c r="AU299" s="224">
        <v>4.95</v>
      </c>
      <c r="AV299" s="225"/>
      <c r="AW299" s="225">
        <v>35.04</v>
      </c>
      <c r="AX299" s="227"/>
      <c r="AY299" s="224">
        <v>63.79</v>
      </c>
      <c r="AZ299" s="225"/>
      <c r="BA299" s="225">
        <v>70.2</v>
      </c>
      <c r="BB299" s="227"/>
      <c r="BC299" s="224">
        <v>71.69</v>
      </c>
      <c r="BD299" s="225"/>
      <c r="BE299" s="225">
        <v>78.88</v>
      </c>
      <c r="BF299" s="236"/>
      <c r="BG299" s="224">
        <v>69.650000000000006</v>
      </c>
      <c r="BH299" s="225">
        <v>39.51</v>
      </c>
      <c r="BI299" s="225">
        <v>69.92</v>
      </c>
      <c r="BJ299" s="227">
        <f>BH299*1.04048</f>
        <v>41.109364800000002</v>
      </c>
      <c r="BK299" s="224">
        <v>12.62</v>
      </c>
      <c r="BL299" s="225"/>
      <c r="BM299" s="225">
        <f>20.45+19.66</f>
        <v>40.11</v>
      </c>
      <c r="BN299" s="227"/>
      <c r="BO299" s="224">
        <v>4.95</v>
      </c>
      <c r="BP299" s="225"/>
      <c r="BQ299" s="225">
        <v>5.45</v>
      </c>
      <c r="BR299" s="226"/>
      <c r="BS299" s="240">
        <v>20.21</v>
      </c>
      <c r="BT299" s="238"/>
      <c r="BU299" s="238">
        <v>36.86</v>
      </c>
      <c r="BV299" s="241"/>
      <c r="BW299" s="229"/>
      <c r="BX299" s="229"/>
      <c r="BY299" s="125">
        <f t="shared" si="69"/>
        <v>2521.579999999999</v>
      </c>
      <c r="BZ299" s="126">
        <f t="shared" si="70"/>
        <v>1364.31</v>
      </c>
      <c r="CA299" s="126">
        <f t="shared" si="71"/>
        <v>2390.1600000000003</v>
      </c>
      <c r="CB299" s="127">
        <f t="shared" si="72"/>
        <v>41.109364800000002</v>
      </c>
      <c r="CC299" s="771"/>
    </row>
    <row r="300" spans="1:82" s="230" customFormat="1" ht="16.7" customHeight="1" outlineLevel="6" x14ac:dyDescent="0.25">
      <c r="A300" s="215"/>
      <c r="B300" s="215"/>
      <c r="C300" s="216"/>
      <c r="D300" s="216"/>
      <c r="E300" s="216"/>
      <c r="F300" s="216"/>
      <c r="G300" s="216"/>
      <c r="H300" s="216"/>
      <c r="I300" s="216"/>
      <c r="J300" s="216"/>
      <c r="K300" s="217"/>
      <c r="L300" s="216"/>
      <c r="M300" s="215"/>
      <c r="N300" s="215"/>
      <c r="O300" s="215"/>
      <c r="P300" s="215"/>
      <c r="Q300" s="215"/>
      <c r="R300" s="215"/>
      <c r="S300" s="215"/>
      <c r="T300" s="215"/>
      <c r="U300" s="215"/>
      <c r="V300" s="215"/>
      <c r="W300" s="215"/>
      <c r="X300" s="215"/>
      <c r="Y300" s="215"/>
      <c r="Z300" s="215"/>
      <c r="AA300" s="215"/>
      <c r="AB300" s="218"/>
      <c r="AC300" s="219" t="s">
        <v>385</v>
      </c>
      <c r="AD300" s="259" t="s">
        <v>111</v>
      </c>
      <c r="AE300" s="260"/>
      <c r="AF300" s="225"/>
      <c r="AG300" s="772"/>
      <c r="AH300" s="261"/>
      <c r="AI300" s="228"/>
      <c r="AJ300" s="225"/>
      <c r="AK300" s="225"/>
      <c r="AL300" s="227"/>
      <c r="AM300" s="224">
        <v>15.26</v>
      </c>
      <c r="AN300" s="225"/>
      <c r="AO300" s="225">
        <v>16.510000000000002</v>
      </c>
      <c r="AP300" s="226"/>
      <c r="AQ300" s="228">
        <v>33.130000000000003</v>
      </c>
      <c r="AR300" s="225">
        <v>32</v>
      </c>
      <c r="AS300" s="225">
        <v>35.83</v>
      </c>
      <c r="AT300" s="227"/>
      <c r="AU300" s="224">
        <v>4.84</v>
      </c>
      <c r="AV300" s="225"/>
      <c r="AW300" s="225">
        <v>5.24</v>
      </c>
      <c r="AX300" s="227"/>
      <c r="AY300" s="224">
        <v>36.479999999999997</v>
      </c>
      <c r="AZ300" s="225"/>
      <c r="BA300" s="225">
        <v>39.441000000000003</v>
      </c>
      <c r="BB300" s="227"/>
      <c r="BC300" s="224">
        <v>8.7469999999999999</v>
      </c>
      <c r="BD300" s="225"/>
      <c r="BE300" s="225">
        <v>9.4610000000000003</v>
      </c>
      <c r="BF300" s="236"/>
      <c r="BG300" s="224">
        <v>48.201000000000001</v>
      </c>
      <c r="BH300" s="225"/>
      <c r="BI300" s="225">
        <v>52.134999999999998</v>
      </c>
      <c r="BJ300" s="227"/>
      <c r="BK300" s="224">
        <v>39.08</v>
      </c>
      <c r="BL300" s="225"/>
      <c r="BM300" s="225">
        <v>43</v>
      </c>
      <c r="BN300" s="227"/>
      <c r="BO300" s="240">
        <v>2.42</v>
      </c>
      <c r="BP300" s="238"/>
      <c r="BQ300" s="238">
        <v>2.62</v>
      </c>
      <c r="BR300" s="241"/>
      <c r="BS300" s="240">
        <v>4.47</v>
      </c>
      <c r="BT300" s="238">
        <v>4</v>
      </c>
      <c r="BU300" s="238">
        <v>4.83</v>
      </c>
      <c r="BV300" s="241"/>
      <c r="BW300" s="229"/>
      <c r="BX300" s="215"/>
      <c r="BY300" s="125">
        <f t="shared" si="69"/>
        <v>192.62799999999999</v>
      </c>
      <c r="BZ300" s="126">
        <f t="shared" si="70"/>
        <v>36</v>
      </c>
      <c r="CA300" s="126">
        <f t="shared" si="71"/>
        <v>209.06700000000004</v>
      </c>
      <c r="CB300" s="127">
        <f t="shared" si="72"/>
        <v>0</v>
      </c>
      <c r="CC300" s="768"/>
    </row>
    <row r="301" spans="1:82" s="246" customFormat="1" ht="16.7" customHeight="1" outlineLevel="6" x14ac:dyDescent="0.25">
      <c r="A301" s="229"/>
      <c r="B301" s="229"/>
      <c r="C301" s="242"/>
      <c r="D301" s="242"/>
      <c r="E301" s="242"/>
      <c r="F301" s="242"/>
      <c r="G301" s="242"/>
      <c r="H301" s="242"/>
      <c r="I301" s="242"/>
      <c r="J301" s="242"/>
      <c r="K301" s="243"/>
      <c r="L301" s="242"/>
      <c r="M301" s="229"/>
      <c r="N301" s="229"/>
      <c r="O301" s="229"/>
      <c r="P301" s="229"/>
      <c r="Q301" s="229"/>
      <c r="R301" s="229"/>
      <c r="S301" s="229"/>
      <c r="T301" s="229"/>
      <c r="U301" s="229"/>
      <c r="V301" s="229"/>
      <c r="W301" s="229"/>
      <c r="X301" s="229"/>
      <c r="Y301" s="229"/>
      <c r="Z301" s="229"/>
      <c r="AA301" s="229"/>
      <c r="AB301" s="218"/>
      <c r="AC301" s="219" t="s">
        <v>386</v>
      </c>
      <c r="AD301" s="259" t="s">
        <v>111</v>
      </c>
      <c r="AE301" s="260"/>
      <c r="AF301" s="225"/>
      <c r="AG301" s="772"/>
      <c r="AH301" s="261"/>
      <c r="AI301" s="228"/>
      <c r="AJ301" s="225"/>
      <c r="AK301" s="225"/>
      <c r="AL301" s="227"/>
      <c r="AM301" s="224"/>
      <c r="AN301" s="225"/>
      <c r="AO301" s="225"/>
      <c r="AP301" s="226"/>
      <c r="AQ301" s="228"/>
      <c r="AR301" s="225"/>
      <c r="AS301" s="225"/>
      <c r="AT301" s="227"/>
      <c r="AU301" s="224"/>
      <c r="AV301" s="225"/>
      <c r="AW301" s="225"/>
      <c r="AX301" s="227"/>
      <c r="AY301" s="224"/>
      <c r="AZ301" s="225"/>
      <c r="BA301" s="225"/>
      <c r="BB301" s="227"/>
      <c r="BC301" s="224"/>
      <c r="BD301" s="225"/>
      <c r="BE301" s="225"/>
      <c r="BF301" s="236"/>
      <c r="BG301" s="224"/>
      <c r="BH301" s="225"/>
      <c r="BI301" s="225"/>
      <c r="BJ301" s="227"/>
      <c r="BK301" s="224"/>
      <c r="BL301" s="225"/>
      <c r="BM301" s="225"/>
      <c r="BN301" s="227"/>
      <c r="BO301" s="240"/>
      <c r="BP301" s="238"/>
      <c r="BQ301" s="238"/>
      <c r="BR301" s="241"/>
      <c r="BS301" s="240"/>
      <c r="BT301" s="238"/>
      <c r="BU301" s="238"/>
      <c r="BV301" s="241"/>
      <c r="BW301" s="229"/>
      <c r="BX301" s="229"/>
      <c r="BY301" s="125">
        <f t="shared" si="69"/>
        <v>0</v>
      </c>
      <c r="BZ301" s="126">
        <f t="shared" si="70"/>
        <v>0</v>
      </c>
      <c r="CA301" s="126">
        <f t="shared" si="71"/>
        <v>0</v>
      </c>
      <c r="CB301" s="127">
        <f t="shared" si="72"/>
        <v>0</v>
      </c>
      <c r="CC301" s="771"/>
    </row>
    <row r="302" spans="1:82" s="230" customFormat="1" ht="16.7" customHeight="1" outlineLevel="6" x14ac:dyDescent="0.25">
      <c r="A302" s="215"/>
      <c r="B302" s="215"/>
      <c r="C302" s="216"/>
      <c r="D302" s="216"/>
      <c r="E302" s="216"/>
      <c r="F302" s="216"/>
      <c r="G302" s="216"/>
      <c r="H302" s="216"/>
      <c r="I302" s="216"/>
      <c r="J302" s="216"/>
      <c r="K302" s="217"/>
      <c r="L302" s="216"/>
      <c r="M302" s="215"/>
      <c r="N302" s="215"/>
      <c r="O302" s="215"/>
      <c r="P302" s="215"/>
      <c r="Q302" s="215"/>
      <c r="R302" s="215"/>
      <c r="S302" s="215"/>
      <c r="T302" s="215"/>
      <c r="U302" s="215"/>
      <c r="V302" s="215"/>
      <c r="W302" s="215"/>
      <c r="X302" s="215"/>
      <c r="Y302" s="215"/>
      <c r="Z302" s="215"/>
      <c r="AA302" s="215"/>
      <c r="AB302" s="218"/>
      <c r="AC302" s="219" t="s">
        <v>387</v>
      </c>
      <c r="AD302" s="259" t="s">
        <v>111</v>
      </c>
      <c r="AE302" s="260">
        <v>3092.17</v>
      </c>
      <c r="AF302" s="225">
        <v>1094.6099999999999</v>
      </c>
      <c r="AG302" s="772">
        <v>3092.17</v>
      </c>
      <c r="AH302" s="261"/>
      <c r="AI302" s="228"/>
      <c r="AJ302" s="225"/>
      <c r="AK302" s="225"/>
      <c r="AL302" s="227"/>
      <c r="AM302" s="224"/>
      <c r="AN302" s="225"/>
      <c r="AO302" s="225"/>
      <c r="AP302" s="226"/>
      <c r="AQ302" s="228"/>
      <c r="AR302" s="225"/>
      <c r="AS302" s="225"/>
      <c r="AT302" s="227"/>
      <c r="AU302" s="224"/>
      <c r="AV302" s="225"/>
      <c r="AW302" s="225"/>
      <c r="AX302" s="227"/>
      <c r="AY302" s="224"/>
      <c r="AZ302" s="225"/>
      <c r="BA302" s="225"/>
      <c r="BB302" s="227"/>
      <c r="BC302" s="224"/>
      <c r="BD302" s="225"/>
      <c r="BE302" s="225"/>
      <c r="BF302" s="236"/>
      <c r="BG302" s="224"/>
      <c r="BH302" s="225"/>
      <c r="BI302" s="225"/>
      <c r="BJ302" s="227"/>
      <c r="BK302" s="224"/>
      <c r="BL302" s="225"/>
      <c r="BM302" s="225"/>
      <c r="BN302" s="227"/>
      <c r="BO302" s="224"/>
      <c r="BP302" s="225"/>
      <c r="BQ302" s="225"/>
      <c r="BR302" s="226"/>
      <c r="BS302" s="224"/>
      <c r="BT302" s="225"/>
      <c r="BU302" s="225"/>
      <c r="BV302" s="226"/>
      <c r="BW302" s="229"/>
      <c r="BX302" s="215"/>
      <c r="BY302" s="125">
        <f t="shared" si="69"/>
        <v>3092.17</v>
      </c>
      <c r="BZ302" s="126">
        <f t="shared" si="70"/>
        <v>1094.6099999999999</v>
      </c>
      <c r="CA302" s="126">
        <f t="shared" si="71"/>
        <v>3092.17</v>
      </c>
      <c r="CB302" s="127">
        <f t="shared" si="72"/>
        <v>0</v>
      </c>
      <c r="CC302" s="768"/>
    </row>
    <row r="303" spans="1:82" s="230" customFormat="1" ht="16.7" customHeight="1" outlineLevel="6" x14ac:dyDescent="0.25">
      <c r="A303" s="215"/>
      <c r="B303" s="215"/>
      <c r="C303" s="216"/>
      <c r="D303" s="216"/>
      <c r="E303" s="216"/>
      <c r="F303" s="216"/>
      <c r="G303" s="216"/>
      <c r="H303" s="216"/>
      <c r="I303" s="216"/>
      <c r="J303" s="216"/>
      <c r="K303" s="217"/>
      <c r="L303" s="216"/>
      <c r="M303" s="215"/>
      <c r="N303" s="215"/>
      <c r="O303" s="215"/>
      <c r="P303" s="215"/>
      <c r="Q303" s="215"/>
      <c r="R303" s="215"/>
      <c r="S303" s="215"/>
      <c r="T303" s="215"/>
      <c r="U303" s="215"/>
      <c r="V303" s="215"/>
      <c r="W303" s="215"/>
      <c r="X303" s="215"/>
      <c r="Y303" s="215"/>
      <c r="Z303" s="215"/>
      <c r="AA303" s="215"/>
      <c r="AB303" s="218"/>
      <c r="AC303" s="219" t="s">
        <v>292</v>
      </c>
      <c r="AD303" s="259" t="s">
        <v>111</v>
      </c>
      <c r="AE303" s="260"/>
      <c r="AF303" s="225"/>
      <c r="AG303" s="772"/>
      <c r="AH303" s="261"/>
      <c r="AI303" s="228"/>
      <c r="AJ303" s="225"/>
      <c r="AK303" s="225"/>
      <c r="AL303" s="227"/>
      <c r="AM303" s="224"/>
      <c r="AN303" s="225"/>
      <c r="AO303" s="225"/>
      <c r="AP303" s="226"/>
      <c r="AQ303" s="228"/>
      <c r="AR303" s="225"/>
      <c r="AS303" s="225"/>
      <c r="AT303" s="227"/>
      <c r="AU303" s="224"/>
      <c r="AV303" s="225"/>
      <c r="AW303" s="225"/>
      <c r="AX303" s="227"/>
      <c r="AY303" s="224"/>
      <c r="AZ303" s="225"/>
      <c r="BA303" s="225"/>
      <c r="BB303" s="227"/>
      <c r="BC303" s="224"/>
      <c r="BD303" s="225"/>
      <c r="BE303" s="225"/>
      <c r="BF303" s="236"/>
      <c r="BG303" s="224"/>
      <c r="BH303" s="225"/>
      <c r="BI303" s="225"/>
      <c r="BJ303" s="227"/>
      <c r="BK303" s="224"/>
      <c r="BL303" s="225"/>
      <c r="BM303" s="225"/>
      <c r="BN303" s="227"/>
      <c r="BO303" s="224"/>
      <c r="BP303" s="225"/>
      <c r="BQ303" s="225"/>
      <c r="BR303" s="226"/>
      <c r="BS303" s="240">
        <v>48.64</v>
      </c>
      <c r="BT303" s="238">
        <v>41.08</v>
      </c>
      <c r="BU303" s="238">
        <v>53.34</v>
      </c>
      <c r="BV303" s="241"/>
      <c r="BW303" s="229"/>
      <c r="BX303" s="215"/>
      <c r="BY303" s="125">
        <f t="shared" si="69"/>
        <v>48.64</v>
      </c>
      <c r="BZ303" s="126">
        <f t="shared" si="70"/>
        <v>41.08</v>
      </c>
      <c r="CA303" s="126">
        <f t="shared" si="71"/>
        <v>53.34</v>
      </c>
      <c r="CB303" s="127">
        <f t="shared" si="72"/>
        <v>0</v>
      </c>
      <c r="CC303" s="768"/>
    </row>
    <row r="304" spans="1:82" s="171" customFormat="1" ht="16.5" customHeight="1" outlineLevel="3" x14ac:dyDescent="0.25">
      <c r="A304" s="166"/>
      <c r="B304" s="166"/>
      <c r="C304" s="167" t="s">
        <v>83</v>
      </c>
      <c r="D304" s="167" t="s">
        <v>84</v>
      </c>
      <c r="E304" s="167" t="s">
        <v>73</v>
      </c>
      <c r="F304" s="167" t="s">
        <v>74</v>
      </c>
      <c r="G304" s="167" t="s">
        <v>388</v>
      </c>
      <c r="H304" s="167" t="s">
        <v>73</v>
      </c>
      <c r="I304" s="167" t="s">
        <v>73</v>
      </c>
      <c r="J304" s="167" t="s">
        <v>73</v>
      </c>
      <c r="K304" s="168" t="s">
        <v>73</v>
      </c>
      <c r="L304" s="167" t="s">
        <v>192</v>
      </c>
      <c r="M304" s="166" t="str">
        <f t="array" ref="M304">Y95</f>
        <v>1ХВС::1.1</v>
      </c>
      <c r="N304" s="166"/>
      <c r="O304" s="166"/>
      <c r="P304" s="166"/>
      <c r="Q304" s="166"/>
      <c r="R304" s="166"/>
      <c r="S304" s="166"/>
      <c r="T304" s="166"/>
      <c r="U304" s="166"/>
      <c r="V304" s="166"/>
      <c r="W304" s="166"/>
      <c r="X304" s="166"/>
      <c r="Y304" s="166"/>
      <c r="Z304" s="166"/>
      <c r="AA304" s="166"/>
      <c r="AB304" s="155" t="str">
        <f>AB143&amp;".4"</f>
        <v>3.1.1.4</v>
      </c>
      <c r="AC304" s="252" t="s">
        <v>389</v>
      </c>
      <c r="AD304" s="157" t="s">
        <v>111</v>
      </c>
      <c r="AE304" s="253">
        <f t="shared" ref="AE304:AK304" si="76">SUM(AE305:AE307)+SUM(AE313:AE317)</f>
        <v>91446.847959999999</v>
      </c>
      <c r="AF304" s="159">
        <f t="shared" si="76"/>
        <v>89604.96</v>
      </c>
      <c r="AG304" s="159">
        <f t="shared" si="76"/>
        <v>118183.64032600001</v>
      </c>
      <c r="AH304" s="254">
        <f>SUM(AH305:AH307)+SUM(AH313:AH317)</f>
        <v>104709.82</v>
      </c>
      <c r="AI304" s="162">
        <f t="shared" si="76"/>
        <v>0</v>
      </c>
      <c r="AJ304" s="159">
        <f t="shared" si="76"/>
        <v>0</v>
      </c>
      <c r="AK304" s="159">
        <f t="shared" si="76"/>
        <v>0</v>
      </c>
      <c r="AL304" s="263">
        <v>0</v>
      </c>
      <c r="AM304" s="253">
        <f t="shared" ref="AM304:BV304" si="77">SUM(AM305:AM307)+SUM(AM313:AM317)</f>
        <v>3630.5709999999999</v>
      </c>
      <c r="AN304" s="159">
        <f t="shared" si="77"/>
        <v>0</v>
      </c>
      <c r="AO304" s="159">
        <f t="shared" si="77"/>
        <v>4995.6592000000001</v>
      </c>
      <c r="AP304" s="254">
        <f>SUM(AP305:AP307)+SUM(AP313:AP317)</f>
        <v>3526.2464199999999</v>
      </c>
      <c r="AQ304" s="162">
        <f t="shared" si="77"/>
        <v>5433.1470000000008</v>
      </c>
      <c r="AR304" s="159">
        <f t="shared" si="77"/>
        <v>0</v>
      </c>
      <c r="AS304" s="159">
        <f t="shared" si="77"/>
        <v>5705.3788759999998</v>
      </c>
      <c r="AT304" s="263">
        <f t="shared" si="77"/>
        <v>4955.1953500000009</v>
      </c>
      <c r="AU304" s="253">
        <f t="shared" si="77"/>
        <v>1984.6849999999999</v>
      </c>
      <c r="AV304" s="159">
        <f t="shared" si="77"/>
        <v>0</v>
      </c>
      <c r="AW304" s="159">
        <f t="shared" si="77"/>
        <v>1370.266138</v>
      </c>
      <c r="AX304" s="263">
        <f t="shared" si="77"/>
        <v>2448.7070800000001</v>
      </c>
      <c r="AY304" s="253">
        <f t="shared" si="77"/>
        <v>4483.6559999999999</v>
      </c>
      <c r="AZ304" s="159">
        <f t="shared" si="77"/>
        <v>6886.79</v>
      </c>
      <c r="BA304" s="159">
        <f t="shared" si="77"/>
        <v>7176.0409999999993</v>
      </c>
      <c r="BB304" s="263">
        <f t="shared" si="77"/>
        <v>7165.6420995125991</v>
      </c>
      <c r="BC304" s="253">
        <f t="shared" si="77"/>
        <v>2576.137976</v>
      </c>
      <c r="BD304" s="159">
        <f t="shared" si="77"/>
        <v>0</v>
      </c>
      <c r="BE304" s="159">
        <f t="shared" si="77"/>
        <v>4371.7740739999999</v>
      </c>
      <c r="BF304" s="976">
        <f t="shared" si="77"/>
        <v>2450.7497818000002</v>
      </c>
      <c r="BG304" s="253">
        <f t="shared" si="77"/>
        <v>5114.775302</v>
      </c>
      <c r="BH304" s="159">
        <f t="shared" si="77"/>
        <v>6718.1303349999998</v>
      </c>
      <c r="BI304" s="159">
        <f t="shared" si="77"/>
        <v>5994.9520000000002</v>
      </c>
      <c r="BJ304" s="263">
        <f t="shared" si="77"/>
        <v>6990.0802509608002</v>
      </c>
      <c r="BK304" s="253">
        <f t="shared" si="77"/>
        <v>6810.9676099999997</v>
      </c>
      <c r="BL304" s="159">
        <f t="shared" si="77"/>
        <v>747.3</v>
      </c>
      <c r="BM304" s="159">
        <f t="shared" si="77"/>
        <v>8225.0031999999992</v>
      </c>
      <c r="BN304" s="263">
        <f>SUM(BN305:BN307)+SUM(BN313:BN317)</f>
        <v>6953.6074599999993</v>
      </c>
      <c r="BO304" s="253">
        <f t="shared" si="77"/>
        <v>324.85616000000005</v>
      </c>
      <c r="BP304" s="159">
        <f t="shared" si="77"/>
        <v>51.33</v>
      </c>
      <c r="BQ304" s="159">
        <f t="shared" si="77"/>
        <v>405.59622000000002</v>
      </c>
      <c r="BR304" s="254">
        <f t="shared" si="77"/>
        <v>470.41812375839999</v>
      </c>
      <c r="BS304" s="253">
        <f t="shared" si="77"/>
        <v>1927.25</v>
      </c>
      <c r="BT304" s="159">
        <f t="shared" si="77"/>
        <v>132.54</v>
      </c>
      <c r="BU304" s="159">
        <f t="shared" si="77"/>
        <v>2833.4900000000002</v>
      </c>
      <c r="BV304" s="254">
        <f t="shared" si="77"/>
        <v>2131.2469799999999</v>
      </c>
      <c r="BW304" s="170"/>
      <c r="BX304" s="166"/>
      <c r="BY304" s="163">
        <f t="shared" si="69"/>
        <v>123732.89400799997</v>
      </c>
      <c r="BZ304" s="164">
        <f t="shared" si="70"/>
        <v>104141.05033499999</v>
      </c>
      <c r="CA304" s="164">
        <f t="shared" si="71"/>
        <v>159261.801034</v>
      </c>
      <c r="CB304" s="165">
        <f t="shared" si="72"/>
        <v>141801.71354603179</v>
      </c>
      <c r="CC304" s="760"/>
      <c r="CD304" s="1027"/>
    </row>
    <row r="305" spans="1:81" ht="30.75" customHeight="1" outlineLevel="4" x14ac:dyDescent="0.25">
      <c r="C305" s="10" t="s">
        <v>83</v>
      </c>
      <c r="D305" s="10" t="s">
        <v>84</v>
      </c>
      <c r="E305" s="10" t="s">
        <v>73</v>
      </c>
      <c r="F305" s="10" t="s">
        <v>74</v>
      </c>
      <c r="G305" s="10" t="s">
        <v>390</v>
      </c>
      <c r="H305" s="10" t="s">
        <v>73</v>
      </c>
      <c r="I305" s="10" t="s">
        <v>73</v>
      </c>
      <c r="J305" s="10" t="s">
        <v>73</v>
      </c>
      <c r="K305" s="12" t="s">
        <v>73</v>
      </c>
      <c r="L305" s="10" t="s">
        <v>73</v>
      </c>
      <c r="M305" s="5" t="str">
        <f t="array" ref="M305">Y95</f>
        <v>1ХВС::1.1</v>
      </c>
      <c r="AB305" s="29" t="str">
        <f>AB304&amp;".1"</f>
        <v>3.1.1.4.1</v>
      </c>
      <c r="AC305" s="174" t="s">
        <v>390</v>
      </c>
      <c r="AD305" s="51" t="s">
        <v>111</v>
      </c>
      <c r="AE305" s="95"/>
      <c r="AF305" s="178"/>
      <c r="AG305" s="178"/>
      <c r="AH305" s="96"/>
      <c r="AI305" s="187"/>
      <c r="AJ305" s="178"/>
      <c r="AK305" s="178"/>
      <c r="AL305" s="181"/>
      <c r="AM305" s="95"/>
      <c r="AN305" s="178"/>
      <c r="AO305" s="178"/>
      <c r="AP305" s="96"/>
      <c r="AQ305" s="187"/>
      <c r="AR305" s="178"/>
      <c r="AS305" s="178"/>
      <c r="AT305" s="181"/>
      <c r="AU305" s="95"/>
      <c r="AV305" s="178"/>
      <c r="AW305" s="178"/>
      <c r="AX305" s="181"/>
      <c r="AY305" s="95"/>
      <c r="AZ305" s="178"/>
      <c r="BA305" s="178"/>
      <c r="BB305" s="181"/>
      <c r="BC305" s="95"/>
      <c r="BD305" s="178"/>
      <c r="BE305" s="178"/>
      <c r="BF305" s="210"/>
      <c r="BG305" s="95"/>
      <c r="BH305" s="178"/>
      <c r="BI305" s="178"/>
      <c r="BJ305" s="181"/>
      <c r="BK305" s="95"/>
      <c r="BL305" s="178"/>
      <c r="BM305" s="178"/>
      <c r="BN305" s="181"/>
      <c r="BO305" s="185"/>
      <c r="BP305" s="183"/>
      <c r="BQ305" s="183"/>
      <c r="BR305" s="186"/>
      <c r="BS305" s="185"/>
      <c r="BT305" s="183"/>
      <c r="BU305" s="183"/>
      <c r="BV305" s="186"/>
      <c r="BY305" s="125">
        <f t="shared" si="69"/>
        <v>0</v>
      </c>
      <c r="BZ305" s="126">
        <f t="shared" si="70"/>
        <v>0</v>
      </c>
      <c r="CA305" s="126">
        <f t="shared" si="71"/>
        <v>0</v>
      </c>
      <c r="CB305" s="127">
        <f t="shared" si="72"/>
        <v>0</v>
      </c>
    </row>
    <row r="306" spans="1:81" ht="31.5" outlineLevel="4" x14ac:dyDescent="0.25">
      <c r="C306" s="10" t="s">
        <v>83</v>
      </c>
      <c r="D306" s="10" t="s">
        <v>84</v>
      </c>
      <c r="E306" s="10" t="s">
        <v>73</v>
      </c>
      <c r="F306" s="10" t="s">
        <v>74</v>
      </c>
      <c r="G306" s="10" t="s">
        <v>391</v>
      </c>
      <c r="H306" s="10" t="s">
        <v>73</v>
      </c>
      <c r="I306" s="10" t="s">
        <v>73</v>
      </c>
      <c r="J306" s="10" t="s">
        <v>73</v>
      </c>
      <c r="K306" s="12" t="s">
        <v>73</v>
      </c>
      <c r="L306" s="10" t="s">
        <v>73</v>
      </c>
      <c r="M306" s="5" t="str">
        <f t="array" ref="M306">Y95</f>
        <v>1ХВС::1.1</v>
      </c>
      <c r="AB306" s="29" t="str">
        <f>AB304&amp;".2"</f>
        <v>3.1.1.4.2</v>
      </c>
      <c r="AC306" s="174" t="s">
        <v>391</v>
      </c>
      <c r="AD306" s="51" t="s">
        <v>111</v>
      </c>
      <c r="AE306" s="95"/>
      <c r="AF306" s="178"/>
      <c r="AG306" s="178">
        <v>1944.31</v>
      </c>
      <c r="AH306" s="96"/>
      <c r="AI306" s="187"/>
      <c r="AJ306" s="178"/>
      <c r="AK306" s="178"/>
      <c r="AL306" s="181"/>
      <c r="AM306" s="95"/>
      <c r="AN306" s="178"/>
      <c r="AO306" s="178"/>
      <c r="AP306" s="96"/>
      <c r="AQ306" s="187"/>
      <c r="AR306" s="178"/>
      <c r="AS306" s="178"/>
      <c r="AT306" s="181"/>
      <c r="AU306" s="95"/>
      <c r="AV306" s="178"/>
      <c r="AW306" s="178"/>
      <c r="AX306" s="181"/>
      <c r="AY306" s="95"/>
      <c r="AZ306" s="178"/>
      <c r="BA306" s="178"/>
      <c r="BB306" s="181"/>
      <c r="BC306" s="95"/>
      <c r="BD306" s="178"/>
      <c r="BE306" s="178"/>
      <c r="BF306" s="210"/>
      <c r="BG306" s="95"/>
      <c r="BH306" s="178"/>
      <c r="BI306" s="178"/>
      <c r="BJ306" s="181"/>
      <c r="BK306" s="95"/>
      <c r="BL306" s="178"/>
      <c r="BM306" s="178"/>
      <c r="BN306" s="181"/>
      <c r="BO306" s="185"/>
      <c r="BP306" s="183"/>
      <c r="BQ306" s="183"/>
      <c r="BR306" s="186"/>
      <c r="BS306" s="185"/>
      <c r="BT306" s="183"/>
      <c r="BU306" s="183"/>
      <c r="BV306" s="186"/>
      <c r="BY306" s="125">
        <f t="shared" si="69"/>
        <v>0</v>
      </c>
      <c r="BZ306" s="126">
        <f t="shared" si="70"/>
        <v>0</v>
      </c>
      <c r="CA306" s="126">
        <f t="shared" si="71"/>
        <v>1944.31</v>
      </c>
      <c r="CB306" s="127">
        <f t="shared" si="72"/>
        <v>0</v>
      </c>
    </row>
    <row r="307" spans="1:81" ht="49.5" customHeight="1" outlineLevel="4" x14ac:dyDescent="0.25">
      <c r="C307" s="10" t="s">
        <v>83</v>
      </c>
      <c r="D307" s="10" t="s">
        <v>84</v>
      </c>
      <c r="E307" s="10" t="s">
        <v>73</v>
      </c>
      <c r="F307" s="10" t="s">
        <v>74</v>
      </c>
      <c r="G307" s="10" t="s">
        <v>201</v>
      </c>
      <c r="H307" s="10" t="s">
        <v>392</v>
      </c>
      <c r="I307" s="10" t="s">
        <v>73</v>
      </c>
      <c r="J307" s="10" t="s">
        <v>73</v>
      </c>
      <c r="K307" s="12" t="s">
        <v>73</v>
      </c>
      <c r="L307" s="10" t="s">
        <v>73</v>
      </c>
      <c r="M307" s="5" t="str">
        <f t="array" ref="M307">Y95</f>
        <v>1ХВС::1.1</v>
      </c>
      <c r="AB307" s="29" t="str">
        <f>AB304&amp;".3"</f>
        <v>3.1.1.4.3</v>
      </c>
      <c r="AC307" s="174" t="s">
        <v>393</v>
      </c>
      <c r="AD307" s="51" t="s">
        <v>111</v>
      </c>
      <c r="AE307" s="72">
        <f>AE308+AE311</f>
        <v>73276.533960000001</v>
      </c>
      <c r="AF307" s="178">
        <f>60229.79+18189.4</f>
        <v>78419.19</v>
      </c>
      <c r="AG307" s="178">
        <f>AG308*1.302</f>
        <v>94054.804326000012</v>
      </c>
      <c r="AH307" s="96">
        <v>92339.35</v>
      </c>
      <c r="AI307" s="179">
        <f>AI308+AI311</f>
        <v>0</v>
      </c>
      <c r="AJ307" s="178"/>
      <c r="AK307" s="178"/>
      <c r="AL307" s="181"/>
      <c r="AM307" s="72">
        <f>AM308+AM311</f>
        <v>2393.6509999999998</v>
      </c>
      <c r="AN307" s="73"/>
      <c r="AO307" s="73">
        <f>AO308+AO311</f>
        <v>3496.0291999999999</v>
      </c>
      <c r="AP307" s="74">
        <f>AP308+AP311</f>
        <v>3016.3564200000001</v>
      </c>
      <c r="AQ307" s="179">
        <f>AQ308+AQ311</f>
        <v>3371.8070000000002</v>
      </c>
      <c r="AR307" s="178"/>
      <c r="AS307" s="178">
        <f>AS308*1.302</f>
        <v>4055.388876</v>
      </c>
      <c r="AT307" s="181">
        <f>AT308+AT311</f>
        <v>4248.9793500000005</v>
      </c>
      <c r="AU307" s="72">
        <f>AU308+AU311</f>
        <v>1826.2349999999999</v>
      </c>
      <c r="AV307" s="178"/>
      <c r="AW307" s="178">
        <f>AW308*1.302</f>
        <v>1146.696138</v>
      </c>
      <c r="AX307" s="181">
        <f>AX308*1.302</f>
        <v>2301.3370800000002</v>
      </c>
      <c r="AY307" s="72">
        <f>AY308+AY311</f>
        <v>2896.0360000000001</v>
      </c>
      <c r="AZ307" s="73">
        <f>AZ308+AZ311</f>
        <v>5243.63</v>
      </c>
      <c r="BA307" s="73">
        <f>BA308+BA311</f>
        <v>5313.9609999999993</v>
      </c>
      <c r="BB307" s="138">
        <f>BB308+BB311</f>
        <v>5455.950551112599</v>
      </c>
      <c r="BC307" s="72">
        <f>BC308+BC311</f>
        <v>1773.0479760000001</v>
      </c>
      <c r="BD307" s="178"/>
      <c r="BE307" s="178">
        <f t="shared" ref="BE307:BJ307" si="78">BE308+BE311</f>
        <v>3312.2710740000002</v>
      </c>
      <c r="BF307" s="210">
        <f t="shared" si="78"/>
        <v>2234.3047818</v>
      </c>
      <c r="BG307" s="72">
        <f t="shared" si="78"/>
        <v>3841.5523020000001</v>
      </c>
      <c r="BH307" s="178">
        <f t="shared" si="78"/>
        <v>4345.4803350000002</v>
      </c>
      <c r="BI307" s="178">
        <f t="shared" si="78"/>
        <v>4616.9920000000002</v>
      </c>
      <c r="BJ307" s="181">
        <f t="shared" si="78"/>
        <v>4521.3853789608002</v>
      </c>
      <c r="BK307" s="72">
        <v>4875.97</v>
      </c>
      <c r="BL307" s="178"/>
      <c r="BM307" s="178">
        <v>5365.1207999999997</v>
      </c>
      <c r="BN307" s="138">
        <f>BN308+BN311</f>
        <v>6144.4374599999992</v>
      </c>
      <c r="BO307" s="142">
        <f>BO308+BO311</f>
        <v>255.29616000000001</v>
      </c>
      <c r="BP307" s="183"/>
      <c r="BQ307" s="183">
        <f>BQ308+BQ311</f>
        <v>301.55622</v>
      </c>
      <c r="BR307" s="186">
        <f>BR308+BR311</f>
        <v>401.11599255839997</v>
      </c>
      <c r="BS307" s="142">
        <f>BS308+BS311</f>
        <v>1575.635</v>
      </c>
      <c r="BT307" s="183"/>
      <c r="BU307" s="183">
        <f>BU308+BU311</f>
        <v>2411.36</v>
      </c>
      <c r="BV307" s="186">
        <f>BV308+BV311</f>
        <v>1985.5369799999999</v>
      </c>
      <c r="BY307" s="125">
        <f t="shared" si="69"/>
        <v>96085.764397999985</v>
      </c>
      <c r="BZ307" s="126">
        <f t="shared" si="70"/>
        <v>88008.300335000007</v>
      </c>
      <c r="CA307" s="126">
        <f t="shared" si="71"/>
        <v>124074.17963400001</v>
      </c>
      <c r="CB307" s="127">
        <f t="shared" si="72"/>
        <v>122648.75399443181</v>
      </c>
    </row>
    <row r="308" spans="1:81" ht="17.649999999999999" customHeight="1" outlineLevel="4" x14ac:dyDescent="0.25">
      <c r="C308" s="10" t="s">
        <v>394</v>
      </c>
      <c r="D308" s="10" t="s">
        <v>84</v>
      </c>
      <c r="F308" s="10" t="s">
        <v>74</v>
      </c>
      <c r="G308" s="77" t="str">
        <f t="array" ref="G308">AC308</f>
        <v>Заработная плата всего</v>
      </c>
      <c r="H308" s="10" t="s">
        <v>73</v>
      </c>
      <c r="I308" s="10" t="s">
        <v>73</v>
      </c>
      <c r="J308" s="10" t="s">
        <v>73</v>
      </c>
      <c r="L308" s="10" t="s">
        <v>73</v>
      </c>
      <c r="M308" s="5" t="str">
        <f t="array" ref="M308">Y95</f>
        <v>1ХВС::1.1</v>
      </c>
      <c r="AB308" s="29" t="str">
        <f>AB307&amp;".1"</f>
        <v>3.1.1.4.3.1</v>
      </c>
      <c r="AC308" s="177" t="s">
        <v>395</v>
      </c>
      <c r="AD308" s="51" t="s">
        <v>111</v>
      </c>
      <c r="AE308" s="95">
        <v>56279.98</v>
      </c>
      <c r="AF308" s="178">
        <v>60229.29</v>
      </c>
      <c r="AG308" s="178">
        <v>72238.713000000003</v>
      </c>
      <c r="AH308" s="96">
        <v>70921.16</v>
      </c>
      <c r="AI308" s="187"/>
      <c r="AJ308" s="178"/>
      <c r="AK308" s="178"/>
      <c r="AL308" s="181"/>
      <c r="AM308" s="95">
        <v>1838.441</v>
      </c>
      <c r="AN308" s="178">
        <v>0</v>
      </c>
      <c r="AO308" s="178">
        <v>2685.1192000000001</v>
      </c>
      <c r="AP308" s="96">
        <v>2316.71</v>
      </c>
      <c r="AQ308" s="187">
        <v>2589.7170000000001</v>
      </c>
      <c r="AR308" s="178"/>
      <c r="AS308" s="178">
        <v>3114.7379999999998</v>
      </c>
      <c r="AT308" s="181">
        <v>3263.4250000000002</v>
      </c>
      <c r="AU308" s="95">
        <v>1402.645</v>
      </c>
      <c r="AV308" s="178">
        <v>0</v>
      </c>
      <c r="AW308" s="178">
        <v>880.71900000000005</v>
      </c>
      <c r="AX308" s="181">
        <v>1767.54</v>
      </c>
      <c r="AY308" s="95">
        <v>2224.2959999999998</v>
      </c>
      <c r="AZ308" s="178">
        <v>4027.37</v>
      </c>
      <c r="BA308" s="178">
        <v>4081.3809999999999</v>
      </c>
      <c r="BB308" s="181">
        <f>AZ308*1.04049</f>
        <v>4190.4382112999992</v>
      </c>
      <c r="BC308" s="95">
        <v>1361.788</v>
      </c>
      <c r="BD308" s="178"/>
      <c r="BE308" s="178">
        <v>2543.9870000000001</v>
      </c>
      <c r="BF308" s="210">
        <v>1716.0559000000001</v>
      </c>
      <c r="BG308" s="95">
        <v>2950.5010000000002</v>
      </c>
      <c r="BH308" s="178">
        <v>3337.5425</v>
      </c>
      <c r="BI308" s="178">
        <v>3546.0819999999999</v>
      </c>
      <c r="BJ308" s="181">
        <f>BH308*1.04048</f>
        <v>3472.6462204000004</v>
      </c>
      <c r="BK308" s="95">
        <v>3744.9810000000002</v>
      </c>
      <c r="BL308" s="178"/>
      <c r="BM308" s="178">
        <v>4120.6776</v>
      </c>
      <c r="BN308" s="181">
        <v>4719.2299999999996</v>
      </c>
      <c r="BO308" s="185">
        <v>196.08</v>
      </c>
      <c r="BP308" s="183"/>
      <c r="BQ308" s="183">
        <v>231.61</v>
      </c>
      <c r="BR308" s="186">
        <f>247.094*1.2468</f>
        <v>308.07679919999998</v>
      </c>
      <c r="BS308" s="185">
        <v>1210.165</v>
      </c>
      <c r="BT308" s="183"/>
      <c r="BU308" s="183">
        <v>1852.04</v>
      </c>
      <c r="BV308" s="186">
        <v>1524.99</v>
      </c>
      <c r="BY308" s="125">
        <f t="shared" si="69"/>
        <v>73798.593999999997</v>
      </c>
      <c r="BZ308" s="126">
        <f t="shared" si="70"/>
        <v>67594.202499999999</v>
      </c>
      <c r="CA308" s="126">
        <f t="shared" si="71"/>
        <v>95295.066799999971</v>
      </c>
      <c r="CB308" s="127">
        <f t="shared" si="72"/>
        <v>94200.272130900019</v>
      </c>
    </row>
    <row r="309" spans="1:81" s="115" customFormat="1" ht="14.25" customHeight="1" outlineLevel="4" x14ac:dyDescent="0.25">
      <c r="A309" s="100"/>
      <c r="B309" s="100"/>
      <c r="C309" s="99" t="s">
        <v>206</v>
      </c>
      <c r="D309" s="99" t="s">
        <v>207</v>
      </c>
      <c r="E309" s="99" t="s">
        <v>73</v>
      </c>
      <c r="F309" s="99" t="s">
        <v>74</v>
      </c>
      <c r="G309" s="99" t="s">
        <v>73</v>
      </c>
      <c r="H309" s="99" t="s">
        <v>73</v>
      </c>
      <c r="I309" s="99" t="s">
        <v>73</v>
      </c>
      <c r="J309" s="99" t="s">
        <v>73</v>
      </c>
      <c r="K309" s="102" t="s">
        <v>73</v>
      </c>
      <c r="L309" s="99" t="s">
        <v>73</v>
      </c>
      <c r="M309" s="100" t="str">
        <f t="array" ref="M309">Y95</f>
        <v>1ХВС::1.1</v>
      </c>
      <c r="N309" s="100"/>
      <c r="O309" s="100"/>
      <c r="P309" s="100"/>
      <c r="Q309" s="100"/>
      <c r="R309" s="100"/>
      <c r="S309" s="100"/>
      <c r="T309" s="100"/>
      <c r="U309" s="100"/>
      <c r="V309" s="100"/>
      <c r="W309" s="100"/>
      <c r="X309" s="100"/>
      <c r="Y309" s="100"/>
      <c r="Z309" s="100"/>
      <c r="AA309" s="100"/>
      <c r="AB309" s="103" t="str">
        <f>AB308&amp;".1"</f>
        <v>3.1.1.4.3.1.1</v>
      </c>
      <c r="AC309" s="188" t="s">
        <v>208</v>
      </c>
      <c r="AD309" s="189" t="s">
        <v>209</v>
      </c>
      <c r="AE309" s="190">
        <f t="shared" ref="AE309:AK309" si="79">AE308/AE310/12*1000</f>
        <v>61387.41273996509</v>
      </c>
      <c r="AF309" s="191">
        <f t="shared" si="79"/>
        <v>58024.364161849713</v>
      </c>
      <c r="AG309" s="191">
        <f t="shared" si="79"/>
        <v>56260.679906542056</v>
      </c>
      <c r="AH309" s="192">
        <f t="shared" si="79"/>
        <v>70324.805648104069</v>
      </c>
      <c r="AI309" s="640" t="e">
        <f t="shared" si="79"/>
        <v>#DIV/0!</v>
      </c>
      <c r="AJ309" s="191" t="e">
        <f t="shared" si="79"/>
        <v>#DIV/0!</v>
      </c>
      <c r="AK309" s="191" t="e">
        <f t="shared" si="79"/>
        <v>#DIV/0!</v>
      </c>
      <c r="AL309" s="193"/>
      <c r="AM309" s="190">
        <f t="shared" ref="AM309:BC309" si="80">AM308/AM310/12*1000</f>
        <v>52828.764367816089</v>
      </c>
      <c r="AN309" s="191" t="e">
        <f t="shared" si="80"/>
        <v>#DIV/0!</v>
      </c>
      <c r="AO309" s="191">
        <f t="shared" si="80"/>
        <v>48643.463768115944</v>
      </c>
      <c r="AP309" s="192">
        <f t="shared" si="80"/>
        <v>60520.114942528744</v>
      </c>
      <c r="AQ309" s="640">
        <f t="shared" si="80"/>
        <v>55335.833333333343</v>
      </c>
      <c r="AR309" s="191" t="e">
        <f t="shared" si="80"/>
        <v>#DIV/0!</v>
      </c>
      <c r="AS309" s="191">
        <f t="shared" si="80"/>
        <v>48973.867924528298</v>
      </c>
      <c r="AT309" s="193">
        <f t="shared" si="80"/>
        <v>63392.094017094023</v>
      </c>
      <c r="AU309" s="190">
        <f t="shared" si="80"/>
        <v>53130.492424242417</v>
      </c>
      <c r="AV309" s="191" t="e">
        <f t="shared" si="80"/>
        <v>#DIV/0!</v>
      </c>
      <c r="AW309" s="191">
        <f t="shared" si="80"/>
        <v>48928.833333333336</v>
      </c>
      <c r="AX309" s="193">
        <f t="shared" si="80"/>
        <v>60865.702479338841</v>
      </c>
      <c r="AY309" s="190">
        <f t="shared" si="80"/>
        <v>54517.058823529405</v>
      </c>
      <c r="AZ309" s="191">
        <f t="shared" si="80"/>
        <v>50166.542102640757</v>
      </c>
      <c r="BA309" s="191">
        <f t="shared" si="80"/>
        <v>49292.041062801931</v>
      </c>
      <c r="BB309" s="193">
        <f t="shared" si="80"/>
        <v>52197.785392376667</v>
      </c>
      <c r="BC309" s="190">
        <f t="shared" si="80"/>
        <v>45392.933333333334</v>
      </c>
      <c r="BD309" s="191"/>
      <c r="BE309" s="191">
        <f t="shared" ref="BE309:BM309" si="81">BE308/BE310/12*1000</f>
        <v>47110.870370370372</v>
      </c>
      <c r="BF309" s="977">
        <f t="shared" si="81"/>
        <v>52001.693939393939</v>
      </c>
      <c r="BG309" s="190">
        <f t="shared" si="81"/>
        <v>49175.01666666667</v>
      </c>
      <c r="BH309" s="191">
        <f t="shared" si="81"/>
        <v>46354.756944444438</v>
      </c>
      <c r="BI309" s="191">
        <f t="shared" si="81"/>
        <v>49251.138888888883</v>
      </c>
      <c r="BJ309" s="193">
        <f t="shared" si="81"/>
        <v>48231.197505555567</v>
      </c>
      <c r="BK309" s="190">
        <f t="shared" si="81"/>
        <v>43874.841838886547</v>
      </c>
      <c r="BL309" s="191" t="e">
        <f t="shared" si="81"/>
        <v>#DIV/0!</v>
      </c>
      <c r="BM309" s="191">
        <f t="shared" si="81"/>
        <v>48296.736990154706</v>
      </c>
      <c r="BN309" s="193">
        <f>(BN308/BN310)/12*1000</f>
        <v>50290.174765558389</v>
      </c>
      <c r="BO309" s="197">
        <f t="shared" ref="BO309:BV309" si="82">BO308/BO310/12*1000</f>
        <v>39853.658536585368</v>
      </c>
      <c r="BP309" s="195" t="e">
        <f t="shared" si="82"/>
        <v>#DIV/0!</v>
      </c>
      <c r="BQ309" s="195">
        <f t="shared" si="82"/>
        <v>38601.666666666664</v>
      </c>
      <c r="BR309" s="198">
        <f t="shared" si="82"/>
        <v>57051.259111111111</v>
      </c>
      <c r="BS309" s="197">
        <f t="shared" si="82"/>
        <v>40338.833333333336</v>
      </c>
      <c r="BT309" s="195" t="e">
        <f t="shared" si="82"/>
        <v>#DIV/0!</v>
      </c>
      <c r="BU309" s="195">
        <f t="shared" si="82"/>
        <v>38584.166666666672</v>
      </c>
      <c r="BV309" s="198">
        <f t="shared" si="82"/>
        <v>46211.818181818184</v>
      </c>
      <c r="BW309" s="111"/>
      <c r="BX309" s="100"/>
      <c r="BY309" s="112">
        <f>BY308/BY310/12*1000</f>
        <v>57841.509676488924</v>
      </c>
      <c r="BZ309" s="113">
        <f>BZ308/BZ310/12*1000</f>
        <v>56788.48884296132</v>
      </c>
      <c r="CA309" s="113">
        <f>CA308/CA310/12*1000</f>
        <v>53871.891775772761</v>
      </c>
      <c r="CB309" s="114">
        <f>CB308/CB310/12*1000</f>
        <v>65199.523900124586</v>
      </c>
      <c r="CC309" s="759"/>
    </row>
    <row r="310" spans="1:81" s="115" customFormat="1" ht="14.25" customHeight="1" outlineLevel="4" x14ac:dyDescent="0.25">
      <c r="A310" s="100"/>
      <c r="B310" s="100"/>
      <c r="C310" s="99" t="s">
        <v>210</v>
      </c>
      <c r="D310" s="99" t="s">
        <v>211</v>
      </c>
      <c r="E310" s="99" t="s">
        <v>73</v>
      </c>
      <c r="F310" s="99" t="s">
        <v>74</v>
      </c>
      <c r="G310" s="99" t="s">
        <v>73</v>
      </c>
      <c r="H310" s="99" t="s">
        <v>73</v>
      </c>
      <c r="I310" s="99" t="s">
        <v>73</v>
      </c>
      <c r="J310" s="99" t="s">
        <v>73</v>
      </c>
      <c r="K310" s="102" t="s">
        <v>73</v>
      </c>
      <c r="L310" s="99" t="s">
        <v>73</v>
      </c>
      <c r="M310" s="100" t="str">
        <f t="array" ref="M310">Y95</f>
        <v>1ХВС::1.1</v>
      </c>
      <c r="N310" s="100"/>
      <c r="O310" s="100"/>
      <c r="P310" s="100"/>
      <c r="Q310" s="100"/>
      <c r="R310" s="100"/>
      <c r="S310" s="100"/>
      <c r="T310" s="100"/>
      <c r="U310" s="100"/>
      <c r="V310" s="100"/>
      <c r="W310" s="100"/>
      <c r="X310" s="100"/>
      <c r="Y310" s="100"/>
      <c r="Z310" s="100"/>
      <c r="AA310" s="100"/>
      <c r="AB310" s="103" t="str">
        <f>AB308&amp;".2"</f>
        <v>3.1.1.4.3.1.2</v>
      </c>
      <c r="AC310" s="188" t="s">
        <v>212</v>
      </c>
      <c r="AD310" s="189" t="s">
        <v>213</v>
      </c>
      <c r="AE310" s="199">
        <v>76.400000000000006</v>
      </c>
      <c r="AF310" s="200">
        <v>86.5</v>
      </c>
      <c r="AG310" s="200">
        <v>107</v>
      </c>
      <c r="AH310" s="201">
        <v>84.04</v>
      </c>
      <c r="AI310" s="933"/>
      <c r="AJ310" s="200"/>
      <c r="AK310" s="200"/>
      <c r="AL310" s="202"/>
      <c r="AM310" s="199">
        <v>2.9</v>
      </c>
      <c r="AN310" s="200">
        <v>0</v>
      </c>
      <c r="AO310" s="200">
        <v>4.5999999999999996</v>
      </c>
      <c r="AP310" s="201">
        <v>3.19</v>
      </c>
      <c r="AQ310" s="933">
        <v>3.9</v>
      </c>
      <c r="AR310" s="200"/>
      <c r="AS310" s="200">
        <v>5.3</v>
      </c>
      <c r="AT310" s="202">
        <v>4.29</v>
      </c>
      <c r="AU310" s="199">
        <v>2.2000000000000002</v>
      </c>
      <c r="AV310" s="200"/>
      <c r="AW310" s="200">
        <v>1.5</v>
      </c>
      <c r="AX310" s="202">
        <v>2.42</v>
      </c>
      <c r="AY310" s="199">
        <v>3.4</v>
      </c>
      <c r="AZ310" s="200">
        <v>6.69</v>
      </c>
      <c r="BA310" s="200">
        <v>6.9</v>
      </c>
      <c r="BB310" s="202">
        <v>6.69</v>
      </c>
      <c r="BC310" s="199">
        <v>2.5</v>
      </c>
      <c r="BD310" s="200"/>
      <c r="BE310" s="200">
        <v>4.5</v>
      </c>
      <c r="BF310" s="978">
        <v>2.75</v>
      </c>
      <c r="BG310" s="199">
        <v>5</v>
      </c>
      <c r="BH310" s="200">
        <v>6</v>
      </c>
      <c r="BI310" s="200">
        <v>6</v>
      </c>
      <c r="BJ310" s="202">
        <v>6</v>
      </c>
      <c r="BK310" s="199">
        <v>7.1130000000000004</v>
      </c>
      <c r="BL310" s="200"/>
      <c r="BM310" s="200">
        <v>7.11</v>
      </c>
      <c r="BN310" s="202">
        <v>7.82</v>
      </c>
      <c r="BO310" s="206">
        <v>0.41</v>
      </c>
      <c r="BP310" s="204"/>
      <c r="BQ310" s="204">
        <v>0.5</v>
      </c>
      <c r="BR310" s="207">
        <v>0.45</v>
      </c>
      <c r="BS310" s="206">
        <v>2.5</v>
      </c>
      <c r="BT310" s="204"/>
      <c r="BU310" s="204">
        <v>4</v>
      </c>
      <c r="BV310" s="207">
        <v>2.75</v>
      </c>
      <c r="BW310" s="111"/>
      <c r="BX310" s="100"/>
      <c r="BY310" s="112">
        <f t="shared" ref="BY310:CB311" si="83">AE310+AI310+AM310+AQ310+AU310+AY310+BC310+BG310+BK310+BO310+BS310</f>
        <v>106.32300000000002</v>
      </c>
      <c r="BZ310" s="113">
        <f t="shared" si="83"/>
        <v>99.19</v>
      </c>
      <c r="CA310" s="113">
        <f t="shared" si="83"/>
        <v>147.41000000000003</v>
      </c>
      <c r="CB310" s="114">
        <f t="shared" si="83"/>
        <v>120.40000000000002</v>
      </c>
      <c r="CC310" s="759"/>
    </row>
    <row r="311" spans="1:81" ht="14.25" customHeight="1" outlineLevel="4" x14ac:dyDescent="0.25">
      <c r="C311" s="10" t="s">
        <v>83</v>
      </c>
      <c r="D311" s="10" t="s">
        <v>84</v>
      </c>
      <c r="E311" s="10" t="s">
        <v>73</v>
      </c>
      <c r="F311" s="10" t="s">
        <v>74</v>
      </c>
      <c r="G311" s="10" t="s">
        <v>214</v>
      </c>
      <c r="H311" s="10" t="s">
        <v>73</v>
      </c>
      <c r="I311" s="10" t="s">
        <v>73</v>
      </c>
      <c r="J311" s="10" t="s">
        <v>73</v>
      </c>
      <c r="K311" s="12" t="s">
        <v>73</v>
      </c>
      <c r="L311" s="10" t="s">
        <v>73</v>
      </c>
      <c r="M311" s="5" t="str">
        <f t="array" ref="M311">Y95</f>
        <v>1ХВС::1.1</v>
      </c>
      <c r="AB311" s="29" t="str">
        <f>AB307&amp;".2"</f>
        <v>3.1.1.4.3.2</v>
      </c>
      <c r="AC311" s="177" t="s">
        <v>214</v>
      </c>
      <c r="AD311" s="51" t="s">
        <v>111</v>
      </c>
      <c r="AE311" s="95">
        <f>AE308/100*30.2</f>
        <v>16996.553960000001</v>
      </c>
      <c r="AF311" s="73">
        <f>AF307-AF308</f>
        <v>18189.900000000001</v>
      </c>
      <c r="AG311" s="73">
        <f>AG307-AG308</f>
        <v>21816.091326000009</v>
      </c>
      <c r="AH311" s="74">
        <f>AH307-AH308</f>
        <v>21418.190000000002</v>
      </c>
      <c r="AI311" s="187"/>
      <c r="AJ311" s="73"/>
      <c r="AK311" s="73"/>
      <c r="AL311" s="138"/>
      <c r="AM311" s="95">
        <v>555.21</v>
      </c>
      <c r="AN311" s="73"/>
      <c r="AO311" s="73">
        <v>810.91</v>
      </c>
      <c r="AP311" s="74">
        <f>AP308*30.2%</f>
        <v>699.64642000000003</v>
      </c>
      <c r="AQ311" s="187">
        <v>782.09</v>
      </c>
      <c r="AR311" s="73"/>
      <c r="AS311" s="73">
        <v>940.65</v>
      </c>
      <c r="AT311" s="138">
        <f>AT308*30.2%</f>
        <v>985.55435</v>
      </c>
      <c r="AU311" s="95">
        <v>423.59</v>
      </c>
      <c r="AV311" s="73"/>
      <c r="AW311" s="73">
        <v>265.98</v>
      </c>
      <c r="AX311" s="138">
        <f>AX308*30.2%</f>
        <v>533.79707999999994</v>
      </c>
      <c r="AY311" s="95">
        <v>671.74</v>
      </c>
      <c r="AZ311" s="73">
        <v>1216.26</v>
      </c>
      <c r="BA311" s="73">
        <v>1232.58</v>
      </c>
      <c r="BB311" s="138">
        <f>BB308*30.2%</f>
        <v>1265.5123398125997</v>
      </c>
      <c r="BC311" s="95">
        <f>BC308*30.2%</f>
        <v>411.25997599999999</v>
      </c>
      <c r="BD311" s="73"/>
      <c r="BE311" s="73">
        <f>BE308*30.2%</f>
        <v>768.28407400000003</v>
      </c>
      <c r="BF311" s="774">
        <f>BF308*30.2%</f>
        <v>518.24888180000005</v>
      </c>
      <c r="BG311" s="95">
        <f>BG308*30.2%</f>
        <v>891.05130200000008</v>
      </c>
      <c r="BH311" s="73">
        <f>BH308*30.2%</f>
        <v>1007.937835</v>
      </c>
      <c r="BI311" s="73">
        <v>1070.9100000000001</v>
      </c>
      <c r="BJ311" s="138">
        <f>BJ308*30.2%</f>
        <v>1048.7391585608</v>
      </c>
      <c r="BK311" s="95">
        <v>1130.9839999999999</v>
      </c>
      <c r="BL311" s="73"/>
      <c r="BM311" s="73">
        <v>1244.44</v>
      </c>
      <c r="BN311" s="138">
        <f>BN308*0.302</f>
        <v>1425.2074599999999</v>
      </c>
      <c r="BO311" s="185">
        <f>BO308*BO312/100</f>
        <v>59.216160000000002</v>
      </c>
      <c r="BP311" s="140"/>
      <c r="BQ311" s="140">
        <f>BQ308*BQ312/100</f>
        <v>69.946219999999997</v>
      </c>
      <c r="BR311" s="143">
        <f>BR308*30.2%</f>
        <v>93.039193358399999</v>
      </c>
      <c r="BS311" s="185">
        <v>365.47</v>
      </c>
      <c r="BT311" s="140"/>
      <c r="BU311" s="140">
        <v>559.32000000000005</v>
      </c>
      <c r="BV311" s="143">
        <f>BV308*30.2%</f>
        <v>460.54697999999996</v>
      </c>
      <c r="BY311" s="125">
        <f t="shared" si="83"/>
        <v>22287.165398000005</v>
      </c>
      <c r="BZ311" s="126">
        <f t="shared" si="83"/>
        <v>20414.097835</v>
      </c>
      <c r="CA311" s="126">
        <f t="shared" si="83"/>
        <v>28779.111620000011</v>
      </c>
      <c r="CB311" s="127">
        <f t="shared" si="83"/>
        <v>28448.481863531801</v>
      </c>
    </row>
    <row r="312" spans="1:81" ht="14.25" customHeight="1" outlineLevel="4" x14ac:dyDescent="0.25">
      <c r="C312" s="10" t="s">
        <v>216</v>
      </c>
      <c r="D312" s="10" t="s">
        <v>217</v>
      </c>
      <c r="E312" s="10" t="s">
        <v>73</v>
      </c>
      <c r="F312" s="10" t="s">
        <v>74</v>
      </c>
      <c r="G312" s="10" t="s">
        <v>73</v>
      </c>
      <c r="H312" s="10" t="s">
        <v>73</v>
      </c>
      <c r="I312" s="10" t="s">
        <v>73</v>
      </c>
      <c r="J312" s="10" t="s">
        <v>73</v>
      </c>
      <c r="K312" s="12" t="s">
        <v>73</v>
      </c>
      <c r="L312" s="10" t="s">
        <v>73</v>
      </c>
      <c r="M312" s="5" t="str">
        <f t="array" ref="M312">Y95</f>
        <v>1ХВС::1.1</v>
      </c>
      <c r="AB312" s="29" t="str">
        <f>AB311&amp;".1"</f>
        <v>3.1.1.4.3.2.1</v>
      </c>
      <c r="AC312" s="208" t="s">
        <v>218</v>
      </c>
      <c r="AD312" s="51" t="s">
        <v>119</v>
      </c>
      <c r="AE312" s="72">
        <v>30.2</v>
      </c>
      <c r="AF312" s="73">
        <v>30.2</v>
      </c>
      <c r="AG312" s="73">
        <v>30.2</v>
      </c>
      <c r="AH312" s="74">
        <v>30.2</v>
      </c>
      <c r="AI312" s="179"/>
      <c r="AJ312" s="73"/>
      <c r="AK312" s="73"/>
      <c r="AL312" s="138"/>
      <c r="AM312" s="72">
        <v>30.2</v>
      </c>
      <c r="AN312" s="73"/>
      <c r="AO312" s="73">
        <v>30.2</v>
      </c>
      <c r="AP312" s="74">
        <v>30.2</v>
      </c>
      <c r="AQ312" s="179">
        <v>30.2</v>
      </c>
      <c r="AR312" s="73"/>
      <c r="AS312" s="73">
        <v>30.2</v>
      </c>
      <c r="AT312" s="138">
        <v>30.2</v>
      </c>
      <c r="AU312" s="72">
        <v>30.2</v>
      </c>
      <c r="AV312" s="73"/>
      <c r="AW312" s="73">
        <v>30.2</v>
      </c>
      <c r="AX312" s="138">
        <v>30.2</v>
      </c>
      <c r="AY312" s="72">
        <v>30.2</v>
      </c>
      <c r="AZ312" s="73">
        <v>30.2</v>
      </c>
      <c r="BA312" s="73">
        <v>30.2</v>
      </c>
      <c r="BB312" s="138">
        <v>30.2</v>
      </c>
      <c r="BC312" s="72">
        <v>30.2</v>
      </c>
      <c r="BD312" s="73"/>
      <c r="BE312" s="73">
        <v>30.2</v>
      </c>
      <c r="BF312" s="774">
        <v>30.2</v>
      </c>
      <c r="BG312" s="72">
        <v>30.2</v>
      </c>
      <c r="BH312" s="73">
        <v>30.2</v>
      </c>
      <c r="BI312" s="73">
        <v>30.2</v>
      </c>
      <c r="BJ312" s="138">
        <v>30.2</v>
      </c>
      <c r="BK312" s="72">
        <v>30.2</v>
      </c>
      <c r="BL312" s="73"/>
      <c r="BM312" s="73">
        <v>30.2</v>
      </c>
      <c r="BN312" s="138">
        <v>30.2</v>
      </c>
      <c r="BO312" s="142">
        <v>30.2</v>
      </c>
      <c r="BP312" s="140"/>
      <c r="BQ312" s="140">
        <v>30.2</v>
      </c>
      <c r="BR312" s="143">
        <v>30.2</v>
      </c>
      <c r="BS312" s="142">
        <v>30.2</v>
      </c>
      <c r="BT312" s="140">
        <v>30.2</v>
      </c>
      <c r="BU312" s="140">
        <v>30.2</v>
      </c>
      <c r="BV312" s="143">
        <v>30.2</v>
      </c>
      <c r="BY312" s="125">
        <v>30.2</v>
      </c>
      <c r="BZ312" s="126">
        <v>30.2</v>
      </c>
      <c r="CA312" s="126">
        <v>30.2</v>
      </c>
      <c r="CB312" s="127">
        <v>30.2</v>
      </c>
    </row>
    <row r="313" spans="1:81" ht="42" customHeight="1" outlineLevel="4" x14ac:dyDescent="0.25">
      <c r="C313" s="10" t="s">
        <v>83</v>
      </c>
      <c r="D313" s="10" t="s">
        <v>84</v>
      </c>
      <c r="E313" s="10" t="s">
        <v>73</v>
      </c>
      <c r="F313" s="10" t="s">
        <v>74</v>
      </c>
      <c r="G313" s="10" t="s">
        <v>396</v>
      </c>
      <c r="H313" s="10" t="s">
        <v>73</v>
      </c>
      <c r="I313" s="10" t="s">
        <v>73</v>
      </c>
      <c r="J313" s="10" t="s">
        <v>73</v>
      </c>
      <c r="K313" s="12" t="s">
        <v>73</v>
      </c>
      <c r="L313" s="10" t="s">
        <v>73</v>
      </c>
      <c r="M313" s="5" t="str">
        <f t="array" ref="M313">Y95</f>
        <v>1ХВС::1.1</v>
      </c>
      <c r="AB313" s="65" t="str">
        <f>AB304&amp;".4"</f>
        <v>3.1.1.4.4</v>
      </c>
      <c r="AC313" s="174" t="s">
        <v>397</v>
      </c>
      <c r="AD313" s="51" t="s">
        <v>111</v>
      </c>
      <c r="AE313" s="95"/>
      <c r="AF313" s="178"/>
      <c r="AG313" s="178"/>
      <c r="AH313" s="96"/>
      <c r="AI313" s="187"/>
      <c r="AJ313" s="178"/>
      <c r="AK313" s="178"/>
      <c r="AL313" s="181"/>
      <c r="AM313" s="95"/>
      <c r="AN313" s="178"/>
      <c r="AO313" s="178"/>
      <c r="AP313" s="96"/>
      <c r="AQ313" s="187"/>
      <c r="AR313" s="178"/>
      <c r="AS313" s="178"/>
      <c r="AT313" s="181"/>
      <c r="AU313" s="95"/>
      <c r="AV313" s="178"/>
      <c r="AW313" s="178"/>
      <c r="AX313" s="181"/>
      <c r="AY313" s="95"/>
      <c r="AZ313" s="178"/>
      <c r="BA313" s="178"/>
      <c r="BB313" s="181"/>
      <c r="BC313" s="95"/>
      <c r="BD313" s="178"/>
      <c r="BE313" s="178"/>
      <c r="BF313" s="210"/>
      <c r="BG313" s="95"/>
      <c r="BH313" s="178"/>
      <c r="BI313" s="178"/>
      <c r="BJ313" s="181"/>
      <c r="BK313" s="95"/>
      <c r="BL313" s="178"/>
      <c r="BM313" s="178"/>
      <c r="BN313" s="181"/>
      <c r="BO313" s="185"/>
      <c r="BP313" s="183"/>
      <c r="BQ313" s="183"/>
      <c r="BR313" s="186"/>
      <c r="BS313" s="185"/>
      <c r="BT313" s="183"/>
      <c r="BU313" s="183"/>
      <c r="BV313" s="186"/>
      <c r="BY313" s="125">
        <f t="shared" ref="BY313:CB319" si="84">AE313+AI313+AM313+AQ313+AU313+AY313+BC313+BG313+BK313+BO313+BS313</f>
        <v>0</v>
      </c>
      <c r="BZ313" s="126">
        <f t="shared" si="84"/>
        <v>0</v>
      </c>
      <c r="CA313" s="126">
        <f t="shared" si="84"/>
        <v>0</v>
      </c>
      <c r="CB313" s="127">
        <f t="shared" si="84"/>
        <v>0</v>
      </c>
    </row>
    <row r="314" spans="1:81" s="211" customFormat="1" ht="28.9" customHeight="1" outlineLevel="4" x14ac:dyDescent="0.25">
      <c r="A314" s="6"/>
      <c r="B314" s="6"/>
      <c r="C314" s="116" t="s">
        <v>83</v>
      </c>
      <c r="D314" s="116" t="s">
        <v>84</v>
      </c>
      <c r="E314" s="116" t="s">
        <v>73</v>
      </c>
      <c r="F314" s="116" t="s">
        <v>74</v>
      </c>
      <c r="G314" s="116" t="s">
        <v>398</v>
      </c>
      <c r="H314" s="116" t="s">
        <v>73</v>
      </c>
      <c r="I314" s="116" t="s">
        <v>73</v>
      </c>
      <c r="J314" s="116" t="s">
        <v>73</v>
      </c>
      <c r="K314" s="209" t="s">
        <v>73</v>
      </c>
      <c r="L314" s="116" t="s">
        <v>73</v>
      </c>
      <c r="M314" s="6" t="str">
        <f t="array" ref="M314">Y95</f>
        <v>1ХВС::1.1</v>
      </c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5" t="str">
        <f>AB304&amp;".5"</f>
        <v>3.1.1.4.5</v>
      </c>
      <c r="AC314" s="174" t="s">
        <v>398</v>
      </c>
      <c r="AD314" s="51" t="s">
        <v>111</v>
      </c>
      <c r="AE314" s="95">
        <v>1962.604</v>
      </c>
      <c r="AF314" s="178"/>
      <c r="AG314" s="178">
        <v>1944.3</v>
      </c>
      <c r="AH314" s="96">
        <v>259.57</v>
      </c>
      <c r="AI314" s="187"/>
      <c r="AJ314" s="178"/>
      <c r="AK314" s="178"/>
      <c r="AL314" s="181"/>
      <c r="AM314" s="95">
        <v>486.74</v>
      </c>
      <c r="AN314" s="178"/>
      <c r="AO314" s="178">
        <v>478.93</v>
      </c>
      <c r="AP314" s="96"/>
      <c r="AQ314" s="187">
        <v>745.2</v>
      </c>
      <c r="AR314" s="178"/>
      <c r="AS314" s="178"/>
      <c r="AT314" s="181"/>
      <c r="AU314" s="95"/>
      <c r="AV314" s="178"/>
      <c r="AW314" s="178"/>
      <c r="AX314" s="181"/>
      <c r="AY314" s="95">
        <v>399.75</v>
      </c>
      <c r="AZ314" s="178"/>
      <c r="BA314" s="178">
        <v>472.75</v>
      </c>
      <c r="BB314" s="181"/>
      <c r="BC314" s="95">
        <f>77.48+439.27</f>
        <v>516.75</v>
      </c>
      <c r="BD314" s="178"/>
      <c r="BE314" s="178">
        <f>85.257+546.85</f>
        <v>632.10699999999997</v>
      </c>
      <c r="BF314" s="210"/>
      <c r="BG314" s="95"/>
      <c r="BH314" s="178"/>
      <c r="BI314" s="178"/>
      <c r="BJ314" s="181"/>
      <c r="BK314" s="95">
        <v>708</v>
      </c>
      <c r="BL314" s="178"/>
      <c r="BM314" s="178">
        <v>779.02239999999995</v>
      </c>
      <c r="BN314" s="181"/>
      <c r="BO314" s="185"/>
      <c r="BP314" s="183"/>
      <c r="BQ314" s="183"/>
      <c r="BR314" s="186"/>
      <c r="BS314" s="185">
        <v>180</v>
      </c>
      <c r="BT314" s="183"/>
      <c r="BU314" s="183">
        <v>180</v>
      </c>
      <c r="BV314" s="186"/>
      <c r="BW314" s="6"/>
      <c r="BX314" s="6"/>
      <c r="BY314" s="125">
        <f t="shared" si="84"/>
        <v>4999.0439999999999</v>
      </c>
      <c r="BZ314" s="126">
        <f t="shared" si="84"/>
        <v>0</v>
      </c>
      <c r="CA314" s="126">
        <f t="shared" si="84"/>
        <v>4487.1094000000003</v>
      </c>
      <c r="CB314" s="127">
        <f t="shared" si="84"/>
        <v>259.57</v>
      </c>
      <c r="CC314" s="766"/>
    </row>
    <row r="315" spans="1:81" s="211" customFormat="1" ht="60.6" customHeight="1" outlineLevel="4" x14ac:dyDescent="0.25">
      <c r="A315" s="6"/>
      <c r="B315" s="6"/>
      <c r="C315" s="116" t="s">
        <v>83</v>
      </c>
      <c r="D315" s="116" t="s">
        <v>84</v>
      </c>
      <c r="E315" s="116" t="s">
        <v>73</v>
      </c>
      <c r="F315" s="116" t="s">
        <v>74</v>
      </c>
      <c r="G315" s="116" t="s">
        <v>399</v>
      </c>
      <c r="H315" s="116" t="s">
        <v>73</v>
      </c>
      <c r="I315" s="116" t="s">
        <v>73</v>
      </c>
      <c r="J315" s="116" t="s">
        <v>73</v>
      </c>
      <c r="K315" s="209" t="s">
        <v>73</v>
      </c>
      <c r="L315" s="116" t="s">
        <v>73</v>
      </c>
      <c r="M315" s="6" t="str">
        <f t="array" ref="M315">Y95</f>
        <v>1ХВС::1.1</v>
      </c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5" t="str">
        <f>AB304&amp;".6"</f>
        <v>3.1.1.4.6</v>
      </c>
      <c r="AC315" s="174" t="s">
        <v>400</v>
      </c>
      <c r="AD315" s="51" t="s">
        <v>111</v>
      </c>
      <c r="AE315" s="95"/>
      <c r="AF315" s="178"/>
      <c r="AG315" s="178"/>
      <c r="AH315" s="96"/>
      <c r="AI315" s="187"/>
      <c r="AJ315" s="178"/>
      <c r="AK315" s="178"/>
      <c r="AL315" s="181"/>
      <c r="AM315" s="95"/>
      <c r="AN315" s="178"/>
      <c r="AO315" s="178"/>
      <c r="AP315" s="96"/>
      <c r="AQ315" s="187"/>
      <c r="AR315" s="178"/>
      <c r="AS315" s="178"/>
      <c r="AT315" s="181"/>
      <c r="AU315" s="95"/>
      <c r="AV315" s="178"/>
      <c r="AW315" s="178"/>
      <c r="AX315" s="181"/>
      <c r="AY315" s="95"/>
      <c r="AZ315" s="178"/>
      <c r="BA315" s="178"/>
      <c r="BB315" s="181"/>
      <c r="BC315" s="72"/>
      <c r="BD315" s="73"/>
      <c r="BE315" s="73"/>
      <c r="BF315" s="774"/>
      <c r="BG315" s="95"/>
      <c r="BH315" s="178"/>
      <c r="BI315" s="178"/>
      <c r="BJ315" s="181"/>
      <c r="BK315" s="95"/>
      <c r="BL315" s="178">
        <v>747.3</v>
      </c>
      <c r="BM315" s="178">
        <v>804.78</v>
      </c>
      <c r="BN315" s="181"/>
      <c r="BO315" s="185"/>
      <c r="BP315" s="183"/>
      <c r="BQ315" s="183"/>
      <c r="BR315" s="186"/>
      <c r="BS315" s="185"/>
      <c r="BT315" s="183"/>
      <c r="BU315" s="183"/>
      <c r="BV315" s="186"/>
      <c r="BW315" s="6"/>
      <c r="BX315" s="6"/>
      <c r="BY315" s="125">
        <f t="shared" si="84"/>
        <v>0</v>
      </c>
      <c r="BZ315" s="126">
        <f t="shared" si="84"/>
        <v>747.3</v>
      </c>
      <c r="CA315" s="126">
        <f t="shared" si="84"/>
        <v>804.78</v>
      </c>
      <c r="CB315" s="127">
        <f t="shared" si="84"/>
        <v>0</v>
      </c>
      <c r="CC315" s="766"/>
    </row>
    <row r="316" spans="1:81" ht="45.75" customHeight="1" outlineLevel="4" x14ac:dyDescent="0.25">
      <c r="C316" s="10" t="s">
        <v>83</v>
      </c>
      <c r="D316" s="10" t="s">
        <v>84</v>
      </c>
      <c r="E316" s="10" t="s">
        <v>73</v>
      </c>
      <c r="F316" s="10" t="s">
        <v>74</v>
      </c>
      <c r="G316" s="10" t="s">
        <v>401</v>
      </c>
      <c r="H316" s="10" t="s">
        <v>73</v>
      </c>
      <c r="I316" s="10" t="s">
        <v>73</v>
      </c>
      <c r="J316" s="10" t="s">
        <v>73</v>
      </c>
      <c r="K316" s="12" t="s">
        <v>73</v>
      </c>
      <c r="L316" s="10" t="s">
        <v>73</v>
      </c>
      <c r="M316" s="5" t="str">
        <f t="array" ref="M316">Y95</f>
        <v>1ХВС::1.1</v>
      </c>
      <c r="AB316" s="65" t="str">
        <f>AB304&amp;".7"</f>
        <v>3.1.1.4.7</v>
      </c>
      <c r="AC316" s="174" t="s">
        <v>402</v>
      </c>
      <c r="AD316" s="51" t="s">
        <v>111</v>
      </c>
      <c r="AE316" s="95">
        <v>16207.71</v>
      </c>
      <c r="AF316" s="178">
        <v>11185.77</v>
      </c>
      <c r="AG316" s="178">
        <v>20240.225999999999</v>
      </c>
      <c r="AH316" s="96">
        <v>12110.9</v>
      </c>
      <c r="AI316" s="187"/>
      <c r="AJ316" s="178"/>
      <c r="AK316" s="178"/>
      <c r="AL316" s="181"/>
      <c r="AM316" s="95">
        <v>750.18</v>
      </c>
      <c r="AN316" s="178"/>
      <c r="AO316" s="178">
        <v>1020.7</v>
      </c>
      <c r="AP316" s="96">
        <v>509.89</v>
      </c>
      <c r="AQ316" s="187">
        <v>1316.14</v>
      </c>
      <c r="AR316" s="178"/>
      <c r="AS316" s="178">
        <v>1649.99</v>
      </c>
      <c r="AT316" s="181">
        <v>706.21600000000001</v>
      </c>
      <c r="AU316" s="95">
        <v>158.44999999999999</v>
      </c>
      <c r="AV316" s="178"/>
      <c r="AW316" s="178">
        <v>223.57</v>
      </c>
      <c r="AX316" s="181">
        <v>147.37</v>
      </c>
      <c r="AY316" s="95">
        <v>1187.8699999999999</v>
      </c>
      <c r="AZ316" s="178">
        <v>1643.16</v>
      </c>
      <c r="BA316" s="178">
        <f>1750.5-361.17</f>
        <v>1389.33</v>
      </c>
      <c r="BB316" s="181">
        <f>AZ316*1.04049</f>
        <v>1709.6915483999999</v>
      </c>
      <c r="BC316" s="95">
        <v>286.33999999999997</v>
      </c>
      <c r="BD316" s="178"/>
      <c r="BE316" s="178">
        <v>427.39600000000002</v>
      </c>
      <c r="BF316" s="210">
        <v>216.44499999999999</v>
      </c>
      <c r="BG316" s="95">
        <v>1273.223</v>
      </c>
      <c r="BH316" s="178">
        <v>2372.65</v>
      </c>
      <c r="BI316" s="178">
        <v>1377.96</v>
      </c>
      <c r="BJ316" s="181">
        <f>BH316*1.04048</f>
        <v>2468.6948720000005</v>
      </c>
      <c r="BK316" s="95">
        <v>1226.9976099999999</v>
      </c>
      <c r="BL316" s="178"/>
      <c r="BM316" s="178">
        <v>1276.08</v>
      </c>
      <c r="BN316" s="181">
        <v>809.17</v>
      </c>
      <c r="BO316" s="185">
        <v>69.56</v>
      </c>
      <c r="BP316" s="183">
        <v>51.33</v>
      </c>
      <c r="BQ316" s="183">
        <v>104.04</v>
      </c>
      <c r="BR316" s="186">
        <f>55.584*1.2468</f>
        <v>69.302131200000005</v>
      </c>
      <c r="BS316" s="185">
        <v>171.61500000000001</v>
      </c>
      <c r="BT316" s="183">
        <v>132.54</v>
      </c>
      <c r="BU316" s="183">
        <v>242.13</v>
      </c>
      <c r="BV316" s="186">
        <v>145.71</v>
      </c>
      <c r="BY316" s="125">
        <f t="shared" si="84"/>
        <v>22648.085610000002</v>
      </c>
      <c r="BZ316" s="126">
        <f t="shared" si="84"/>
        <v>15385.45</v>
      </c>
      <c r="CA316" s="126">
        <f t="shared" si="84"/>
        <v>27951.422000000002</v>
      </c>
      <c r="CB316" s="127">
        <f t="shared" si="84"/>
        <v>18893.389551599998</v>
      </c>
    </row>
    <row r="317" spans="1:81" ht="18.600000000000001" customHeight="1" outlineLevel="4" x14ac:dyDescent="0.25">
      <c r="C317" s="10" t="s">
        <v>83</v>
      </c>
      <c r="D317" s="10" t="s">
        <v>84</v>
      </c>
      <c r="E317" s="10" t="s">
        <v>73</v>
      </c>
      <c r="F317" s="10" t="s">
        <v>74</v>
      </c>
      <c r="G317" s="10" t="s">
        <v>403</v>
      </c>
      <c r="H317" s="10" t="s">
        <v>73</v>
      </c>
      <c r="I317" s="10" t="s">
        <v>73</v>
      </c>
      <c r="J317" s="10" t="s">
        <v>73</v>
      </c>
      <c r="K317" s="12" t="s">
        <v>73</v>
      </c>
      <c r="L317" s="10" t="s">
        <v>73</v>
      </c>
      <c r="M317" s="5" t="str">
        <f t="array" ref="M317">Y95</f>
        <v>1ХВС::1.1</v>
      </c>
      <c r="AB317" s="65" t="str">
        <f>AB304&amp;".8"</f>
        <v>3.1.1.4.8</v>
      </c>
      <c r="AC317" s="174" t="s">
        <v>403</v>
      </c>
      <c r="AD317" s="51" t="s">
        <v>111</v>
      </c>
      <c r="AE317" s="95"/>
      <c r="AF317" s="73"/>
      <c r="AG317" s="73"/>
      <c r="AH317" s="74"/>
      <c r="AI317" s="187"/>
      <c r="AJ317" s="73"/>
      <c r="AK317" s="73"/>
      <c r="AL317" s="138"/>
      <c r="AM317" s="95"/>
      <c r="AN317" s="73"/>
      <c r="AO317" s="73"/>
      <c r="AP317" s="74"/>
      <c r="AQ317" s="187"/>
      <c r="AR317" s="73"/>
      <c r="AS317" s="73"/>
      <c r="AT317" s="138"/>
      <c r="AU317" s="95"/>
      <c r="AV317" s="73"/>
      <c r="AW317" s="73"/>
      <c r="AX317" s="138"/>
      <c r="AY317" s="95"/>
      <c r="AZ317" s="73"/>
      <c r="BA317" s="73"/>
      <c r="BB317" s="138"/>
      <c r="BC317" s="95"/>
      <c r="BD317" s="73"/>
      <c r="BE317" s="73"/>
      <c r="BF317" s="774"/>
      <c r="BG317" s="95"/>
      <c r="BH317" s="73"/>
      <c r="BI317" s="73"/>
      <c r="BJ317" s="138"/>
      <c r="BK317" s="95"/>
      <c r="BL317" s="73"/>
      <c r="BM317" s="73"/>
      <c r="BN317" s="138"/>
      <c r="BO317" s="185"/>
      <c r="BP317" s="140"/>
      <c r="BQ317" s="140"/>
      <c r="BR317" s="143"/>
      <c r="BS317" s="185"/>
      <c r="BT317" s="140"/>
      <c r="BU317" s="140"/>
      <c r="BV317" s="143"/>
      <c r="BY317" s="125">
        <f t="shared" si="84"/>
        <v>0</v>
      </c>
      <c r="BZ317" s="126">
        <f t="shared" si="84"/>
        <v>0</v>
      </c>
      <c r="CA317" s="126">
        <f t="shared" si="84"/>
        <v>0</v>
      </c>
      <c r="CB317" s="127">
        <f t="shared" si="84"/>
        <v>0</v>
      </c>
    </row>
    <row r="318" spans="1:81" s="171" customFormat="1" ht="19.5" customHeight="1" outlineLevel="2" x14ac:dyDescent="0.25">
      <c r="A318" s="166"/>
      <c r="B318" s="166"/>
      <c r="C318" s="167" t="s">
        <v>83</v>
      </c>
      <c r="D318" s="167" t="s">
        <v>84</v>
      </c>
      <c r="E318" s="167" t="s">
        <v>73</v>
      </c>
      <c r="F318" s="167" t="s">
        <v>74</v>
      </c>
      <c r="G318" s="167" t="s">
        <v>404</v>
      </c>
      <c r="H318" s="167" t="s">
        <v>73</v>
      </c>
      <c r="I318" s="167" t="s">
        <v>73</v>
      </c>
      <c r="J318" s="167" t="s">
        <v>73</v>
      </c>
      <c r="K318" s="168" t="s">
        <v>73</v>
      </c>
      <c r="L318" s="167" t="s">
        <v>133</v>
      </c>
      <c r="M318" s="166" t="str">
        <f t="array" ref="M318">Y95</f>
        <v>1ХВС::1.1</v>
      </c>
      <c r="N318" s="166"/>
      <c r="O318" s="166"/>
      <c r="P318" s="166"/>
      <c r="Q318" s="166"/>
      <c r="R318" s="166"/>
      <c r="S318" s="166"/>
      <c r="T318" s="166"/>
      <c r="U318" s="166"/>
      <c r="V318" s="166"/>
      <c r="W318" s="166"/>
      <c r="X318" s="166"/>
      <c r="Y318" s="166"/>
      <c r="Z318" s="166"/>
      <c r="AA318" s="166"/>
      <c r="AB318" s="155" t="str">
        <f>AB142&amp;".2"</f>
        <v>3.1.2</v>
      </c>
      <c r="AC318" s="172" t="s">
        <v>405</v>
      </c>
      <c r="AD318" s="157" t="s">
        <v>111</v>
      </c>
      <c r="AE318" s="253">
        <f>AE319+AE332+AE333+AE334</f>
        <v>205589.16663805299</v>
      </c>
      <c r="AF318" s="262">
        <f>AF319</f>
        <v>234492.69785600001</v>
      </c>
      <c r="AG318" s="159">
        <f>AG319+AG332+AG333+AG334</f>
        <v>292494.65916802565</v>
      </c>
      <c r="AH318" s="254">
        <f>AH319+AH332+AH333+AH334</f>
        <v>267811.44</v>
      </c>
      <c r="AI318" s="162">
        <f>AI319+AI332+AI333+AI334</f>
        <v>938.78352919999998</v>
      </c>
      <c r="AJ318" s="262">
        <f>AJ319</f>
        <v>949.27</v>
      </c>
      <c r="AK318" s="159">
        <f>AK319+AK332+AK333+AK334</f>
        <v>1259.7694851000001</v>
      </c>
      <c r="AL318" s="263">
        <f>AL319+AL332+AL333+AL334</f>
        <v>1200.92</v>
      </c>
      <c r="AM318" s="253">
        <f>AM319+AM332+AM333+AM334</f>
        <v>5383.0394308199993</v>
      </c>
      <c r="AN318" s="262">
        <f>AN319</f>
        <v>5431.9160988399999</v>
      </c>
      <c r="AO318" s="159">
        <f t="shared" ref="AO318:AU318" si="85">AO319+AO332+AO333+AO334</f>
        <v>5773.1806944</v>
      </c>
      <c r="AP318" s="254">
        <f>AP319+AP332+AP333+AP334</f>
        <v>5257.9377990000003</v>
      </c>
      <c r="AQ318" s="162">
        <f t="shared" si="85"/>
        <v>13798.973562079998</v>
      </c>
      <c r="AR318" s="159">
        <f t="shared" si="85"/>
        <v>11672.639376972</v>
      </c>
      <c r="AS318" s="159">
        <f t="shared" si="85"/>
        <v>18966.749323979999</v>
      </c>
      <c r="AT318" s="263">
        <f t="shared" si="85"/>
        <v>15925.628660639999</v>
      </c>
      <c r="AU318" s="253">
        <f t="shared" si="85"/>
        <v>3766.2072991199998</v>
      </c>
      <c r="AV318" s="262">
        <f>AV319</f>
        <v>7403.4801952000007</v>
      </c>
      <c r="AW318" s="159">
        <f>AW319+AW332+AW333+AW334</f>
        <v>5947.6281900000004</v>
      </c>
      <c r="AX318" s="263">
        <f>AX319+AX332+AX333+AX334</f>
        <v>6318.3898469600008</v>
      </c>
      <c r="AY318" s="253">
        <f>AY319+AY332+AY333+AY334</f>
        <v>23987.055469899999</v>
      </c>
      <c r="AZ318" s="262">
        <f>AZ319</f>
        <v>13010.045503769999</v>
      </c>
      <c r="BA318" s="159">
        <f>BA319+BA332+BA333+BA334</f>
        <v>34929.920525970003</v>
      </c>
      <c r="BB318" s="263">
        <f>BB319+BB332+BB333+BB334</f>
        <v>12092.52</v>
      </c>
      <c r="BC318" s="253">
        <f>BC319+BC332+BC333+BC334</f>
        <v>7640.7128282100002</v>
      </c>
      <c r="BD318" s="262">
        <f>BD319</f>
        <v>18766.87</v>
      </c>
      <c r="BE318" s="159">
        <f>BE319+BE332+BE333+BE334</f>
        <v>10524.1954532</v>
      </c>
      <c r="BF318" s="976">
        <f>BF319</f>
        <v>6579.2881440000001</v>
      </c>
      <c r="BG318" s="253">
        <f>BG319+BG332+BG333+BG334</f>
        <v>24429.283981094999</v>
      </c>
      <c r="BH318" s="262">
        <f>BH319</f>
        <v>25440.01</v>
      </c>
      <c r="BI318" s="159">
        <f>BI319+BI332+BI333+BI334</f>
        <v>38497.870243949998</v>
      </c>
      <c r="BJ318" s="263">
        <f>BJ319</f>
        <v>31140.54</v>
      </c>
      <c r="BK318" s="253">
        <f>BK319+BK332+BK333+BK334</f>
        <v>19271.786583599998</v>
      </c>
      <c r="BL318" s="262">
        <v>23298.99</v>
      </c>
      <c r="BM318" s="159">
        <f>BM319+BM332+BM333+BM334</f>
        <v>16513.632525000001</v>
      </c>
      <c r="BN318" s="263">
        <f>BN319+BN332+BN333+BN334</f>
        <v>28375.15</v>
      </c>
      <c r="BO318" s="267">
        <f>BO319+BO332+BO333+BO334</f>
        <v>2919.7215974999999</v>
      </c>
      <c r="BP318" s="265">
        <f>BP319</f>
        <v>3535.2288360000002</v>
      </c>
      <c r="BQ318" s="296">
        <f>BQ319+BQ332+BQ333+BQ334</f>
        <v>3908.73398688</v>
      </c>
      <c r="BR318" s="268">
        <f>BR319+BR332+BR333+BR334</f>
        <v>4709.1164867999996</v>
      </c>
      <c r="BS318" s="267">
        <f>BS319+BS332+BS333+BS334</f>
        <v>3031.9595393099999</v>
      </c>
      <c r="BT318" s="265">
        <f>BT319</f>
        <v>5651.6379152000009</v>
      </c>
      <c r="BU318" s="296">
        <f>BU319+BU332+BU333+BU334</f>
        <v>4069.6074521999999</v>
      </c>
      <c r="BV318" s="268">
        <f>BV319+BV332+BV333+BV334</f>
        <v>6795.69</v>
      </c>
      <c r="BW318" s="170"/>
      <c r="BX318" s="166"/>
      <c r="BY318" s="163">
        <f t="shared" si="84"/>
        <v>310756.69045888801</v>
      </c>
      <c r="BZ318" s="164">
        <f t="shared" si="84"/>
        <v>349652.78578198201</v>
      </c>
      <c r="CA318" s="164">
        <f t="shared" si="84"/>
        <v>432885.94704870571</v>
      </c>
      <c r="CB318" s="165">
        <f t="shared" si="84"/>
        <v>386206.62093740003</v>
      </c>
      <c r="CC318" s="760"/>
    </row>
    <row r="319" spans="1:81" ht="18.600000000000001" customHeight="1" outlineLevel="3" x14ac:dyDescent="0.25">
      <c r="C319" s="10" t="s">
        <v>83</v>
      </c>
      <c r="D319" s="10" t="s">
        <v>84</v>
      </c>
      <c r="E319" s="10" t="s">
        <v>73</v>
      </c>
      <c r="F319" s="10" t="s">
        <v>74</v>
      </c>
      <c r="G319" s="10" t="s">
        <v>406</v>
      </c>
      <c r="H319" s="10" t="s">
        <v>73</v>
      </c>
      <c r="I319" s="10" t="s">
        <v>73</v>
      </c>
      <c r="J319" s="10" t="s">
        <v>73</v>
      </c>
      <c r="K319" s="12" t="s">
        <v>73</v>
      </c>
      <c r="L319" s="10" t="s">
        <v>407</v>
      </c>
      <c r="M319" s="5" t="str">
        <f t="array" ref="M319">Y95</f>
        <v>1ХВС::1.1</v>
      </c>
      <c r="Y319" s="10">
        <v>1</v>
      </c>
      <c r="AB319" s="29" t="str">
        <f>AB318&amp;".1"</f>
        <v>3.1.2.1</v>
      </c>
      <c r="AC319" s="87" t="s">
        <v>406</v>
      </c>
      <c r="AD319" s="51" t="s">
        <v>111</v>
      </c>
      <c r="AE319" s="72">
        <f>AE320*AE321</f>
        <v>205589.16663805299</v>
      </c>
      <c r="AF319" s="73">
        <f>AF320*AF321</f>
        <v>234492.69785600001</v>
      </c>
      <c r="AG319" s="73">
        <f>AG320*AG321</f>
        <v>292494.65916802565</v>
      </c>
      <c r="AH319" s="74">
        <f>267811.44</f>
        <v>267811.44</v>
      </c>
      <c r="AI319" s="179">
        <f>AI320*AI321</f>
        <v>938.78352919999998</v>
      </c>
      <c r="AJ319" s="73">
        <v>949.27</v>
      </c>
      <c r="AK319" s="73">
        <f>AK320*AK321</f>
        <v>1259.7694851000001</v>
      </c>
      <c r="AL319" s="138">
        <v>1200.92</v>
      </c>
      <c r="AM319" s="72">
        <f t="shared" ref="AM319:BA319" si="86">AM320*AM321</f>
        <v>5383.0394308199993</v>
      </c>
      <c r="AN319" s="73">
        <f t="shared" si="86"/>
        <v>5431.9160988399999</v>
      </c>
      <c r="AO319" s="73">
        <f t="shared" si="86"/>
        <v>5773.1806944</v>
      </c>
      <c r="AP319" s="74">
        <f t="shared" si="86"/>
        <v>5257.9377990000003</v>
      </c>
      <c r="AQ319" s="179">
        <f t="shared" si="86"/>
        <v>13798.973562079998</v>
      </c>
      <c r="AR319" s="73">
        <f t="shared" si="86"/>
        <v>11672.639376972</v>
      </c>
      <c r="AS319" s="73">
        <f t="shared" si="86"/>
        <v>18966.749323979999</v>
      </c>
      <c r="AT319" s="138">
        <f t="shared" si="86"/>
        <v>15925.628660639999</v>
      </c>
      <c r="AU319" s="72">
        <f t="shared" si="86"/>
        <v>3766.2072991199998</v>
      </c>
      <c r="AV319" s="73">
        <f t="shared" si="86"/>
        <v>7403.4801952000007</v>
      </c>
      <c r="AW319" s="73">
        <f t="shared" si="86"/>
        <v>5947.6281900000004</v>
      </c>
      <c r="AX319" s="138">
        <f t="shared" si="86"/>
        <v>6318.3898469600008</v>
      </c>
      <c r="AY319" s="72">
        <f t="shared" si="86"/>
        <v>23987.055469899999</v>
      </c>
      <c r="AZ319" s="73">
        <f t="shared" si="86"/>
        <v>13010.045503769999</v>
      </c>
      <c r="BA319" s="73">
        <f t="shared" si="86"/>
        <v>34929.920525970003</v>
      </c>
      <c r="BB319" s="138">
        <v>12092.52</v>
      </c>
      <c r="BC319" s="72">
        <f>BC320*BC321</f>
        <v>7640.7128282100002</v>
      </c>
      <c r="BD319" s="73">
        <v>18766.87</v>
      </c>
      <c r="BE319" s="73">
        <f>BE320*BE321</f>
        <v>10524.1954532</v>
      </c>
      <c r="BF319" s="774">
        <f>BF320*BF321</f>
        <v>6579.2881440000001</v>
      </c>
      <c r="BG319" s="72">
        <f>BG320*BG321</f>
        <v>24429.283981094999</v>
      </c>
      <c r="BH319" s="73">
        <v>25440.01</v>
      </c>
      <c r="BI319" s="73">
        <f>BI320*BI321</f>
        <v>38497.870243949998</v>
      </c>
      <c r="BJ319" s="138">
        <v>31140.54</v>
      </c>
      <c r="BK319" s="72">
        <f>BK320*BK321</f>
        <v>19271.786583599998</v>
      </c>
      <c r="BL319" s="73">
        <f>BL320*BL321</f>
        <v>23298.968327400002</v>
      </c>
      <c r="BM319" s="73">
        <f>BM320*BM321</f>
        <v>16513.632525000001</v>
      </c>
      <c r="BN319" s="138">
        <v>28375.15</v>
      </c>
      <c r="BO319" s="142">
        <f t="shared" ref="BO319:BV319" si="87">BO320*BO321</f>
        <v>2919.7215974999999</v>
      </c>
      <c r="BP319" s="140">
        <f t="shared" si="87"/>
        <v>3535.2288360000002</v>
      </c>
      <c r="BQ319" s="140">
        <f t="shared" si="87"/>
        <v>3908.73398688</v>
      </c>
      <c r="BR319" s="143">
        <f t="shared" si="87"/>
        <v>4709.1164867999996</v>
      </c>
      <c r="BS319" s="142">
        <f t="shared" si="87"/>
        <v>3031.9595393099999</v>
      </c>
      <c r="BT319" s="140">
        <f t="shared" si="87"/>
        <v>5651.6379152000009</v>
      </c>
      <c r="BU319" s="140">
        <f t="shared" si="87"/>
        <v>4069.6074521999999</v>
      </c>
      <c r="BV319" s="143">
        <f t="shared" si="87"/>
        <v>6795.69</v>
      </c>
      <c r="BY319" s="125">
        <f t="shared" si="84"/>
        <v>310756.69045888801</v>
      </c>
      <c r="BZ319" s="126">
        <f t="shared" si="84"/>
        <v>349652.76410938206</v>
      </c>
      <c r="CA319" s="126">
        <f t="shared" si="84"/>
        <v>432885.94704870571</v>
      </c>
      <c r="CB319" s="127">
        <f t="shared" si="84"/>
        <v>386206.62093740003</v>
      </c>
    </row>
    <row r="320" spans="1:81" ht="19.5" customHeight="1" outlineLevel="3" x14ac:dyDescent="0.25">
      <c r="C320" s="10" t="s">
        <v>408</v>
      </c>
      <c r="D320" s="10" t="s">
        <v>409</v>
      </c>
      <c r="E320" s="10" t="s">
        <v>73</v>
      </c>
      <c r="F320" s="10" t="s">
        <v>74</v>
      </c>
      <c r="G320" s="10" t="s">
        <v>73</v>
      </c>
      <c r="H320" s="10" t="s">
        <v>73</v>
      </c>
      <c r="I320" s="10" t="s">
        <v>73</v>
      </c>
      <c r="J320" s="10" t="s">
        <v>73</v>
      </c>
      <c r="K320" s="12" t="s">
        <v>73</v>
      </c>
      <c r="L320" s="10" t="s">
        <v>407</v>
      </c>
      <c r="M320" s="5" t="str">
        <f t="array" ref="M320">Y95</f>
        <v>1ХВС::1.1</v>
      </c>
      <c r="AB320" s="29" t="str">
        <f>AB319&amp;".1"</f>
        <v>3.1.2.1.1</v>
      </c>
      <c r="AC320" s="137" t="s">
        <v>410</v>
      </c>
      <c r="AD320" s="51" t="s">
        <v>411</v>
      </c>
      <c r="AE320" s="269">
        <v>7.0216545999999997</v>
      </c>
      <c r="AF320" s="270">
        <v>7.5341440000000004</v>
      </c>
      <c r="AG320" s="270">
        <v>9.6080608000000005</v>
      </c>
      <c r="AH320" s="271">
        <f>(13.13+8.96)/2</f>
        <v>11.045000000000002</v>
      </c>
      <c r="AI320" s="1050">
        <v>7.59964</v>
      </c>
      <c r="AJ320" s="270">
        <v>8.6300000000000008</v>
      </c>
      <c r="AK320" s="270">
        <v>11.5059</v>
      </c>
      <c r="AL320" s="272">
        <v>9.84</v>
      </c>
      <c r="AM320" s="269">
        <v>8.3274899999999992</v>
      </c>
      <c r="AN320" s="270">
        <v>10.250019999999999</v>
      </c>
      <c r="AO320" s="270">
        <v>11.39616</v>
      </c>
      <c r="AP320" s="271">
        <v>11.0001</v>
      </c>
      <c r="AQ320" s="1050">
        <v>7.6342699999999999</v>
      </c>
      <c r="AR320" s="270">
        <v>8.6322349999999997</v>
      </c>
      <c r="AS320" s="270">
        <v>10.27178</v>
      </c>
      <c r="AT320" s="272">
        <v>9.8854319999999998</v>
      </c>
      <c r="AU320" s="269">
        <v>7.8894599999999997</v>
      </c>
      <c r="AV320" s="270">
        <v>8.4599600000000006</v>
      </c>
      <c r="AW320" s="270">
        <v>11.0274</v>
      </c>
      <c r="AX320" s="272">
        <v>10.339033000000001</v>
      </c>
      <c r="AY320" s="269">
        <v>8.4512199999999993</v>
      </c>
      <c r="AZ320" s="270">
        <v>10.406129999999999</v>
      </c>
      <c r="BA320" s="270">
        <v>13.074870000000001</v>
      </c>
      <c r="BB320" s="272">
        <f>AZ320*1.04049</f>
        <v>10.827474203699998</v>
      </c>
      <c r="BC320" s="269">
        <v>10.225985</v>
      </c>
      <c r="BD320" s="270">
        <f>BD319/BD321</f>
        <v>11.723541887261561</v>
      </c>
      <c r="BE320" s="270">
        <v>13.86788</v>
      </c>
      <c r="BF320" s="979">
        <v>13.244400000000001</v>
      </c>
      <c r="BG320" s="269">
        <v>8.8445099999999996</v>
      </c>
      <c r="BH320" s="270">
        <f>BH319/BH321</f>
        <v>9.3570041415025624</v>
      </c>
      <c r="BI320" s="270">
        <f>12.268085-1.775772</f>
        <v>10.492312999999999</v>
      </c>
      <c r="BJ320" s="272">
        <f>BJ319/BJ321</f>
        <v>11.453713254088793</v>
      </c>
      <c r="BK320" s="269">
        <v>7.5243500000000001</v>
      </c>
      <c r="BL320" s="270">
        <v>4.7439900000000002</v>
      </c>
      <c r="BM320" s="270">
        <v>5.3997000000000002</v>
      </c>
      <c r="BN320" s="272">
        <v>10.87</v>
      </c>
      <c r="BO320" s="276">
        <v>9.9712499999999995</v>
      </c>
      <c r="BP320" s="274">
        <v>11.54172</v>
      </c>
      <c r="BQ320" s="274">
        <v>13.38021</v>
      </c>
      <c r="BR320" s="277">
        <v>12.91301</v>
      </c>
      <c r="BS320" s="276">
        <v>7.2428699999999999</v>
      </c>
      <c r="BT320" s="274">
        <v>8.8612000000000002</v>
      </c>
      <c r="BU320" s="274">
        <v>5.2004440000000001</v>
      </c>
      <c r="BV320" s="277">
        <f>6795.69/BV321</f>
        <v>9.3795810097993613</v>
      </c>
      <c r="BY320" s="125">
        <f>BY319/BY321</f>
        <v>7.4070146901568981</v>
      </c>
      <c r="BZ320" s="126">
        <f>BZ319/BZ321</f>
        <v>7.698810859342661</v>
      </c>
      <c r="CA320" s="126">
        <f>CA319/CA321</f>
        <v>9.6892238265391697</v>
      </c>
      <c r="CB320" s="127">
        <f>CB319/CB321</f>
        <v>11.002568234944183</v>
      </c>
    </row>
    <row r="321" spans="1:81" ht="16.7" customHeight="1" outlineLevel="3" x14ac:dyDescent="0.25">
      <c r="C321" s="10" t="s">
        <v>412</v>
      </c>
      <c r="D321" s="10" t="s">
        <v>413</v>
      </c>
      <c r="E321" s="10" t="s">
        <v>73</v>
      </c>
      <c r="F321" s="10" t="s">
        <v>74</v>
      </c>
      <c r="G321" s="10" t="s">
        <v>73</v>
      </c>
      <c r="H321" s="10" t="s">
        <v>73</v>
      </c>
      <c r="I321" s="10" t="s">
        <v>73</v>
      </c>
      <c r="J321" s="10" t="s">
        <v>73</v>
      </c>
      <c r="K321" s="12" t="s">
        <v>73</v>
      </c>
      <c r="L321" s="10" t="s">
        <v>407</v>
      </c>
      <c r="M321" s="5" t="str">
        <f t="array" ref="M321">Y95</f>
        <v>1ХВС::1.1</v>
      </c>
      <c r="AB321" s="29" t="str">
        <f>AB320&amp;".2"</f>
        <v>3.1.2.1.1.2</v>
      </c>
      <c r="AC321" s="137" t="s">
        <v>414</v>
      </c>
      <c r="AD321" s="51" t="s">
        <v>415</v>
      </c>
      <c r="AE321" s="66">
        <v>29279.305</v>
      </c>
      <c r="AF321" s="91">
        <v>31124</v>
      </c>
      <c r="AG321" s="67">
        <v>30442.632000000001</v>
      </c>
      <c r="AH321" s="68">
        <f>AH319/AH320</f>
        <v>24247.301041195107</v>
      </c>
      <c r="AI321" s="146">
        <v>123.53</v>
      </c>
      <c r="AJ321" s="91">
        <f>AJ319/AJ320</f>
        <v>109.99652375434529</v>
      </c>
      <c r="AK321" s="67">
        <v>109.489</v>
      </c>
      <c r="AL321" s="119">
        <f>AL319/AL320</f>
        <v>122.04471544715449</v>
      </c>
      <c r="AM321" s="66">
        <v>646.41800000000001</v>
      </c>
      <c r="AN321" s="91">
        <v>529.94200000000001</v>
      </c>
      <c r="AO321" s="67">
        <v>506.59</v>
      </c>
      <c r="AP321" s="68">
        <v>477.99</v>
      </c>
      <c r="AQ321" s="146">
        <v>1807.5039999999999</v>
      </c>
      <c r="AR321" s="278">
        <v>1352.2152000000001</v>
      </c>
      <c r="AS321" s="67">
        <v>1846.491</v>
      </c>
      <c r="AT321" s="119">
        <v>1611.02</v>
      </c>
      <c r="AU321" s="66">
        <v>477.37200000000001</v>
      </c>
      <c r="AV321" s="91">
        <v>875.12</v>
      </c>
      <c r="AW321" s="67">
        <v>539.35</v>
      </c>
      <c r="AX321" s="119">
        <v>611.12</v>
      </c>
      <c r="AY321" s="66">
        <v>2838.2950000000001</v>
      </c>
      <c r="AZ321" s="91">
        <v>1250.229</v>
      </c>
      <c r="BA321" s="67">
        <v>2671.5309999999999</v>
      </c>
      <c r="BB321" s="119">
        <f>BB319/BB320</f>
        <v>1116.8366483724992</v>
      </c>
      <c r="BC321" s="66">
        <v>747.18600000000004</v>
      </c>
      <c r="BD321" s="91">
        <v>1600.7850000000001</v>
      </c>
      <c r="BE321" s="67">
        <v>758.89</v>
      </c>
      <c r="BF321" s="980">
        <v>496.76</v>
      </c>
      <c r="BG321" s="66">
        <v>2762.0844999999999</v>
      </c>
      <c r="BH321" s="91">
        <v>2718.82</v>
      </c>
      <c r="BI321" s="67">
        <v>3669.15</v>
      </c>
      <c r="BJ321" s="119">
        <f>0.77*3530.93</f>
        <v>2718.8161</v>
      </c>
      <c r="BK321" s="66">
        <v>2561.2559999999999</v>
      </c>
      <c r="BL321" s="91">
        <v>4911.26</v>
      </c>
      <c r="BM321" s="67">
        <v>3058.25</v>
      </c>
      <c r="BN321" s="119">
        <f>BN319/BN320</f>
        <v>2610.4093836246552</v>
      </c>
      <c r="BO321" s="123">
        <v>292.81400000000002</v>
      </c>
      <c r="BP321" s="279">
        <v>306.3</v>
      </c>
      <c r="BQ321" s="121">
        <v>292.12799999999999</v>
      </c>
      <c r="BR321" s="124">
        <v>364.68</v>
      </c>
      <c r="BS321" s="123">
        <v>418.613</v>
      </c>
      <c r="BT321" s="279">
        <v>637.79600000000005</v>
      </c>
      <c r="BU321" s="121">
        <v>782.55</v>
      </c>
      <c r="BV321" s="124">
        <f>416.63*1.739</f>
        <v>724.51957000000004</v>
      </c>
      <c r="BY321" s="125">
        <f t="shared" ref="BY321:BY352" si="88">AE321+AI321+AM321+AQ321+AU321+AY321+BC321+BG321+BK321+BO321+BS321</f>
        <v>41954.377499999995</v>
      </c>
      <c r="BZ321" s="126">
        <f t="shared" ref="BZ321:BZ352" si="89">AF321+AJ321+AN321+AR321+AV321+AZ321+BD321+BH321+BL321+BP321+BT321</f>
        <v>45416.463723754357</v>
      </c>
      <c r="CA321" s="126">
        <f t="shared" ref="CA321:CA352" si="90">AG321+AK321+AO321+AS321+AW321+BA321+BE321+BI321+BM321+BQ321+BU321</f>
        <v>44677.051000000007</v>
      </c>
      <c r="CB321" s="127">
        <f t="shared" ref="CB321:CB352" si="91">AH321+AL321+AP321+AT321+AX321+BB321+BF321+BJ321+BN321+BR321+BV321</f>
        <v>35101.497458639416</v>
      </c>
    </row>
    <row r="322" spans="1:81" ht="14.25" customHeight="1" outlineLevel="3" x14ac:dyDescent="0.25">
      <c r="B322" s="10" t="b">
        <f>$AD$36="да"</f>
        <v>0</v>
      </c>
      <c r="C322" s="11" t="s">
        <v>412</v>
      </c>
      <c r="D322" s="10" t="s">
        <v>413</v>
      </c>
      <c r="E322" s="10" t="s">
        <v>73</v>
      </c>
      <c r="F322" s="10" t="s">
        <v>74</v>
      </c>
      <c r="G322" s="10" t="s">
        <v>73</v>
      </c>
      <c r="H322" s="10" t="s">
        <v>73</v>
      </c>
      <c r="I322" s="10" t="s">
        <v>73</v>
      </c>
      <c r="J322" s="11" t="s">
        <v>416</v>
      </c>
      <c r="K322" s="12" t="s">
        <v>73</v>
      </c>
      <c r="L322" s="10" t="s">
        <v>417</v>
      </c>
      <c r="M322" s="5" t="str">
        <f t="array" ref="M322">Y95</f>
        <v>1ХВС::1.1</v>
      </c>
      <c r="AB322" s="29" t="str">
        <f t="array" ref="AB322">IF(A322,AB321&amp;".1",AB321)</f>
        <v>3.1.2.1.1.2</v>
      </c>
      <c r="AC322" s="280" t="s">
        <v>418</v>
      </c>
      <c r="AD322" s="51" t="s">
        <v>415</v>
      </c>
      <c r="AE322" s="66">
        <f t="array" ref="AE322">[1]ЭЭ!AO99</f>
        <v>0</v>
      </c>
      <c r="AF322" s="67">
        <f>IF($AD$37="да",AF325+AF328,AF324*AF323)</f>
        <v>31124</v>
      </c>
      <c r="AG322" s="67">
        <f t="array" ref="AG322">[1]ЭЭ!BJ99</f>
        <v>0</v>
      </c>
      <c r="AH322" s="68">
        <f>IF($AD$37="да",AH325+AH328,AH324*AH323)</f>
        <v>0</v>
      </c>
      <c r="AI322" s="146"/>
      <c r="AJ322" s="67"/>
      <c r="AK322" s="67"/>
      <c r="AL322" s="119"/>
      <c r="AM322" s="66"/>
      <c r="AN322" s="67"/>
      <c r="AO322" s="67"/>
      <c r="AP322" s="68"/>
      <c r="AQ322" s="146"/>
      <c r="AR322" s="67"/>
      <c r="AS322" s="67"/>
      <c r="AT322" s="119"/>
      <c r="AU322" s="66"/>
      <c r="AV322" s="67"/>
      <c r="AW322" s="67"/>
      <c r="AX322" s="119"/>
      <c r="AY322" s="66"/>
      <c r="AZ322" s="67"/>
      <c r="BA322" s="67"/>
      <c r="BB322" s="119"/>
      <c r="BC322" s="66"/>
      <c r="BD322" s="67"/>
      <c r="BE322" s="67"/>
      <c r="BF322" s="980"/>
      <c r="BG322" s="66"/>
      <c r="BH322" s="67"/>
      <c r="BI322" s="67"/>
      <c r="BJ322" s="119"/>
      <c r="BK322" s="66"/>
      <c r="BL322" s="67"/>
      <c r="BM322" s="67"/>
      <c r="BN322" s="119"/>
      <c r="BO322" s="123"/>
      <c r="BP322" s="121"/>
      <c r="BQ322" s="121"/>
      <c r="BR322" s="124"/>
      <c r="BS322" s="123"/>
      <c r="BT322" s="121"/>
      <c r="BU322" s="121"/>
      <c r="BV322" s="124"/>
      <c r="BY322" s="125">
        <f t="shared" si="88"/>
        <v>0</v>
      </c>
      <c r="BZ322" s="126">
        <f t="shared" si="89"/>
        <v>31124</v>
      </c>
      <c r="CA322" s="126">
        <f t="shared" si="90"/>
        <v>0</v>
      </c>
      <c r="CB322" s="127">
        <f t="shared" si="91"/>
        <v>0</v>
      </c>
    </row>
    <row r="323" spans="1:81" ht="14.25" customHeight="1" outlineLevel="3" x14ac:dyDescent="0.25">
      <c r="B323" s="10" t="b">
        <f>$AD$37="нет"</f>
        <v>0</v>
      </c>
      <c r="C323" s="10" t="s">
        <v>419</v>
      </c>
      <c r="D323" s="10" t="s">
        <v>420</v>
      </c>
      <c r="E323" s="10" t="s">
        <v>73</v>
      </c>
      <c r="F323" s="10" t="s">
        <v>74</v>
      </c>
      <c r="G323" s="10" t="s">
        <v>73</v>
      </c>
      <c r="H323" s="10" t="s">
        <v>73</v>
      </c>
      <c r="I323" s="10" t="s">
        <v>73</v>
      </c>
      <c r="J323" s="10" t="s">
        <v>73</v>
      </c>
      <c r="K323" s="12" t="s">
        <v>73</v>
      </c>
      <c r="L323" s="10" t="s">
        <v>417</v>
      </c>
      <c r="M323" s="5" t="str">
        <f t="array" ref="M323">Y95</f>
        <v>1ХВС::1.1</v>
      </c>
      <c r="AB323" s="29" t="str">
        <f>IF(AB322="",AB321&amp;".1",AB322&amp;".1")</f>
        <v>3.1.2.1.1.2.1</v>
      </c>
      <c r="AC323" s="281" t="s">
        <v>421</v>
      </c>
      <c r="AD323" s="51" t="s">
        <v>422</v>
      </c>
      <c r="AE323" s="282">
        <f>IF(AE324=0,0,IF($AD$36="нет",AE321/AE324,AE322/AE324))</f>
        <v>0.58139993904289966</v>
      </c>
      <c r="AF323" s="283">
        <v>0.6698393279</v>
      </c>
      <c r="AG323" s="283">
        <f t="array" ref="AG323">[1]ЭЭ!BJ103</f>
        <v>0.59717542210815799</v>
      </c>
      <c r="AH323" s="284">
        <v>0.55800000000000005</v>
      </c>
      <c r="AI323" s="671"/>
      <c r="AJ323" s="283"/>
      <c r="AK323" s="283"/>
      <c r="AL323" s="285"/>
      <c r="AM323" s="282"/>
      <c r="AN323" s="283"/>
      <c r="AO323" s="283"/>
      <c r="AP323" s="284"/>
      <c r="AQ323" s="671"/>
      <c r="AR323" s="283"/>
      <c r="AS323" s="283"/>
      <c r="AT323" s="285"/>
      <c r="AU323" s="282"/>
      <c r="AV323" s="283"/>
      <c r="AW323" s="283"/>
      <c r="AX323" s="285"/>
      <c r="AY323" s="282"/>
      <c r="AZ323" s="283"/>
      <c r="BA323" s="283"/>
      <c r="BB323" s="285"/>
      <c r="BC323" s="282"/>
      <c r="BD323" s="283"/>
      <c r="BE323" s="283"/>
      <c r="BF323" s="774">
        <f>BF321/BF115</f>
        <v>0.60805914610262435</v>
      </c>
      <c r="BG323" s="282"/>
      <c r="BH323" s="283"/>
      <c r="BI323" s="283"/>
      <c r="BJ323" s="285"/>
      <c r="BK323" s="282"/>
      <c r="BL323" s="283"/>
      <c r="BM323" s="283"/>
      <c r="BN323" s="285"/>
      <c r="BO323" s="289"/>
      <c r="BP323" s="287"/>
      <c r="BQ323" s="287"/>
      <c r="BR323" s="290"/>
      <c r="BS323" s="289"/>
      <c r="BT323" s="287"/>
      <c r="BU323" s="287"/>
      <c r="BV323" s="290"/>
      <c r="BY323" s="125">
        <f t="shared" si="88"/>
        <v>0.58139993904289966</v>
      </c>
      <c r="BZ323" s="126">
        <f t="shared" si="89"/>
        <v>0.6698393279</v>
      </c>
      <c r="CA323" s="126">
        <f t="shared" si="90"/>
        <v>0.59717542210815799</v>
      </c>
      <c r="CB323" s="127">
        <f t="shared" si="91"/>
        <v>1.1660591461026244</v>
      </c>
    </row>
    <row r="324" spans="1:81" ht="14.25" customHeight="1" outlineLevel="3" x14ac:dyDescent="0.25">
      <c r="B324" s="10" t="b">
        <f t="array" ref="B324">B323</f>
        <v>0</v>
      </c>
      <c r="C324" s="10" t="s">
        <v>423</v>
      </c>
      <c r="D324" s="10" t="s">
        <v>424</v>
      </c>
      <c r="E324" s="10" t="s">
        <v>73</v>
      </c>
      <c r="F324" s="10" t="s">
        <v>74</v>
      </c>
      <c r="G324" s="10" t="s">
        <v>73</v>
      </c>
      <c r="H324" s="10" t="s">
        <v>73</v>
      </c>
      <c r="I324" s="10" t="s">
        <v>73</v>
      </c>
      <c r="J324" s="10" t="s">
        <v>73</v>
      </c>
      <c r="K324" s="12" t="s">
        <v>73</v>
      </c>
      <c r="L324" s="10" t="s">
        <v>417</v>
      </c>
      <c r="M324" s="5" t="str">
        <f t="array" ref="M324">Y95</f>
        <v>1ХВС::1.1</v>
      </c>
      <c r="AB324" s="29" t="str">
        <f>IF(AB322="",AB321&amp;".2",AB322&amp;".2")</f>
        <v>3.1.2.1.1.2.2</v>
      </c>
      <c r="AC324" s="281" t="s">
        <v>425</v>
      </c>
      <c r="AD324" s="51" t="s">
        <v>137</v>
      </c>
      <c r="AE324" s="66">
        <f t="array" ref="AE324">[1]ЭЭ!AO102</f>
        <v>50360.006999999998</v>
      </c>
      <c r="AF324" s="67">
        <v>49835.03</v>
      </c>
      <c r="AG324" s="67">
        <f t="array" ref="AG324">[1]ЭЭ!BJ102</f>
        <v>50977.704160246503</v>
      </c>
      <c r="AH324" s="68">
        <f>AH113</f>
        <v>2943.7669999999998</v>
      </c>
      <c r="AI324" s="146"/>
      <c r="AJ324" s="67"/>
      <c r="AK324" s="67"/>
      <c r="AL324" s="119"/>
      <c r="AM324" s="66"/>
      <c r="AN324" s="67"/>
      <c r="AO324" s="67"/>
      <c r="AP324" s="68"/>
      <c r="AQ324" s="146"/>
      <c r="AR324" s="67"/>
      <c r="AS324" s="67"/>
      <c r="AT324" s="119"/>
      <c r="AU324" s="66"/>
      <c r="AV324" s="67"/>
      <c r="AW324" s="67"/>
      <c r="AX324" s="119"/>
      <c r="AY324" s="66"/>
      <c r="AZ324" s="67"/>
      <c r="BA324" s="67"/>
      <c r="BB324" s="119"/>
      <c r="BC324" s="66"/>
      <c r="BD324" s="67"/>
      <c r="BE324" s="67"/>
      <c r="BF324" s="980"/>
      <c r="BG324" s="66"/>
      <c r="BH324" s="67"/>
      <c r="BI324" s="67"/>
      <c r="BJ324" s="119"/>
      <c r="BK324" s="66"/>
      <c r="BL324" s="67"/>
      <c r="BM324" s="67"/>
      <c r="BN324" s="119"/>
      <c r="BO324" s="123"/>
      <c r="BP324" s="121"/>
      <c r="BQ324" s="121"/>
      <c r="BR324" s="124"/>
      <c r="BS324" s="123"/>
      <c r="BT324" s="121"/>
      <c r="BU324" s="121"/>
      <c r="BV324" s="124"/>
      <c r="BY324" s="125">
        <f t="shared" si="88"/>
        <v>50360.006999999998</v>
      </c>
      <c r="BZ324" s="126">
        <f t="shared" si="89"/>
        <v>49835.03</v>
      </c>
      <c r="CA324" s="126">
        <f t="shared" si="90"/>
        <v>50977.704160246503</v>
      </c>
      <c r="CB324" s="127">
        <f t="shared" si="91"/>
        <v>2943.7669999999998</v>
      </c>
    </row>
    <row r="325" spans="1:81" ht="30" customHeight="1" outlineLevel="3" x14ac:dyDescent="0.25">
      <c r="B325" s="10" t="b">
        <f>NOT(B324)</f>
        <v>1</v>
      </c>
      <c r="C325" s="10" t="s">
        <v>426</v>
      </c>
      <c r="D325" s="10" t="s">
        <v>427</v>
      </c>
      <c r="E325" s="10" t="s">
        <v>73</v>
      </c>
      <c r="F325" s="10" t="s">
        <v>74</v>
      </c>
      <c r="G325" s="10" t="s">
        <v>73</v>
      </c>
      <c r="H325" s="10" t="s">
        <v>73</v>
      </c>
      <c r="I325" s="10" t="s">
        <v>428</v>
      </c>
      <c r="J325" s="10" t="s">
        <v>73</v>
      </c>
      <c r="K325" s="12" t="s">
        <v>73</v>
      </c>
      <c r="L325" s="10" t="s">
        <v>429</v>
      </c>
      <c r="M325" s="5" t="str">
        <f t="array" ref="M325">Y95</f>
        <v>1ХВС::1.1</v>
      </c>
      <c r="AB325" s="29" t="str">
        <f>AB322&amp;".1"</f>
        <v>3.1.2.1.1.2.1</v>
      </c>
      <c r="AC325" s="291" t="s">
        <v>430</v>
      </c>
      <c r="AD325" s="51" t="s">
        <v>415</v>
      </c>
      <c r="AE325" s="66"/>
      <c r="AF325" s="67">
        <v>16595.064999999999</v>
      </c>
      <c r="AG325" s="67">
        <v>13619.99</v>
      </c>
      <c r="AH325" s="68"/>
      <c r="AI325" s="146">
        <v>56.084000000000003</v>
      </c>
      <c r="AJ325" s="67"/>
      <c r="AK325" s="67">
        <v>56.84</v>
      </c>
      <c r="AL325" s="119"/>
      <c r="AM325" s="66"/>
      <c r="AN325" s="67"/>
      <c r="AO325" s="67"/>
      <c r="AP325" s="68"/>
      <c r="AQ325" s="146"/>
      <c r="AR325" s="67"/>
      <c r="AS325" s="67"/>
      <c r="AT325" s="119"/>
      <c r="AU325" s="66"/>
      <c r="AV325" s="67"/>
      <c r="AW325" s="67"/>
      <c r="AX325" s="119"/>
      <c r="AY325" s="66"/>
      <c r="AZ325" s="67"/>
      <c r="BA325" s="67"/>
      <c r="BB325" s="119"/>
      <c r="BC325" s="66">
        <v>0</v>
      </c>
      <c r="BD325" s="67"/>
      <c r="BE325" s="67">
        <v>37.866</v>
      </c>
      <c r="BF325" s="980"/>
      <c r="BG325" s="66">
        <v>2762.085</v>
      </c>
      <c r="BH325" s="67">
        <v>2718.82</v>
      </c>
      <c r="BI325" s="67">
        <f>BI321</f>
        <v>3669.15</v>
      </c>
      <c r="BJ325" s="119"/>
      <c r="BK325" s="66">
        <v>852.29399999999998</v>
      </c>
      <c r="BL325" s="67">
        <v>2619.9589999999998</v>
      </c>
      <c r="BM325" s="67"/>
      <c r="BN325" s="119"/>
      <c r="BO325" s="123"/>
      <c r="BP325" s="121"/>
      <c r="BQ325" s="121"/>
      <c r="BR325" s="124"/>
      <c r="BS325" s="123">
        <v>155.46700000000001</v>
      </c>
      <c r="BT325" s="121">
        <v>235.98500000000001</v>
      </c>
      <c r="BU325" s="121">
        <v>426.15</v>
      </c>
      <c r="BV325" s="124">
        <f>BV326*BV327</f>
        <v>394.54861</v>
      </c>
      <c r="BY325" s="125">
        <f t="shared" si="88"/>
        <v>3825.93</v>
      </c>
      <c r="BZ325" s="126">
        <f t="shared" si="89"/>
        <v>22169.828999999998</v>
      </c>
      <c r="CA325" s="126">
        <f t="shared" si="90"/>
        <v>17809.996000000003</v>
      </c>
      <c r="CB325" s="127">
        <f t="shared" si="91"/>
        <v>394.54861</v>
      </c>
    </row>
    <row r="326" spans="1:81" ht="30" customHeight="1" outlineLevel="3" x14ac:dyDescent="0.25">
      <c r="B326" s="10" t="b">
        <f t="array" ref="B326">B325</f>
        <v>1</v>
      </c>
      <c r="C326" s="10" t="s">
        <v>426</v>
      </c>
      <c r="D326" s="10" t="s">
        <v>427</v>
      </c>
      <c r="E326" s="10" t="s">
        <v>73</v>
      </c>
      <c r="F326" s="10" t="s">
        <v>74</v>
      </c>
      <c r="G326" s="10" t="s">
        <v>73</v>
      </c>
      <c r="H326" s="10" t="s">
        <v>73</v>
      </c>
      <c r="I326" s="10" t="s">
        <v>431</v>
      </c>
      <c r="J326" s="10" t="s">
        <v>73</v>
      </c>
      <c r="K326" s="12" t="s">
        <v>73</v>
      </c>
      <c r="L326" s="10" t="s">
        <v>429</v>
      </c>
      <c r="M326" s="5" t="str">
        <f t="array" ref="M326">Y95</f>
        <v>1ХВС::1.1</v>
      </c>
      <c r="AB326" s="65" t="str">
        <f>AB325&amp;".1"</f>
        <v>3.1.2.1.1.2.1.1</v>
      </c>
      <c r="AC326" s="292" t="s">
        <v>432</v>
      </c>
      <c r="AD326" s="51" t="s">
        <v>422</v>
      </c>
      <c r="AE326" s="282"/>
      <c r="AF326" s="283">
        <v>0.32379999999999998</v>
      </c>
      <c r="AG326" s="283">
        <v>0.25659999999999999</v>
      </c>
      <c r="AH326" s="284"/>
      <c r="AI326" s="671">
        <f>AI325/AI327</f>
        <v>0.36855421132526794</v>
      </c>
      <c r="AJ326" s="283"/>
      <c r="AK326" s="283">
        <f>AK325/AK327</f>
        <v>0.32784615917034854</v>
      </c>
      <c r="AL326" s="285"/>
      <c r="AM326" s="282"/>
      <c r="AN326" s="283"/>
      <c r="AO326" s="283"/>
      <c r="AP326" s="284"/>
      <c r="AQ326" s="671"/>
      <c r="AR326" s="283"/>
      <c r="AS326" s="283"/>
      <c r="AT326" s="285"/>
      <c r="AU326" s="282"/>
      <c r="AV326" s="283"/>
      <c r="AW326" s="283"/>
      <c r="AX326" s="285"/>
      <c r="AY326" s="282"/>
      <c r="AZ326" s="283"/>
      <c r="BA326" s="283"/>
      <c r="BB326" s="285"/>
      <c r="BC326" s="282">
        <v>0</v>
      </c>
      <c r="BD326" s="283"/>
      <c r="BE326" s="283">
        <v>5.04E-2</v>
      </c>
      <c r="BF326" s="981"/>
      <c r="BG326" s="282">
        <f>BG325/BG327</f>
        <v>1.2820431295371419</v>
      </c>
      <c r="BH326" s="283">
        <f>BH325/BH327</f>
        <v>0.77000110452487025</v>
      </c>
      <c r="BI326" s="283">
        <f>BI325/BI327</f>
        <v>0.76999997901421369</v>
      </c>
      <c r="BJ326" s="285"/>
      <c r="BK326" s="282">
        <v>0.2414</v>
      </c>
      <c r="BL326" s="283">
        <v>0.74539999999999995</v>
      </c>
      <c r="BM326" s="283"/>
      <c r="BN326" s="285"/>
      <c r="BO326" s="289"/>
      <c r="BP326" s="287"/>
      <c r="BQ326" s="287"/>
      <c r="BR326" s="290"/>
      <c r="BS326" s="1091">
        <f>BS325/BS327</f>
        <v>0.34047347904165393</v>
      </c>
      <c r="BT326" s="287">
        <f>BT325/BT327</f>
        <v>0.58996250000000006</v>
      </c>
      <c r="BU326" s="286">
        <f>BU325/BU327</f>
        <v>0.94699999999999995</v>
      </c>
      <c r="BV326" s="290">
        <v>0.94699999999999995</v>
      </c>
      <c r="BY326" s="125">
        <f t="shared" si="88"/>
        <v>2.2324708199040639</v>
      </c>
      <c r="BZ326" s="126">
        <f t="shared" si="89"/>
        <v>2.4291636045248701</v>
      </c>
      <c r="CA326" s="126">
        <f t="shared" si="90"/>
        <v>2.3518461381845621</v>
      </c>
      <c r="CB326" s="127">
        <f t="shared" si="91"/>
        <v>0.94699999999999995</v>
      </c>
    </row>
    <row r="327" spans="1:81" ht="19.5" customHeight="1" outlineLevel="3" x14ac:dyDescent="0.25">
      <c r="B327" s="10" t="b">
        <f t="array" ref="B327">B326</f>
        <v>1</v>
      </c>
      <c r="C327" s="10" t="s">
        <v>426</v>
      </c>
      <c r="D327" s="10" t="s">
        <v>427</v>
      </c>
      <c r="E327" s="10" t="s">
        <v>73</v>
      </c>
      <c r="F327" s="10" t="s">
        <v>74</v>
      </c>
      <c r="G327" s="10" t="s">
        <v>73</v>
      </c>
      <c r="H327" s="10" t="s">
        <v>73</v>
      </c>
      <c r="I327" s="10" t="s">
        <v>433</v>
      </c>
      <c r="J327" s="10" t="s">
        <v>73</v>
      </c>
      <c r="K327" s="12" t="s">
        <v>73</v>
      </c>
      <c r="L327" s="10" t="s">
        <v>429</v>
      </c>
      <c r="M327" s="5" t="str">
        <f t="array" ref="M327">Y95</f>
        <v>1ХВС::1.1</v>
      </c>
      <c r="AB327" s="65" t="str">
        <f>AB325&amp;".2"</f>
        <v>3.1.2.1.1.2.1.2</v>
      </c>
      <c r="AC327" s="292" t="s">
        <v>425</v>
      </c>
      <c r="AD327" s="51" t="s">
        <v>137</v>
      </c>
      <c r="AE327" s="66">
        <v>52396.260999999999</v>
      </c>
      <c r="AF327" s="67">
        <v>51840.271000000001</v>
      </c>
      <c r="AG327" s="67">
        <v>53078.682999999997</v>
      </c>
      <c r="AH327" s="68">
        <f>AH112</f>
        <v>54403.249000000003</v>
      </c>
      <c r="AI327" s="146">
        <v>152.173</v>
      </c>
      <c r="AJ327" s="67"/>
      <c r="AK327" s="67">
        <v>173.374</v>
      </c>
      <c r="AL327" s="119"/>
      <c r="AM327" s="66">
        <v>1151.5329999999999</v>
      </c>
      <c r="AN327" s="67">
        <v>1038</v>
      </c>
      <c r="AO327" s="67">
        <v>1346.55</v>
      </c>
      <c r="AP327" s="68">
        <v>1271.22</v>
      </c>
      <c r="AQ327" s="146"/>
      <c r="AR327" s="67"/>
      <c r="AS327" s="67"/>
      <c r="AT327" s="119">
        <v>2363.52</v>
      </c>
      <c r="AU327" s="66">
        <v>399.11</v>
      </c>
      <c r="AV327" s="67">
        <v>493.12</v>
      </c>
      <c r="AW327" s="67">
        <v>415.79</v>
      </c>
      <c r="AX327" s="119">
        <v>525.9</v>
      </c>
      <c r="AY327" s="66">
        <v>7733.2</v>
      </c>
      <c r="AZ327" s="67">
        <f>AZ330</f>
        <v>3502.03</v>
      </c>
      <c r="BA327" s="67">
        <v>7474.4679999999998</v>
      </c>
      <c r="BB327" s="119">
        <v>3069.18</v>
      </c>
      <c r="BC327" s="66">
        <v>741.82399999999996</v>
      </c>
      <c r="BD327" s="67"/>
      <c r="BE327" s="67">
        <v>751.28599999999994</v>
      </c>
      <c r="BF327" s="980"/>
      <c r="BG327" s="66">
        <v>2154.44</v>
      </c>
      <c r="BH327" s="67">
        <v>3530.93</v>
      </c>
      <c r="BI327" s="67">
        <v>4765.13</v>
      </c>
      <c r="BJ327" s="119"/>
      <c r="BK327" s="66">
        <v>3531.2759999999998</v>
      </c>
      <c r="BL327" s="67">
        <v>3514.9549999999999</v>
      </c>
      <c r="BM327" s="67">
        <v>4083.32</v>
      </c>
      <c r="BN327" s="119"/>
      <c r="BO327" s="123">
        <v>147.52199999999999</v>
      </c>
      <c r="BP327" s="121">
        <v>204.5</v>
      </c>
      <c r="BQ327" s="121">
        <v>256.42399999999998</v>
      </c>
      <c r="BR327" s="124">
        <v>209.95400000000001</v>
      </c>
      <c r="BS327" s="123">
        <v>456.62</v>
      </c>
      <c r="BT327" s="121">
        <v>400</v>
      </c>
      <c r="BU327" s="121">
        <v>450</v>
      </c>
      <c r="BV327" s="124">
        <v>416.63</v>
      </c>
      <c r="BY327" s="125">
        <f t="shared" si="88"/>
        <v>68863.959000000003</v>
      </c>
      <c r="BZ327" s="126">
        <f t="shared" si="89"/>
        <v>64523.806000000004</v>
      </c>
      <c r="CA327" s="126">
        <f t="shared" si="90"/>
        <v>72795.025000000009</v>
      </c>
      <c r="CB327" s="127">
        <f t="shared" si="91"/>
        <v>62259.652999999998</v>
      </c>
    </row>
    <row r="328" spans="1:81" ht="33.6" customHeight="1" outlineLevel="3" x14ac:dyDescent="0.25">
      <c r="B328" s="10" t="b">
        <f t="array" ref="B328">B327</f>
        <v>1</v>
      </c>
      <c r="C328" s="10" t="s">
        <v>426</v>
      </c>
      <c r="D328" s="10" t="s">
        <v>427</v>
      </c>
      <c r="E328" s="10" t="s">
        <v>73</v>
      </c>
      <c r="F328" s="10" t="s">
        <v>74</v>
      </c>
      <c r="G328" s="10" t="s">
        <v>73</v>
      </c>
      <c r="H328" s="10" t="s">
        <v>73</v>
      </c>
      <c r="I328" s="10" t="s">
        <v>434</v>
      </c>
      <c r="J328" s="10" t="s">
        <v>73</v>
      </c>
      <c r="K328" s="12" t="s">
        <v>73</v>
      </c>
      <c r="L328" s="10" t="s">
        <v>429</v>
      </c>
      <c r="M328" s="5" t="str">
        <f t="array" ref="M328">Y95</f>
        <v>1ХВС::1.1</v>
      </c>
      <c r="AB328" s="65" t="str">
        <f>AB322&amp;".2"</f>
        <v>3.1.2.1.1.2.2</v>
      </c>
      <c r="AC328" s="291" t="s">
        <v>435</v>
      </c>
      <c r="AD328" s="51" t="s">
        <v>415</v>
      </c>
      <c r="AE328" s="66">
        <v>29279.306</v>
      </c>
      <c r="AF328" s="67">
        <v>14528.934999999999</v>
      </c>
      <c r="AG328" s="67">
        <v>16822.642</v>
      </c>
      <c r="AH328" s="68"/>
      <c r="AI328" s="146">
        <v>67.445999999999998</v>
      </c>
      <c r="AJ328" s="67"/>
      <c r="AK328" s="67">
        <v>52.649000000000001</v>
      </c>
      <c r="AL328" s="119"/>
      <c r="AM328" s="66">
        <v>646.41800000000001</v>
      </c>
      <c r="AN328" s="67">
        <v>492.12</v>
      </c>
      <c r="AO328" s="67">
        <v>506.59</v>
      </c>
      <c r="AP328" s="68">
        <v>477.99</v>
      </c>
      <c r="AQ328" s="146">
        <v>1807.5039999999999</v>
      </c>
      <c r="AR328" s="67"/>
      <c r="AS328" s="67">
        <v>1846.49</v>
      </c>
      <c r="AT328" s="119">
        <v>1611.02</v>
      </c>
      <c r="AU328" s="66">
        <v>477.37200000000001</v>
      </c>
      <c r="AV328" s="67">
        <v>875.12</v>
      </c>
      <c r="AW328" s="67">
        <v>539.35</v>
      </c>
      <c r="AX328" s="119">
        <v>611.12</v>
      </c>
      <c r="AY328" s="66">
        <v>2838.2950000000001</v>
      </c>
      <c r="AZ328" s="67">
        <v>1250.23</v>
      </c>
      <c r="BA328" s="67">
        <v>2671.53</v>
      </c>
      <c r="BB328" s="119">
        <v>1116.837</v>
      </c>
      <c r="BC328" s="66">
        <v>747.18600000000004</v>
      </c>
      <c r="BD328" s="67">
        <f>BD321</f>
        <v>1600.7850000000001</v>
      </c>
      <c r="BE328" s="67">
        <v>721.024</v>
      </c>
      <c r="BF328" s="980"/>
      <c r="BG328" s="66"/>
      <c r="BH328" s="67"/>
      <c r="BI328" s="67"/>
      <c r="BJ328" s="119"/>
      <c r="BK328" s="66">
        <v>1708.962</v>
      </c>
      <c r="BL328" s="67">
        <v>2291.3009999999999</v>
      </c>
      <c r="BM328" s="67">
        <v>3058.25</v>
      </c>
      <c r="BN328" s="119"/>
      <c r="BO328" s="123">
        <v>292.81400000000002</v>
      </c>
      <c r="BP328" s="121">
        <v>306.3</v>
      </c>
      <c r="BQ328" s="121">
        <v>292.12799999999999</v>
      </c>
      <c r="BR328" s="124">
        <v>364.68</v>
      </c>
      <c r="BS328" s="123">
        <v>263.14600000000002</v>
      </c>
      <c r="BT328" s="121">
        <v>401.81099999999998</v>
      </c>
      <c r="BU328" s="121">
        <v>356.4</v>
      </c>
      <c r="BV328" s="124">
        <f>BV329*BV330</f>
        <v>329.97095999999999</v>
      </c>
      <c r="BY328" s="125">
        <f t="shared" si="88"/>
        <v>38128.449000000001</v>
      </c>
      <c r="BZ328" s="126">
        <f t="shared" si="89"/>
        <v>21746.602000000003</v>
      </c>
      <c r="CA328" s="126">
        <f t="shared" si="90"/>
        <v>26867.053000000004</v>
      </c>
      <c r="CB328" s="127">
        <f t="shared" si="91"/>
        <v>4511.6179599999996</v>
      </c>
    </row>
    <row r="329" spans="1:81" ht="31.7" customHeight="1" outlineLevel="3" x14ac:dyDescent="0.25">
      <c r="B329" s="10" t="b">
        <f t="array" ref="B329">B328</f>
        <v>1</v>
      </c>
      <c r="C329" s="10" t="s">
        <v>426</v>
      </c>
      <c r="D329" s="10" t="s">
        <v>427</v>
      </c>
      <c r="E329" s="10" t="s">
        <v>73</v>
      </c>
      <c r="F329" s="10" t="s">
        <v>74</v>
      </c>
      <c r="G329" s="10" t="s">
        <v>73</v>
      </c>
      <c r="H329" s="10" t="s">
        <v>73</v>
      </c>
      <c r="I329" s="10" t="s">
        <v>436</v>
      </c>
      <c r="J329" s="10" t="s">
        <v>73</v>
      </c>
      <c r="K329" s="12" t="s">
        <v>73</v>
      </c>
      <c r="L329" s="10" t="s">
        <v>429</v>
      </c>
      <c r="M329" s="5" t="str">
        <f t="array" ref="M329">Y95</f>
        <v>1ХВС::1.1</v>
      </c>
      <c r="AB329" s="65" t="str">
        <f>AB328&amp;".1"</f>
        <v>3.1.2.1.1.2.2.1</v>
      </c>
      <c r="AC329" s="292" t="s">
        <v>437</v>
      </c>
      <c r="AD329" s="51" t="s">
        <v>422</v>
      </c>
      <c r="AE329" s="282">
        <f>AE328/AE330</f>
        <v>0.58139995889992635</v>
      </c>
      <c r="AF329" s="283">
        <v>0.33329999999999999</v>
      </c>
      <c r="AG329" s="283">
        <f>AG328/AG330</f>
        <v>0.32999999372274597</v>
      </c>
      <c r="AH329" s="284"/>
      <c r="AI329" s="671">
        <f>AI328/AI330</f>
        <v>0.45254837757320376</v>
      </c>
      <c r="AJ329" s="283"/>
      <c r="AK329" s="283">
        <f>AK328/AK330</f>
        <v>0.31457592686642966</v>
      </c>
      <c r="AL329" s="285"/>
      <c r="AM329" s="283">
        <f>AM321/AM330</f>
        <v>0.56135429900836542</v>
      </c>
      <c r="AN329" s="283">
        <f>AN321/AN330</f>
        <v>0.38699976631419059</v>
      </c>
      <c r="AO329" s="283">
        <f>AO321/AO330</f>
        <v>0.37621328580446323</v>
      </c>
      <c r="AP329" s="283">
        <f>AP321/AP330</f>
        <v>0.37600887336574312</v>
      </c>
      <c r="AQ329" s="671">
        <f>AQ328/AQ330</f>
        <v>0.68930243129681612</v>
      </c>
      <c r="AR329" s="283" t="e">
        <f t="shared" ref="AR329:BC329" si="92">AR328/AR330</f>
        <v>#DIV/0!</v>
      </c>
      <c r="AS329" s="283">
        <f t="shared" si="92"/>
        <v>0.7356299400815911</v>
      </c>
      <c r="AT329" s="285">
        <f t="shared" si="92"/>
        <v>0.68161894124018418</v>
      </c>
      <c r="AU329" s="282">
        <f t="shared" si="92"/>
        <v>1.1960913031495077</v>
      </c>
      <c r="AV329" s="283">
        <f t="shared" si="92"/>
        <v>1.7746593121349772</v>
      </c>
      <c r="AW329" s="283">
        <f t="shared" si="92"/>
        <v>1.2971692440895644</v>
      </c>
      <c r="AX329" s="285">
        <f t="shared" si="92"/>
        <v>1.1620460163529189</v>
      </c>
      <c r="AY329" s="282">
        <f t="shared" si="92"/>
        <v>0.36702723322815911</v>
      </c>
      <c r="AZ329" s="283">
        <f t="shared" si="92"/>
        <v>0.357001510552451</v>
      </c>
      <c r="BA329" s="283">
        <f t="shared" si="92"/>
        <v>0.35742075556414188</v>
      </c>
      <c r="BB329" s="283">
        <f t="shared" si="92"/>
        <v>0.36388774851914846</v>
      </c>
      <c r="BC329" s="282">
        <f t="shared" si="92"/>
        <v>0.60806647189511642</v>
      </c>
      <c r="BD329" s="283"/>
      <c r="BE329" s="283">
        <v>0.59709999999999996</v>
      </c>
      <c r="BF329" s="981"/>
      <c r="BG329" s="282"/>
      <c r="BH329" s="283"/>
      <c r="BI329" s="283"/>
      <c r="BJ329" s="285"/>
      <c r="BK329" s="282">
        <f>BK328/BK330</f>
        <v>0.37532564451368877</v>
      </c>
      <c r="BL329" s="283">
        <f>BL328/BL330</f>
        <v>0.50953909337083547</v>
      </c>
      <c r="BM329" s="283">
        <f>BM328/BM330</f>
        <v>0.6657141072182281</v>
      </c>
      <c r="BN329" s="285"/>
      <c r="BO329" s="289">
        <f>BO328/BO330</f>
        <v>1.098450688374536</v>
      </c>
      <c r="BP329" s="287">
        <v>1.7373000000000001</v>
      </c>
      <c r="BQ329" s="287">
        <f>BQ328/BQ330</f>
        <v>1.1392381368358657</v>
      </c>
      <c r="BR329" s="290">
        <f>BR328/BR330</f>
        <v>1.7369519037503454</v>
      </c>
      <c r="BS329" s="289">
        <f>BS328/BS330</f>
        <v>0.57629100784021725</v>
      </c>
      <c r="BT329" s="287">
        <v>0.79200000000000004</v>
      </c>
      <c r="BU329" s="287">
        <f>BU328/BU330</f>
        <v>0.79199999999999993</v>
      </c>
      <c r="BV329" s="290">
        <v>0.79200000000000004</v>
      </c>
      <c r="BY329" s="125">
        <f t="shared" si="88"/>
        <v>6.5058574157795377</v>
      </c>
      <c r="BZ329" s="126" t="e">
        <f t="shared" si="89"/>
        <v>#DIV/0!</v>
      </c>
      <c r="CA329" s="126">
        <f t="shared" si="90"/>
        <v>6.60506139018303</v>
      </c>
      <c r="CB329" s="127">
        <f t="shared" si="91"/>
        <v>5.1125134832283399</v>
      </c>
    </row>
    <row r="330" spans="1:81" ht="24" customHeight="1" outlineLevel="3" x14ac:dyDescent="0.25">
      <c r="B330" s="10" t="b">
        <f t="array" ref="B330">B329</f>
        <v>1</v>
      </c>
      <c r="C330" s="10" t="s">
        <v>426</v>
      </c>
      <c r="D330" s="10" t="s">
        <v>427</v>
      </c>
      <c r="E330" s="10" t="s">
        <v>73</v>
      </c>
      <c r="F330" s="10" t="s">
        <v>74</v>
      </c>
      <c r="G330" s="10" t="s">
        <v>73</v>
      </c>
      <c r="H330" s="10" t="s">
        <v>73</v>
      </c>
      <c r="I330" s="10" t="s">
        <v>438</v>
      </c>
      <c r="J330" s="10" t="s">
        <v>73</v>
      </c>
      <c r="K330" s="12" t="s">
        <v>73</v>
      </c>
      <c r="L330" s="10" t="s">
        <v>429</v>
      </c>
      <c r="M330" s="5" t="str">
        <f t="array" ref="M330">Y95</f>
        <v>1ХВС::1.1</v>
      </c>
      <c r="AB330" s="65" t="str">
        <f>AB328&amp;".2"</f>
        <v>3.1.2.1.1.2.2.2</v>
      </c>
      <c r="AC330" s="292" t="s">
        <v>425</v>
      </c>
      <c r="AD330" s="51" t="s">
        <v>137</v>
      </c>
      <c r="AE330" s="66">
        <v>50360.006999999998</v>
      </c>
      <c r="AF330" s="67">
        <v>49835.03</v>
      </c>
      <c r="AG330" s="67">
        <v>50977.703999999998</v>
      </c>
      <c r="AH330" s="68"/>
      <c r="AI330" s="146">
        <v>149.036</v>
      </c>
      <c r="AJ330" s="67"/>
      <c r="AK330" s="67">
        <v>167.36500000000001</v>
      </c>
      <c r="AL330" s="119"/>
      <c r="AM330" s="66">
        <v>1151.5329999999999</v>
      </c>
      <c r="AN330" s="67">
        <v>1369.36</v>
      </c>
      <c r="AO330" s="67">
        <v>1346.55</v>
      </c>
      <c r="AP330" s="68">
        <f>AP327</f>
        <v>1271.22</v>
      </c>
      <c r="AQ330" s="146">
        <v>2622.2220000000002</v>
      </c>
      <c r="AR330" s="67"/>
      <c r="AS330" s="67">
        <v>2510.08</v>
      </c>
      <c r="AT330" s="119">
        <v>2363.52</v>
      </c>
      <c r="AU330" s="66">
        <v>399.11</v>
      </c>
      <c r="AV330" s="67">
        <v>493.12</v>
      </c>
      <c r="AW330" s="67">
        <v>415.79</v>
      </c>
      <c r="AX330" s="119">
        <v>525.9</v>
      </c>
      <c r="AY330" s="66">
        <v>7733.2</v>
      </c>
      <c r="AZ330" s="67">
        <f>AZ112</f>
        <v>3502.03</v>
      </c>
      <c r="BA330" s="67">
        <v>7474.4679999999998</v>
      </c>
      <c r="BB330" s="119">
        <v>3069.18</v>
      </c>
      <c r="BC330" s="66">
        <v>1228.79</v>
      </c>
      <c r="BD330" s="67">
        <f>BD130</f>
        <v>0</v>
      </c>
      <c r="BE330" s="67">
        <v>1207.5650000000001</v>
      </c>
      <c r="BF330" s="980"/>
      <c r="BG330" s="66"/>
      <c r="BH330" s="67"/>
      <c r="BI330" s="67"/>
      <c r="BJ330" s="119"/>
      <c r="BK330" s="66">
        <v>4553.2780000000002</v>
      </c>
      <c r="BL330" s="67">
        <v>4496.8109999999997</v>
      </c>
      <c r="BM330" s="67">
        <v>4593.9390000000003</v>
      </c>
      <c r="BN330" s="119"/>
      <c r="BO330" s="123">
        <v>266.57</v>
      </c>
      <c r="BP330" s="121">
        <v>204.5</v>
      </c>
      <c r="BQ330" s="121">
        <v>256.42399999999998</v>
      </c>
      <c r="BR330" s="124">
        <v>209.95400000000001</v>
      </c>
      <c r="BS330" s="123">
        <v>456.62</v>
      </c>
      <c r="BT330" s="121">
        <v>400</v>
      </c>
      <c r="BU330" s="121">
        <v>450</v>
      </c>
      <c r="BV330" s="124">
        <v>416.63</v>
      </c>
      <c r="BY330" s="125">
        <f t="shared" si="88"/>
        <v>68920.366000000009</v>
      </c>
      <c r="BZ330" s="126">
        <f t="shared" si="89"/>
        <v>60300.851000000002</v>
      </c>
      <c r="CA330" s="126">
        <f t="shared" si="90"/>
        <v>69399.885000000009</v>
      </c>
      <c r="CB330" s="127">
        <f t="shared" si="91"/>
        <v>7856.4039999999995</v>
      </c>
    </row>
    <row r="331" spans="1:81" ht="23.25" customHeight="1" outlineLevel="3" x14ac:dyDescent="0.25">
      <c r="B331" s="10" t="b">
        <f t="array" ref="B331">B322</f>
        <v>0</v>
      </c>
      <c r="C331" s="11" t="s">
        <v>412</v>
      </c>
      <c r="D331" s="10" t="s">
        <v>413</v>
      </c>
      <c r="E331" s="10" t="s">
        <v>73</v>
      </c>
      <c r="F331" s="10" t="s">
        <v>74</v>
      </c>
      <c r="G331" s="10" t="s">
        <v>73</v>
      </c>
      <c r="H331" s="10" t="s">
        <v>73</v>
      </c>
      <c r="I331" s="10" t="s">
        <v>73</v>
      </c>
      <c r="J331" s="11" t="s">
        <v>439</v>
      </c>
      <c r="K331" s="12" t="s">
        <v>73</v>
      </c>
      <c r="L331" s="10" t="s">
        <v>417</v>
      </c>
      <c r="M331" s="5" t="str">
        <f t="array" ref="M331">Y95</f>
        <v>1ХВС::1.1</v>
      </c>
      <c r="AB331" s="29" t="str">
        <f>AB321&amp;".2"</f>
        <v>3.1.2.1.1.2.2</v>
      </c>
      <c r="AC331" s="293" t="s">
        <v>440</v>
      </c>
      <c r="AD331" s="51" t="s">
        <v>415</v>
      </c>
      <c r="AE331" s="66">
        <f>[1]ЭЭ!AO100*1</f>
        <v>0</v>
      </c>
      <c r="AF331" s="67"/>
      <c r="AG331" s="67">
        <f t="array" ref="AG331">[1]ЭЭ!BJ100</f>
        <v>0</v>
      </c>
      <c r="AH331" s="68"/>
      <c r="AI331" s="146">
        <f>[1]ЭЭ!AR118*1</f>
        <v>0</v>
      </c>
      <c r="AJ331" s="67"/>
      <c r="AK331" s="67">
        <f t="array" ref="AK331">[1]ЭЭ!BM118</f>
        <v>0</v>
      </c>
      <c r="AL331" s="119"/>
      <c r="AM331" s="66">
        <f>[1]ЭЭ!AU100*1</f>
        <v>0</v>
      </c>
      <c r="AN331" s="67"/>
      <c r="AO331" s="67">
        <f t="array" ref="AO331">[1]ЭЭ!BP100</f>
        <v>0</v>
      </c>
      <c r="AP331" s="68">
        <v>0</v>
      </c>
      <c r="AQ331" s="146">
        <f>[1]ЭЭ!AX100*1</f>
        <v>0</v>
      </c>
      <c r="AR331" s="67"/>
      <c r="AS331" s="67">
        <f t="array" ref="AS331">[1]ЭЭ!BS100</f>
        <v>0</v>
      </c>
      <c r="AT331" s="119">
        <v>0</v>
      </c>
      <c r="AU331" s="66">
        <f>[1]ЭЭ!BA100*1</f>
        <v>0</v>
      </c>
      <c r="AV331" s="67"/>
      <c r="AW331" s="67">
        <f t="array" ref="AW331">[1]ЭЭ!BV100</f>
        <v>0</v>
      </c>
      <c r="AX331" s="119">
        <v>0</v>
      </c>
      <c r="AY331" s="66">
        <f>[1]ЭЭ!BD100*1</f>
        <v>0</v>
      </c>
      <c r="AZ331" s="67"/>
      <c r="BA331" s="67">
        <f t="array" ref="BA331">[1]ЭЭ!BY100</f>
        <v>0</v>
      </c>
      <c r="BB331" s="119"/>
      <c r="BC331" s="66">
        <f>[1]ЭЭ!BG117*1</f>
        <v>0</v>
      </c>
      <c r="BD331" s="67"/>
      <c r="BE331" s="67">
        <f t="array" ref="BE331">[1]ЭЭ!CB117</f>
        <v>0</v>
      </c>
      <c r="BF331" s="980"/>
      <c r="BG331" s="66">
        <f>[1]ЭЭ!BJ117*1</f>
        <v>10833.939764000001</v>
      </c>
      <c r="BH331" s="67"/>
      <c r="BI331" s="67"/>
      <c r="BJ331" s="119"/>
      <c r="BK331" s="66">
        <f>[1]ЭЭ!BM118*1</f>
        <v>0</v>
      </c>
      <c r="BL331" s="67"/>
      <c r="BM331" s="67"/>
      <c r="BN331" s="119"/>
      <c r="BO331" s="123">
        <f>[3]ЭЭ!BP113*1</f>
        <v>0</v>
      </c>
      <c r="BP331" s="121"/>
      <c r="BQ331" s="121">
        <f>[3]ЭЭ!CK113</f>
        <v>0</v>
      </c>
      <c r="BR331" s="124"/>
      <c r="BS331" s="123">
        <f>[3]ЭЭ!BS113*1</f>
        <v>0</v>
      </c>
      <c r="BT331" s="121"/>
      <c r="BU331" s="121">
        <f>[3]ЭЭ!CN113</f>
        <v>0</v>
      </c>
      <c r="BV331" s="124"/>
      <c r="BY331" s="125">
        <f t="shared" si="88"/>
        <v>10833.939764000001</v>
      </c>
      <c r="BZ331" s="126">
        <f t="shared" si="89"/>
        <v>0</v>
      </c>
      <c r="CA331" s="126">
        <f>AG331+AK331+AO331+AS331+AW331+BA331+BE331+BI331+BM331+BQ331+BU331</f>
        <v>0</v>
      </c>
      <c r="CB331" s="127">
        <f t="shared" si="91"/>
        <v>0</v>
      </c>
    </row>
    <row r="332" spans="1:81" ht="18.600000000000001" hidden="1" customHeight="1" outlineLevel="3" x14ac:dyDescent="0.25">
      <c r="A332" s="10" t="b">
        <f>$AD$48="да"</f>
        <v>1</v>
      </c>
      <c r="B332" s="5" t="b">
        <f t="array" ref="B332">A332</f>
        <v>1</v>
      </c>
      <c r="C332" s="10" t="s">
        <v>83</v>
      </c>
      <c r="D332" s="10" t="s">
        <v>84</v>
      </c>
      <c r="E332" s="10" t="s">
        <v>73</v>
      </c>
      <c r="F332" s="10" t="s">
        <v>74</v>
      </c>
      <c r="G332" s="10" t="s">
        <v>441</v>
      </c>
      <c r="H332" s="10" t="s">
        <v>73</v>
      </c>
      <c r="I332" s="10" t="s">
        <v>73</v>
      </c>
      <c r="J332" s="10" t="s">
        <v>73</v>
      </c>
      <c r="K332" s="12" t="s">
        <v>73</v>
      </c>
      <c r="L332" s="10" t="s">
        <v>442</v>
      </c>
      <c r="M332" s="5" t="str">
        <f t="array" ref="M332">Y95</f>
        <v>1ХВС::1.1</v>
      </c>
      <c r="Y332" s="10">
        <f>COUNT($Y319:Y331)+1</f>
        <v>2</v>
      </c>
      <c r="AB332" s="29" t="str">
        <f>AB$318&amp;"."&amp;Y332</f>
        <v>3.1.2.2</v>
      </c>
      <c r="AC332" s="87" t="s">
        <v>443</v>
      </c>
      <c r="AD332" s="51" t="s">
        <v>111</v>
      </c>
      <c r="AE332" s="72"/>
      <c r="AF332" s="178"/>
      <c r="AG332" s="73"/>
      <c r="AH332" s="74"/>
      <c r="AI332" s="179"/>
      <c r="AJ332" s="178"/>
      <c r="AK332" s="73"/>
      <c r="AL332" s="138"/>
      <c r="AM332" s="72"/>
      <c r="AN332" s="178"/>
      <c r="AO332" s="73"/>
      <c r="AP332" s="74"/>
      <c r="AQ332" s="179"/>
      <c r="AR332" s="178"/>
      <c r="AS332" s="73"/>
      <c r="AT332" s="138"/>
      <c r="AU332" s="72"/>
      <c r="AV332" s="178"/>
      <c r="AW332" s="73"/>
      <c r="AX332" s="138"/>
      <c r="AY332" s="72"/>
      <c r="AZ332" s="178"/>
      <c r="BA332" s="73"/>
      <c r="BB332" s="138"/>
      <c r="BC332" s="72">
        <v>0</v>
      </c>
      <c r="BD332" s="178"/>
      <c r="BE332" s="73">
        <v>0</v>
      </c>
      <c r="BF332" s="774"/>
      <c r="BG332" s="72"/>
      <c r="BH332" s="178"/>
      <c r="BI332" s="73"/>
      <c r="BJ332" s="138"/>
      <c r="BK332" s="72"/>
      <c r="BL332" s="178"/>
      <c r="BM332" s="73"/>
      <c r="BN332" s="138"/>
      <c r="BO332" s="142"/>
      <c r="BP332" s="183"/>
      <c r="BQ332" s="140"/>
      <c r="BR332" s="143"/>
      <c r="BS332" s="142"/>
      <c r="BT332" s="183"/>
      <c r="BU332" s="140"/>
      <c r="BV332" s="143"/>
      <c r="BY332" s="125">
        <f t="shared" si="88"/>
        <v>0</v>
      </c>
      <c r="BZ332" s="126">
        <f t="shared" si="89"/>
        <v>0</v>
      </c>
      <c r="CA332" s="126">
        <f t="shared" si="90"/>
        <v>0</v>
      </c>
      <c r="CB332" s="127">
        <f t="shared" si="91"/>
        <v>0</v>
      </c>
    </row>
    <row r="333" spans="1:81" ht="39" hidden="1" customHeight="1" outlineLevel="3" x14ac:dyDescent="0.25">
      <c r="A333" s="10" t="b">
        <f>$AD$49="да"</f>
        <v>1</v>
      </c>
      <c r="B333" s="5" t="b">
        <f t="array" ref="B333">A333</f>
        <v>1</v>
      </c>
      <c r="C333" s="10" t="s">
        <v>83</v>
      </c>
      <c r="D333" s="10" t="s">
        <v>84</v>
      </c>
      <c r="E333" s="10" t="s">
        <v>73</v>
      </c>
      <c r="F333" s="10" t="s">
        <v>74</v>
      </c>
      <c r="G333" s="10" t="s">
        <v>444</v>
      </c>
      <c r="H333" s="10" t="s">
        <v>73</v>
      </c>
      <c r="I333" s="10" t="s">
        <v>73</v>
      </c>
      <c r="J333" s="10" t="s">
        <v>73</v>
      </c>
      <c r="K333" s="12" t="s">
        <v>73</v>
      </c>
      <c r="L333" s="10" t="s">
        <v>224</v>
      </c>
      <c r="M333" s="5" t="str">
        <f t="array" ref="M333">Y95</f>
        <v>1ХВС::1.1</v>
      </c>
      <c r="Y333" s="10">
        <f>COUNT($Y319:Y332)+1</f>
        <v>3</v>
      </c>
      <c r="AB333" s="29" t="str">
        <f>AB$318&amp;"."&amp;Y333</f>
        <v>3.1.2.3</v>
      </c>
      <c r="AC333" s="87" t="s">
        <v>445</v>
      </c>
      <c r="AD333" s="51" t="s">
        <v>111</v>
      </c>
      <c r="AE333" s="72"/>
      <c r="AF333" s="178"/>
      <c r="AG333" s="73"/>
      <c r="AH333" s="74"/>
      <c r="AI333" s="179"/>
      <c r="AJ333" s="178"/>
      <c r="AK333" s="73"/>
      <c r="AL333" s="138"/>
      <c r="AM333" s="72"/>
      <c r="AN333" s="178"/>
      <c r="AO333" s="73"/>
      <c r="AP333" s="74"/>
      <c r="AQ333" s="179"/>
      <c r="AR333" s="178"/>
      <c r="AS333" s="73"/>
      <c r="AT333" s="138"/>
      <c r="AU333" s="72"/>
      <c r="AV333" s="178"/>
      <c r="AW333" s="73"/>
      <c r="AX333" s="138"/>
      <c r="AY333" s="72"/>
      <c r="AZ333" s="178"/>
      <c r="BA333" s="73"/>
      <c r="BB333" s="138"/>
      <c r="BC333" s="72">
        <v>0</v>
      </c>
      <c r="BD333" s="178"/>
      <c r="BE333" s="73">
        <v>0</v>
      </c>
      <c r="BF333" s="774"/>
      <c r="BG333" s="72"/>
      <c r="BH333" s="178"/>
      <c r="BI333" s="73"/>
      <c r="BJ333" s="138"/>
      <c r="BK333" s="72"/>
      <c r="BL333" s="178"/>
      <c r="BM333" s="73"/>
      <c r="BN333" s="138"/>
      <c r="BO333" s="142"/>
      <c r="BP333" s="183"/>
      <c r="BQ333" s="140"/>
      <c r="BR333" s="143"/>
      <c r="BS333" s="142"/>
      <c r="BT333" s="183"/>
      <c r="BU333" s="140"/>
      <c r="BV333" s="143"/>
      <c r="BY333" s="125">
        <f t="shared" si="88"/>
        <v>0</v>
      </c>
      <c r="BZ333" s="126">
        <f t="shared" si="89"/>
        <v>0</v>
      </c>
      <c r="CA333" s="126">
        <f t="shared" si="90"/>
        <v>0</v>
      </c>
      <c r="CB333" s="127">
        <f t="shared" si="91"/>
        <v>0</v>
      </c>
    </row>
    <row r="334" spans="1:81" ht="36" hidden="1" customHeight="1" outlineLevel="3" x14ac:dyDescent="0.25">
      <c r="A334" s="10" t="b">
        <f>$AD$50="да"</f>
        <v>1</v>
      </c>
      <c r="B334" s="5" t="b">
        <f t="array" ref="B334">A334</f>
        <v>1</v>
      </c>
      <c r="C334" s="10" t="s">
        <v>83</v>
      </c>
      <c r="D334" s="10" t="s">
        <v>84</v>
      </c>
      <c r="E334" s="10" t="s">
        <v>73</v>
      </c>
      <c r="F334" s="10" t="s">
        <v>74</v>
      </c>
      <c r="G334" s="10" t="s">
        <v>446</v>
      </c>
      <c r="H334" s="10" t="s">
        <v>73</v>
      </c>
      <c r="I334" s="10" t="s">
        <v>73</v>
      </c>
      <c r="J334" s="10" t="s">
        <v>73</v>
      </c>
      <c r="K334" s="12" t="s">
        <v>73</v>
      </c>
      <c r="L334" s="10" t="s">
        <v>447</v>
      </c>
      <c r="M334" s="5" t="str">
        <f t="array" ref="M334">Y95</f>
        <v>1ХВС::1.1</v>
      </c>
      <c r="Y334" s="10">
        <f>COUNT($Y319:Y333)+1</f>
        <v>4</v>
      </c>
      <c r="AB334" s="29" t="str">
        <f>AB$318&amp;"."&amp;Y334</f>
        <v>3.1.2.4</v>
      </c>
      <c r="AC334" s="87" t="s">
        <v>448</v>
      </c>
      <c r="AD334" s="51" t="s">
        <v>111</v>
      </c>
      <c r="AE334" s="72"/>
      <c r="AF334" s="178"/>
      <c r="AG334" s="73"/>
      <c r="AH334" s="74"/>
      <c r="AI334" s="179"/>
      <c r="AJ334" s="178"/>
      <c r="AK334" s="73"/>
      <c r="AL334" s="138"/>
      <c r="AM334" s="72"/>
      <c r="AN334" s="178"/>
      <c r="AO334" s="73"/>
      <c r="AP334" s="74"/>
      <c r="AQ334" s="179"/>
      <c r="AR334" s="178"/>
      <c r="AS334" s="73"/>
      <c r="AT334" s="138"/>
      <c r="AU334" s="72"/>
      <c r="AV334" s="178"/>
      <c r="AW334" s="73"/>
      <c r="AX334" s="138"/>
      <c r="AY334" s="72"/>
      <c r="AZ334" s="178"/>
      <c r="BA334" s="73"/>
      <c r="BB334" s="138"/>
      <c r="BC334" s="72">
        <v>0</v>
      </c>
      <c r="BD334" s="178"/>
      <c r="BE334" s="73">
        <v>0</v>
      </c>
      <c r="BF334" s="774"/>
      <c r="BG334" s="72"/>
      <c r="BH334" s="178"/>
      <c r="BI334" s="73"/>
      <c r="BJ334" s="138"/>
      <c r="BK334" s="72"/>
      <c r="BL334" s="178"/>
      <c r="BM334" s="73"/>
      <c r="BN334" s="138"/>
      <c r="BO334" s="142"/>
      <c r="BP334" s="183"/>
      <c r="BQ334" s="140"/>
      <c r="BR334" s="143"/>
      <c r="BS334" s="142"/>
      <c r="BT334" s="183"/>
      <c r="BU334" s="140"/>
      <c r="BV334" s="143"/>
      <c r="BY334" s="125">
        <f t="shared" si="88"/>
        <v>0</v>
      </c>
      <c r="BZ334" s="126">
        <f t="shared" si="89"/>
        <v>0</v>
      </c>
      <c r="CA334" s="126">
        <f t="shared" si="90"/>
        <v>0</v>
      </c>
      <c r="CB334" s="127">
        <f t="shared" si="91"/>
        <v>0</v>
      </c>
    </row>
    <row r="335" spans="1:81" s="171" customFormat="1" ht="16.7" customHeight="1" outlineLevel="2" x14ac:dyDescent="0.25">
      <c r="A335" s="166"/>
      <c r="B335" s="166"/>
      <c r="C335" s="167" t="s">
        <v>83</v>
      </c>
      <c r="D335" s="167" t="s">
        <v>84</v>
      </c>
      <c r="E335" s="167" t="s">
        <v>73</v>
      </c>
      <c r="F335" s="167" t="s">
        <v>74</v>
      </c>
      <c r="G335" s="167" t="s">
        <v>449</v>
      </c>
      <c r="H335" s="167" t="s">
        <v>73</v>
      </c>
      <c r="I335" s="167" t="s">
        <v>73</v>
      </c>
      <c r="J335" s="167" t="s">
        <v>73</v>
      </c>
      <c r="K335" s="168" t="s">
        <v>73</v>
      </c>
      <c r="L335" s="167" t="s">
        <v>133</v>
      </c>
      <c r="M335" s="166" t="str">
        <f t="array" ref="M335">Y95</f>
        <v>1ХВС::1.1</v>
      </c>
      <c r="N335" s="166"/>
      <c r="O335" s="166"/>
      <c r="P335" s="166"/>
      <c r="Q335" s="166"/>
      <c r="R335" s="166"/>
      <c r="S335" s="166"/>
      <c r="T335" s="166"/>
      <c r="U335" s="166"/>
      <c r="V335" s="166"/>
      <c r="W335" s="166"/>
      <c r="X335" s="166"/>
      <c r="Y335" s="166"/>
      <c r="Z335" s="166"/>
      <c r="AA335" s="166"/>
      <c r="AB335" s="155" t="str">
        <f>AB142&amp;".3"</f>
        <v>3.1.3</v>
      </c>
      <c r="AC335" s="172" t="s">
        <v>450</v>
      </c>
      <c r="AD335" s="157" t="s">
        <v>111</v>
      </c>
      <c r="AE335" s="253">
        <f t="shared" ref="AE335:AK335" si="93">AE336+AE349+AE350+AE360+AE367+AE368+AE369+AE370</f>
        <v>310794.40000000002</v>
      </c>
      <c r="AF335" s="159">
        <f t="shared" si="93"/>
        <v>339859.35600000003</v>
      </c>
      <c r="AG335" s="159">
        <f t="shared" si="93"/>
        <v>404755.45</v>
      </c>
      <c r="AH335" s="254">
        <f>AH336+AH349+AH350+AH360+AH367+AH368+AH369+AH370</f>
        <v>291319.32</v>
      </c>
      <c r="AI335" s="162">
        <f t="shared" si="93"/>
        <v>2978.7400000000002</v>
      </c>
      <c r="AJ335" s="159">
        <f t="shared" si="93"/>
        <v>2693.81</v>
      </c>
      <c r="AK335" s="159">
        <f t="shared" si="93"/>
        <v>3041.52</v>
      </c>
      <c r="AL335" s="263">
        <f>AL336+AL349+AL350+AL360+AL367+AL368+AL369+AL370</f>
        <v>2379.94</v>
      </c>
      <c r="AM335" s="253">
        <f t="shared" ref="AM335:BE335" si="94">AM336+AM349+AM350+AM360+AM367+AM368+AM369+AM370</f>
        <v>7967.0240000000003</v>
      </c>
      <c r="AN335" s="159">
        <f t="shared" si="94"/>
        <v>3652.2699999999995</v>
      </c>
      <c r="AO335" s="159">
        <f t="shared" si="94"/>
        <v>8314.9699999999993</v>
      </c>
      <c r="AP335" s="254">
        <f>AP336+AP349+AP350+AP360+AP367+AP368+AP369+AP370</f>
        <v>7646.39</v>
      </c>
      <c r="AQ335" s="162">
        <f t="shared" si="94"/>
        <v>6076.6039999999994</v>
      </c>
      <c r="AR335" s="159">
        <f t="shared" si="94"/>
        <v>4281.58</v>
      </c>
      <c r="AS335" s="159">
        <f t="shared" si="94"/>
        <v>7774.12</v>
      </c>
      <c r="AT335" s="263">
        <f t="shared" si="94"/>
        <v>5165.96</v>
      </c>
      <c r="AU335" s="253">
        <f t="shared" si="94"/>
        <v>869.62</v>
      </c>
      <c r="AV335" s="159">
        <f t="shared" si="94"/>
        <v>1029.43</v>
      </c>
      <c r="AW335" s="159">
        <f t="shared" si="94"/>
        <v>1403.41</v>
      </c>
      <c r="AX335" s="263">
        <f t="shared" si="94"/>
        <v>1388.41</v>
      </c>
      <c r="AY335" s="253">
        <f t="shared" si="94"/>
        <v>4532.1299999999992</v>
      </c>
      <c r="AZ335" s="159">
        <f t="shared" si="94"/>
        <v>4751.76</v>
      </c>
      <c r="BA335" s="159">
        <f t="shared" si="94"/>
        <v>6525.1399999999994</v>
      </c>
      <c r="BB335" s="263">
        <f t="shared" si="94"/>
        <v>4487.9100000000008</v>
      </c>
      <c r="BC335" s="253">
        <f t="shared" si="94"/>
        <v>1325.93</v>
      </c>
      <c r="BD335" s="159">
        <f t="shared" si="94"/>
        <v>1295.8399999999999</v>
      </c>
      <c r="BE335" s="159">
        <f t="shared" si="94"/>
        <v>1473.5219999999999</v>
      </c>
      <c r="BF335" s="976">
        <f>BF336+BF349+BF350+BF360</f>
        <v>1171.28</v>
      </c>
      <c r="BG335" s="253">
        <f>BG336+BG349+BG350+BG360+BG367+BG368+BG369+BG370</f>
        <v>5137.2110000000011</v>
      </c>
      <c r="BH335" s="159">
        <f>BH336+BH349+BH350+BH360+BH367+BH368+BH369+BH370</f>
        <v>10240.41</v>
      </c>
      <c r="BI335" s="159">
        <f>BI336+BI349+BI350+BI360+BI367+BI368+BI369+BI370</f>
        <v>6672.46</v>
      </c>
      <c r="BJ335" s="773">
        <f>BJ336+BJ347+BJ349+BJ350</f>
        <v>4491.7900000000009</v>
      </c>
      <c r="BK335" s="253">
        <f>BK336+BK349+BK350+BK360+BK367+BK368+BK369+BK370</f>
        <v>9079.4560000000001</v>
      </c>
      <c r="BL335" s="159">
        <f>BL336+BL349+BL350+BL360+BL367+BL368+BL369+BL370</f>
        <v>9306.65</v>
      </c>
      <c r="BM335" s="159">
        <f>BM336+BM349+BM350+BM360+BM367+BM368+BM369+BM370</f>
        <v>11315.65</v>
      </c>
      <c r="BN335" s="263">
        <f>BN336+BN349+BN350+BN360+BN367+BN368+BN369+BN370</f>
        <v>7735.5060000000003</v>
      </c>
      <c r="BO335" s="253">
        <f t="shared" ref="BO335:BV335" si="95">BO336+BO349+BO350+BO360+BO367+BO368+BO369+BO370</f>
        <v>624.29</v>
      </c>
      <c r="BP335" s="159">
        <f t="shared" si="95"/>
        <v>505.7</v>
      </c>
      <c r="BQ335" s="159">
        <f t="shared" si="95"/>
        <v>621.54799999999989</v>
      </c>
      <c r="BR335" s="254">
        <f t="shared" si="95"/>
        <v>308.41000000000003</v>
      </c>
      <c r="BS335" s="253">
        <f t="shared" si="95"/>
        <v>490.15499999999997</v>
      </c>
      <c r="BT335" s="159">
        <f t="shared" si="95"/>
        <v>480.86</v>
      </c>
      <c r="BU335" s="159">
        <f t="shared" si="95"/>
        <v>547.24</v>
      </c>
      <c r="BV335" s="254">
        <f t="shared" si="95"/>
        <v>195.47</v>
      </c>
      <c r="BW335" s="170"/>
      <c r="BX335" s="166"/>
      <c r="BY335" s="163">
        <f t="shared" si="88"/>
        <v>349875.56</v>
      </c>
      <c r="BZ335" s="164">
        <f t="shared" si="89"/>
        <v>378097.66600000008</v>
      </c>
      <c r="CA335" s="164">
        <f t="shared" si="90"/>
        <v>452445.03</v>
      </c>
      <c r="CB335" s="165">
        <f t="shared" si="91"/>
        <v>326290.38599999994</v>
      </c>
      <c r="CC335" s="760"/>
    </row>
    <row r="336" spans="1:81" ht="35.25" customHeight="1" outlineLevel="3" x14ac:dyDescent="0.25">
      <c r="C336" s="10" t="s">
        <v>83</v>
      </c>
      <c r="D336" s="10" t="s">
        <v>84</v>
      </c>
      <c r="E336" s="10" t="s">
        <v>73</v>
      </c>
      <c r="F336" s="10" t="s">
        <v>74</v>
      </c>
      <c r="G336" s="10" t="s">
        <v>451</v>
      </c>
      <c r="H336" s="10" t="s">
        <v>73</v>
      </c>
      <c r="I336" s="10" t="s">
        <v>73</v>
      </c>
      <c r="J336" s="10" t="s">
        <v>73</v>
      </c>
      <c r="K336" s="12" t="s">
        <v>73</v>
      </c>
      <c r="L336" s="10" t="s">
        <v>452</v>
      </c>
      <c r="M336" s="5" t="str">
        <f t="array" ref="M336">Y95</f>
        <v>1ХВС::1.1</v>
      </c>
      <c r="AB336" s="29" t="str">
        <f>AB335&amp;".1"</f>
        <v>3.1.3.1</v>
      </c>
      <c r="AC336" s="92" t="s">
        <v>453</v>
      </c>
      <c r="AD336" s="51" t="s">
        <v>111</v>
      </c>
      <c r="AE336" s="72">
        <f t="shared" ref="AE336:AK336" si="96">AE337+AE338+AE339+AE340+AE341+AE342+AE343+AE344+AE345+AE346+AE347+AE348</f>
        <v>31798.985000000001</v>
      </c>
      <c r="AF336" s="73">
        <f t="shared" si="96"/>
        <v>36128.69</v>
      </c>
      <c r="AG336" s="73">
        <f t="shared" si="96"/>
        <v>32813.46</v>
      </c>
      <c r="AH336" s="74">
        <f t="shared" si="96"/>
        <v>32813.47</v>
      </c>
      <c r="AI336" s="179">
        <f t="shared" si="96"/>
        <v>0</v>
      </c>
      <c r="AJ336" s="73">
        <f t="shared" si="96"/>
        <v>0</v>
      </c>
      <c r="AK336" s="73">
        <f t="shared" si="96"/>
        <v>0</v>
      </c>
      <c r="AL336" s="138"/>
      <c r="AM336" s="72">
        <f t="shared" ref="AM336:AW336" si="97">AM337+AM338+AM339+AM340+AM341+AM342+AM343+AM344+AM345+AM346+AM347+AM348</f>
        <v>395.37</v>
      </c>
      <c r="AN336" s="73">
        <f t="shared" si="97"/>
        <v>350.43</v>
      </c>
      <c r="AO336" s="73">
        <f t="shared" si="97"/>
        <v>435.03</v>
      </c>
      <c r="AP336" s="74">
        <f t="shared" si="97"/>
        <v>435.03</v>
      </c>
      <c r="AQ336" s="179">
        <f t="shared" si="97"/>
        <v>1282.1099999999999</v>
      </c>
      <c r="AR336" s="73">
        <f t="shared" si="97"/>
        <v>1946.8200000000002</v>
      </c>
      <c r="AS336" s="73">
        <f t="shared" si="97"/>
        <v>1410.7399999999998</v>
      </c>
      <c r="AT336" s="138">
        <f t="shared" si="97"/>
        <v>0</v>
      </c>
      <c r="AU336" s="72">
        <f t="shared" si="97"/>
        <v>0</v>
      </c>
      <c r="AV336" s="73">
        <f t="shared" si="97"/>
        <v>0</v>
      </c>
      <c r="AW336" s="73">
        <f t="shared" si="97"/>
        <v>0</v>
      </c>
      <c r="AX336" s="138"/>
      <c r="AY336" s="72">
        <f>AY337+AY338+AY339+AY340+AY341+AY342+AY343+AY344+AY345+AY346+AY347+AY348</f>
        <v>0</v>
      </c>
      <c r="AZ336" s="73">
        <f>AZ337+AZ338+AZ339+AZ340+AZ341+AZ342+AZ343+AZ344+AZ345+AZ346+AZ347+AZ348</f>
        <v>0</v>
      </c>
      <c r="BA336" s="73">
        <f>BA337+BA338+BA339+BA340+BA341+BA342+BA343+BA344+BA345+BA346+BA347+BA348</f>
        <v>0</v>
      </c>
      <c r="BB336" s="138"/>
      <c r="BC336" s="72">
        <f>BC337+BC338+BC339+BC340+BC341+BC342+BC343+BC344+BC345+BC346+BC347+BC348</f>
        <v>0</v>
      </c>
      <c r="BD336" s="73">
        <f>BD337+BD338+BD339+BD340+BD341+BD342+BD343+BD344+BD345+BD346+BD347+BD348</f>
        <v>0</v>
      </c>
      <c r="BE336" s="73">
        <f>BE337+BE338+BE339+BE340+BE341+BE342+BE343+BE344+BE345+BE346+BE347+BE348</f>
        <v>0</v>
      </c>
      <c r="BF336" s="774"/>
      <c r="BG336" s="72">
        <f>BG337+BG338+BG339+BG340+BG341+BG342+BG343+BG344+BG345+BG346+BG347+BG348</f>
        <v>243.815</v>
      </c>
      <c r="BH336" s="73">
        <f>BH337+BH338+BH339+BH340+BH341+BH342+BH343+BH344+BH345+BH346+BH347+BH348</f>
        <v>6336.04</v>
      </c>
      <c r="BI336" s="73">
        <f>BI337+BI338+BI339+BI340+BI341+BI342+BI343+BI344+BI345+BI346+BI347+BI348</f>
        <v>427.74</v>
      </c>
      <c r="BJ336" s="774">
        <f>SUM(BJ337:BJ346)</f>
        <v>427.74</v>
      </c>
      <c r="BK336" s="72">
        <f t="shared" ref="BK336:BQ336" si="98">BK337+BK338+BK339+BK340+BK341+BK342+BK343+BK344+BK345+BK346+BK347+BK348</f>
        <v>2097.64</v>
      </c>
      <c r="BL336" s="73">
        <f t="shared" si="98"/>
        <v>918.52</v>
      </c>
      <c r="BM336" s="73">
        <f t="shared" si="98"/>
        <v>2561.2800000000002</v>
      </c>
      <c r="BN336" s="138">
        <f t="shared" si="98"/>
        <v>1599.4559999999999</v>
      </c>
      <c r="BO336" s="72">
        <f t="shared" si="98"/>
        <v>0</v>
      </c>
      <c r="BP336" s="73">
        <f t="shared" si="98"/>
        <v>0</v>
      </c>
      <c r="BQ336" s="73">
        <f t="shared" si="98"/>
        <v>0</v>
      </c>
      <c r="BR336" s="74"/>
      <c r="BS336" s="72">
        <f>BS337+BS338+BS339+BS340+BS341+BS342+BS343+BS344+BS345+BS346+BS347+BS348</f>
        <v>0</v>
      </c>
      <c r="BT336" s="73">
        <f>BT337+BT338+BT339+BT340+BT341+BT342+BT343+BT344+BT345+BT346+BT347+BT348</f>
        <v>0</v>
      </c>
      <c r="BU336" s="73">
        <f>BU337+BU338+BU339+BU340+BU341+BU342+BU343+BU344+BU345+BU346+BU347+BU348</f>
        <v>0</v>
      </c>
      <c r="BV336" s="74"/>
      <c r="BY336" s="125">
        <f t="shared" si="88"/>
        <v>35817.919999999998</v>
      </c>
      <c r="BZ336" s="126">
        <f t="shared" si="89"/>
        <v>45680.5</v>
      </c>
      <c r="CA336" s="126">
        <f t="shared" si="90"/>
        <v>37648.249999999993</v>
      </c>
      <c r="CB336" s="127">
        <f t="shared" si="91"/>
        <v>35275.695999999996</v>
      </c>
    </row>
    <row r="337" spans="1:80" ht="14.25" customHeight="1" outlineLevel="4" x14ac:dyDescent="0.25">
      <c r="C337" s="10" t="s">
        <v>83</v>
      </c>
      <c r="D337" s="10" t="s">
        <v>84</v>
      </c>
      <c r="E337" s="10" t="s">
        <v>73</v>
      </c>
      <c r="F337" s="10" t="s">
        <v>74</v>
      </c>
      <c r="G337" s="10" t="s">
        <v>454</v>
      </c>
      <c r="H337" s="10" t="s">
        <v>73</v>
      </c>
      <c r="I337" s="10" t="s">
        <v>73</v>
      </c>
      <c r="J337" s="10" t="s">
        <v>73</v>
      </c>
      <c r="K337" s="12" t="s">
        <v>73</v>
      </c>
      <c r="L337" s="10" t="s">
        <v>452</v>
      </c>
      <c r="M337" s="5" t="str">
        <f t="array" ref="M337">Y95</f>
        <v>1ХВС::1.1</v>
      </c>
      <c r="Y337" s="10">
        <v>1</v>
      </c>
      <c r="AB337" s="29" t="str">
        <f>AB$336&amp;"."&amp;Y337</f>
        <v>3.1.3.1.1</v>
      </c>
      <c r="AC337" s="294" t="s">
        <v>455</v>
      </c>
      <c r="AD337" s="51" t="s">
        <v>111</v>
      </c>
      <c r="AE337" s="72">
        <v>5710.83</v>
      </c>
      <c r="AF337" s="178">
        <v>6367.55</v>
      </c>
      <c r="AG337" s="73">
        <v>6176.92</v>
      </c>
      <c r="AH337" s="74">
        <v>6176.93</v>
      </c>
      <c r="AI337" s="179"/>
      <c r="AJ337" s="178"/>
      <c r="AK337" s="73"/>
      <c r="AL337" s="138"/>
      <c r="AM337" s="72">
        <v>335.26</v>
      </c>
      <c r="AN337" s="178">
        <v>350.43</v>
      </c>
      <c r="AO337" s="73">
        <v>368.89</v>
      </c>
      <c r="AP337" s="74">
        <v>368.89</v>
      </c>
      <c r="AQ337" s="179">
        <v>90.54</v>
      </c>
      <c r="AR337" s="178"/>
      <c r="AS337" s="73">
        <v>99.63</v>
      </c>
      <c r="AT337" s="138"/>
      <c r="AU337" s="72"/>
      <c r="AV337" s="178"/>
      <c r="AW337" s="73"/>
      <c r="AX337" s="138"/>
      <c r="AY337" s="72"/>
      <c r="AZ337" s="178"/>
      <c r="BA337" s="73"/>
      <c r="BB337" s="138"/>
      <c r="BC337" s="72">
        <v>0</v>
      </c>
      <c r="BD337" s="178"/>
      <c r="BE337" s="73">
        <v>0</v>
      </c>
      <c r="BF337" s="774"/>
      <c r="BG337" s="72">
        <v>227.2</v>
      </c>
      <c r="BH337" s="178">
        <v>853.29</v>
      </c>
      <c r="BI337" s="73">
        <v>400.92</v>
      </c>
      <c r="BJ337" s="1064">
        <v>400.92</v>
      </c>
      <c r="BK337" s="72">
        <v>2097.64</v>
      </c>
      <c r="BL337" s="178">
        <v>918.52</v>
      </c>
      <c r="BM337" s="73">
        <v>2561.2800000000002</v>
      </c>
      <c r="BN337" s="138">
        <v>1599.4559999999999</v>
      </c>
      <c r="BO337" s="142"/>
      <c r="BP337" s="183"/>
      <c r="BQ337" s="140"/>
      <c r="BR337" s="143"/>
      <c r="BS337" s="142"/>
      <c r="BT337" s="183"/>
      <c r="BU337" s="140"/>
      <c r="BV337" s="143"/>
      <c r="BY337" s="125">
        <f t="shared" si="88"/>
        <v>8461.4699999999993</v>
      </c>
      <c r="BZ337" s="126">
        <f t="shared" si="89"/>
        <v>8489.7900000000009</v>
      </c>
      <c r="CA337" s="126">
        <f t="shared" si="90"/>
        <v>9607.6400000000012</v>
      </c>
      <c r="CB337" s="127">
        <f t="shared" si="91"/>
        <v>8546.1959999999999</v>
      </c>
    </row>
    <row r="338" spans="1:80" ht="14.25" customHeight="1" outlineLevel="4" x14ac:dyDescent="0.25">
      <c r="C338" s="10" t="s">
        <v>83</v>
      </c>
      <c r="D338" s="10" t="s">
        <v>84</v>
      </c>
      <c r="E338" s="10" t="s">
        <v>73</v>
      </c>
      <c r="F338" s="10" t="s">
        <v>74</v>
      </c>
      <c r="G338" s="10" t="s">
        <v>456</v>
      </c>
      <c r="H338" s="10" t="s">
        <v>73</v>
      </c>
      <c r="I338" s="10" t="s">
        <v>73</v>
      </c>
      <c r="J338" s="10" t="s">
        <v>73</v>
      </c>
      <c r="K338" s="12" t="s">
        <v>73</v>
      </c>
      <c r="L338" s="10" t="s">
        <v>452</v>
      </c>
      <c r="M338" s="5" t="str">
        <f t="array" ref="M338">Y95</f>
        <v>1ХВС::1.1</v>
      </c>
      <c r="Y338" s="10">
        <f>COUNT($Y336:Y337)+1</f>
        <v>2</v>
      </c>
      <c r="AB338" s="29" t="str">
        <f>AB$336&amp;"."&amp;Y338</f>
        <v>3.1.3.1.2</v>
      </c>
      <c r="AC338" s="294" t="s">
        <v>456</v>
      </c>
      <c r="AD338" s="51" t="s">
        <v>111</v>
      </c>
      <c r="AE338" s="72"/>
      <c r="AF338" s="178"/>
      <c r="AG338" s="73"/>
      <c r="AH338" s="74"/>
      <c r="AI338" s="179"/>
      <c r="AJ338" s="178"/>
      <c r="AK338" s="73"/>
      <c r="AL338" s="138"/>
      <c r="AM338" s="72"/>
      <c r="AN338" s="178"/>
      <c r="AO338" s="73"/>
      <c r="AP338" s="74"/>
      <c r="AQ338" s="179"/>
      <c r="AR338" s="178"/>
      <c r="AS338" s="73"/>
      <c r="AT338" s="138"/>
      <c r="AU338" s="72"/>
      <c r="AV338" s="178"/>
      <c r="AW338" s="73"/>
      <c r="AX338" s="138"/>
      <c r="AY338" s="72"/>
      <c r="AZ338" s="178"/>
      <c r="BA338" s="73"/>
      <c r="BB338" s="138"/>
      <c r="BC338" s="72">
        <v>0</v>
      </c>
      <c r="BD338" s="178"/>
      <c r="BE338" s="73">
        <v>0</v>
      </c>
      <c r="BF338" s="774"/>
      <c r="BG338" s="72"/>
      <c r="BH338" s="178"/>
      <c r="BI338" s="73"/>
      <c r="BJ338" s="774"/>
      <c r="BK338" s="72"/>
      <c r="BL338" s="178"/>
      <c r="BM338" s="73"/>
      <c r="BN338" s="138"/>
      <c r="BO338" s="142"/>
      <c r="BP338" s="183"/>
      <c r="BQ338" s="140"/>
      <c r="BR338" s="143"/>
      <c r="BS338" s="142"/>
      <c r="BT338" s="183"/>
      <c r="BU338" s="140"/>
      <c r="BV338" s="143"/>
      <c r="BY338" s="125">
        <f t="shared" si="88"/>
        <v>0</v>
      </c>
      <c r="BZ338" s="126">
        <f t="shared" si="89"/>
        <v>0</v>
      </c>
      <c r="CA338" s="126">
        <f t="shared" si="90"/>
        <v>0</v>
      </c>
      <c r="CB338" s="127">
        <f t="shared" si="91"/>
        <v>0</v>
      </c>
    </row>
    <row r="339" spans="1:80" ht="14.25" customHeight="1" outlineLevel="4" x14ac:dyDescent="0.25">
      <c r="C339" s="10" t="s">
        <v>83</v>
      </c>
      <c r="D339" s="10" t="s">
        <v>84</v>
      </c>
      <c r="E339" s="10" t="s">
        <v>73</v>
      </c>
      <c r="F339" s="10" t="s">
        <v>74</v>
      </c>
      <c r="G339" s="10" t="s">
        <v>457</v>
      </c>
      <c r="H339" s="10" t="s">
        <v>73</v>
      </c>
      <c r="I339" s="10" t="s">
        <v>73</v>
      </c>
      <c r="J339" s="10" t="s">
        <v>73</v>
      </c>
      <c r="K339" s="12" t="s">
        <v>73</v>
      </c>
      <c r="L339" s="10" t="s">
        <v>452</v>
      </c>
      <c r="M339" s="5" t="str">
        <f t="array" ref="M339">Y95</f>
        <v>1ХВС::1.1</v>
      </c>
      <c r="Y339" s="10">
        <f>COUNT($Y336:Y338)+1</f>
        <v>3</v>
      </c>
      <c r="AB339" s="29" t="str">
        <f>AB$336&amp;"."&amp;Y339</f>
        <v>3.1.3.1.3</v>
      </c>
      <c r="AC339" s="294" t="s">
        <v>457</v>
      </c>
      <c r="AD339" s="51" t="s">
        <v>111</v>
      </c>
      <c r="AE339" s="72">
        <v>1593.35</v>
      </c>
      <c r="AF339" s="178">
        <v>775.98</v>
      </c>
      <c r="AG339" s="73">
        <v>1581.73</v>
      </c>
      <c r="AH339" s="74">
        <v>1581.73</v>
      </c>
      <c r="AI339" s="179"/>
      <c r="AJ339" s="178"/>
      <c r="AK339" s="73"/>
      <c r="AL339" s="138"/>
      <c r="AM339" s="72"/>
      <c r="AN339" s="178"/>
      <c r="AO339" s="73"/>
      <c r="AP339" s="74"/>
      <c r="AQ339" s="179"/>
      <c r="AR339" s="178"/>
      <c r="AS339" s="73"/>
      <c r="AT339" s="138"/>
      <c r="AU339" s="72"/>
      <c r="AV339" s="178"/>
      <c r="AW339" s="73"/>
      <c r="AX339" s="138"/>
      <c r="AY339" s="72"/>
      <c r="AZ339" s="178"/>
      <c r="BA339" s="73"/>
      <c r="BB339" s="138"/>
      <c r="BC339" s="72">
        <v>0</v>
      </c>
      <c r="BD339" s="178"/>
      <c r="BE339" s="73">
        <v>0</v>
      </c>
      <c r="BF339" s="774"/>
      <c r="BG339" s="72">
        <v>16.614999999999998</v>
      </c>
      <c r="BH339" s="178"/>
      <c r="BI339" s="73">
        <v>26.82</v>
      </c>
      <c r="BJ339" s="1064">
        <v>26.82</v>
      </c>
      <c r="BK339" s="72"/>
      <c r="BL339" s="178"/>
      <c r="BM339" s="73"/>
      <c r="BN339" s="138"/>
      <c r="BO339" s="142"/>
      <c r="BP339" s="183"/>
      <c r="BQ339" s="140"/>
      <c r="BR339" s="143"/>
      <c r="BS339" s="142"/>
      <c r="BT339" s="183"/>
      <c r="BU339" s="140"/>
      <c r="BV339" s="143"/>
      <c r="BY339" s="125">
        <f t="shared" si="88"/>
        <v>1609.9649999999999</v>
      </c>
      <c r="BZ339" s="126">
        <f t="shared" si="89"/>
        <v>775.98</v>
      </c>
      <c r="CA339" s="126">
        <f t="shared" si="90"/>
        <v>1608.55</v>
      </c>
      <c r="CB339" s="127">
        <f t="shared" si="91"/>
        <v>1608.55</v>
      </c>
    </row>
    <row r="340" spans="1:80" ht="14.25" customHeight="1" outlineLevel="4" x14ac:dyDescent="0.25">
      <c r="A340" s="76" t="b">
        <f>OR($AD$52="да",$U95="Водоснабжение")</f>
        <v>1</v>
      </c>
      <c r="B340" s="5" t="b">
        <f t="array" ref="B340">A340</f>
        <v>1</v>
      </c>
      <c r="C340" s="10" t="s">
        <v>83</v>
      </c>
      <c r="D340" s="10" t="s">
        <v>84</v>
      </c>
      <c r="E340" s="10" t="s">
        <v>73</v>
      </c>
      <c r="F340" s="10" t="s">
        <v>74</v>
      </c>
      <c r="G340" s="10" t="s">
        <v>458</v>
      </c>
      <c r="H340" s="10" t="s">
        <v>73</v>
      </c>
      <c r="I340" s="10" t="s">
        <v>73</v>
      </c>
      <c r="J340" s="10" t="s">
        <v>73</v>
      </c>
      <c r="K340" s="12" t="s">
        <v>73</v>
      </c>
      <c r="L340" s="10" t="s">
        <v>452</v>
      </c>
      <c r="M340" s="5" t="str">
        <f t="array" ref="M340">Y95</f>
        <v>1ХВС::1.1</v>
      </c>
      <c r="Y340" s="10">
        <f>COUNT($Y336:Y339)+1</f>
        <v>4</v>
      </c>
      <c r="AB340" s="29" t="str">
        <f>AB$336&amp;"."&amp;Y340</f>
        <v>3.1.3.1.4</v>
      </c>
      <c r="AC340" s="294" t="s">
        <v>459</v>
      </c>
      <c r="AD340" s="51" t="s">
        <v>111</v>
      </c>
      <c r="AE340" s="72"/>
      <c r="AF340" s="178"/>
      <c r="AG340" s="73"/>
      <c r="AH340" s="74"/>
      <c r="AI340" s="179"/>
      <c r="AJ340" s="178"/>
      <c r="AK340" s="73"/>
      <c r="AL340" s="138"/>
      <c r="AM340" s="72"/>
      <c r="AN340" s="178"/>
      <c r="AO340" s="73"/>
      <c r="AP340" s="74"/>
      <c r="AQ340" s="179"/>
      <c r="AR340" s="178"/>
      <c r="AS340" s="73"/>
      <c r="AT340" s="138"/>
      <c r="AU340" s="72"/>
      <c r="AV340" s="178"/>
      <c r="AW340" s="73"/>
      <c r="AX340" s="138"/>
      <c r="AY340" s="72"/>
      <c r="AZ340" s="178"/>
      <c r="BA340" s="73"/>
      <c r="BB340" s="138"/>
      <c r="BC340" s="72">
        <v>0</v>
      </c>
      <c r="BD340" s="178"/>
      <c r="BE340" s="73">
        <v>0</v>
      </c>
      <c r="BF340" s="774"/>
      <c r="BG340" s="72"/>
      <c r="BH340" s="178"/>
      <c r="BI340" s="73"/>
      <c r="BJ340" s="774"/>
      <c r="BK340" s="72"/>
      <c r="BL340" s="178"/>
      <c r="BM340" s="73"/>
      <c r="BN340" s="138"/>
      <c r="BO340" s="142"/>
      <c r="BP340" s="183"/>
      <c r="BQ340" s="140"/>
      <c r="BR340" s="143"/>
      <c r="BS340" s="142"/>
      <c r="BT340" s="183"/>
      <c r="BU340" s="140"/>
      <c r="BV340" s="143"/>
      <c r="BY340" s="125">
        <f t="shared" si="88"/>
        <v>0</v>
      </c>
      <c r="BZ340" s="126">
        <f t="shared" si="89"/>
        <v>0</v>
      </c>
      <c r="CA340" s="126">
        <f t="shared" si="90"/>
        <v>0</v>
      </c>
      <c r="CB340" s="127">
        <f t="shared" si="91"/>
        <v>0</v>
      </c>
    </row>
    <row r="341" spans="1:80" ht="14.25" customHeight="1" outlineLevel="4" x14ac:dyDescent="0.25">
      <c r="C341" s="10" t="s">
        <v>83</v>
      </c>
      <c r="D341" s="10" t="s">
        <v>84</v>
      </c>
      <c r="E341" s="10" t="s">
        <v>73</v>
      </c>
      <c r="F341" s="10" t="s">
        <v>74</v>
      </c>
      <c r="G341" s="10" t="s">
        <v>460</v>
      </c>
      <c r="H341" s="10" t="s">
        <v>73</v>
      </c>
      <c r="I341" s="10" t="s">
        <v>73</v>
      </c>
      <c r="J341" s="10" t="s">
        <v>73</v>
      </c>
      <c r="K341" s="12" t="s">
        <v>73</v>
      </c>
      <c r="L341" s="10" t="s">
        <v>452</v>
      </c>
      <c r="M341" s="5" t="str">
        <f t="array" ref="M341">Y95</f>
        <v>1ХВС::1.1</v>
      </c>
      <c r="Y341" s="10">
        <f>COUNT($Y336:Y340)+1</f>
        <v>5</v>
      </c>
      <c r="AB341" s="29" t="str">
        <f>AB$336&amp;"."&amp;Y341</f>
        <v>3.1.3.1.5</v>
      </c>
      <c r="AC341" s="294" t="s">
        <v>461</v>
      </c>
      <c r="AD341" s="51" t="s">
        <v>111</v>
      </c>
      <c r="AE341" s="72">
        <v>24494.805</v>
      </c>
      <c r="AF341" s="178">
        <v>28985.16</v>
      </c>
      <c r="AG341" s="73">
        <v>25054.81</v>
      </c>
      <c r="AH341" s="74">
        <v>25054.81</v>
      </c>
      <c r="AI341" s="179"/>
      <c r="AJ341" s="178"/>
      <c r="AK341" s="73"/>
      <c r="AL341" s="138"/>
      <c r="AM341" s="72"/>
      <c r="AN341" s="178"/>
      <c r="AO341" s="73"/>
      <c r="AP341" s="74"/>
      <c r="AQ341" s="179"/>
      <c r="AR341" s="178">
        <f>1820.19</f>
        <v>1820.19</v>
      </c>
      <c r="AS341" s="73"/>
      <c r="AT341" s="138"/>
      <c r="AU341" s="72"/>
      <c r="AV341" s="178"/>
      <c r="AW341" s="73"/>
      <c r="AX341" s="138"/>
      <c r="AY341" s="72"/>
      <c r="AZ341" s="178"/>
      <c r="BA341" s="73"/>
      <c r="BB341" s="138"/>
      <c r="BC341" s="72">
        <v>0</v>
      </c>
      <c r="BD341" s="178"/>
      <c r="BE341" s="73">
        <v>0</v>
      </c>
      <c r="BF341" s="774"/>
      <c r="BG341" s="72"/>
      <c r="BH341" s="178">
        <v>5482.75</v>
      </c>
      <c r="BI341" s="73"/>
      <c r="BJ341" s="774"/>
      <c r="BK341" s="72"/>
      <c r="BL341" s="178"/>
      <c r="BM341" s="73"/>
      <c r="BN341" s="138"/>
      <c r="BO341" s="142"/>
      <c r="BP341" s="183"/>
      <c r="BQ341" s="140"/>
      <c r="BR341" s="143"/>
      <c r="BS341" s="142"/>
      <c r="BT341" s="183"/>
      <c r="BU341" s="140"/>
      <c r="BV341" s="143"/>
      <c r="BY341" s="125">
        <f t="shared" si="88"/>
        <v>24494.805</v>
      </c>
      <c r="BZ341" s="126">
        <f t="shared" si="89"/>
        <v>36288.1</v>
      </c>
      <c r="CA341" s="126">
        <f t="shared" si="90"/>
        <v>25054.81</v>
      </c>
      <c r="CB341" s="127">
        <f t="shared" si="91"/>
        <v>25054.81</v>
      </c>
    </row>
    <row r="342" spans="1:80" ht="16.5" hidden="1" customHeight="1" outlineLevel="4" x14ac:dyDescent="0.25">
      <c r="A342" s="76" t="b">
        <f>$AD$52="да"</f>
        <v>0</v>
      </c>
      <c r="B342" s="5" t="b">
        <f t="array" ref="B342">A342</f>
        <v>0</v>
      </c>
      <c r="C342" s="10" t="s">
        <v>83</v>
      </c>
      <c r="D342" s="10" t="s">
        <v>84</v>
      </c>
      <c r="E342" s="10" t="s">
        <v>73</v>
      </c>
      <c r="F342" s="10" t="s">
        <v>74</v>
      </c>
      <c r="G342" s="10" t="s">
        <v>462</v>
      </c>
      <c r="H342" s="10" t="s">
        <v>73</v>
      </c>
      <c r="I342" s="10" t="s">
        <v>73</v>
      </c>
      <c r="J342" s="10" t="s">
        <v>73</v>
      </c>
      <c r="K342" s="12" t="s">
        <v>73</v>
      </c>
      <c r="L342" s="10" t="s">
        <v>452</v>
      </c>
      <c r="M342" s="5" t="str">
        <f t="array" ref="M342">Y95</f>
        <v>1ХВС::1.1</v>
      </c>
      <c r="Y342" s="10">
        <f>COUNT($Y336:Y341)+1</f>
        <v>6</v>
      </c>
      <c r="Z342" s="6"/>
      <c r="AA342" s="6"/>
      <c r="AB342" s="29"/>
      <c r="AC342" s="153"/>
      <c r="AD342" s="51"/>
      <c r="AE342" s="72"/>
      <c r="AF342" s="73"/>
      <c r="AG342" s="73"/>
      <c r="AH342" s="74"/>
      <c r="AI342" s="179"/>
      <c r="AJ342" s="73"/>
      <c r="AK342" s="73"/>
      <c r="AL342" s="138"/>
      <c r="AM342" s="72"/>
      <c r="AN342" s="73"/>
      <c r="AO342" s="73"/>
      <c r="AP342" s="74"/>
      <c r="AQ342" s="179"/>
      <c r="AR342" s="73"/>
      <c r="AS342" s="73"/>
      <c r="AT342" s="138"/>
      <c r="AU342" s="72"/>
      <c r="AV342" s="73"/>
      <c r="AW342" s="73"/>
      <c r="AX342" s="138"/>
      <c r="AY342" s="72"/>
      <c r="AZ342" s="73"/>
      <c r="BA342" s="73"/>
      <c r="BB342" s="138"/>
      <c r="BC342" s="72"/>
      <c r="BD342" s="73"/>
      <c r="BE342" s="73"/>
      <c r="BF342" s="774"/>
      <c r="BG342" s="72"/>
      <c r="BH342" s="73"/>
      <c r="BI342" s="73"/>
      <c r="BJ342" s="774"/>
      <c r="BK342" s="72"/>
      <c r="BL342" s="73"/>
      <c r="BM342" s="73"/>
      <c r="BN342" s="138"/>
      <c r="BO342" s="142"/>
      <c r="BP342" s="140"/>
      <c r="BQ342" s="140"/>
      <c r="BR342" s="143"/>
      <c r="BS342" s="142"/>
      <c r="BT342" s="140"/>
      <c r="BU342" s="140"/>
      <c r="BV342" s="143"/>
      <c r="BY342" s="125">
        <f t="shared" si="88"/>
        <v>0</v>
      </c>
      <c r="BZ342" s="126">
        <f t="shared" si="89"/>
        <v>0</v>
      </c>
      <c r="CA342" s="126">
        <f t="shared" si="90"/>
        <v>0</v>
      </c>
      <c r="CB342" s="127">
        <f t="shared" si="91"/>
        <v>0</v>
      </c>
    </row>
    <row r="343" spans="1:80" ht="16.5" hidden="1" customHeight="1" outlineLevel="4" x14ac:dyDescent="0.25">
      <c r="A343" s="76" t="b">
        <f t="array" ref="A343">A342</f>
        <v>0</v>
      </c>
      <c r="B343" s="5" t="b">
        <f t="array" ref="B343">A343</f>
        <v>0</v>
      </c>
      <c r="C343" s="10" t="s">
        <v>83</v>
      </c>
      <c r="D343" s="10" t="s">
        <v>84</v>
      </c>
      <c r="E343" s="10" t="s">
        <v>73</v>
      </c>
      <c r="F343" s="10" t="s">
        <v>74</v>
      </c>
      <c r="G343" s="10" t="s">
        <v>463</v>
      </c>
      <c r="H343" s="10" t="s">
        <v>73</v>
      </c>
      <c r="I343" s="10" t="s">
        <v>73</v>
      </c>
      <c r="J343" s="10" t="s">
        <v>73</v>
      </c>
      <c r="K343" s="12" t="s">
        <v>73</v>
      </c>
      <c r="L343" s="10" t="s">
        <v>452</v>
      </c>
      <c r="M343" s="5" t="str">
        <f t="array" ref="M343">Y95</f>
        <v>1ХВС::1.1</v>
      </c>
      <c r="Y343" s="10">
        <f>COUNT($Y336:Y342)+1</f>
        <v>7</v>
      </c>
      <c r="Z343" s="6"/>
      <c r="AA343" s="6"/>
      <c r="AB343" s="29"/>
      <c r="AC343" s="153"/>
      <c r="AD343" s="51"/>
      <c r="AE343" s="72"/>
      <c r="AF343" s="73"/>
      <c r="AG343" s="73"/>
      <c r="AH343" s="74"/>
      <c r="AI343" s="179"/>
      <c r="AJ343" s="73"/>
      <c r="AK343" s="73"/>
      <c r="AL343" s="138"/>
      <c r="AM343" s="72"/>
      <c r="AN343" s="73"/>
      <c r="AO343" s="73"/>
      <c r="AP343" s="74"/>
      <c r="AQ343" s="179"/>
      <c r="AR343" s="73"/>
      <c r="AS343" s="73"/>
      <c r="AT343" s="138"/>
      <c r="AU343" s="72"/>
      <c r="AV343" s="73"/>
      <c r="AW343" s="73"/>
      <c r="AX343" s="138"/>
      <c r="AY343" s="72"/>
      <c r="AZ343" s="73"/>
      <c r="BA343" s="73"/>
      <c r="BB343" s="138"/>
      <c r="BC343" s="72"/>
      <c r="BD343" s="73"/>
      <c r="BE343" s="73"/>
      <c r="BF343" s="774"/>
      <c r="BG343" s="72"/>
      <c r="BH343" s="73"/>
      <c r="BI343" s="73"/>
      <c r="BJ343" s="774"/>
      <c r="BK343" s="72"/>
      <c r="BL343" s="73"/>
      <c r="BM343" s="73"/>
      <c r="BN343" s="138"/>
      <c r="BO343" s="142"/>
      <c r="BP343" s="140"/>
      <c r="BQ343" s="140"/>
      <c r="BR343" s="143"/>
      <c r="BS343" s="142"/>
      <c r="BT343" s="140"/>
      <c r="BU343" s="140"/>
      <c r="BV343" s="143"/>
      <c r="BY343" s="125">
        <f t="shared" si="88"/>
        <v>0</v>
      </c>
      <c r="BZ343" s="126">
        <f t="shared" si="89"/>
        <v>0</v>
      </c>
      <c r="CA343" s="126">
        <f t="shared" si="90"/>
        <v>0</v>
      </c>
      <c r="CB343" s="127">
        <f t="shared" si="91"/>
        <v>0</v>
      </c>
    </row>
    <row r="344" spans="1:80" ht="16.5" hidden="1" customHeight="1" outlineLevel="4" x14ac:dyDescent="0.25">
      <c r="A344" s="76" t="b">
        <f t="array" ref="A344">A343</f>
        <v>0</v>
      </c>
      <c r="B344" s="5" t="b">
        <f t="array" ref="B344">A344</f>
        <v>0</v>
      </c>
      <c r="C344" s="10" t="s">
        <v>83</v>
      </c>
      <c r="D344" s="10" t="s">
        <v>84</v>
      </c>
      <c r="E344" s="10" t="s">
        <v>73</v>
      </c>
      <c r="F344" s="10" t="s">
        <v>74</v>
      </c>
      <c r="G344" s="10" t="s">
        <v>464</v>
      </c>
      <c r="H344" s="10" t="s">
        <v>73</v>
      </c>
      <c r="I344" s="10" t="s">
        <v>73</v>
      </c>
      <c r="J344" s="10" t="s">
        <v>73</v>
      </c>
      <c r="K344" s="12" t="s">
        <v>73</v>
      </c>
      <c r="L344" s="10" t="s">
        <v>452</v>
      </c>
      <c r="M344" s="5" t="str">
        <f t="array" ref="M344">Y95</f>
        <v>1ХВС::1.1</v>
      </c>
      <c r="Y344" s="10">
        <f>COUNT($Y336:Y343)+1</f>
        <v>8</v>
      </c>
      <c r="Z344" s="6"/>
      <c r="AA344" s="6"/>
      <c r="AB344" s="29"/>
      <c r="AC344" s="153"/>
      <c r="AD344" s="51"/>
      <c r="AE344" s="72"/>
      <c r="AF344" s="73"/>
      <c r="AG344" s="73"/>
      <c r="AH344" s="74"/>
      <c r="AI344" s="179"/>
      <c r="AJ344" s="73"/>
      <c r="AK344" s="73"/>
      <c r="AL344" s="138"/>
      <c r="AM344" s="72"/>
      <c r="AN344" s="73"/>
      <c r="AO344" s="73"/>
      <c r="AP344" s="74"/>
      <c r="AQ344" s="179"/>
      <c r="AR344" s="73"/>
      <c r="AS344" s="73"/>
      <c r="AT344" s="138"/>
      <c r="AU344" s="72"/>
      <c r="AV344" s="73"/>
      <c r="AW344" s="73"/>
      <c r="AX344" s="138"/>
      <c r="AY344" s="72"/>
      <c r="AZ344" s="73"/>
      <c r="BA344" s="73"/>
      <c r="BB344" s="138"/>
      <c r="BC344" s="72"/>
      <c r="BD344" s="73"/>
      <c r="BE344" s="73"/>
      <c r="BF344" s="774"/>
      <c r="BG344" s="72"/>
      <c r="BH344" s="73"/>
      <c r="BI344" s="73"/>
      <c r="BJ344" s="774"/>
      <c r="BK344" s="72"/>
      <c r="BL344" s="73"/>
      <c r="BM344" s="73"/>
      <c r="BN344" s="138"/>
      <c r="BO344" s="142"/>
      <c r="BP344" s="140"/>
      <c r="BQ344" s="140"/>
      <c r="BR344" s="143"/>
      <c r="BS344" s="142"/>
      <c r="BT344" s="140"/>
      <c r="BU344" s="140"/>
      <c r="BV344" s="143"/>
      <c r="BY344" s="125">
        <f t="shared" si="88"/>
        <v>0</v>
      </c>
      <c r="BZ344" s="126">
        <f t="shared" si="89"/>
        <v>0</v>
      </c>
      <c r="CA344" s="126">
        <f t="shared" si="90"/>
        <v>0</v>
      </c>
      <c r="CB344" s="127">
        <f t="shared" si="91"/>
        <v>0</v>
      </c>
    </row>
    <row r="345" spans="1:80" ht="16.5" hidden="1" customHeight="1" outlineLevel="4" x14ac:dyDescent="0.25">
      <c r="A345" s="76" t="b">
        <f t="array" ref="A345">A344</f>
        <v>0</v>
      </c>
      <c r="B345" s="5" t="b">
        <f t="array" ref="B345">A345</f>
        <v>0</v>
      </c>
      <c r="C345" s="10" t="s">
        <v>83</v>
      </c>
      <c r="D345" s="10" t="s">
        <v>84</v>
      </c>
      <c r="E345" s="10" t="s">
        <v>73</v>
      </c>
      <c r="F345" s="10" t="s">
        <v>74</v>
      </c>
      <c r="G345" s="10" t="s">
        <v>465</v>
      </c>
      <c r="H345" s="10" t="s">
        <v>73</v>
      </c>
      <c r="I345" s="10" t="s">
        <v>73</v>
      </c>
      <c r="J345" s="10" t="s">
        <v>73</v>
      </c>
      <c r="K345" s="12" t="s">
        <v>73</v>
      </c>
      <c r="L345" s="10" t="s">
        <v>452</v>
      </c>
      <c r="M345" s="5" t="str">
        <f t="array" ref="M345">Y95</f>
        <v>1ХВС::1.1</v>
      </c>
      <c r="Y345" s="10">
        <f>COUNT($Y336:Y344)+1</f>
        <v>9</v>
      </c>
      <c r="Z345" s="6"/>
      <c r="AA345" s="6"/>
      <c r="AB345" s="29"/>
      <c r="AC345" s="153"/>
      <c r="AD345" s="51"/>
      <c r="AE345" s="72"/>
      <c r="AF345" s="73"/>
      <c r="AG345" s="73"/>
      <c r="AH345" s="74"/>
      <c r="AI345" s="179"/>
      <c r="AJ345" s="73"/>
      <c r="AK345" s="73"/>
      <c r="AL345" s="138"/>
      <c r="AM345" s="72"/>
      <c r="AN345" s="73"/>
      <c r="AO345" s="73"/>
      <c r="AP345" s="74"/>
      <c r="AQ345" s="179"/>
      <c r="AR345" s="73"/>
      <c r="AS345" s="73"/>
      <c r="AT345" s="138"/>
      <c r="AU345" s="72"/>
      <c r="AV345" s="73"/>
      <c r="AW345" s="73"/>
      <c r="AX345" s="138"/>
      <c r="AY345" s="72"/>
      <c r="AZ345" s="73"/>
      <c r="BA345" s="73"/>
      <c r="BB345" s="138"/>
      <c r="BC345" s="72"/>
      <c r="BD345" s="73"/>
      <c r="BE345" s="73"/>
      <c r="BF345" s="774"/>
      <c r="BG345" s="72"/>
      <c r="BH345" s="73"/>
      <c r="BI345" s="73"/>
      <c r="BJ345" s="774"/>
      <c r="BK345" s="72"/>
      <c r="BL345" s="73"/>
      <c r="BM345" s="73"/>
      <c r="BN345" s="138"/>
      <c r="BO345" s="142"/>
      <c r="BP345" s="140"/>
      <c r="BQ345" s="140"/>
      <c r="BR345" s="143"/>
      <c r="BS345" s="142"/>
      <c r="BT345" s="140"/>
      <c r="BU345" s="140"/>
      <c r="BV345" s="143"/>
      <c r="BY345" s="125">
        <f t="shared" si="88"/>
        <v>0</v>
      </c>
      <c r="BZ345" s="126">
        <f t="shared" si="89"/>
        <v>0</v>
      </c>
      <c r="CA345" s="126">
        <f t="shared" si="90"/>
        <v>0</v>
      </c>
      <c r="CB345" s="127">
        <f t="shared" si="91"/>
        <v>0</v>
      </c>
    </row>
    <row r="346" spans="1:80" ht="16.5" hidden="1" customHeight="1" outlineLevel="4" x14ac:dyDescent="0.25">
      <c r="A346" s="76" t="b">
        <f t="array" ref="A346">A345</f>
        <v>0</v>
      </c>
      <c r="B346" s="5" t="b">
        <f t="array" ref="B346">A346</f>
        <v>0</v>
      </c>
      <c r="C346" s="10" t="s">
        <v>83</v>
      </c>
      <c r="D346" s="10" t="s">
        <v>84</v>
      </c>
      <c r="E346" s="10" t="s">
        <v>73</v>
      </c>
      <c r="F346" s="10" t="s">
        <v>74</v>
      </c>
      <c r="G346" s="10" t="s">
        <v>466</v>
      </c>
      <c r="H346" s="10" t="s">
        <v>73</v>
      </c>
      <c r="I346" s="10" t="s">
        <v>73</v>
      </c>
      <c r="J346" s="10" t="s">
        <v>73</v>
      </c>
      <c r="K346" s="12" t="s">
        <v>73</v>
      </c>
      <c r="L346" s="10" t="s">
        <v>452</v>
      </c>
      <c r="M346" s="5" t="str">
        <f t="array" ref="M346">Y95</f>
        <v>1ХВС::1.1</v>
      </c>
      <c r="Y346" s="10">
        <f>COUNT($Y336:Y345)+1</f>
        <v>10</v>
      </c>
      <c r="Z346" s="6"/>
      <c r="AA346" s="6"/>
      <c r="AB346" s="29"/>
      <c r="AC346" s="153"/>
      <c r="AD346" s="51"/>
      <c r="AE346" s="72"/>
      <c r="AF346" s="73"/>
      <c r="AG346" s="73"/>
      <c r="AH346" s="74"/>
      <c r="AI346" s="179"/>
      <c r="AJ346" s="73"/>
      <c r="AK346" s="73"/>
      <c r="AL346" s="138"/>
      <c r="AM346" s="72"/>
      <c r="AN346" s="73"/>
      <c r="AO346" s="73"/>
      <c r="AP346" s="74"/>
      <c r="AQ346" s="179"/>
      <c r="AR346" s="73"/>
      <c r="AS346" s="73"/>
      <c r="AT346" s="138"/>
      <c r="AU346" s="72"/>
      <c r="AV346" s="73"/>
      <c r="AW346" s="73"/>
      <c r="AX346" s="138"/>
      <c r="AY346" s="72"/>
      <c r="AZ346" s="73"/>
      <c r="BA346" s="73"/>
      <c r="BB346" s="138"/>
      <c r="BC346" s="72"/>
      <c r="BD346" s="73"/>
      <c r="BE346" s="73"/>
      <c r="BF346" s="774"/>
      <c r="BG346" s="72"/>
      <c r="BH346" s="73"/>
      <c r="BI346" s="73"/>
      <c r="BJ346" s="774"/>
      <c r="BK346" s="72"/>
      <c r="BL346" s="73"/>
      <c r="BM346" s="73"/>
      <c r="BN346" s="138"/>
      <c r="BO346" s="142"/>
      <c r="BP346" s="140"/>
      <c r="BQ346" s="140"/>
      <c r="BR346" s="143"/>
      <c r="BS346" s="142"/>
      <c r="BT346" s="140"/>
      <c r="BU346" s="140"/>
      <c r="BV346" s="143"/>
      <c r="BY346" s="125">
        <f t="shared" si="88"/>
        <v>0</v>
      </c>
      <c r="BZ346" s="126">
        <f t="shared" si="89"/>
        <v>0</v>
      </c>
      <c r="CA346" s="126">
        <f t="shared" si="90"/>
        <v>0</v>
      </c>
      <c r="CB346" s="127">
        <f t="shared" si="91"/>
        <v>0</v>
      </c>
    </row>
    <row r="347" spans="1:80" ht="14.25" customHeight="1" outlineLevel="4" x14ac:dyDescent="0.25">
      <c r="C347" s="10" t="s">
        <v>83</v>
      </c>
      <c r="D347" s="10" t="s">
        <v>84</v>
      </c>
      <c r="E347" s="10" t="s">
        <v>73</v>
      </c>
      <c r="F347" s="10" t="s">
        <v>74</v>
      </c>
      <c r="G347" s="10" t="s">
        <v>467</v>
      </c>
      <c r="H347" s="10" t="s">
        <v>73</v>
      </c>
      <c r="I347" s="10" t="s">
        <v>73</v>
      </c>
      <c r="J347" s="10" t="s">
        <v>73</v>
      </c>
      <c r="K347" s="12" t="s">
        <v>73</v>
      </c>
      <c r="L347" s="10" t="s">
        <v>452</v>
      </c>
      <c r="M347" s="5" t="str">
        <f t="array" ref="M347">Y95</f>
        <v>1ХВС::1.1</v>
      </c>
      <c r="Y347" s="10">
        <f>COUNT($Y336:Y346)+1</f>
        <v>11</v>
      </c>
      <c r="AB347" s="29" t="str">
        <f>AB$336&amp;"."&amp;Y347</f>
        <v>3.1.3.1.11</v>
      </c>
      <c r="AC347" s="294" t="s">
        <v>468</v>
      </c>
      <c r="AD347" s="51" t="s">
        <v>111</v>
      </c>
      <c r="AE347" s="72"/>
      <c r="AF347" s="178"/>
      <c r="AG347" s="73"/>
      <c r="AH347" s="74"/>
      <c r="AI347" s="179"/>
      <c r="AJ347" s="178"/>
      <c r="AK347" s="73"/>
      <c r="AL347" s="138"/>
      <c r="AM347" s="72">
        <v>60.11</v>
      </c>
      <c r="AN347" s="178"/>
      <c r="AO347" s="73">
        <v>66.14</v>
      </c>
      <c r="AP347" s="74">
        <v>66.14</v>
      </c>
      <c r="AQ347" s="179">
        <v>1191.57</v>
      </c>
      <c r="AR347" s="178">
        <v>126.63</v>
      </c>
      <c r="AS347" s="73">
        <v>1311.11</v>
      </c>
      <c r="AT347" s="138"/>
      <c r="AU347" s="72"/>
      <c r="AV347" s="178"/>
      <c r="AW347" s="73"/>
      <c r="AX347" s="138"/>
      <c r="AY347" s="72"/>
      <c r="AZ347" s="178"/>
      <c r="BA347" s="73"/>
      <c r="BB347" s="138"/>
      <c r="BC347" s="72">
        <v>0</v>
      </c>
      <c r="BD347" s="178"/>
      <c r="BE347" s="73">
        <v>0</v>
      </c>
      <c r="BF347" s="774"/>
      <c r="BG347" s="72"/>
      <c r="BH347" s="178"/>
      <c r="BI347" s="73"/>
      <c r="BJ347" s="774"/>
      <c r="BK347" s="72"/>
      <c r="BL347" s="178"/>
      <c r="BM347" s="73"/>
      <c r="BN347" s="138"/>
      <c r="BO347" s="142"/>
      <c r="BP347" s="183"/>
      <c r="BQ347" s="140"/>
      <c r="BR347" s="143"/>
      <c r="BS347" s="142"/>
      <c r="BT347" s="183"/>
      <c r="BU347" s="140"/>
      <c r="BV347" s="143"/>
      <c r="BY347" s="125">
        <f t="shared" si="88"/>
        <v>1251.6799999999998</v>
      </c>
      <c r="BZ347" s="126">
        <f t="shared" si="89"/>
        <v>126.63</v>
      </c>
      <c r="CA347" s="126">
        <f t="shared" si="90"/>
        <v>1377.25</v>
      </c>
      <c r="CB347" s="127">
        <f t="shared" si="91"/>
        <v>66.14</v>
      </c>
    </row>
    <row r="348" spans="1:80" ht="16.5" hidden="1" customHeight="1" outlineLevel="4" x14ac:dyDescent="0.25">
      <c r="A348" s="76" t="b">
        <f>OR($AD$52="да",$U95&lt;&gt;"Водоснабжение")</f>
        <v>0</v>
      </c>
      <c r="B348" s="5" t="b">
        <f t="array" ref="B348">A348</f>
        <v>0</v>
      </c>
      <c r="C348" s="10" t="s">
        <v>83</v>
      </c>
      <c r="D348" s="10" t="s">
        <v>84</v>
      </c>
      <c r="E348" s="10" t="s">
        <v>73</v>
      </c>
      <c r="F348" s="10" t="s">
        <v>74</v>
      </c>
      <c r="G348" s="10" t="s">
        <v>469</v>
      </c>
      <c r="H348" s="10" t="s">
        <v>73</v>
      </c>
      <c r="I348" s="10" t="s">
        <v>73</v>
      </c>
      <c r="J348" s="10" t="s">
        <v>73</v>
      </c>
      <c r="K348" s="12" t="s">
        <v>73</v>
      </c>
      <c r="L348" s="10" t="s">
        <v>452</v>
      </c>
      <c r="M348" s="5" t="str">
        <f t="array" ref="M348">Y95</f>
        <v>1ХВС::1.1</v>
      </c>
      <c r="Y348" s="10">
        <f>COUNT($Y336:Y347)+1</f>
        <v>12</v>
      </c>
      <c r="Z348" s="6"/>
      <c r="AA348" s="6"/>
      <c r="AB348" s="29"/>
      <c r="AC348" s="153"/>
      <c r="AD348" s="51"/>
      <c r="AE348" s="72"/>
      <c r="AF348" s="73"/>
      <c r="AG348" s="73"/>
      <c r="AH348" s="74"/>
      <c r="AI348" s="179"/>
      <c r="AJ348" s="73"/>
      <c r="AK348" s="73"/>
      <c r="AL348" s="138"/>
      <c r="AM348" s="72"/>
      <c r="AN348" s="73"/>
      <c r="AO348" s="73"/>
      <c r="AP348" s="74"/>
      <c r="AQ348" s="179"/>
      <c r="AR348" s="73"/>
      <c r="AS348" s="73"/>
      <c r="AT348" s="138"/>
      <c r="AU348" s="72"/>
      <c r="AV348" s="73"/>
      <c r="AW348" s="73"/>
      <c r="AX348" s="138"/>
      <c r="AY348" s="72"/>
      <c r="AZ348" s="73"/>
      <c r="BA348" s="73"/>
      <c r="BB348" s="138"/>
      <c r="BC348" s="72"/>
      <c r="BD348" s="73"/>
      <c r="BE348" s="73"/>
      <c r="BF348" s="774"/>
      <c r="BG348" s="72"/>
      <c r="BH348" s="73"/>
      <c r="BI348" s="73"/>
      <c r="BJ348" s="774"/>
      <c r="BK348" s="72"/>
      <c r="BL348" s="73"/>
      <c r="BM348" s="73"/>
      <c r="BN348" s="138"/>
      <c r="BO348" s="142"/>
      <c r="BP348" s="140"/>
      <c r="BQ348" s="140"/>
      <c r="BR348" s="143"/>
      <c r="BS348" s="142"/>
      <c r="BT348" s="140"/>
      <c r="BU348" s="140"/>
      <c r="BV348" s="143"/>
      <c r="BY348" s="125">
        <f t="shared" si="88"/>
        <v>0</v>
      </c>
      <c r="BZ348" s="126">
        <f t="shared" si="89"/>
        <v>0</v>
      </c>
      <c r="CA348" s="126">
        <f t="shared" si="90"/>
        <v>0</v>
      </c>
      <c r="CB348" s="127">
        <f t="shared" si="91"/>
        <v>0</v>
      </c>
    </row>
    <row r="349" spans="1:80" ht="14.25" customHeight="1" outlineLevel="3" x14ac:dyDescent="0.25">
      <c r="C349" s="10" t="s">
        <v>83</v>
      </c>
      <c r="D349" s="10" t="s">
        <v>84</v>
      </c>
      <c r="E349" s="10" t="s">
        <v>73</v>
      </c>
      <c r="F349" s="10" t="s">
        <v>74</v>
      </c>
      <c r="G349" s="10" t="s">
        <v>470</v>
      </c>
      <c r="H349" s="10" t="s">
        <v>73</v>
      </c>
      <c r="I349" s="10" t="s">
        <v>73</v>
      </c>
      <c r="J349" s="10" t="s">
        <v>73</v>
      </c>
      <c r="K349" s="12" t="s">
        <v>73</v>
      </c>
      <c r="L349" s="10" t="s">
        <v>452</v>
      </c>
      <c r="M349" s="5" t="str">
        <f t="array" ref="M349">Y95</f>
        <v>1ХВС::1.1</v>
      </c>
      <c r="AB349" s="65" t="str">
        <f>AB335&amp;".2"</f>
        <v>3.1.3.2</v>
      </c>
      <c r="AC349" s="92" t="s">
        <v>471</v>
      </c>
      <c r="AD349" s="51" t="s">
        <v>111</v>
      </c>
      <c r="AE349" s="72">
        <v>169974.245</v>
      </c>
      <c r="AF349" s="178">
        <v>208321.7</v>
      </c>
      <c r="AG349" s="73">
        <v>252644.98</v>
      </c>
      <c r="AH349" s="74">
        <v>167425.46</v>
      </c>
      <c r="AI349" s="179">
        <v>104.01</v>
      </c>
      <c r="AJ349" s="178">
        <v>332.07</v>
      </c>
      <c r="AK349" s="73">
        <v>205.78</v>
      </c>
      <c r="AL349" s="138">
        <v>192.54</v>
      </c>
      <c r="AM349" s="72">
        <v>210.45</v>
      </c>
      <c r="AN349" s="178">
        <v>164</v>
      </c>
      <c r="AO349" s="73">
        <v>365.25</v>
      </c>
      <c r="AP349" s="74">
        <v>330.65</v>
      </c>
      <c r="AQ349" s="179">
        <v>369.03</v>
      </c>
      <c r="AR349" s="178">
        <v>39.130000000000003</v>
      </c>
      <c r="AS349" s="73">
        <v>547.57000000000005</v>
      </c>
      <c r="AT349" s="138">
        <v>547.57000000000005</v>
      </c>
      <c r="AU349" s="72">
        <v>320.27999999999997</v>
      </c>
      <c r="AV349" s="178">
        <v>20.77</v>
      </c>
      <c r="AW349" s="73">
        <v>368.33</v>
      </c>
      <c r="AX349" s="138">
        <f>368.33+9.22</f>
        <v>377.55</v>
      </c>
      <c r="AY349" s="72">
        <v>6.24</v>
      </c>
      <c r="AZ349" s="178">
        <v>1002.04</v>
      </c>
      <c r="BA349" s="73">
        <v>763.15</v>
      </c>
      <c r="BB349" s="138">
        <v>343.81</v>
      </c>
      <c r="BC349" s="72">
        <v>201.52</v>
      </c>
      <c r="BD349" s="178"/>
      <c r="BE349" s="73">
        <v>331.17</v>
      </c>
      <c r="BF349" s="774">
        <v>257.25</v>
      </c>
      <c r="BG349" s="72">
        <v>802.79</v>
      </c>
      <c r="BH349" s="178">
        <v>1484.86</v>
      </c>
      <c r="BI349" s="73">
        <v>1747.39</v>
      </c>
      <c r="BJ349" s="775">
        <v>1747.39</v>
      </c>
      <c r="BK349" s="72">
        <v>31.26</v>
      </c>
      <c r="BL349" s="178">
        <v>3028.92</v>
      </c>
      <c r="BM349" s="73">
        <v>663.25</v>
      </c>
      <c r="BN349" s="138">
        <v>568.53</v>
      </c>
      <c r="BO349" s="142"/>
      <c r="BP349" s="183">
        <v>205</v>
      </c>
      <c r="BQ349" s="140">
        <v>127.6</v>
      </c>
      <c r="BR349" s="143"/>
      <c r="BS349" s="142">
        <v>78.02</v>
      </c>
      <c r="BT349" s="183">
        <v>299.3</v>
      </c>
      <c r="BU349" s="140">
        <v>144.16999999999999</v>
      </c>
      <c r="BV349" s="143"/>
      <c r="BY349" s="125">
        <f t="shared" si="88"/>
        <v>172097.845</v>
      </c>
      <c r="BZ349" s="126">
        <f t="shared" si="89"/>
        <v>214897.79</v>
      </c>
      <c r="CA349" s="126">
        <f t="shared" si="90"/>
        <v>257908.64000000004</v>
      </c>
      <c r="CB349" s="127">
        <f t="shared" si="91"/>
        <v>171790.75</v>
      </c>
    </row>
    <row r="350" spans="1:80" ht="14.25" customHeight="1" outlineLevel="3" x14ac:dyDescent="0.25">
      <c r="C350" s="10" t="s">
        <v>83</v>
      </c>
      <c r="D350" s="10" t="s">
        <v>84</v>
      </c>
      <c r="E350" s="10" t="s">
        <v>73</v>
      </c>
      <c r="F350" s="10" t="s">
        <v>74</v>
      </c>
      <c r="G350" s="10" t="s">
        <v>472</v>
      </c>
      <c r="H350" s="10" t="s">
        <v>73</v>
      </c>
      <c r="I350" s="10" t="s">
        <v>73</v>
      </c>
      <c r="J350" s="10" t="s">
        <v>73</v>
      </c>
      <c r="K350" s="12" t="s">
        <v>73</v>
      </c>
      <c r="L350" s="10" t="s">
        <v>452</v>
      </c>
      <c r="M350" s="5" t="str">
        <f t="array" ref="M350">Y95</f>
        <v>1ХВС::1.1</v>
      </c>
      <c r="AB350" s="65" t="str">
        <f>AB335&amp;".3"</f>
        <v>3.1.3.3</v>
      </c>
      <c r="AC350" s="92" t="s">
        <v>473</v>
      </c>
      <c r="AD350" s="51" t="s">
        <v>111</v>
      </c>
      <c r="AE350" s="72">
        <f t="shared" ref="AE350:AL350" si="99">AE351+AE352+AE353+AE354+AE355+AE356+AE357+AE358+AE359</f>
        <v>89012.939999999988</v>
      </c>
      <c r="AF350" s="73">
        <f t="shared" si="99"/>
        <v>89725.03</v>
      </c>
      <c r="AG350" s="73">
        <f t="shared" si="99"/>
        <v>99288.78</v>
      </c>
      <c r="AH350" s="74">
        <f t="shared" si="99"/>
        <v>90519.13</v>
      </c>
      <c r="AI350" s="179">
        <f t="shared" si="99"/>
        <v>2688.38</v>
      </c>
      <c r="AJ350" s="73">
        <f t="shared" si="99"/>
        <v>2361.7399999999998</v>
      </c>
      <c r="AK350" s="73">
        <f t="shared" si="99"/>
        <v>2649.39</v>
      </c>
      <c r="AL350" s="138">
        <f t="shared" si="99"/>
        <v>2187.4</v>
      </c>
      <c r="AM350" s="72">
        <f t="shared" ref="AM350:BE350" si="100">AM351+AM352+AM353+AM354+AM355+AM356+AM357+AM358+AM359</f>
        <v>6944.4440000000004</v>
      </c>
      <c r="AN350" s="73">
        <f t="shared" si="100"/>
        <v>3137.8399999999997</v>
      </c>
      <c r="AO350" s="73">
        <f t="shared" si="100"/>
        <v>6951.579999999999</v>
      </c>
      <c r="AP350" s="74">
        <f t="shared" si="100"/>
        <v>6880.71</v>
      </c>
      <c r="AQ350" s="179">
        <f t="shared" si="100"/>
        <v>4237.5540000000001</v>
      </c>
      <c r="AR350" s="73">
        <f t="shared" si="100"/>
        <v>2295.63</v>
      </c>
      <c r="AS350" s="73">
        <f t="shared" si="100"/>
        <v>5574.91</v>
      </c>
      <c r="AT350" s="138">
        <f t="shared" si="100"/>
        <v>4618.3900000000003</v>
      </c>
      <c r="AU350" s="72">
        <f t="shared" si="100"/>
        <v>500.53000000000003</v>
      </c>
      <c r="AV350" s="73">
        <f t="shared" si="100"/>
        <v>918.66000000000008</v>
      </c>
      <c r="AW350" s="73">
        <f t="shared" si="100"/>
        <v>974.97</v>
      </c>
      <c r="AX350" s="138">
        <f t="shared" si="100"/>
        <v>1010.86</v>
      </c>
      <c r="AY350" s="72">
        <f t="shared" si="100"/>
        <v>4525.8899999999994</v>
      </c>
      <c r="AZ350" s="73">
        <f t="shared" si="100"/>
        <v>3749.72</v>
      </c>
      <c r="BA350" s="73">
        <f t="shared" si="100"/>
        <v>5761.99</v>
      </c>
      <c r="BB350" s="138">
        <f t="shared" si="100"/>
        <v>4144.1000000000004</v>
      </c>
      <c r="BC350" s="72">
        <f t="shared" si="100"/>
        <v>872.84</v>
      </c>
      <c r="BD350" s="73">
        <f t="shared" si="100"/>
        <v>1055.8399999999999</v>
      </c>
      <c r="BE350" s="73">
        <f t="shared" si="100"/>
        <v>864.47500000000002</v>
      </c>
      <c r="BF350" s="774">
        <f>SUM(BF351:BF359)</f>
        <v>633.26</v>
      </c>
      <c r="BG350" s="72">
        <f>BG351+BG352+BG353+BG354+BG355+BG356+BG357+BG358+BG359</f>
        <v>4081.1760000000004</v>
      </c>
      <c r="BH350" s="73">
        <f>BH351+BH352+BH353+BH354+BH355+BH356+BH357+BH358+BH359</f>
        <v>2419.5100000000002</v>
      </c>
      <c r="BI350" s="73">
        <f>BI351+BI352+BI353+BI354+BI355+BI356+BI357+BI358+BI359</f>
        <v>4451.72</v>
      </c>
      <c r="BJ350" s="775">
        <f>SUM(BJ351:BJ359)</f>
        <v>2316.6600000000003</v>
      </c>
      <c r="BK350" s="72">
        <f t="shared" ref="BK350:BQ350" si="101">BK351+BK352+BK353+BK354+BK355+BK356+BK357+BK358+BK359</f>
        <v>6243.9459999999999</v>
      </c>
      <c r="BL350" s="73">
        <f t="shared" si="101"/>
        <v>5359.2099999999991</v>
      </c>
      <c r="BM350" s="73">
        <f t="shared" si="101"/>
        <v>7353.23</v>
      </c>
      <c r="BN350" s="138">
        <f t="shared" si="101"/>
        <v>5567.52</v>
      </c>
      <c r="BO350" s="72">
        <f t="shared" si="101"/>
        <v>447.96999999999997</v>
      </c>
      <c r="BP350" s="73">
        <f t="shared" si="101"/>
        <v>300.7</v>
      </c>
      <c r="BQ350" s="73">
        <f t="shared" si="101"/>
        <v>299.41799999999995</v>
      </c>
      <c r="BR350" s="74">
        <f>SUM(BR351:BR359)</f>
        <v>308.41000000000003</v>
      </c>
      <c r="BS350" s="72">
        <f>BS351+BS352+BS353+BS354+BS355+BS356+BS357+BS358+BS359</f>
        <v>186.97</v>
      </c>
      <c r="BT350" s="73">
        <f>BT351+BT352+BT353+BT354+BT355+BT356+BT357+BT358+BT359</f>
        <v>181.56</v>
      </c>
      <c r="BU350" s="73">
        <f>BU351+BU352+BU353+BU354+BU355+BU356+BU357+BU358+BU359</f>
        <v>167.64000000000001</v>
      </c>
      <c r="BV350" s="74">
        <f>SUM(BV351:BV359)</f>
        <v>195.47</v>
      </c>
      <c r="BY350" s="125">
        <f t="shared" si="88"/>
        <v>119742.64</v>
      </c>
      <c r="BZ350" s="126">
        <f t="shared" si="89"/>
        <v>111505.43999999999</v>
      </c>
      <c r="CA350" s="126">
        <f t="shared" si="90"/>
        <v>134338.10300000003</v>
      </c>
      <c r="CB350" s="127">
        <f t="shared" si="91"/>
        <v>118381.91000000002</v>
      </c>
    </row>
    <row r="351" spans="1:80" ht="14.25" customHeight="1" outlineLevel="4" x14ac:dyDescent="0.25">
      <c r="C351" s="10" t="s">
        <v>83</v>
      </c>
      <c r="D351" s="10" t="s">
        <v>84</v>
      </c>
      <c r="E351" s="10" t="s">
        <v>73</v>
      </c>
      <c r="F351" s="10" t="s">
        <v>74</v>
      </c>
      <c r="G351" s="10" t="s">
        <v>474</v>
      </c>
      <c r="H351" s="10" t="s">
        <v>73</v>
      </c>
      <c r="I351" s="10" t="s">
        <v>73</v>
      </c>
      <c r="J351" s="10" t="s">
        <v>73</v>
      </c>
      <c r="K351" s="12" t="s">
        <v>73</v>
      </c>
      <c r="L351" s="10" t="s">
        <v>452</v>
      </c>
      <c r="M351" s="5" t="str">
        <f t="array" ref="M351">Y95</f>
        <v>1ХВС::1.1</v>
      </c>
      <c r="Y351" s="10">
        <v>1</v>
      </c>
      <c r="AB351" s="29" t="str">
        <f t="shared" ref="AB351:AB359" si="102">AB$350&amp;"."&amp;Y351</f>
        <v>3.1.3.3.1</v>
      </c>
      <c r="AC351" s="294" t="s">
        <v>474</v>
      </c>
      <c r="AD351" s="51" t="s">
        <v>111</v>
      </c>
      <c r="AE351" s="72"/>
      <c r="AF351" s="178"/>
      <c r="AG351" s="73"/>
      <c r="AH351" s="74"/>
      <c r="AI351" s="179"/>
      <c r="AJ351" s="178"/>
      <c r="AK351" s="73"/>
      <c r="AL351" s="138"/>
      <c r="AM351" s="72"/>
      <c r="AN351" s="178"/>
      <c r="AO351" s="73"/>
      <c r="AP351" s="74"/>
      <c r="AQ351" s="179"/>
      <c r="AR351" s="178"/>
      <c r="AS351" s="73"/>
      <c r="AT351" s="138"/>
      <c r="AU351" s="72"/>
      <c r="AV351" s="178"/>
      <c r="AW351" s="73"/>
      <c r="AX351" s="138"/>
      <c r="AY351" s="72"/>
      <c r="AZ351" s="178"/>
      <c r="BA351" s="73"/>
      <c r="BB351" s="138"/>
      <c r="BC351" s="72">
        <v>0</v>
      </c>
      <c r="BD351" s="178"/>
      <c r="BE351" s="73">
        <v>0</v>
      </c>
      <c r="BF351" s="774"/>
      <c r="BG351" s="72"/>
      <c r="BH351" s="178"/>
      <c r="BI351" s="73"/>
      <c r="BJ351" s="775"/>
      <c r="BK351" s="72"/>
      <c r="BL351" s="178"/>
      <c r="BM351" s="73"/>
      <c r="BN351" s="138"/>
      <c r="BO351" s="142"/>
      <c r="BP351" s="183"/>
      <c r="BQ351" s="140"/>
      <c r="BR351" s="143"/>
      <c r="BS351" s="142"/>
      <c r="BT351" s="183"/>
      <c r="BU351" s="140"/>
      <c r="BV351" s="143"/>
      <c r="BY351" s="125">
        <f t="shared" si="88"/>
        <v>0</v>
      </c>
      <c r="BZ351" s="126">
        <f t="shared" si="89"/>
        <v>0</v>
      </c>
      <c r="CA351" s="126">
        <f t="shared" si="90"/>
        <v>0</v>
      </c>
      <c r="CB351" s="127">
        <f t="shared" si="91"/>
        <v>0</v>
      </c>
    </row>
    <row r="352" spans="1:80" ht="14.25" customHeight="1" outlineLevel="4" x14ac:dyDescent="0.25">
      <c r="C352" s="10" t="s">
        <v>83</v>
      </c>
      <c r="D352" s="10" t="s">
        <v>84</v>
      </c>
      <c r="E352" s="10" t="s">
        <v>73</v>
      </c>
      <c r="F352" s="10" t="s">
        <v>74</v>
      </c>
      <c r="G352" s="10" t="s">
        <v>475</v>
      </c>
      <c r="H352" s="10" t="s">
        <v>73</v>
      </c>
      <c r="I352" s="10" t="s">
        <v>73</v>
      </c>
      <c r="J352" s="10" t="s">
        <v>73</v>
      </c>
      <c r="K352" s="12" t="s">
        <v>73</v>
      </c>
      <c r="L352" s="10" t="s">
        <v>452</v>
      </c>
      <c r="M352" s="5" t="str">
        <f t="array" ref="M352">Y95</f>
        <v>1ХВС::1.1</v>
      </c>
      <c r="Y352" s="10">
        <f>COUNT($Y351:Y351)+1</f>
        <v>2</v>
      </c>
      <c r="AB352" s="29" t="str">
        <f t="shared" si="102"/>
        <v>3.1.3.3.2</v>
      </c>
      <c r="AC352" s="294" t="s">
        <v>475</v>
      </c>
      <c r="AD352" s="51" t="s">
        <v>111</v>
      </c>
      <c r="AE352" s="72">
        <v>61939.93</v>
      </c>
      <c r="AF352" s="178">
        <v>56138.94</v>
      </c>
      <c r="AG352" s="73">
        <v>60756.24</v>
      </c>
      <c r="AH352" s="74">
        <v>55680.27</v>
      </c>
      <c r="AI352" s="179">
        <v>2432.9</v>
      </c>
      <c r="AJ352" s="178">
        <v>2070.25</v>
      </c>
      <c r="AK352" s="73">
        <v>2332.12</v>
      </c>
      <c r="AL352" s="138">
        <v>1910.39</v>
      </c>
      <c r="AM352" s="72">
        <v>6189.7539999999999</v>
      </c>
      <c r="AN352" s="178">
        <v>2341.71</v>
      </c>
      <c r="AO352" s="73">
        <v>5806.78</v>
      </c>
      <c r="AP352" s="74">
        <v>5806.78</v>
      </c>
      <c r="AQ352" s="179">
        <v>2057.4299999999998</v>
      </c>
      <c r="AR352" s="178">
        <f>463.68+3.23</f>
        <v>466.91</v>
      </c>
      <c r="AS352" s="73">
        <v>3213.98</v>
      </c>
      <c r="AT352" s="138">
        <f>2215.5+3.09</f>
        <v>2218.59</v>
      </c>
      <c r="AU352" s="72">
        <v>57.11</v>
      </c>
      <c r="AV352" s="178">
        <v>500.98</v>
      </c>
      <c r="AW352" s="73">
        <v>634.91999999999996</v>
      </c>
      <c r="AX352" s="138">
        <v>596.59</v>
      </c>
      <c r="AY352" s="72">
        <v>1218.17</v>
      </c>
      <c r="AZ352" s="178">
        <v>1276.54</v>
      </c>
      <c r="BA352" s="73">
        <v>1559.34</v>
      </c>
      <c r="BB352" s="138">
        <v>1559.34</v>
      </c>
      <c r="BC352" s="72">
        <v>86.68</v>
      </c>
      <c r="BD352" s="178">
        <v>717</v>
      </c>
      <c r="BE352" s="73">
        <v>77.709999999999994</v>
      </c>
      <c r="BF352" s="774">
        <v>77.709999999999994</v>
      </c>
      <c r="BG352" s="72">
        <v>1195.99</v>
      </c>
      <c r="BH352" s="178">
        <v>1113.3699999999999</v>
      </c>
      <c r="BI352" s="73">
        <v>2284.9</v>
      </c>
      <c r="BJ352" s="775">
        <f>2284.9-1059.405</f>
        <v>1225.4950000000001</v>
      </c>
      <c r="BK352" s="72">
        <v>2955.7820000000002</v>
      </c>
      <c r="BL352" s="178">
        <v>2108.7399999999998</v>
      </c>
      <c r="BM352" s="73">
        <v>3391.6</v>
      </c>
      <c r="BN352" s="138">
        <v>1998.9</v>
      </c>
      <c r="BO352" s="142">
        <v>250.93</v>
      </c>
      <c r="BP352" s="183">
        <v>232.07</v>
      </c>
      <c r="BQ352" s="140">
        <v>216.114</v>
      </c>
      <c r="BR352" s="143">
        <v>214.66</v>
      </c>
      <c r="BS352" s="142">
        <v>25.99</v>
      </c>
      <c r="BT352" s="183">
        <v>22.59</v>
      </c>
      <c r="BU352" s="140">
        <v>24.49</v>
      </c>
      <c r="BV352" s="143">
        <v>21.29</v>
      </c>
      <c r="BY352" s="125">
        <f t="shared" si="88"/>
        <v>78410.665999999997</v>
      </c>
      <c r="BZ352" s="126">
        <f t="shared" si="89"/>
        <v>66989.10000000002</v>
      </c>
      <c r="CA352" s="126">
        <f t="shared" si="90"/>
        <v>80298.194000000003</v>
      </c>
      <c r="CB352" s="127">
        <f t="shared" si="91"/>
        <v>71310.014999999985</v>
      </c>
    </row>
    <row r="353" spans="1:81" ht="14.25" customHeight="1" outlineLevel="4" x14ac:dyDescent="0.25">
      <c r="C353" s="10" t="s">
        <v>83</v>
      </c>
      <c r="D353" s="10" t="s">
        <v>84</v>
      </c>
      <c r="E353" s="10" t="s">
        <v>73</v>
      </c>
      <c r="F353" s="10" t="s">
        <v>74</v>
      </c>
      <c r="G353" s="10" t="s">
        <v>476</v>
      </c>
      <c r="H353" s="10" t="s">
        <v>73</v>
      </c>
      <c r="I353" s="10" t="s">
        <v>73</v>
      </c>
      <c r="J353" s="10" t="s">
        <v>73</v>
      </c>
      <c r="K353" s="12" t="s">
        <v>73</v>
      </c>
      <c r="L353" s="10" t="s">
        <v>452</v>
      </c>
      <c r="M353" s="5" t="str">
        <f t="array" ref="M353">Y95</f>
        <v>1ХВС::1.1</v>
      </c>
      <c r="Y353" s="10">
        <f>COUNT($Y351:Y352)+1</f>
        <v>3</v>
      </c>
      <c r="AB353" s="29" t="str">
        <f t="shared" si="102"/>
        <v>3.1.3.3.3</v>
      </c>
      <c r="AC353" s="294" t="s">
        <v>476</v>
      </c>
      <c r="AD353" s="51" t="s">
        <v>111</v>
      </c>
      <c r="AE353" s="72"/>
      <c r="AF353" s="178"/>
      <c r="AG353" s="73"/>
      <c r="AH353" s="74"/>
      <c r="AI353" s="179"/>
      <c r="AJ353" s="178"/>
      <c r="AK353" s="73"/>
      <c r="AL353" s="138"/>
      <c r="AM353" s="72"/>
      <c r="AN353" s="178"/>
      <c r="AO353" s="73"/>
      <c r="AP353" s="74"/>
      <c r="AQ353" s="179"/>
      <c r="AR353" s="178"/>
      <c r="AS353" s="73"/>
      <c r="AT353" s="138"/>
      <c r="AU353" s="72"/>
      <c r="AV353" s="178"/>
      <c r="AW353" s="73"/>
      <c r="AX353" s="138"/>
      <c r="AY353" s="72"/>
      <c r="AZ353" s="178"/>
      <c r="BA353" s="73"/>
      <c r="BB353" s="138"/>
      <c r="BC353" s="72">
        <v>0</v>
      </c>
      <c r="BD353" s="178"/>
      <c r="BE353" s="73">
        <v>0</v>
      </c>
      <c r="BF353" s="774"/>
      <c r="BG353" s="72"/>
      <c r="BH353" s="178"/>
      <c r="BI353" s="73"/>
      <c r="BJ353" s="775"/>
      <c r="BK353" s="72"/>
      <c r="BL353" s="178"/>
      <c r="BM353" s="73"/>
      <c r="BN353" s="138"/>
      <c r="BO353" s="142"/>
      <c r="BP353" s="183"/>
      <c r="BQ353" s="140"/>
      <c r="BR353" s="143"/>
      <c r="BS353" s="142"/>
      <c r="BT353" s="183"/>
      <c r="BU353" s="140"/>
      <c r="BV353" s="143"/>
      <c r="BY353" s="125">
        <f t="shared" ref="BY353:BY376" si="103">AE353+AI353+AM353+AQ353+AU353+AY353+BC353+BG353+BK353+BO353+BS353</f>
        <v>0</v>
      </c>
      <c r="BZ353" s="126">
        <f t="shared" ref="BZ353:BZ376" si="104">AF353+AJ353+AN353+AR353+AV353+AZ353+BD353+BH353+BL353+BP353+BT353</f>
        <v>0</v>
      </c>
      <c r="CA353" s="126">
        <f t="shared" ref="CA353:CA384" si="105">AG353+AK353+AO353+AS353+AW353+BA353+BE353+BI353+BM353+BQ353+BU353</f>
        <v>0</v>
      </c>
      <c r="CB353" s="127">
        <f t="shared" ref="CB353:CB384" si="106">AH353+AL353+AP353+AT353+AX353+BB353+BF353+BJ353+BN353+BR353+BV353</f>
        <v>0</v>
      </c>
    </row>
    <row r="354" spans="1:81" ht="14.25" customHeight="1" outlineLevel="4" x14ac:dyDescent="0.25">
      <c r="A354" s="10" t="b">
        <f>$U95="Водоснабжение"</f>
        <v>1</v>
      </c>
      <c r="B354" s="5" t="b">
        <f t="array" ref="B354">A354</f>
        <v>1</v>
      </c>
      <c r="C354" s="10" t="s">
        <v>83</v>
      </c>
      <c r="D354" s="10" t="s">
        <v>84</v>
      </c>
      <c r="E354" s="10" t="s">
        <v>73</v>
      </c>
      <c r="F354" s="10" t="s">
        <v>74</v>
      </c>
      <c r="G354" s="10" t="s">
        <v>477</v>
      </c>
      <c r="H354" s="10" t="s">
        <v>73</v>
      </c>
      <c r="I354" s="10" t="s">
        <v>73</v>
      </c>
      <c r="J354" s="10" t="s">
        <v>73</v>
      </c>
      <c r="K354" s="12" t="s">
        <v>73</v>
      </c>
      <c r="L354" s="10" t="s">
        <v>452</v>
      </c>
      <c r="M354" s="5" t="str">
        <f t="array" ref="M354">Y95</f>
        <v>1ХВС::1.1</v>
      </c>
      <c r="Y354" s="10">
        <f>COUNT($Y351:Y353)+1</f>
        <v>4</v>
      </c>
      <c r="AB354" s="29" t="str">
        <f t="shared" si="102"/>
        <v>3.1.3.3.4</v>
      </c>
      <c r="AC354" s="294" t="s">
        <v>477</v>
      </c>
      <c r="AD354" s="51" t="s">
        <v>111</v>
      </c>
      <c r="AE354" s="72">
        <v>7042.5</v>
      </c>
      <c r="AF354" s="178">
        <v>8971.5499999999993</v>
      </c>
      <c r="AG354" s="73">
        <v>13845.57</v>
      </c>
      <c r="AH354" s="74">
        <v>10151.89</v>
      </c>
      <c r="AI354" s="179">
        <v>255.48</v>
      </c>
      <c r="AJ354" s="178">
        <v>291.49</v>
      </c>
      <c r="AK354" s="73">
        <v>317.27</v>
      </c>
      <c r="AL354" s="138">
        <v>277.01</v>
      </c>
      <c r="AM354" s="72">
        <v>739.51</v>
      </c>
      <c r="AN354" s="178">
        <v>793.14</v>
      </c>
      <c r="AO354" s="73">
        <v>1126.0999999999999</v>
      </c>
      <c r="AP354" s="74">
        <v>1055.23</v>
      </c>
      <c r="AQ354" s="179">
        <v>2180.1239999999998</v>
      </c>
      <c r="AR354" s="178">
        <f>1550.01+278.71</f>
        <v>1828.72</v>
      </c>
      <c r="AS354" s="73">
        <v>2360.9299999999998</v>
      </c>
      <c r="AT354" s="138">
        <v>2399.8000000000002</v>
      </c>
      <c r="AU354" s="72">
        <v>443.42</v>
      </c>
      <c r="AV354" s="178">
        <v>417.68</v>
      </c>
      <c r="AW354" s="73">
        <v>340.05</v>
      </c>
      <c r="AX354" s="138">
        <v>414.27</v>
      </c>
      <c r="AY354" s="72">
        <v>3307.72</v>
      </c>
      <c r="AZ354" s="178">
        <v>2458.12</v>
      </c>
      <c r="BA354" s="73">
        <v>4202.6499999999996</v>
      </c>
      <c r="BB354" s="138">
        <v>2584.7600000000002</v>
      </c>
      <c r="BC354" s="72">
        <v>767.27</v>
      </c>
      <c r="BD354" s="178">
        <v>338.84</v>
      </c>
      <c r="BE354" s="73">
        <v>767.875</v>
      </c>
      <c r="BF354" s="774">
        <v>537.41</v>
      </c>
      <c r="BG354" s="72">
        <v>2871.94</v>
      </c>
      <c r="BH354" s="178">
        <v>1301.3900000000001</v>
      </c>
      <c r="BI354" s="73">
        <v>2150.5700000000002</v>
      </c>
      <c r="BJ354" s="775">
        <f>2150.57-1059.405</f>
        <v>1091.1650000000002</v>
      </c>
      <c r="BK354" s="72">
        <v>3222.8519999999999</v>
      </c>
      <c r="BL354" s="178">
        <v>3250.47</v>
      </c>
      <c r="BM354" s="73">
        <v>3961.63</v>
      </c>
      <c r="BN354" s="138">
        <v>3560.38</v>
      </c>
      <c r="BO354" s="142">
        <v>190.33</v>
      </c>
      <c r="BP354" s="183">
        <v>68.63</v>
      </c>
      <c r="BQ354" s="140">
        <v>76.593999999999994</v>
      </c>
      <c r="BR354" s="143">
        <v>87.03</v>
      </c>
      <c r="BS354" s="142">
        <v>160.97999999999999</v>
      </c>
      <c r="BT354" s="183">
        <v>158.97</v>
      </c>
      <c r="BU354" s="140">
        <v>143.15</v>
      </c>
      <c r="BV354" s="143">
        <v>174.18</v>
      </c>
      <c r="BY354" s="125">
        <f t="shared" si="103"/>
        <v>21182.126</v>
      </c>
      <c r="BZ354" s="126">
        <f t="shared" si="104"/>
        <v>19879</v>
      </c>
      <c r="CA354" s="126">
        <f t="shared" si="105"/>
        <v>29292.389000000003</v>
      </c>
      <c r="CB354" s="127">
        <f t="shared" si="106"/>
        <v>22333.125</v>
      </c>
    </row>
    <row r="355" spans="1:81" ht="14.25" customHeight="1" outlineLevel="4" x14ac:dyDescent="0.25">
      <c r="A355" s="10" t="b">
        <f t="array" ref="A355">A354</f>
        <v>1</v>
      </c>
      <c r="B355" s="5" t="b">
        <f t="array" ref="B355">A355</f>
        <v>1</v>
      </c>
      <c r="C355" s="10" t="s">
        <v>83</v>
      </c>
      <c r="D355" s="10" t="s">
        <v>84</v>
      </c>
      <c r="E355" s="10" t="s">
        <v>73</v>
      </c>
      <c r="F355" s="10" t="s">
        <v>74</v>
      </c>
      <c r="G355" s="10" t="s">
        <v>478</v>
      </c>
      <c r="H355" s="10" t="s">
        <v>73</v>
      </c>
      <c r="I355" s="10" t="s">
        <v>73</v>
      </c>
      <c r="J355" s="10" t="s">
        <v>73</v>
      </c>
      <c r="K355" s="12" t="s">
        <v>73</v>
      </c>
      <c r="L355" s="10" t="s">
        <v>452</v>
      </c>
      <c r="M355" s="5" t="str">
        <f t="array" ref="M355">Y95</f>
        <v>1ХВС::1.1</v>
      </c>
      <c r="Y355" s="10">
        <f>COUNT($Y351:Y354)+1</f>
        <v>5</v>
      </c>
      <c r="AB355" s="29" t="str">
        <f t="shared" si="102"/>
        <v>3.1.3.3.5</v>
      </c>
      <c r="AC355" s="294" t="s">
        <v>478</v>
      </c>
      <c r="AD355" s="51" t="s">
        <v>111</v>
      </c>
      <c r="AE355" s="72">
        <v>19492.62</v>
      </c>
      <c r="AF355" s="178">
        <v>24031.599999999999</v>
      </c>
      <c r="AG355" s="73">
        <v>24169.88</v>
      </c>
      <c r="AH355" s="74">
        <v>24169.88</v>
      </c>
      <c r="AI355" s="179"/>
      <c r="AJ355" s="178"/>
      <c r="AK355" s="73"/>
      <c r="AL355" s="138"/>
      <c r="AM355" s="72"/>
      <c r="AN355" s="178"/>
      <c r="AO355" s="73"/>
      <c r="AP355" s="74"/>
      <c r="AQ355" s="179"/>
      <c r="AR355" s="178"/>
      <c r="AS355" s="73"/>
      <c r="AT355" s="138"/>
      <c r="AU355" s="72"/>
      <c r="AV355" s="178"/>
      <c r="AW355" s="73"/>
      <c r="AX355" s="138"/>
      <c r="AY355" s="72"/>
      <c r="AZ355" s="178"/>
      <c r="BA355" s="73"/>
      <c r="BB355" s="138"/>
      <c r="BC355" s="72">
        <v>0.01</v>
      </c>
      <c r="BD355" s="178"/>
      <c r="BE355" s="73">
        <v>0.01</v>
      </c>
      <c r="BF355" s="774"/>
      <c r="BG355" s="72"/>
      <c r="BH355" s="178"/>
      <c r="BI355" s="73"/>
      <c r="BJ355" s="138"/>
      <c r="BK355" s="72"/>
      <c r="BL355" s="178"/>
      <c r="BM355" s="73"/>
      <c r="BN355" s="138"/>
      <c r="BO355" s="142"/>
      <c r="BP355" s="183"/>
      <c r="BQ355" s="140"/>
      <c r="BR355" s="143"/>
      <c r="BS355" s="142"/>
      <c r="BT355" s="183"/>
      <c r="BU355" s="140"/>
      <c r="BV355" s="143"/>
      <c r="BY355" s="125">
        <f t="shared" si="103"/>
        <v>19492.629999999997</v>
      </c>
      <c r="BZ355" s="126">
        <f t="shared" si="104"/>
        <v>24031.599999999999</v>
      </c>
      <c r="CA355" s="126">
        <f t="shared" si="105"/>
        <v>24169.89</v>
      </c>
      <c r="CB355" s="127">
        <f t="shared" si="106"/>
        <v>24169.88</v>
      </c>
    </row>
    <row r="356" spans="1:81" ht="14.25" customHeight="1" outlineLevel="4" x14ac:dyDescent="0.25">
      <c r="C356" s="10" t="s">
        <v>83</v>
      </c>
      <c r="D356" s="10" t="s">
        <v>84</v>
      </c>
      <c r="E356" s="10" t="s">
        <v>73</v>
      </c>
      <c r="F356" s="10" t="s">
        <v>74</v>
      </c>
      <c r="G356" s="10" t="s">
        <v>479</v>
      </c>
      <c r="H356" s="10" t="s">
        <v>73</v>
      </c>
      <c r="I356" s="10" t="s">
        <v>73</v>
      </c>
      <c r="J356" s="10" t="s">
        <v>73</v>
      </c>
      <c r="K356" s="12" t="s">
        <v>73</v>
      </c>
      <c r="L356" s="10" t="s">
        <v>452</v>
      </c>
      <c r="M356" s="5" t="str">
        <f t="array" ref="M356">Y95</f>
        <v>1ХВС::1.1</v>
      </c>
      <c r="Y356" s="10">
        <f>COUNT($Y351:Y355)+1</f>
        <v>6</v>
      </c>
      <c r="AB356" s="29" t="str">
        <f t="shared" si="102"/>
        <v>3.1.3.3.6</v>
      </c>
      <c r="AC356" s="294" t="s">
        <v>479</v>
      </c>
      <c r="AD356" s="51" t="s">
        <v>111</v>
      </c>
      <c r="AE356" s="72">
        <v>517.09</v>
      </c>
      <c r="AF356" s="178">
        <v>500.49</v>
      </c>
      <c r="AG356" s="73">
        <v>517.09</v>
      </c>
      <c r="AH356" s="74">
        <v>517.09</v>
      </c>
      <c r="AI356" s="179"/>
      <c r="AJ356" s="178"/>
      <c r="AK356" s="73"/>
      <c r="AL356" s="138"/>
      <c r="AM356" s="72">
        <v>15.18</v>
      </c>
      <c r="AN356" s="178">
        <v>2.99</v>
      </c>
      <c r="AO356" s="73">
        <v>18.7</v>
      </c>
      <c r="AP356" s="74">
        <v>18.7</v>
      </c>
      <c r="AQ356" s="179"/>
      <c r="AR356" s="178"/>
      <c r="AS356" s="73"/>
      <c r="AT356" s="138"/>
      <c r="AU356" s="72"/>
      <c r="AV356" s="178"/>
      <c r="AW356" s="73"/>
      <c r="AX356" s="138"/>
      <c r="AY356" s="72"/>
      <c r="AZ356" s="178">
        <v>15.06</v>
      </c>
      <c r="BA356" s="73"/>
      <c r="BB356" s="138"/>
      <c r="BC356" s="72">
        <v>18.88</v>
      </c>
      <c r="BD356" s="178"/>
      <c r="BE356" s="73">
        <v>18.88</v>
      </c>
      <c r="BF356" s="774">
        <v>18.14</v>
      </c>
      <c r="BG356" s="72">
        <v>13.246</v>
      </c>
      <c r="BH356" s="178">
        <v>4.75</v>
      </c>
      <c r="BI356" s="73">
        <v>16.25</v>
      </c>
      <c r="BJ356" s="138"/>
      <c r="BK356" s="72">
        <v>65.311999999999998</v>
      </c>
      <c r="BL356" s="178"/>
      <c r="BM356" s="73"/>
      <c r="BN356" s="138">
        <v>8.24</v>
      </c>
      <c r="BO356" s="142">
        <v>6.71</v>
      </c>
      <c r="BP356" s="183"/>
      <c r="BQ356" s="140">
        <v>6.71</v>
      </c>
      <c r="BR356" s="143">
        <v>6.72</v>
      </c>
      <c r="BS356" s="142"/>
      <c r="BT356" s="183"/>
      <c r="BU356" s="140"/>
      <c r="BV356" s="143"/>
      <c r="BY356" s="125">
        <f t="shared" si="103"/>
        <v>636.41800000000001</v>
      </c>
      <c r="BZ356" s="126">
        <f t="shared" si="104"/>
        <v>523.29</v>
      </c>
      <c r="CA356" s="126">
        <f t="shared" si="105"/>
        <v>577.63000000000011</v>
      </c>
      <c r="CB356" s="127">
        <f t="shared" si="106"/>
        <v>568.8900000000001</v>
      </c>
    </row>
    <row r="357" spans="1:81" ht="15" customHeight="1" outlineLevel="4" x14ac:dyDescent="0.25">
      <c r="C357" s="10" t="s">
        <v>83</v>
      </c>
      <c r="D357" s="10" t="s">
        <v>84</v>
      </c>
      <c r="E357" s="10" t="s">
        <v>73</v>
      </c>
      <c r="F357" s="10" t="s">
        <v>74</v>
      </c>
      <c r="G357" s="10" t="s">
        <v>480</v>
      </c>
      <c r="H357" s="10" t="s">
        <v>73</v>
      </c>
      <c r="I357" s="10" t="s">
        <v>73</v>
      </c>
      <c r="J357" s="10" t="s">
        <v>73</v>
      </c>
      <c r="K357" s="12" t="s">
        <v>73</v>
      </c>
      <c r="L357" s="10" t="s">
        <v>452</v>
      </c>
      <c r="M357" s="5" t="str">
        <f t="array" ref="M357">Y95</f>
        <v>1ХВС::1.1</v>
      </c>
      <c r="Y357" s="10">
        <f>COUNT($Y351:Y356)+1</f>
        <v>7</v>
      </c>
      <c r="AB357" s="29" t="str">
        <f t="shared" si="102"/>
        <v>3.1.3.3.7</v>
      </c>
      <c r="AC357" s="294" t="s">
        <v>480</v>
      </c>
      <c r="AD357" s="51" t="s">
        <v>111</v>
      </c>
      <c r="AE357" s="72">
        <v>20.8</v>
      </c>
      <c r="AF357" s="178">
        <v>82.45</v>
      </c>
      <c r="AG357" s="73"/>
      <c r="AH357" s="74"/>
      <c r="AI357" s="179"/>
      <c r="AJ357" s="178"/>
      <c r="AK357" s="73"/>
      <c r="AL357" s="138"/>
      <c r="AM357" s="72"/>
      <c r="AN357" s="178"/>
      <c r="AO357" s="73"/>
      <c r="AP357" s="74"/>
      <c r="AQ357" s="179"/>
      <c r="AR357" s="178"/>
      <c r="AS357" s="73"/>
      <c r="AT357" s="138"/>
      <c r="AU357" s="72"/>
      <c r="AV357" s="178"/>
      <c r="AW357" s="73"/>
      <c r="AX357" s="138"/>
      <c r="AY357" s="72"/>
      <c r="AZ357" s="178"/>
      <c r="BA357" s="73"/>
      <c r="BB357" s="138"/>
      <c r="BC357" s="72">
        <v>0</v>
      </c>
      <c r="BD357" s="178"/>
      <c r="BE357" s="73">
        <v>0</v>
      </c>
      <c r="BF357" s="774"/>
      <c r="BG357" s="72"/>
      <c r="BH357" s="178"/>
      <c r="BI357" s="73"/>
      <c r="BJ357" s="138"/>
      <c r="BK357" s="72"/>
      <c r="BL357" s="178"/>
      <c r="BM357" s="73"/>
      <c r="BN357" s="138"/>
      <c r="BO357" s="142"/>
      <c r="BP357" s="183"/>
      <c r="BQ357" s="140"/>
      <c r="BR357" s="143"/>
      <c r="BS357" s="142"/>
      <c r="BT357" s="183"/>
      <c r="BU357" s="140"/>
      <c r="BV357" s="143"/>
      <c r="BY357" s="125">
        <f t="shared" si="103"/>
        <v>20.8</v>
      </c>
      <c r="BZ357" s="126">
        <f t="shared" si="104"/>
        <v>82.45</v>
      </c>
      <c r="CA357" s="126">
        <f t="shared" si="105"/>
        <v>0</v>
      </c>
      <c r="CB357" s="127">
        <f t="shared" si="106"/>
        <v>0</v>
      </c>
    </row>
    <row r="358" spans="1:81" ht="14.25" customHeight="1" outlineLevel="4" x14ac:dyDescent="0.25">
      <c r="C358" s="10" t="s">
        <v>83</v>
      </c>
      <c r="D358" s="10" t="s">
        <v>84</v>
      </c>
      <c r="E358" s="10" t="s">
        <v>73</v>
      </c>
      <c r="F358" s="10" t="s">
        <v>74</v>
      </c>
      <c r="G358" s="10" t="s">
        <v>481</v>
      </c>
      <c r="H358" s="10" t="s">
        <v>73</v>
      </c>
      <c r="I358" s="10" t="s">
        <v>73</v>
      </c>
      <c r="J358" s="10" t="s">
        <v>73</v>
      </c>
      <c r="K358" s="12" t="s">
        <v>73</v>
      </c>
      <c r="L358" s="10" t="s">
        <v>452</v>
      </c>
      <c r="M358" s="5" t="str">
        <f t="array" ref="M358">Y95</f>
        <v>1ХВС::1.1</v>
      </c>
      <c r="Y358" s="10">
        <f>COUNT($Y351:Y357)+1</f>
        <v>8</v>
      </c>
      <c r="AB358" s="29" t="str">
        <f t="shared" si="102"/>
        <v>3.1.3.3.8</v>
      </c>
      <c r="AC358" s="294" t="s">
        <v>481</v>
      </c>
      <c r="AD358" s="51" t="s">
        <v>111</v>
      </c>
      <c r="AE358" s="72"/>
      <c r="AF358" s="178"/>
      <c r="AG358" s="73"/>
      <c r="AH358" s="74"/>
      <c r="AI358" s="179"/>
      <c r="AJ358" s="178"/>
      <c r="AK358" s="73"/>
      <c r="AL358" s="138"/>
      <c r="AM358" s="72"/>
      <c r="AN358" s="178"/>
      <c r="AO358" s="73"/>
      <c r="AP358" s="74"/>
      <c r="AQ358" s="179"/>
      <c r="AR358" s="178"/>
      <c r="AS358" s="73"/>
      <c r="AT358" s="138"/>
      <c r="AU358" s="72"/>
      <c r="AV358" s="178"/>
      <c r="AW358" s="73"/>
      <c r="AX358" s="138"/>
      <c r="AY358" s="72"/>
      <c r="AZ358" s="178"/>
      <c r="BA358" s="73"/>
      <c r="BB358" s="138"/>
      <c r="BC358" s="72">
        <v>0</v>
      </c>
      <c r="BD358" s="178"/>
      <c r="BE358" s="73">
        <v>0</v>
      </c>
      <c r="BF358" s="774">
        <v>0</v>
      </c>
      <c r="BG358" s="72"/>
      <c r="BH358" s="178"/>
      <c r="BI358" s="73"/>
      <c r="BJ358" s="138"/>
      <c r="BK358" s="72"/>
      <c r="BL358" s="178"/>
      <c r="BM358" s="73"/>
      <c r="BN358" s="138"/>
      <c r="BO358" s="142"/>
      <c r="BP358" s="183"/>
      <c r="BQ358" s="140"/>
      <c r="BR358" s="143"/>
      <c r="BS358" s="142"/>
      <c r="BT358" s="183"/>
      <c r="BU358" s="140"/>
      <c r="BV358" s="143"/>
      <c r="BY358" s="125">
        <f t="shared" si="103"/>
        <v>0</v>
      </c>
      <c r="BZ358" s="126">
        <f t="shared" si="104"/>
        <v>0</v>
      </c>
      <c r="CA358" s="126">
        <f t="shared" si="105"/>
        <v>0</v>
      </c>
      <c r="CB358" s="127">
        <f t="shared" si="106"/>
        <v>0</v>
      </c>
    </row>
    <row r="359" spans="1:81" ht="14.25" customHeight="1" outlineLevel="4" x14ac:dyDescent="0.25">
      <c r="C359" s="10" t="s">
        <v>83</v>
      </c>
      <c r="D359" s="10" t="s">
        <v>84</v>
      </c>
      <c r="E359" s="10" t="s">
        <v>73</v>
      </c>
      <c r="F359" s="10" t="s">
        <v>74</v>
      </c>
      <c r="G359" s="10" t="s">
        <v>482</v>
      </c>
      <c r="H359" s="10" t="s">
        <v>73</v>
      </c>
      <c r="I359" s="10" t="s">
        <v>73</v>
      </c>
      <c r="J359" s="10" t="s">
        <v>73</v>
      </c>
      <c r="K359" s="12" t="s">
        <v>73</v>
      </c>
      <c r="L359" s="10" t="s">
        <v>452</v>
      </c>
      <c r="M359" s="5" t="str">
        <f t="array" ref="M359">Y95</f>
        <v>1ХВС::1.1</v>
      </c>
      <c r="Y359" s="10">
        <f>COUNT($Y351:Y358)+1</f>
        <v>9</v>
      </c>
      <c r="AB359" s="29" t="str">
        <f t="shared" si="102"/>
        <v>3.1.3.3.9</v>
      </c>
      <c r="AC359" s="294" t="s">
        <v>483</v>
      </c>
      <c r="AD359" s="51" t="s">
        <v>111</v>
      </c>
      <c r="AE359" s="72"/>
      <c r="AF359" s="178"/>
      <c r="AG359" s="73"/>
      <c r="AH359" s="74"/>
      <c r="AI359" s="179"/>
      <c r="AJ359" s="178"/>
      <c r="AK359" s="73"/>
      <c r="AL359" s="138"/>
      <c r="AM359" s="72"/>
      <c r="AN359" s="178"/>
      <c r="AO359" s="73"/>
      <c r="AP359" s="74"/>
      <c r="AQ359" s="179"/>
      <c r="AR359" s="178"/>
      <c r="AS359" s="73"/>
      <c r="AT359" s="138"/>
      <c r="AU359" s="72"/>
      <c r="AV359" s="178"/>
      <c r="AW359" s="73"/>
      <c r="AX359" s="138"/>
      <c r="AY359" s="72"/>
      <c r="AZ359" s="178"/>
      <c r="BA359" s="73"/>
      <c r="BB359" s="138"/>
      <c r="BC359" s="72">
        <v>0</v>
      </c>
      <c r="BD359" s="178"/>
      <c r="BE359" s="73">
        <v>0</v>
      </c>
      <c r="BF359" s="774"/>
      <c r="BG359" s="72"/>
      <c r="BH359" s="178"/>
      <c r="BI359" s="73"/>
      <c r="BJ359" s="138"/>
      <c r="BK359" s="72"/>
      <c r="BL359" s="178"/>
      <c r="BM359" s="73"/>
      <c r="BN359" s="138"/>
      <c r="BO359" s="142"/>
      <c r="BP359" s="183"/>
      <c r="BQ359" s="140"/>
      <c r="BR359" s="143"/>
      <c r="BS359" s="142"/>
      <c r="BT359" s="183"/>
      <c r="BU359" s="140"/>
      <c r="BV359" s="143"/>
      <c r="BY359" s="125">
        <f t="shared" si="103"/>
        <v>0</v>
      </c>
      <c r="BZ359" s="126">
        <f t="shared" si="104"/>
        <v>0</v>
      </c>
      <c r="CA359" s="126">
        <f t="shared" si="105"/>
        <v>0</v>
      </c>
      <c r="CB359" s="127">
        <f t="shared" si="106"/>
        <v>0</v>
      </c>
    </row>
    <row r="360" spans="1:81" ht="18" customHeight="1" outlineLevel="3" x14ac:dyDescent="0.25">
      <c r="C360" s="10" t="s">
        <v>83</v>
      </c>
      <c r="D360" s="10" t="s">
        <v>84</v>
      </c>
      <c r="E360" s="10" t="s">
        <v>73</v>
      </c>
      <c r="F360" s="10" t="s">
        <v>74</v>
      </c>
      <c r="G360" s="10" t="s">
        <v>484</v>
      </c>
      <c r="H360" s="10" t="s">
        <v>73</v>
      </c>
      <c r="I360" s="10" t="s">
        <v>73</v>
      </c>
      <c r="J360" s="10" t="s">
        <v>73</v>
      </c>
      <c r="K360" s="12" t="s">
        <v>73</v>
      </c>
      <c r="L360" s="10" t="s">
        <v>407</v>
      </c>
      <c r="M360" s="5" t="str">
        <f t="array" ref="M360">Y95</f>
        <v>1ХВС::1.1</v>
      </c>
      <c r="AB360" s="65" t="str">
        <f>AB335&amp;".4"</f>
        <v>3.1.3.4</v>
      </c>
      <c r="AC360" s="92" t="s">
        <v>485</v>
      </c>
      <c r="AD360" s="51" t="s">
        <v>111</v>
      </c>
      <c r="AE360" s="72">
        <f>AE361+AE364+AE365+AE366</f>
        <v>19390.21</v>
      </c>
      <c r="AF360" s="73">
        <f>AF361+AF364+AF365+AF366</f>
        <v>5066.4100000000017</v>
      </c>
      <c r="AG360" s="73">
        <f>AG361+AG364+AG365+AG366</f>
        <v>19390.21</v>
      </c>
      <c r="AH360" s="74"/>
      <c r="AI360" s="179">
        <f>AI361+AI364+AI365+AI366</f>
        <v>186.35</v>
      </c>
      <c r="AJ360" s="73">
        <f>AJ361+AJ364+AJ365+AJ366</f>
        <v>0</v>
      </c>
      <c r="AK360" s="73">
        <f>AK361+AK364+AK365+AK366</f>
        <v>186.35</v>
      </c>
      <c r="AL360" s="138"/>
      <c r="AM360" s="72">
        <f>AM361+AM364+AM365+AM366</f>
        <v>416.76</v>
      </c>
      <c r="AN360" s="73">
        <f>AN361+AN364+AN365+AN366</f>
        <v>0</v>
      </c>
      <c r="AO360" s="73">
        <f>AO361+AO364+AO365+AO366</f>
        <v>563.11</v>
      </c>
      <c r="AP360" s="74"/>
      <c r="AQ360" s="179">
        <f>AQ361+AQ364+AQ365+AQ366</f>
        <v>184.82</v>
      </c>
      <c r="AR360" s="73">
        <f>AR361+AR364+AR365+AR366</f>
        <v>0</v>
      </c>
      <c r="AS360" s="73">
        <f>AS361+AS364+AS365+AS366</f>
        <v>237.81</v>
      </c>
      <c r="AT360" s="138"/>
      <c r="AU360" s="72">
        <f>AU361+AU364+AU365+AU366</f>
        <v>39.58</v>
      </c>
      <c r="AV360" s="73">
        <v>90</v>
      </c>
      <c r="AW360" s="73">
        <f>AW361+AW364+AW365+AW366</f>
        <v>50.89</v>
      </c>
      <c r="AX360" s="138"/>
      <c r="AY360" s="72">
        <f>AY361+AY364+AY365+AY366</f>
        <v>0</v>
      </c>
      <c r="AZ360" s="73">
        <f>AZ361+AZ364+AZ365+AZ366</f>
        <v>0</v>
      </c>
      <c r="BA360" s="73">
        <f>BA361+BA364+BA365+BA366</f>
        <v>0</v>
      </c>
      <c r="BB360" s="138"/>
      <c r="BC360" s="72">
        <f>BC361+BC364+BC365+BC366</f>
        <v>251.57</v>
      </c>
      <c r="BD360" s="73">
        <v>240</v>
      </c>
      <c r="BE360" s="73">
        <f>BE361+BE364+BE365+BE366</f>
        <v>277.87700000000001</v>
      </c>
      <c r="BF360" s="774">
        <f>BF361+BF364+BF365+BF366</f>
        <v>280.77</v>
      </c>
      <c r="BG360" s="72">
        <f>BG361+BG364+BG365+BG366</f>
        <v>9.43</v>
      </c>
      <c r="BH360" s="73">
        <f>BH361+BH364+BH365+BH366</f>
        <v>0</v>
      </c>
      <c r="BI360" s="73">
        <f>BI361+BI364+BI365+BI366</f>
        <v>45.61</v>
      </c>
      <c r="BJ360" s="138"/>
      <c r="BK360" s="72">
        <f>BK361+BK364+BK365+BK366</f>
        <v>706.61</v>
      </c>
      <c r="BL360" s="73">
        <f>BL361+BL364+BL365+BL366</f>
        <v>0</v>
      </c>
      <c r="BM360" s="73">
        <f>BM361+BM364+BM365+BM366</f>
        <v>737.89</v>
      </c>
      <c r="BN360" s="138"/>
      <c r="BO360" s="72">
        <f>BO361+BO364+BO365+BO366</f>
        <v>176.32</v>
      </c>
      <c r="BP360" s="73">
        <f>BP361+BP364+BP365+BP366</f>
        <v>0</v>
      </c>
      <c r="BQ360" s="73">
        <f>BQ361+BQ364+BQ365+BQ366</f>
        <v>194.53</v>
      </c>
      <c r="BR360" s="74"/>
      <c r="BS360" s="72">
        <f>BS361+BS364+BS365+BS366</f>
        <v>225.16499999999999</v>
      </c>
      <c r="BT360" s="73">
        <f>BT361+BT364+BT365+BT366</f>
        <v>0</v>
      </c>
      <c r="BU360" s="73">
        <f>BU361+BU364+BU365+BU366</f>
        <v>235.43</v>
      </c>
      <c r="BV360" s="74">
        <f>BV361+BV364+BV365+BV366</f>
        <v>0</v>
      </c>
      <c r="BY360" s="125">
        <f t="shared" si="103"/>
        <v>21586.814999999999</v>
      </c>
      <c r="BZ360" s="126">
        <f t="shared" si="104"/>
        <v>5396.4100000000017</v>
      </c>
      <c r="CA360" s="126">
        <f t="shared" si="105"/>
        <v>21919.706999999999</v>
      </c>
      <c r="CB360" s="127">
        <f t="shared" si="106"/>
        <v>280.77</v>
      </c>
    </row>
    <row r="361" spans="1:81" s="211" customFormat="1" ht="14.25" customHeight="1" outlineLevel="4" x14ac:dyDescent="0.25">
      <c r="A361" s="6"/>
      <c r="B361" s="6"/>
      <c r="C361" s="116" t="s">
        <v>83</v>
      </c>
      <c r="D361" s="116" t="s">
        <v>84</v>
      </c>
      <c r="E361" s="116" t="s">
        <v>73</v>
      </c>
      <c r="F361" s="116" t="s">
        <v>74</v>
      </c>
      <c r="G361" s="116" t="s">
        <v>486</v>
      </c>
      <c r="H361" s="116" t="s">
        <v>73</v>
      </c>
      <c r="I361" s="116" t="s">
        <v>73</v>
      </c>
      <c r="J361" s="116" t="s">
        <v>73</v>
      </c>
      <c r="K361" s="209" t="s">
        <v>73</v>
      </c>
      <c r="L361" s="116" t="s">
        <v>407</v>
      </c>
      <c r="M361" s="6" t="str">
        <f t="array" ref="M361">Y95</f>
        <v>1ХВС::1.1</v>
      </c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116">
        <v>1</v>
      </c>
      <c r="Z361" s="6"/>
      <c r="AA361" s="6"/>
      <c r="AB361" s="29" t="str">
        <f>AB$360&amp;"."&amp;Y361</f>
        <v>3.1.3.4.1</v>
      </c>
      <c r="AC361" s="294" t="s">
        <v>486</v>
      </c>
      <c r="AD361" s="51" t="s">
        <v>111</v>
      </c>
      <c r="AE361" s="72"/>
      <c r="AF361" s="178"/>
      <c r="AG361" s="73"/>
      <c r="AH361" s="74"/>
      <c r="AI361" s="179"/>
      <c r="AJ361" s="178"/>
      <c r="AK361" s="73"/>
      <c r="AL361" s="138"/>
      <c r="AM361" s="72"/>
      <c r="AN361" s="178"/>
      <c r="AO361" s="73"/>
      <c r="AP361" s="74"/>
      <c r="AQ361" s="179"/>
      <c r="AR361" s="178"/>
      <c r="AS361" s="73"/>
      <c r="AT361" s="138"/>
      <c r="AU361" s="72"/>
      <c r="AV361" s="178"/>
      <c r="AW361" s="73"/>
      <c r="AX361" s="138"/>
      <c r="AY361" s="72"/>
      <c r="AZ361" s="178"/>
      <c r="BA361" s="73"/>
      <c r="BB361" s="138"/>
      <c r="BC361" s="72"/>
      <c r="BD361" s="178"/>
      <c r="BE361" s="73"/>
      <c r="BF361" s="774">
        <f>BF362+BF363</f>
        <v>280.77</v>
      </c>
      <c r="BG361" s="72"/>
      <c r="BH361" s="178"/>
      <c r="BI361" s="73"/>
      <c r="BJ361" s="138"/>
      <c r="BK361" s="72"/>
      <c r="BL361" s="178"/>
      <c r="BM361" s="73"/>
      <c r="BN361" s="138"/>
      <c r="BO361" s="142"/>
      <c r="BP361" s="183"/>
      <c r="BQ361" s="140"/>
      <c r="BR361" s="143"/>
      <c r="BS361" s="142"/>
      <c r="BT361" s="183"/>
      <c r="BU361" s="140"/>
      <c r="BV361" s="143"/>
      <c r="BW361" s="6"/>
      <c r="BX361" s="6"/>
      <c r="BY361" s="125">
        <f t="shared" si="103"/>
        <v>0</v>
      </c>
      <c r="BZ361" s="126">
        <f t="shared" si="104"/>
        <v>0</v>
      </c>
      <c r="CA361" s="126">
        <f t="shared" si="105"/>
        <v>0</v>
      </c>
      <c r="CB361" s="127">
        <f t="shared" si="106"/>
        <v>280.77</v>
      </c>
      <c r="CC361" s="766"/>
    </row>
    <row r="362" spans="1:81" s="211" customFormat="1" ht="14.25" customHeight="1" outlineLevel="4" x14ac:dyDescent="0.25">
      <c r="A362" s="6"/>
      <c r="B362" s="6"/>
      <c r="C362" s="116" t="s">
        <v>83</v>
      </c>
      <c r="D362" s="116" t="s">
        <v>84</v>
      </c>
      <c r="E362" s="116" t="s">
        <v>73</v>
      </c>
      <c r="F362" s="116" t="s">
        <v>74</v>
      </c>
      <c r="G362" s="116" t="s">
        <v>487</v>
      </c>
      <c r="H362" s="116" t="s">
        <v>73</v>
      </c>
      <c r="I362" s="116" t="s">
        <v>73</v>
      </c>
      <c r="J362" s="116" t="s">
        <v>73</v>
      </c>
      <c r="K362" s="209" t="s">
        <v>73</v>
      </c>
      <c r="L362" s="116" t="s">
        <v>73</v>
      </c>
      <c r="M362" s="6" t="str">
        <f t="array" ref="M362">Y95</f>
        <v>1ХВС::1.1</v>
      </c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29" t="str">
        <f>AB361&amp;".1"</f>
        <v>3.1.3.4.1.1</v>
      </c>
      <c r="AC362" s="231" t="s">
        <v>487</v>
      </c>
      <c r="AD362" s="51" t="s">
        <v>111</v>
      </c>
      <c r="AE362" s="95"/>
      <c r="AF362" s="178"/>
      <c r="AG362" s="178"/>
      <c r="AH362" s="96"/>
      <c r="AI362" s="187"/>
      <c r="AJ362" s="178"/>
      <c r="AK362" s="178"/>
      <c r="AL362" s="181"/>
      <c r="AM362" s="95"/>
      <c r="AN362" s="178"/>
      <c r="AO362" s="178"/>
      <c r="AP362" s="96"/>
      <c r="AQ362" s="187"/>
      <c r="AR362" s="178"/>
      <c r="AS362" s="178"/>
      <c r="AT362" s="181"/>
      <c r="AU362" s="95"/>
      <c r="AV362" s="178"/>
      <c r="AW362" s="178"/>
      <c r="AX362" s="181"/>
      <c r="AY362" s="95"/>
      <c r="AZ362" s="178"/>
      <c r="BA362" s="178"/>
      <c r="BB362" s="181"/>
      <c r="BC362" s="95"/>
      <c r="BD362" s="178"/>
      <c r="BE362" s="178"/>
      <c r="BF362" s="210"/>
      <c r="BG362" s="95"/>
      <c r="BH362" s="178"/>
      <c r="BI362" s="178"/>
      <c r="BJ362" s="181"/>
      <c r="BK362" s="95"/>
      <c r="BL362" s="178"/>
      <c r="BM362" s="178"/>
      <c r="BN362" s="181"/>
      <c r="BO362" s="185"/>
      <c r="BP362" s="183"/>
      <c r="BQ362" s="183"/>
      <c r="BR362" s="186"/>
      <c r="BS362" s="185"/>
      <c r="BT362" s="183"/>
      <c r="BU362" s="183"/>
      <c r="BV362" s="186"/>
      <c r="BW362" s="6"/>
      <c r="BX362" s="6"/>
      <c r="BY362" s="125">
        <f t="shared" si="103"/>
        <v>0</v>
      </c>
      <c r="BZ362" s="126">
        <f t="shared" si="104"/>
        <v>0</v>
      </c>
      <c r="CA362" s="126">
        <f t="shared" si="105"/>
        <v>0</v>
      </c>
      <c r="CB362" s="127">
        <f t="shared" si="106"/>
        <v>0</v>
      </c>
      <c r="CC362" s="766"/>
    </row>
    <row r="363" spans="1:81" s="211" customFormat="1" ht="14.25" customHeight="1" outlineLevel="4" x14ac:dyDescent="0.25">
      <c r="A363" s="6"/>
      <c r="B363" s="6"/>
      <c r="C363" s="116" t="s">
        <v>83</v>
      </c>
      <c r="D363" s="116" t="s">
        <v>84</v>
      </c>
      <c r="E363" s="116" t="s">
        <v>73</v>
      </c>
      <c r="F363" s="116" t="s">
        <v>74</v>
      </c>
      <c r="G363" s="116" t="s">
        <v>488</v>
      </c>
      <c r="H363" s="116" t="s">
        <v>73</v>
      </c>
      <c r="I363" s="116" t="s">
        <v>73</v>
      </c>
      <c r="J363" s="116" t="s">
        <v>73</v>
      </c>
      <c r="K363" s="209" t="s">
        <v>73</v>
      </c>
      <c r="L363" s="116" t="s">
        <v>73</v>
      </c>
      <c r="M363" s="6" t="str">
        <f t="array" ref="M363">Y95</f>
        <v>1ХВС::1.1</v>
      </c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29" t="str">
        <f>AB361&amp;".2"</f>
        <v>3.1.3.4.1.2</v>
      </c>
      <c r="AC363" s="231" t="s">
        <v>488</v>
      </c>
      <c r="AD363" s="51" t="s">
        <v>111</v>
      </c>
      <c r="AE363" s="72"/>
      <c r="AF363" s="73"/>
      <c r="AG363" s="73"/>
      <c r="AH363" s="74"/>
      <c r="AI363" s="179"/>
      <c r="AJ363" s="73"/>
      <c r="AK363" s="73"/>
      <c r="AL363" s="138"/>
      <c r="AM363" s="72"/>
      <c r="AN363" s="73"/>
      <c r="AO363" s="73"/>
      <c r="AP363" s="74"/>
      <c r="AQ363" s="179"/>
      <c r="AR363" s="73"/>
      <c r="AS363" s="73"/>
      <c r="AT363" s="138"/>
      <c r="AU363" s="72"/>
      <c r="AV363" s="73"/>
      <c r="AW363" s="73"/>
      <c r="AX363" s="138"/>
      <c r="AY363" s="72"/>
      <c r="AZ363" s="73"/>
      <c r="BA363" s="73"/>
      <c r="BB363" s="138"/>
      <c r="BC363" s="72"/>
      <c r="BD363" s="73"/>
      <c r="BE363" s="73"/>
      <c r="BF363" s="774">
        <v>280.77</v>
      </c>
      <c r="BG363" s="72"/>
      <c r="BH363" s="73"/>
      <c r="BI363" s="73"/>
      <c r="BJ363" s="138"/>
      <c r="BK363" s="72"/>
      <c r="BL363" s="73"/>
      <c r="BM363" s="73"/>
      <c r="BN363" s="138"/>
      <c r="BO363" s="142"/>
      <c r="BP363" s="140"/>
      <c r="BQ363" s="140"/>
      <c r="BR363" s="143"/>
      <c r="BS363" s="142"/>
      <c r="BT363" s="140"/>
      <c r="BU363" s="140"/>
      <c r="BV363" s="143"/>
      <c r="BW363" s="6"/>
      <c r="BX363" s="6"/>
      <c r="BY363" s="125">
        <f t="shared" si="103"/>
        <v>0</v>
      </c>
      <c r="BZ363" s="126">
        <f t="shared" si="104"/>
        <v>0</v>
      </c>
      <c r="CA363" s="126">
        <f t="shared" si="105"/>
        <v>0</v>
      </c>
      <c r="CB363" s="127">
        <f t="shared" si="106"/>
        <v>280.77</v>
      </c>
      <c r="CC363" s="766"/>
    </row>
    <row r="364" spans="1:81" s="211" customFormat="1" ht="14.25" customHeight="1" outlineLevel="4" x14ac:dyDescent="0.25">
      <c r="A364" s="6"/>
      <c r="B364" s="6"/>
      <c r="C364" s="116" t="s">
        <v>83</v>
      </c>
      <c r="D364" s="116" t="s">
        <v>84</v>
      </c>
      <c r="E364" s="116" t="s">
        <v>73</v>
      </c>
      <c r="F364" s="116" t="s">
        <v>74</v>
      </c>
      <c r="G364" s="116" t="s">
        <v>489</v>
      </c>
      <c r="H364" s="116" t="s">
        <v>73</v>
      </c>
      <c r="I364" s="116" t="s">
        <v>73</v>
      </c>
      <c r="J364" s="116" t="s">
        <v>73</v>
      </c>
      <c r="K364" s="209" t="s">
        <v>73</v>
      </c>
      <c r="L364" s="116" t="s">
        <v>407</v>
      </c>
      <c r="M364" s="6" t="str">
        <f t="array" ref="M364">Y95</f>
        <v>1ХВС::1.1</v>
      </c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116">
        <f>COUNT($Y361:Y361)+1</f>
        <v>2</v>
      </c>
      <c r="Z364" s="6"/>
      <c r="AA364" s="6"/>
      <c r="AB364" s="29" t="str">
        <f>AB$360&amp;"."&amp;Y364</f>
        <v>3.1.3.4.2</v>
      </c>
      <c r="AC364" s="294" t="s">
        <v>489</v>
      </c>
      <c r="AD364" s="51" t="s">
        <v>111</v>
      </c>
      <c r="AE364" s="72"/>
      <c r="AF364" s="178"/>
      <c r="AG364" s="73"/>
      <c r="AH364" s="74"/>
      <c r="AI364" s="179"/>
      <c r="AJ364" s="178"/>
      <c r="AK364" s="73"/>
      <c r="AL364" s="138"/>
      <c r="AM364" s="72"/>
      <c r="AN364" s="178"/>
      <c r="AO364" s="73"/>
      <c r="AP364" s="74"/>
      <c r="AQ364" s="179"/>
      <c r="AR364" s="178"/>
      <c r="AS364" s="73"/>
      <c r="AT364" s="138"/>
      <c r="AU364" s="72"/>
      <c r="AV364" s="178"/>
      <c r="AW364" s="73"/>
      <c r="AX364" s="138"/>
      <c r="AY364" s="72"/>
      <c r="AZ364" s="178"/>
      <c r="BA364" s="73"/>
      <c r="BB364" s="138"/>
      <c r="BC364" s="72"/>
      <c r="BD364" s="178"/>
      <c r="BE364" s="73"/>
      <c r="BF364" s="774"/>
      <c r="BG364" s="72"/>
      <c r="BH364" s="178"/>
      <c r="BI364" s="73"/>
      <c r="BJ364" s="138"/>
      <c r="BK364" s="72"/>
      <c r="BL364" s="178"/>
      <c r="BM364" s="73"/>
      <c r="BN364" s="138"/>
      <c r="BO364" s="142"/>
      <c r="BP364" s="183"/>
      <c r="BQ364" s="140"/>
      <c r="BR364" s="143"/>
      <c r="BS364" s="142"/>
      <c r="BT364" s="183"/>
      <c r="BU364" s="140"/>
      <c r="BV364" s="143"/>
      <c r="BW364" s="6"/>
      <c r="BX364" s="6"/>
      <c r="BY364" s="125">
        <f t="shared" si="103"/>
        <v>0</v>
      </c>
      <c r="BZ364" s="126">
        <f t="shared" si="104"/>
        <v>0</v>
      </c>
      <c r="CA364" s="126">
        <f t="shared" si="105"/>
        <v>0</v>
      </c>
      <c r="CB364" s="127">
        <f t="shared" si="106"/>
        <v>0</v>
      </c>
      <c r="CC364" s="766"/>
    </row>
    <row r="365" spans="1:81" ht="14.25" customHeight="1" outlineLevel="4" x14ac:dyDescent="0.25">
      <c r="C365" s="10" t="s">
        <v>83</v>
      </c>
      <c r="D365" s="10" t="s">
        <v>84</v>
      </c>
      <c r="E365" s="10" t="s">
        <v>73</v>
      </c>
      <c r="F365" s="10" t="s">
        <v>74</v>
      </c>
      <c r="G365" s="10" t="s">
        <v>490</v>
      </c>
      <c r="H365" s="10" t="s">
        <v>73</v>
      </c>
      <c r="I365" s="10" t="s">
        <v>73</v>
      </c>
      <c r="J365" s="10" t="s">
        <v>73</v>
      </c>
      <c r="K365" s="12" t="s">
        <v>73</v>
      </c>
      <c r="L365" s="10" t="s">
        <v>407</v>
      </c>
      <c r="M365" s="5" t="str">
        <f t="array" ref="M365">Y95</f>
        <v>1ХВС::1.1</v>
      </c>
      <c r="Y365" s="10">
        <f>COUNT($Y361:Y364)+1</f>
        <v>3</v>
      </c>
      <c r="AB365" s="29" t="str">
        <f>AB$360&amp;"."&amp;Y365</f>
        <v>3.1.3.4.3</v>
      </c>
      <c r="AC365" s="294" t="s">
        <v>490</v>
      </c>
      <c r="AD365" s="51" t="s">
        <v>111</v>
      </c>
      <c r="AE365" s="72">
        <v>15949.05</v>
      </c>
      <c r="AF365" s="178">
        <f>19074-16516.17</f>
        <v>2557.8300000000017</v>
      </c>
      <c r="AG365" s="73">
        <v>15949.05</v>
      </c>
      <c r="AH365" s="74"/>
      <c r="AI365" s="179"/>
      <c r="AJ365" s="178"/>
      <c r="AK365" s="73"/>
      <c r="AL365" s="138"/>
      <c r="AM365" s="72"/>
      <c r="AN365" s="178"/>
      <c r="AO365" s="73"/>
      <c r="AP365" s="74"/>
      <c r="AQ365" s="179"/>
      <c r="AR365" s="178"/>
      <c r="AS365" s="73"/>
      <c r="AT365" s="138"/>
      <c r="AU365" s="72"/>
      <c r="AV365" s="178"/>
      <c r="AW365" s="73"/>
      <c r="AX365" s="138"/>
      <c r="AY365" s="72"/>
      <c r="AZ365" s="178"/>
      <c r="BA365" s="73"/>
      <c r="BB365" s="138"/>
      <c r="BC365" s="72">
        <v>0</v>
      </c>
      <c r="BD365" s="178"/>
      <c r="BE365" s="73">
        <v>0</v>
      </c>
      <c r="BF365" s="774"/>
      <c r="BG365" s="72"/>
      <c r="BH365" s="178"/>
      <c r="BI365" s="73"/>
      <c r="BJ365" s="138"/>
      <c r="BK365" s="72"/>
      <c r="BL365" s="178"/>
      <c r="BM365" s="73"/>
      <c r="BN365" s="138"/>
      <c r="BO365" s="142"/>
      <c r="BP365" s="183"/>
      <c r="BQ365" s="140"/>
      <c r="BR365" s="143"/>
      <c r="BS365" s="142"/>
      <c r="BT365" s="183"/>
      <c r="BU365" s="140"/>
      <c r="BV365" s="143"/>
      <c r="BY365" s="125">
        <f t="shared" si="103"/>
        <v>15949.05</v>
      </c>
      <c r="BZ365" s="126">
        <f t="shared" si="104"/>
        <v>2557.8300000000017</v>
      </c>
      <c r="CA365" s="126">
        <f t="shared" si="105"/>
        <v>15949.05</v>
      </c>
      <c r="CB365" s="127">
        <f t="shared" si="106"/>
        <v>0</v>
      </c>
    </row>
    <row r="366" spans="1:81" ht="14.25" customHeight="1" outlineLevel="4" x14ac:dyDescent="0.25">
      <c r="C366" s="10" t="s">
        <v>83</v>
      </c>
      <c r="D366" s="10" t="s">
        <v>84</v>
      </c>
      <c r="E366" s="10" t="s">
        <v>73</v>
      </c>
      <c r="F366" s="10" t="s">
        <v>74</v>
      </c>
      <c r="G366" s="10" t="s">
        <v>491</v>
      </c>
      <c r="H366" s="10" t="s">
        <v>73</v>
      </c>
      <c r="I366" s="10" t="s">
        <v>73</v>
      </c>
      <c r="J366" s="10" t="s">
        <v>73</v>
      </c>
      <c r="K366" s="12" t="s">
        <v>73</v>
      </c>
      <c r="L366" s="10" t="s">
        <v>407</v>
      </c>
      <c r="M366" s="5" t="str">
        <f t="array" ref="M366">Y95</f>
        <v>1ХВС::1.1</v>
      </c>
      <c r="Y366" s="10">
        <f>COUNT($Y361:Y365)+1</f>
        <v>4</v>
      </c>
      <c r="AB366" s="29" t="str">
        <f>AB$360&amp;"."&amp;Y366</f>
        <v>3.1.3.4.4</v>
      </c>
      <c r="AC366" s="294" t="s">
        <v>491</v>
      </c>
      <c r="AD366" s="51" t="s">
        <v>111</v>
      </c>
      <c r="AE366" s="72">
        <v>3441.16</v>
      </c>
      <c r="AF366" s="178">
        <v>2508.58</v>
      </c>
      <c r="AG366" s="73">
        <v>3441.16</v>
      </c>
      <c r="AH366" s="74"/>
      <c r="AI366" s="179">
        <v>186.35</v>
      </c>
      <c r="AJ366" s="178"/>
      <c r="AK366" s="73">
        <v>186.35</v>
      </c>
      <c r="AL366" s="138"/>
      <c r="AM366" s="72">
        <v>416.76</v>
      </c>
      <c r="AN366" s="178"/>
      <c r="AO366" s="73">
        <v>563.11</v>
      </c>
      <c r="AP366" s="74"/>
      <c r="AQ366" s="179">
        <v>184.82</v>
      </c>
      <c r="AR366" s="178"/>
      <c r="AS366" s="73">
        <v>237.81</v>
      </c>
      <c r="AT366" s="138"/>
      <c r="AU366" s="72">
        <v>39.58</v>
      </c>
      <c r="AV366" s="178"/>
      <c r="AW366" s="73">
        <v>50.89</v>
      </c>
      <c r="AX366" s="138"/>
      <c r="AY366" s="72"/>
      <c r="AZ366" s="178"/>
      <c r="BA366" s="73"/>
      <c r="BB366" s="138"/>
      <c r="BC366" s="72">
        <v>251.57</v>
      </c>
      <c r="BD366" s="178"/>
      <c r="BE366" s="73">
        <v>277.87700000000001</v>
      </c>
      <c r="BF366" s="774"/>
      <c r="BG366" s="72">
        <v>9.43</v>
      </c>
      <c r="BH366" s="178"/>
      <c r="BI366" s="73">
        <v>45.61</v>
      </c>
      <c r="BJ366" s="138"/>
      <c r="BK366" s="72">
        <v>706.61</v>
      </c>
      <c r="BL366" s="178"/>
      <c r="BM366" s="73">
        <v>737.89</v>
      </c>
      <c r="BN366" s="138"/>
      <c r="BO366" s="142">
        <v>176.32</v>
      </c>
      <c r="BP366" s="183"/>
      <c r="BQ366" s="140">
        <v>194.53</v>
      </c>
      <c r="BR366" s="143"/>
      <c r="BS366" s="142">
        <v>225.16499999999999</v>
      </c>
      <c r="BT366" s="183"/>
      <c r="BU366" s="140">
        <v>235.43</v>
      </c>
      <c r="BV366" s="143"/>
      <c r="BY366" s="125">
        <f t="shared" si="103"/>
        <v>5637.7649999999985</v>
      </c>
      <c r="BZ366" s="126">
        <f t="shared" si="104"/>
        <v>2508.58</v>
      </c>
      <c r="CA366" s="126">
        <f t="shared" si="105"/>
        <v>5970.6570000000011</v>
      </c>
      <c r="CB366" s="127">
        <f t="shared" si="106"/>
        <v>0</v>
      </c>
    </row>
    <row r="367" spans="1:81" ht="14.25" customHeight="1" outlineLevel="3" x14ac:dyDescent="0.25">
      <c r="C367" s="10" t="s">
        <v>83</v>
      </c>
      <c r="D367" s="10" t="s">
        <v>84</v>
      </c>
      <c r="E367" s="10" t="s">
        <v>73</v>
      </c>
      <c r="F367" s="10" t="s">
        <v>74</v>
      </c>
      <c r="G367" s="10" t="s">
        <v>492</v>
      </c>
      <c r="H367" s="10" t="s">
        <v>73</v>
      </c>
      <c r="I367" s="10" t="s">
        <v>73</v>
      </c>
      <c r="J367" s="10" t="s">
        <v>73</v>
      </c>
      <c r="K367" s="12" t="s">
        <v>73</v>
      </c>
      <c r="L367" s="10" t="s">
        <v>452</v>
      </c>
      <c r="M367" s="5" t="str">
        <f t="array" ref="M367">Y95</f>
        <v>1ХВС::1.1</v>
      </c>
      <c r="Y367" s="10">
        <f>COUNT($Y361:Y366)+1</f>
        <v>5</v>
      </c>
      <c r="AB367" s="65" t="str">
        <f>AB335&amp;".5"</f>
        <v>3.1.3.5</v>
      </c>
      <c r="AC367" s="92" t="s">
        <v>493</v>
      </c>
      <c r="AD367" s="51" t="s">
        <v>111</v>
      </c>
      <c r="AE367" s="95">
        <v>618.02</v>
      </c>
      <c r="AF367" s="178">
        <v>617.52599999999995</v>
      </c>
      <c r="AG367" s="178">
        <v>618.02</v>
      </c>
      <c r="AH367" s="96">
        <v>561.26</v>
      </c>
      <c r="AI367" s="187"/>
      <c r="AJ367" s="178"/>
      <c r="AK367" s="178"/>
      <c r="AL367" s="181"/>
      <c r="AM367" s="95"/>
      <c r="AN367" s="178"/>
      <c r="AO367" s="178"/>
      <c r="AP367" s="96"/>
      <c r="AQ367" s="187">
        <v>3.09</v>
      </c>
      <c r="AR367" s="178"/>
      <c r="AS367" s="178">
        <v>3.09</v>
      </c>
      <c r="AT367" s="181"/>
      <c r="AU367" s="95">
        <v>9.23</v>
      </c>
      <c r="AV367" s="178"/>
      <c r="AW367" s="178">
        <v>9.2200000000000006</v>
      </c>
      <c r="AX367" s="181"/>
      <c r="AY367" s="95"/>
      <c r="AZ367" s="178"/>
      <c r="BA367" s="178"/>
      <c r="BB367" s="181"/>
      <c r="BC367" s="95"/>
      <c r="BD367" s="178"/>
      <c r="BE367" s="178"/>
      <c r="BF367" s="210"/>
      <c r="BG367" s="95"/>
      <c r="BH367" s="178"/>
      <c r="BI367" s="178"/>
      <c r="BJ367" s="181"/>
      <c r="BK367" s="95"/>
      <c r="BL367" s="178"/>
      <c r="BM367" s="178"/>
      <c r="BN367" s="181"/>
      <c r="BO367" s="185"/>
      <c r="BP367" s="183"/>
      <c r="BQ367" s="183"/>
      <c r="BR367" s="186"/>
      <c r="BS367" s="185"/>
      <c r="BT367" s="183"/>
      <c r="BU367" s="183"/>
      <c r="BV367" s="186"/>
      <c r="BY367" s="125">
        <f t="shared" si="103"/>
        <v>630.34</v>
      </c>
      <c r="BZ367" s="126">
        <f t="shared" si="104"/>
        <v>617.52599999999995</v>
      </c>
      <c r="CA367" s="126">
        <f t="shared" si="105"/>
        <v>630.33000000000004</v>
      </c>
      <c r="CB367" s="127">
        <f t="shared" si="106"/>
        <v>561.26</v>
      </c>
    </row>
    <row r="368" spans="1:81" ht="14.25" customHeight="1" outlineLevel="3" x14ac:dyDescent="0.25">
      <c r="A368" s="10" t="b">
        <f>AND(PREVIOUS_REGULATION_METHODS="Метод индексации",REGULATION_METHODS="Метод индексации")</f>
        <v>1</v>
      </c>
      <c r="B368" s="5" t="b">
        <f t="array" ref="B368">A368</f>
        <v>1</v>
      </c>
      <c r="C368" s="10" t="s">
        <v>83</v>
      </c>
      <c r="D368" s="10" t="s">
        <v>84</v>
      </c>
      <c r="E368" s="10" t="s">
        <v>73</v>
      </c>
      <c r="F368" s="10" t="s">
        <v>74</v>
      </c>
      <c r="G368" s="10" t="s">
        <v>494</v>
      </c>
      <c r="H368" s="10" t="s">
        <v>73</v>
      </c>
      <c r="I368" s="10" t="s">
        <v>73</v>
      </c>
      <c r="J368" s="10" t="s">
        <v>73</v>
      </c>
      <c r="K368" s="12" t="s">
        <v>73</v>
      </c>
      <c r="L368" s="10" t="s">
        <v>452</v>
      </c>
      <c r="M368" s="5" t="str">
        <f t="array" ref="M368">Y95</f>
        <v>1ХВС::1.1</v>
      </c>
      <c r="Y368" s="10">
        <f>COUNT($Y361:Y367)+1</f>
        <v>6</v>
      </c>
      <c r="AB368" s="65" t="str">
        <f>AB335&amp;"."&amp;Y368</f>
        <v>3.1.3.6</v>
      </c>
      <c r="AC368" s="92" t="s">
        <v>494</v>
      </c>
      <c r="AD368" s="51" t="s">
        <v>111</v>
      </c>
      <c r="AE368" s="95"/>
      <c r="AF368" s="178"/>
      <c r="AG368" s="178"/>
      <c r="AH368" s="96"/>
      <c r="AI368" s="187"/>
      <c r="AJ368" s="178"/>
      <c r="AK368" s="178"/>
      <c r="AL368" s="181"/>
      <c r="AM368" s="95"/>
      <c r="AN368" s="178"/>
      <c r="AO368" s="178"/>
      <c r="AP368" s="96"/>
      <c r="AQ368" s="187"/>
      <c r="AR368" s="178"/>
      <c r="AS368" s="178"/>
      <c r="AT368" s="181"/>
      <c r="AU368" s="95"/>
      <c r="AV368" s="178"/>
      <c r="AW368" s="178"/>
      <c r="AX368" s="181"/>
      <c r="AY368" s="95"/>
      <c r="AZ368" s="178"/>
      <c r="BA368" s="178"/>
      <c r="BB368" s="181"/>
      <c r="BC368" s="95"/>
      <c r="BD368" s="178"/>
      <c r="BE368" s="178"/>
      <c r="BF368" s="210"/>
      <c r="BG368" s="95"/>
      <c r="BH368" s="178"/>
      <c r="BI368" s="178"/>
      <c r="BJ368" s="181"/>
      <c r="BK368" s="95"/>
      <c r="BL368" s="178"/>
      <c r="BM368" s="178"/>
      <c r="BN368" s="181"/>
      <c r="BO368" s="185"/>
      <c r="BP368" s="183"/>
      <c r="BQ368" s="183"/>
      <c r="BR368" s="186"/>
      <c r="BS368" s="185"/>
      <c r="BT368" s="183"/>
      <c r="BU368" s="183"/>
      <c r="BV368" s="186"/>
      <c r="BY368" s="125">
        <f t="shared" si="103"/>
        <v>0</v>
      </c>
      <c r="BZ368" s="126">
        <f t="shared" si="104"/>
        <v>0</v>
      </c>
      <c r="CA368" s="126">
        <f t="shared" si="105"/>
        <v>0</v>
      </c>
      <c r="CB368" s="127">
        <f t="shared" si="106"/>
        <v>0</v>
      </c>
    </row>
    <row r="369" spans="1:82" ht="17.25" customHeight="1" outlineLevel="3" x14ac:dyDescent="0.25">
      <c r="A369" s="10" t="b">
        <f>REGULATION_METHODS="Метод индексации"</f>
        <v>1</v>
      </c>
      <c r="B369" s="5" t="b">
        <f t="array" ref="B369">A369</f>
        <v>1</v>
      </c>
      <c r="C369" s="10" t="s">
        <v>83</v>
      </c>
      <c r="D369" s="10" t="s">
        <v>84</v>
      </c>
      <c r="E369" s="10" t="s">
        <v>73</v>
      </c>
      <c r="F369" s="10" t="s">
        <v>74</v>
      </c>
      <c r="G369" s="10" t="s">
        <v>495</v>
      </c>
      <c r="H369" s="10" t="s">
        <v>73</v>
      </c>
      <c r="I369" s="10" t="s">
        <v>73</v>
      </c>
      <c r="J369" s="10" t="s">
        <v>73</v>
      </c>
      <c r="K369" s="12" t="s">
        <v>73</v>
      </c>
      <c r="L369" s="10" t="s">
        <v>452</v>
      </c>
      <c r="M369" s="5" t="str">
        <f t="array" ref="M369">Y95</f>
        <v>1ХВС::1.1</v>
      </c>
      <c r="Y369" s="10">
        <f>COUNT($Y361:Y368)+1</f>
        <v>7</v>
      </c>
      <c r="AB369" s="65" t="str">
        <f>AB335&amp;"."&amp;Y369</f>
        <v>3.1.3.7</v>
      </c>
      <c r="AC369" s="92" t="s">
        <v>495</v>
      </c>
      <c r="AD369" s="51" t="s">
        <v>111</v>
      </c>
      <c r="AE369" s="95"/>
      <c r="AF369" s="178"/>
      <c r="AG369" s="178"/>
      <c r="AH369" s="96"/>
      <c r="AI369" s="187"/>
      <c r="AJ369" s="178"/>
      <c r="AK369" s="178"/>
      <c r="AL369" s="181"/>
      <c r="AM369" s="95"/>
      <c r="AN369" s="178"/>
      <c r="AO369" s="178"/>
      <c r="AP369" s="96"/>
      <c r="AQ369" s="187"/>
      <c r="AR369" s="178"/>
      <c r="AS369" s="178"/>
      <c r="AT369" s="181"/>
      <c r="AU369" s="95"/>
      <c r="AV369" s="178"/>
      <c r="AW369" s="178"/>
      <c r="AX369" s="181"/>
      <c r="AY369" s="95"/>
      <c r="AZ369" s="178"/>
      <c r="BA369" s="178"/>
      <c r="BB369" s="181"/>
      <c r="BC369" s="95"/>
      <c r="BD369" s="178"/>
      <c r="BE369" s="178"/>
      <c r="BF369" s="210"/>
      <c r="BG369" s="95"/>
      <c r="BH369" s="178"/>
      <c r="BI369" s="178"/>
      <c r="BJ369" s="181"/>
      <c r="BK369" s="95"/>
      <c r="BL369" s="178"/>
      <c r="BM369" s="178"/>
      <c r="BN369" s="181"/>
      <c r="BO369" s="185"/>
      <c r="BP369" s="183"/>
      <c r="BQ369" s="183"/>
      <c r="BR369" s="186"/>
      <c r="BS369" s="185"/>
      <c r="BT369" s="183"/>
      <c r="BU369" s="183"/>
      <c r="BV369" s="186"/>
      <c r="BY369" s="125">
        <f t="shared" si="103"/>
        <v>0</v>
      </c>
      <c r="BZ369" s="126">
        <f t="shared" si="104"/>
        <v>0</v>
      </c>
      <c r="CA369" s="126">
        <f t="shared" si="105"/>
        <v>0</v>
      </c>
      <c r="CB369" s="127">
        <f t="shared" si="106"/>
        <v>0</v>
      </c>
    </row>
    <row r="370" spans="1:82" ht="14.1" customHeight="1" outlineLevel="3" x14ac:dyDescent="0.25">
      <c r="A370" s="5" t="b">
        <f>REGULATION_METHODS&lt;&gt;"МЭОР"</f>
        <v>1</v>
      </c>
      <c r="C370" s="10" t="s">
        <v>83</v>
      </c>
      <c r="D370" s="10" t="s">
        <v>84</v>
      </c>
      <c r="E370" s="10" t="s">
        <v>73</v>
      </c>
      <c r="F370" s="10" t="s">
        <v>74</v>
      </c>
      <c r="G370" s="10" t="s">
        <v>496</v>
      </c>
      <c r="H370" s="10" t="s">
        <v>73</v>
      </c>
      <c r="I370" s="10" t="s">
        <v>73</v>
      </c>
      <c r="J370" s="10" t="s">
        <v>73</v>
      </c>
      <c r="K370" s="12" t="s">
        <v>73</v>
      </c>
      <c r="L370" s="10" t="s">
        <v>452</v>
      </c>
      <c r="M370" s="5" t="str">
        <f t="array" ref="M370">Y95</f>
        <v>1ХВС::1.1</v>
      </c>
      <c r="Y370" s="10">
        <f>COUNT($Y361:Y369)+1</f>
        <v>8</v>
      </c>
      <c r="AB370" s="65" t="str">
        <f>AB335&amp;"."&amp;Y370</f>
        <v>3.1.3.8</v>
      </c>
      <c r="AC370" s="92" t="s">
        <v>496</v>
      </c>
      <c r="AD370" s="51" t="s">
        <v>111</v>
      </c>
      <c r="AE370" s="95"/>
      <c r="AF370" s="178"/>
      <c r="AG370" s="178"/>
      <c r="AH370" s="96"/>
      <c r="AI370" s="187"/>
      <c r="AJ370" s="178"/>
      <c r="AK370" s="178"/>
      <c r="AL370" s="181"/>
      <c r="AM370" s="95"/>
      <c r="AN370" s="178"/>
      <c r="AO370" s="178"/>
      <c r="AP370" s="96"/>
      <c r="AQ370" s="187"/>
      <c r="AR370" s="178"/>
      <c r="AS370" s="178"/>
      <c r="AT370" s="181"/>
      <c r="AU370" s="95"/>
      <c r="AV370" s="178"/>
      <c r="AW370" s="178"/>
      <c r="AX370" s="181"/>
      <c r="AY370" s="95"/>
      <c r="AZ370" s="178"/>
      <c r="BA370" s="178"/>
      <c r="BB370" s="181"/>
      <c r="BC370" s="95"/>
      <c r="BD370" s="178"/>
      <c r="BE370" s="178"/>
      <c r="BF370" s="210"/>
      <c r="BG370" s="95"/>
      <c r="BH370" s="178"/>
      <c r="BI370" s="178"/>
      <c r="BJ370" s="181"/>
      <c r="BK370" s="95"/>
      <c r="BL370" s="178"/>
      <c r="BM370" s="178"/>
      <c r="BN370" s="181"/>
      <c r="BO370" s="142"/>
      <c r="BP370" s="140"/>
      <c r="BQ370" s="140"/>
      <c r="BR370" s="143"/>
      <c r="BS370" s="142"/>
      <c r="BT370" s="140"/>
      <c r="BU370" s="140"/>
      <c r="BV370" s="143"/>
      <c r="BY370" s="125">
        <f t="shared" si="103"/>
        <v>0</v>
      </c>
      <c r="BZ370" s="126">
        <f t="shared" si="104"/>
        <v>0</v>
      </c>
      <c r="CA370" s="126">
        <f t="shared" si="105"/>
        <v>0</v>
      </c>
      <c r="CB370" s="127">
        <f t="shared" si="106"/>
        <v>0</v>
      </c>
    </row>
    <row r="371" spans="1:82" s="171" customFormat="1" ht="20.25" customHeight="1" outlineLevel="1" x14ac:dyDescent="0.25">
      <c r="A371" s="166"/>
      <c r="B371" s="166"/>
      <c r="C371" s="167" t="s">
        <v>83</v>
      </c>
      <c r="D371" s="167" t="s">
        <v>84</v>
      </c>
      <c r="E371" s="167" t="s">
        <v>73</v>
      </c>
      <c r="F371" s="167" t="s">
        <v>74</v>
      </c>
      <c r="G371" s="167" t="s">
        <v>497</v>
      </c>
      <c r="H371" s="167" t="s">
        <v>73</v>
      </c>
      <c r="I371" s="167" t="s">
        <v>73</v>
      </c>
      <c r="J371" s="167" t="s">
        <v>73</v>
      </c>
      <c r="K371" s="168" t="s">
        <v>73</v>
      </c>
      <c r="L371" s="167" t="s">
        <v>133</v>
      </c>
      <c r="M371" s="166" t="str">
        <f t="array" ref="M371">Y95</f>
        <v>1ХВС::1.1</v>
      </c>
      <c r="N371" s="166"/>
      <c r="O371" s="166"/>
      <c r="P371" s="166"/>
      <c r="Q371" s="166"/>
      <c r="R371" s="166"/>
      <c r="S371" s="166"/>
      <c r="T371" s="166"/>
      <c r="U371" s="166"/>
      <c r="V371" s="166"/>
      <c r="W371" s="166"/>
      <c r="X371" s="166"/>
      <c r="Y371" s="166"/>
      <c r="Z371" s="166"/>
      <c r="AA371" s="166"/>
      <c r="AB371" s="155" t="str">
        <f>AB141&amp;".2"</f>
        <v>3.2</v>
      </c>
      <c r="AC371" s="295" t="s">
        <v>497</v>
      </c>
      <c r="AD371" s="157" t="s">
        <v>111</v>
      </c>
      <c r="AE371" s="253">
        <v>198019.22</v>
      </c>
      <c r="AF371" s="159">
        <v>36533.97</v>
      </c>
      <c r="AG371" s="159">
        <v>182830.91</v>
      </c>
      <c r="AH371" s="254">
        <v>63424.97</v>
      </c>
      <c r="AI371" s="162">
        <v>9963.0300000000007</v>
      </c>
      <c r="AJ371" s="159"/>
      <c r="AK371" s="159">
        <v>5900.85</v>
      </c>
      <c r="AL371" s="263">
        <v>0</v>
      </c>
      <c r="AM371" s="253">
        <v>14011.64</v>
      </c>
      <c r="AN371" s="159">
        <v>2580</v>
      </c>
      <c r="AO371" s="159">
        <v>13884.48</v>
      </c>
      <c r="AP371" s="254">
        <v>0</v>
      </c>
      <c r="AQ371" s="162">
        <v>4826.96</v>
      </c>
      <c r="AR371" s="159">
        <v>1145.5999999999999</v>
      </c>
      <c r="AS371" s="159">
        <v>8038.52</v>
      </c>
      <c r="AT371" s="263">
        <v>8038</v>
      </c>
      <c r="AU371" s="253">
        <v>1963.85</v>
      </c>
      <c r="AV371" s="159">
        <v>798.42</v>
      </c>
      <c r="AW371" s="159">
        <v>2153.3000000000002</v>
      </c>
      <c r="AX371" s="263">
        <v>2629.19</v>
      </c>
      <c r="AY371" s="253">
        <v>2143.1</v>
      </c>
      <c r="AZ371" s="159"/>
      <c r="BA371" s="159">
        <v>2530.6999999999998</v>
      </c>
      <c r="BB371" s="263">
        <v>1596</v>
      </c>
      <c r="BC371" s="253">
        <v>4512.7</v>
      </c>
      <c r="BD371" s="159">
        <v>1009.5</v>
      </c>
      <c r="BE371" s="159">
        <v>3167.32</v>
      </c>
      <c r="BF371" s="976">
        <v>1047.8399999999999</v>
      </c>
      <c r="BG371" s="253">
        <v>3714.61</v>
      </c>
      <c r="BH371" s="159"/>
      <c r="BI371" s="159">
        <v>4176.53</v>
      </c>
      <c r="BJ371" s="263">
        <v>1562</v>
      </c>
      <c r="BK371" s="253">
        <v>17879.169999999998</v>
      </c>
      <c r="BL371" s="159"/>
      <c r="BM371" s="159">
        <v>18680.36</v>
      </c>
      <c r="BN371" s="263">
        <v>0</v>
      </c>
      <c r="BO371" s="267">
        <v>1063.6600000000001</v>
      </c>
      <c r="BP371" s="296"/>
      <c r="BQ371" s="296">
        <v>1063.664</v>
      </c>
      <c r="BR371" s="268"/>
      <c r="BS371" s="267">
        <v>148.375</v>
      </c>
      <c r="BT371" s="296"/>
      <c r="BU371" s="296">
        <v>140.29499999999999</v>
      </c>
      <c r="BV371" s="268">
        <v>0</v>
      </c>
      <c r="BW371" s="170"/>
      <c r="BX371" s="166"/>
      <c r="BY371" s="163">
        <f t="shared" si="103"/>
        <v>258246.31500000003</v>
      </c>
      <c r="BZ371" s="164">
        <f t="shared" si="104"/>
        <v>42067.49</v>
      </c>
      <c r="CA371" s="164">
        <f t="shared" si="105"/>
        <v>242566.92900000003</v>
      </c>
      <c r="CB371" s="165">
        <f t="shared" si="106"/>
        <v>78298</v>
      </c>
      <c r="CC371" s="760"/>
    </row>
    <row r="372" spans="1:82" s="171" customFormat="1" ht="20.25" customHeight="1" outlineLevel="1" x14ac:dyDescent="0.25">
      <c r="A372" s="166"/>
      <c r="B372" s="166"/>
      <c r="C372" s="167" t="s">
        <v>83</v>
      </c>
      <c r="D372" s="167" t="s">
        <v>84</v>
      </c>
      <c r="E372" s="167" t="s">
        <v>73</v>
      </c>
      <c r="F372" s="167" t="s">
        <v>74</v>
      </c>
      <c r="G372" s="167" t="s">
        <v>498</v>
      </c>
      <c r="H372" s="167" t="s">
        <v>73</v>
      </c>
      <c r="I372" s="167" t="s">
        <v>73</v>
      </c>
      <c r="J372" s="167" t="s">
        <v>73</v>
      </c>
      <c r="K372" s="168" t="s">
        <v>73</v>
      </c>
      <c r="L372" s="167" t="s">
        <v>133</v>
      </c>
      <c r="M372" s="166" t="str">
        <f t="array" ref="M372">Y95</f>
        <v>1ХВС::1.1</v>
      </c>
      <c r="N372" s="166"/>
      <c r="O372" s="166"/>
      <c r="P372" s="166"/>
      <c r="Q372" s="166"/>
      <c r="R372" s="166"/>
      <c r="S372" s="166"/>
      <c r="T372" s="166"/>
      <c r="U372" s="166"/>
      <c r="V372" s="166"/>
      <c r="W372" s="166"/>
      <c r="X372" s="166"/>
      <c r="Y372" s="166"/>
      <c r="Z372" s="166"/>
      <c r="AA372" s="166"/>
      <c r="AB372" s="155" t="str">
        <f>AB141&amp;".3"</f>
        <v>3.3</v>
      </c>
      <c r="AC372" s="169" t="s">
        <v>498</v>
      </c>
      <c r="AD372" s="157" t="s">
        <v>111</v>
      </c>
      <c r="AE372" s="253">
        <f t="shared" ref="AE372:AK372" si="107">AE373</f>
        <v>10241.716</v>
      </c>
      <c r="AF372" s="159">
        <f t="shared" si="107"/>
        <v>14073.19</v>
      </c>
      <c r="AG372" s="159">
        <f t="shared" si="107"/>
        <v>20395.72</v>
      </c>
      <c r="AH372" s="254">
        <f t="shared" si="107"/>
        <v>20395.72</v>
      </c>
      <c r="AI372" s="162">
        <f t="shared" si="107"/>
        <v>6.15</v>
      </c>
      <c r="AJ372" s="159">
        <f t="shared" si="107"/>
        <v>0</v>
      </c>
      <c r="AK372" s="159">
        <f t="shared" si="107"/>
        <v>60.35</v>
      </c>
      <c r="AL372" s="263">
        <v>41.92</v>
      </c>
      <c r="AM372" s="253">
        <f t="shared" ref="AM372:AW372" si="108">AM373</f>
        <v>0</v>
      </c>
      <c r="AN372" s="159">
        <f t="shared" si="108"/>
        <v>0</v>
      </c>
      <c r="AO372" s="159">
        <f t="shared" si="108"/>
        <v>664.46</v>
      </c>
      <c r="AP372" s="254">
        <f t="shared" si="108"/>
        <v>478.41</v>
      </c>
      <c r="AQ372" s="162">
        <f t="shared" si="108"/>
        <v>0</v>
      </c>
      <c r="AR372" s="159">
        <f t="shared" si="108"/>
        <v>0</v>
      </c>
      <c r="AS372" s="159">
        <f t="shared" si="108"/>
        <v>594.54999999999995</v>
      </c>
      <c r="AT372" s="263">
        <f t="shared" si="108"/>
        <v>435.27</v>
      </c>
      <c r="AU372" s="253">
        <f t="shared" si="108"/>
        <v>0</v>
      </c>
      <c r="AV372" s="159">
        <f t="shared" si="108"/>
        <v>0</v>
      </c>
      <c r="AW372" s="159">
        <f t="shared" si="108"/>
        <v>132.31</v>
      </c>
      <c r="AX372" s="263">
        <v>87.52</v>
      </c>
      <c r="AY372" s="253">
        <f>AY373</f>
        <v>0</v>
      </c>
      <c r="AZ372" s="159">
        <f>AZ373</f>
        <v>183.08</v>
      </c>
      <c r="BA372" s="159">
        <f>BA373</f>
        <v>637.23</v>
      </c>
      <c r="BB372" s="263">
        <v>0</v>
      </c>
      <c r="BC372" s="253">
        <f t="shared" ref="BC372:BM372" si="109">BC373</f>
        <v>184.35</v>
      </c>
      <c r="BD372" s="159">
        <f t="shared" si="109"/>
        <v>0</v>
      </c>
      <c r="BE372" s="159">
        <f t="shared" si="109"/>
        <v>372.52</v>
      </c>
      <c r="BF372" s="976">
        <f t="shared" si="109"/>
        <v>319.69</v>
      </c>
      <c r="BG372" s="253">
        <f t="shared" si="109"/>
        <v>693.97</v>
      </c>
      <c r="BH372" s="159">
        <f t="shared" si="109"/>
        <v>0</v>
      </c>
      <c r="BI372" s="159">
        <f t="shared" si="109"/>
        <v>926.33</v>
      </c>
      <c r="BJ372" s="263">
        <f t="shared" si="109"/>
        <v>0</v>
      </c>
      <c r="BK372" s="253">
        <f t="shared" si="109"/>
        <v>0</v>
      </c>
      <c r="BL372" s="159">
        <f t="shared" si="109"/>
        <v>0</v>
      </c>
      <c r="BM372" s="159">
        <f t="shared" si="109"/>
        <v>0</v>
      </c>
      <c r="BN372" s="263">
        <v>0</v>
      </c>
      <c r="BO372" s="267">
        <f>BO373</f>
        <v>19.489999999999998</v>
      </c>
      <c r="BP372" s="296">
        <f>BP373</f>
        <v>0</v>
      </c>
      <c r="BQ372" s="296">
        <f>BQ373</f>
        <v>37.624000000000002</v>
      </c>
      <c r="BR372" s="268"/>
      <c r="BS372" s="267">
        <f>BS373</f>
        <v>91.864999999999995</v>
      </c>
      <c r="BT372" s="296">
        <f>BT373</f>
        <v>0</v>
      </c>
      <c r="BU372" s="296">
        <f>BU373</f>
        <v>235.905</v>
      </c>
      <c r="BV372" s="268">
        <f>BV373</f>
        <v>172.45</v>
      </c>
      <c r="BW372" s="170"/>
      <c r="BX372" s="166"/>
      <c r="BY372" s="163">
        <f t="shared" si="103"/>
        <v>11237.540999999999</v>
      </c>
      <c r="BZ372" s="164">
        <f t="shared" si="104"/>
        <v>14256.27</v>
      </c>
      <c r="CA372" s="164">
        <f t="shared" si="105"/>
        <v>24056.999</v>
      </c>
      <c r="CB372" s="165">
        <f t="shared" si="106"/>
        <v>21930.98</v>
      </c>
      <c r="CC372" s="760"/>
    </row>
    <row r="373" spans="1:82" ht="55.5" customHeight="1" outlineLevel="3" x14ac:dyDescent="0.25">
      <c r="C373" s="10" t="s">
        <v>83</v>
      </c>
      <c r="D373" s="10" t="s">
        <v>84</v>
      </c>
      <c r="E373" s="10" t="s">
        <v>73</v>
      </c>
      <c r="F373" s="10" t="s">
        <v>74</v>
      </c>
      <c r="G373" s="10" t="s">
        <v>499</v>
      </c>
      <c r="H373" s="10" t="s">
        <v>73</v>
      </c>
      <c r="I373" s="10" t="s">
        <v>73</v>
      </c>
      <c r="J373" s="10" t="s">
        <v>73</v>
      </c>
      <c r="K373" s="12" t="s">
        <v>73</v>
      </c>
      <c r="L373" s="10" t="s">
        <v>133</v>
      </c>
      <c r="M373" s="5" t="str">
        <f t="array" ref="M373">Y95</f>
        <v>1ХВС::1.1</v>
      </c>
      <c r="AB373" s="65" t="str">
        <f>AB372&amp;".3"</f>
        <v>3.3.3</v>
      </c>
      <c r="AC373" s="87" t="s">
        <v>500</v>
      </c>
      <c r="AD373" s="51" t="s">
        <v>111</v>
      </c>
      <c r="AE373" s="95">
        <v>10241.716</v>
      </c>
      <c r="AF373" s="178">
        <v>14073.19</v>
      </c>
      <c r="AG373" s="178">
        <v>20395.72</v>
      </c>
      <c r="AH373" s="96">
        <v>20395.72</v>
      </c>
      <c r="AI373" s="187">
        <v>6.15</v>
      </c>
      <c r="AJ373" s="178"/>
      <c r="AK373" s="178">
        <v>60.35</v>
      </c>
      <c r="AL373" s="181">
        <v>41.92</v>
      </c>
      <c r="AM373" s="95"/>
      <c r="AN373" s="178"/>
      <c r="AO373" s="178">
        <v>664.46</v>
      </c>
      <c r="AP373" s="96">
        <v>478.41</v>
      </c>
      <c r="AQ373" s="187"/>
      <c r="AR373" s="178"/>
      <c r="AS373" s="178">
        <v>594.54999999999995</v>
      </c>
      <c r="AT373" s="181">
        <v>435.27</v>
      </c>
      <c r="AU373" s="95"/>
      <c r="AV373" s="178"/>
      <c r="AW373" s="178">
        <v>132.31</v>
      </c>
      <c r="AX373" s="181">
        <v>87.52</v>
      </c>
      <c r="AY373" s="95"/>
      <c r="AZ373" s="178">
        <v>183.08</v>
      </c>
      <c r="BA373" s="178">
        <v>637.23</v>
      </c>
      <c r="BB373" s="181"/>
      <c r="BC373" s="95">
        <v>184.35</v>
      </c>
      <c r="BD373" s="178"/>
      <c r="BE373" s="178">
        <v>372.52</v>
      </c>
      <c r="BF373" s="181">
        <v>319.69</v>
      </c>
      <c r="BG373" s="95">
        <v>693.97</v>
      </c>
      <c r="BH373" s="178"/>
      <c r="BI373" s="178">
        <v>926.33</v>
      </c>
      <c r="BJ373" s="181">
        <v>0</v>
      </c>
      <c r="BK373" s="95"/>
      <c r="BL373" s="178"/>
      <c r="BM373" s="178"/>
      <c r="BN373" s="181"/>
      <c r="BO373" s="185">
        <v>19.489999999999998</v>
      </c>
      <c r="BP373" s="183"/>
      <c r="BQ373" s="183">
        <v>37.624000000000002</v>
      </c>
      <c r="BR373" s="186"/>
      <c r="BS373" s="185">
        <v>91.864999999999995</v>
      </c>
      <c r="BT373" s="183"/>
      <c r="BU373" s="183">
        <v>235.905</v>
      </c>
      <c r="BV373" s="186">
        <v>172.45</v>
      </c>
      <c r="BY373" s="125">
        <f t="shared" si="103"/>
        <v>11237.540999999999</v>
      </c>
      <c r="BZ373" s="126">
        <f t="shared" si="104"/>
        <v>14256.27</v>
      </c>
      <c r="CA373" s="126">
        <f t="shared" si="105"/>
        <v>24056.999</v>
      </c>
      <c r="CB373" s="127">
        <f t="shared" si="106"/>
        <v>21930.98</v>
      </c>
    </row>
    <row r="374" spans="1:82" ht="30.75" customHeight="1" outlineLevel="3" x14ac:dyDescent="0.25">
      <c r="C374" s="10" t="s">
        <v>83</v>
      </c>
      <c r="D374" s="297" t="s">
        <v>84</v>
      </c>
      <c r="E374" s="297" t="s">
        <v>73</v>
      </c>
      <c r="F374" s="10" t="s">
        <v>74</v>
      </c>
      <c r="G374" s="297" t="s">
        <v>501</v>
      </c>
      <c r="H374" s="297" t="s">
        <v>73</v>
      </c>
      <c r="I374" s="297" t="s">
        <v>73</v>
      </c>
      <c r="J374" s="297" t="s">
        <v>73</v>
      </c>
      <c r="K374" s="298" t="s">
        <v>73</v>
      </c>
      <c r="L374" s="10" t="s">
        <v>133</v>
      </c>
      <c r="M374" s="5" t="str">
        <f t="array" ref="M374">Y95</f>
        <v>1ХВС::1.1</v>
      </c>
      <c r="AB374" s="299" t="s">
        <v>502</v>
      </c>
      <c r="AC374" s="281" t="s">
        <v>503</v>
      </c>
      <c r="AD374" s="51" t="s">
        <v>119</v>
      </c>
      <c r="AE374" s="175">
        <f>AE373*100/(AE391-AE375-AE385-AE386)</f>
        <v>0.63554785587524043</v>
      </c>
      <c r="AF374" s="73">
        <f t="shared" ref="AF374:AH374" si="110">AF373*100/(AF391-AF375-AF385-AF386)</f>
        <v>0.93206356042047489</v>
      </c>
      <c r="AG374" s="73">
        <f t="shared" si="110"/>
        <v>0.96744645012220487</v>
      </c>
      <c r="AH374" s="179">
        <f t="shared" si="110"/>
        <v>1.3123716431605184</v>
      </c>
      <c r="AI374" s="175">
        <f>AI373*100/(AI391-AI375-AI385-AI386)</f>
        <v>3.139986025393246E-2</v>
      </c>
      <c r="AJ374" s="73">
        <f t="shared" ref="AJ374" si="111">AJ373*100/(AJ391-AJ375-AJ385-AJ386)</f>
        <v>0</v>
      </c>
      <c r="AK374" s="73">
        <f t="shared" ref="AK374" si="112">AK373*100/(AK391-AK375-AK385-AK386)</f>
        <v>0.23246246050062933</v>
      </c>
      <c r="AL374" s="179">
        <f t="shared" ref="AL374" si="113">AL373*100/(AL391-AL375-AL385-AL386)</f>
        <v>0.56288257602652325</v>
      </c>
      <c r="AM374" s="175">
        <f>AM373*100/(AM391-AM375-AM385-AM386)</f>
        <v>0</v>
      </c>
      <c r="AN374" s="73">
        <f t="shared" ref="AN374" si="114">AN373*100/(AN391-AN375-AN385-AN386)</f>
        <v>0</v>
      </c>
      <c r="AO374" s="73">
        <f t="shared" ref="AO374" si="115">AO373*100/(AO391-AO375-AO385-AO386)</f>
        <v>0.8239268384192332</v>
      </c>
      <c r="AP374" s="179">
        <f t="shared" ref="AP374" si="116">AP373*100/(AP391-AP375-AP385-AP386)</f>
        <v>2.1671868188567101</v>
      </c>
      <c r="AQ374" s="175">
        <f>AQ373*100/(AQ391-AQ375-AQ385-AQ386)</f>
        <v>0</v>
      </c>
      <c r="AR374" s="73">
        <f t="shared" ref="AR374" si="117">AR373*100/(AR391-AR375-AR385-AR386)</f>
        <v>0</v>
      </c>
      <c r="AS374" s="73">
        <f t="shared" ref="AS374" si="118">AS373*100/(AS391-AS375-AS385-AS386)</f>
        <v>0.61922658694080923</v>
      </c>
      <c r="AT374" s="179">
        <f t="shared" ref="AT374" si="119">AT373*100/(AT391-AT375-AT385-AT386)</f>
        <v>1.0185860185729092</v>
      </c>
      <c r="AU374" s="175">
        <f>AU373*100/(AU391-AU375-AU385-AU386)</f>
        <v>0</v>
      </c>
      <c r="AV374" s="73">
        <f t="shared" ref="AV374" si="120">AV373*100/(AV391-AV375-AV385-AV386)</f>
        <v>0</v>
      </c>
      <c r="AW374" s="73">
        <f t="shared" ref="AW374" si="121">AW373*100/(AW391-AW375-AW385-AW386)</f>
        <v>0.31536534773255065</v>
      </c>
      <c r="AX374" s="179">
        <f t="shared" ref="AX374" si="122">AX373*100/(AX391-AX375-AX385-AX386)</f>
        <v>-0.79820664323014978</v>
      </c>
      <c r="AY374" s="175">
        <f>AY373*100/(AY391-AY375-AY385-AY386)</f>
        <v>0</v>
      </c>
      <c r="AZ374" s="73">
        <f t="shared" ref="AZ374" si="123">AZ373*100/(AZ391-AZ375-AZ385-AZ386)</f>
        <v>0.23634211749316936</v>
      </c>
      <c r="BA374" s="73">
        <f t="shared" ref="BA374" si="124">BA373*100/(BA391-BA375-BA385-BA386)</f>
        <v>0.53117165903596386</v>
      </c>
      <c r="BB374" s="179">
        <f t="shared" ref="BB374" si="125">BB373*100/(BB391-BB375-BB385-BB386)</f>
        <v>0</v>
      </c>
      <c r="BC374" s="175">
        <f>BC373*100/(BC391-BC375-BC385-BC386)</f>
        <v>0.30073912257144486</v>
      </c>
      <c r="BD374" s="73">
        <f t="shared" ref="BD374" si="126">BD373*100/(BD391-BD375-BD385-BD386)</f>
        <v>0</v>
      </c>
      <c r="BE374" s="73">
        <f t="shared" ref="BE374" si="127">BE373*100/(BE391-BE375-BE385-BE386)</f>
        <v>0.55370877754747783</v>
      </c>
      <c r="BF374" s="179">
        <f t="shared" ref="BF374" si="128">BF373*100/(BF391-BF375-BF385-BF386)</f>
        <v>-3.6016129463328701</v>
      </c>
      <c r="BG374" s="175">
        <f>BG373*100/(BG391-BG375-BG385-BG386)</f>
        <v>0.60468919707200464</v>
      </c>
      <c r="BH374" s="73">
        <f t="shared" ref="BH374" si="129">BH373*100/(BH391-BH375-BH385-BH386)</f>
        <v>0</v>
      </c>
      <c r="BI374" s="73">
        <f t="shared" ref="BI374" si="130">BI373*100/(BI391-BI375-BI385-BI386)</f>
        <v>0.5960713526444682</v>
      </c>
      <c r="BJ374" s="179">
        <f t="shared" ref="BJ374" si="131">BJ373*100/(BJ391-BJ375-BJ385-BJ386)</f>
        <v>0</v>
      </c>
      <c r="BK374" s="175">
        <f>BK373*100/(BK391-BK375-BK385-BK386)</f>
        <v>0</v>
      </c>
      <c r="BL374" s="73">
        <f t="shared" ref="BL374" si="132">BL373*100/(BL391-BL375-BL385-BL386)</f>
        <v>0</v>
      </c>
      <c r="BM374" s="73">
        <f t="shared" ref="BM374" si="133">BM373*100/(BM391-BM375-BM385-BM386)</f>
        <v>0</v>
      </c>
      <c r="BN374" s="179">
        <f t="shared" ref="BN374" si="134">BN373*100/(BN391-BN375-BN385-BN386)</f>
        <v>0</v>
      </c>
      <c r="BO374" s="175">
        <f>BO373*100/(BO391-BO375-BO385-BO386)</f>
        <v>5.7171626791340087E-2</v>
      </c>
      <c r="BP374" s="73">
        <f t="shared" ref="BP374" si="135">BP373*100/(BP391-BP375-BP385-BP386)</f>
        <v>0</v>
      </c>
      <c r="BQ374" s="73">
        <f t="shared" ref="BQ374" si="136">BQ373*100/(BQ391-BQ375-BQ385-BQ386)</f>
        <v>9.963177593670651E-2</v>
      </c>
      <c r="BR374" s="179">
        <f t="shared" ref="BR374" si="137">BR373*100/(BR391-BR375-BR385-BR386)</f>
        <v>0</v>
      </c>
      <c r="BS374" s="175">
        <f>BS373*100/(BS391-BS375-BS385-BS386)</f>
        <v>0.28478979715747904</v>
      </c>
      <c r="BT374" s="73">
        <f t="shared" ref="BT374" si="138">BT373*100/(BT391-BT375-BT385-BT386)</f>
        <v>0</v>
      </c>
      <c r="BU374" s="73">
        <f t="shared" ref="BU374" si="139">BU373*100/(BU391-BU375-BU385-BU386)</f>
        <v>0.51238503893012988</v>
      </c>
      <c r="BV374" s="176">
        <f t="shared" ref="BV374" si="140">BV373*100/(BV391-BV375-BV385-BV386)</f>
        <v>0.40676440530584462</v>
      </c>
      <c r="BY374" s="175">
        <f>BY373*100/(BY391-BY375-BY385-BY386)</f>
        <v>0.48992623777342575</v>
      </c>
      <c r="BZ374" s="73">
        <f t="shared" ref="BZ374" si="141">BZ373*100/(BZ391-BZ375-BZ385-BZ386)</f>
        <v>0.73846709839203384</v>
      </c>
      <c r="CA374" s="73">
        <f t="shared" ref="CA374" si="142">CA373*100/(CA391-CA375-CA385-CA386)</f>
        <v>0.80780578787694046</v>
      </c>
      <c r="CB374" s="176">
        <f t="shared" ref="CB374" si="143">CB373*100/(CB391-CB375-CB385-CB386)</f>
        <v>1.1238446597552061</v>
      </c>
    </row>
    <row r="375" spans="1:82" s="171" customFormat="1" ht="19.899999999999999" customHeight="1" x14ac:dyDescent="0.25">
      <c r="A375" s="167" t="b">
        <f>REGULATION_METHODS="Метод индексации"</f>
        <v>1</v>
      </c>
      <c r="B375" s="166" t="b">
        <f t="array" ref="B375">A375</f>
        <v>1</v>
      </c>
      <c r="C375" s="167" t="s">
        <v>83</v>
      </c>
      <c r="D375" s="167" t="s">
        <v>84</v>
      </c>
      <c r="E375" s="167" t="s">
        <v>73</v>
      </c>
      <c r="F375" s="167" t="s">
        <v>74</v>
      </c>
      <c r="G375" s="167" t="s">
        <v>504</v>
      </c>
      <c r="H375" s="167" t="s">
        <v>73</v>
      </c>
      <c r="I375" s="167" t="s">
        <v>73</v>
      </c>
      <c r="J375" s="167" t="s">
        <v>73</v>
      </c>
      <c r="K375" s="168" t="s">
        <v>73</v>
      </c>
      <c r="L375" s="167" t="s">
        <v>133</v>
      </c>
      <c r="M375" s="166" t="str">
        <f t="array" ref="M375">Y95</f>
        <v>1ХВС::1.1</v>
      </c>
      <c r="N375" s="166"/>
      <c r="O375" s="166"/>
      <c r="P375" s="166"/>
      <c r="Q375" s="166"/>
      <c r="R375" s="166"/>
      <c r="S375" s="166"/>
      <c r="T375" s="166"/>
      <c r="U375" s="166"/>
      <c r="V375" s="166"/>
      <c r="W375" s="166"/>
      <c r="X375" s="166"/>
      <c r="Y375" s="166"/>
      <c r="Z375" s="166"/>
      <c r="AA375" s="166"/>
      <c r="AB375" s="155">
        <f>AB141+1</f>
        <v>4</v>
      </c>
      <c r="AC375" s="156" t="s">
        <v>504</v>
      </c>
      <c r="AD375" s="157" t="s">
        <v>111</v>
      </c>
      <c r="AE375" s="253">
        <f>SUM(AE376:AE384)</f>
        <v>0</v>
      </c>
      <c r="AF375" s="159">
        <f>SUM(AF376:AF384)</f>
        <v>-110643.72799999999</v>
      </c>
      <c r="AG375" s="159">
        <f>SUM(AG376:AG384)</f>
        <v>228401.3</v>
      </c>
      <c r="AH375" s="254">
        <f>SUM(AH376:AH384)</f>
        <v>-7698.5400000000009</v>
      </c>
      <c r="AI375" s="162">
        <f>SUM(AI376:AI384)</f>
        <v>0</v>
      </c>
      <c r="AJ375" s="159">
        <f>AJ377+AJ383+AJ381</f>
        <v>-335.56999999999994</v>
      </c>
      <c r="AK375" s="159">
        <f>AK384</f>
        <v>11620.4</v>
      </c>
      <c r="AL375" s="263">
        <v>1047.1600000000001</v>
      </c>
      <c r="AM375" s="253">
        <f>SUM(AM376:AM384)</f>
        <v>0</v>
      </c>
      <c r="AN375" s="159">
        <f>AN377+AN379+AN380</f>
        <v>4405.3509999999997</v>
      </c>
      <c r="AO375" s="159">
        <f>AO384</f>
        <v>24652.343000000001</v>
      </c>
      <c r="AP375" s="254">
        <f>AP384</f>
        <v>-3267.02</v>
      </c>
      <c r="AQ375" s="162"/>
      <c r="AR375" s="159">
        <f>AR377+AR379+AR380+AR378</f>
        <v>-2216.4599999999991</v>
      </c>
      <c r="AS375" s="159">
        <f>AS384</f>
        <v>16203.53</v>
      </c>
      <c r="AT375" s="263">
        <f>AT384</f>
        <v>-6767.88</v>
      </c>
      <c r="AU375" s="253">
        <f>SUM(AU376:AU384)</f>
        <v>0</v>
      </c>
      <c r="AV375" s="159">
        <f>SUM(AV376:AV383)</f>
        <v>961.74</v>
      </c>
      <c r="AW375" s="159">
        <f>SUM(AW376:AW384)</f>
        <v>19950.235000000001</v>
      </c>
      <c r="AX375" s="263">
        <v>-5839.74</v>
      </c>
      <c r="AY375" s="253">
        <f>SUM(AY376:AY384)</f>
        <v>0</v>
      </c>
      <c r="AZ375" s="159">
        <f>AZ376</f>
        <v>0</v>
      </c>
      <c r="BA375" s="159">
        <f>BA384</f>
        <v>24120.25</v>
      </c>
      <c r="BB375" s="263">
        <v>6793.66</v>
      </c>
      <c r="BC375" s="253">
        <f>SUM(BC376:BC384)</f>
        <v>0</v>
      </c>
      <c r="BD375" s="159">
        <f>BD379+BD380+BD378</f>
        <v>-1808.94</v>
      </c>
      <c r="BE375" s="159">
        <f>BE384</f>
        <v>0</v>
      </c>
      <c r="BF375" s="263">
        <f>BF380</f>
        <v>-4633.09</v>
      </c>
      <c r="BG375" s="253">
        <f>SUM(BG376:BG384)</f>
        <v>0</v>
      </c>
      <c r="BH375" s="159">
        <f>BH376</f>
        <v>0</v>
      </c>
      <c r="BI375" s="159">
        <f>BI384</f>
        <v>0</v>
      </c>
      <c r="BJ375" s="263">
        <f>BJ380</f>
        <v>-10654.38</v>
      </c>
      <c r="BK375" s="253">
        <f>SUM(BK376:BK384)</f>
        <v>59212.93</v>
      </c>
      <c r="BL375" s="159">
        <f>BL378+BL380</f>
        <v>7069.4400000000005</v>
      </c>
      <c r="BM375" s="159">
        <f>SUM(BM376:BM384)</f>
        <v>0</v>
      </c>
      <c r="BN375" s="263">
        <v>3987.558</v>
      </c>
      <c r="BO375" s="267">
        <f>SUM(BO376:BO384)</f>
        <v>0</v>
      </c>
      <c r="BP375" s="296">
        <f>SUM(BP376:BP383)</f>
        <v>-516.30999999999995</v>
      </c>
      <c r="BQ375" s="296">
        <f>SUM(BQ376:BQ384)</f>
        <v>854.20399999999995</v>
      </c>
      <c r="BR375" s="268">
        <f>SUM(BR376:BR384)</f>
        <v>-122.79</v>
      </c>
      <c r="BS375" s="267">
        <f>SUM(BS376:BS384)</f>
        <v>0</v>
      </c>
      <c r="BT375" s="296">
        <f>SUM(BT376:BT380)</f>
        <v>2443.16</v>
      </c>
      <c r="BU375" s="296">
        <f>SUM(BU376:BU384)</f>
        <v>0</v>
      </c>
      <c r="BV375" s="268">
        <f>SUM(BV376:BV384)</f>
        <v>-1280.52</v>
      </c>
      <c r="BW375" s="170"/>
      <c r="BX375" s="166"/>
      <c r="BY375" s="163">
        <f t="shared" si="103"/>
        <v>59212.93</v>
      </c>
      <c r="BZ375" s="164">
        <f t="shared" si="104"/>
        <v>-100641.317</v>
      </c>
      <c r="CA375" s="164">
        <f t="shared" si="105"/>
        <v>325802.26200000005</v>
      </c>
      <c r="CB375" s="165">
        <f t="shared" si="106"/>
        <v>-28435.582000000002</v>
      </c>
      <c r="CC375" s="776">
        <f t="shared" ref="CC375:CC383" si="144">AF375+AJ375+AN375+AR375+AV375+AZ375+BD375++BH373:BH375++BL375+BP375+BT375</f>
        <v>-100641.317</v>
      </c>
      <c r="CD375" s="1027"/>
    </row>
    <row r="376" spans="1:82" ht="59.25" hidden="1" customHeight="1" outlineLevel="1" x14ac:dyDescent="0.25">
      <c r="A376" s="10" t="e">
        <f t="array" ref="A376">#REF!</f>
        <v>#REF!</v>
      </c>
      <c r="B376" s="5" t="e">
        <f t="array" ref="B376">A376</f>
        <v>#REF!</v>
      </c>
      <c r="C376" s="10" t="s">
        <v>83</v>
      </c>
      <c r="D376" s="10" t="s">
        <v>84</v>
      </c>
      <c r="E376" s="10" t="s">
        <v>73</v>
      </c>
      <c r="F376" s="10" t="s">
        <v>74</v>
      </c>
      <c r="G376" s="10" t="s">
        <v>505</v>
      </c>
      <c r="H376" s="10" t="s">
        <v>73</v>
      </c>
      <c r="I376" s="10" t="s">
        <v>73</v>
      </c>
      <c r="J376" s="10" t="s">
        <v>73</v>
      </c>
      <c r="K376" s="12" t="s">
        <v>73</v>
      </c>
      <c r="L376" s="10" t="s">
        <v>133</v>
      </c>
      <c r="M376" s="5" t="str">
        <f t="array" ref="M376">Y95</f>
        <v>1ХВС::1.1</v>
      </c>
      <c r="AB376" s="65" t="str">
        <f>AB375&amp;".4"</f>
        <v>4.4</v>
      </c>
      <c r="AC376" s="80" t="s">
        <v>506</v>
      </c>
      <c r="AD376" s="51" t="s">
        <v>111</v>
      </c>
      <c r="AE376" s="95"/>
      <c r="AF376" s="178"/>
      <c r="AG376" s="178"/>
      <c r="AH376" s="96"/>
      <c r="AI376" s="187"/>
      <c r="AJ376" s="178"/>
      <c r="AK376" s="178"/>
      <c r="AL376" s="181"/>
      <c r="AM376" s="95"/>
      <c r="AN376" s="178"/>
      <c r="AO376" s="178"/>
      <c r="AP376" s="96"/>
      <c r="AQ376" s="187"/>
      <c r="AR376" s="178"/>
      <c r="AS376" s="178"/>
      <c r="AT376" s="181"/>
      <c r="AU376" s="95"/>
      <c r="AV376" s="178"/>
      <c r="AW376" s="178"/>
      <c r="AX376" s="181"/>
      <c r="AY376" s="95"/>
      <c r="AZ376" s="178"/>
      <c r="BA376" s="178"/>
      <c r="BB376" s="181"/>
      <c r="BC376" s="95"/>
      <c r="BD376" s="178"/>
      <c r="BE376" s="178"/>
      <c r="BF376" s="181"/>
      <c r="BG376" s="95"/>
      <c r="BH376" s="178"/>
      <c r="BI376" s="178"/>
      <c r="BJ376" s="181"/>
      <c r="BK376" s="95"/>
      <c r="BL376" s="178"/>
      <c r="BM376" s="178"/>
      <c r="BN376" s="181"/>
      <c r="BO376" s="185"/>
      <c r="BP376" s="183"/>
      <c r="BQ376" s="183"/>
      <c r="BR376" s="186"/>
      <c r="BS376" s="185"/>
      <c r="BT376" s="183"/>
      <c r="BU376" s="183"/>
      <c r="BV376" s="186"/>
      <c r="BY376" s="125">
        <f t="shared" si="103"/>
        <v>0</v>
      </c>
      <c r="BZ376" s="126">
        <f t="shared" si="104"/>
        <v>0</v>
      </c>
      <c r="CA376" s="126">
        <f t="shared" si="105"/>
        <v>0</v>
      </c>
      <c r="CB376" s="127">
        <f t="shared" si="106"/>
        <v>0</v>
      </c>
      <c r="CC376" s="776">
        <f t="shared" si="144"/>
        <v>0</v>
      </c>
      <c r="CD376" s="1025">
        <f>CD375-CB375</f>
        <v>28435.582000000002</v>
      </c>
    </row>
    <row r="377" spans="1:82" ht="56.25" hidden="1" customHeight="1" outlineLevel="1" x14ac:dyDescent="0.25">
      <c r="A377" s="10"/>
      <c r="C377" s="10"/>
      <c r="D377" s="10"/>
      <c r="E377" s="10"/>
      <c r="F377" s="10"/>
      <c r="G377" s="10"/>
      <c r="H377" s="10"/>
      <c r="I377" s="10"/>
      <c r="J377" s="10"/>
      <c r="K377" s="12"/>
      <c r="L377" s="10"/>
      <c r="AB377" s="65"/>
      <c r="AC377" s="80" t="s">
        <v>507</v>
      </c>
      <c r="AD377" s="51" t="s">
        <v>111</v>
      </c>
      <c r="AE377" s="95"/>
      <c r="AF377" s="178">
        <f>-33124.954</f>
        <v>-33124.953999999998</v>
      </c>
      <c r="AG377" s="178"/>
      <c r="AH377" s="96">
        <v>-783.36</v>
      </c>
      <c r="AI377" s="187"/>
      <c r="AJ377" s="178">
        <v>-197.76</v>
      </c>
      <c r="AK377" s="178"/>
      <c r="AL377" s="181"/>
      <c r="AM377" s="95"/>
      <c r="AN377" s="178">
        <v>-768.16499999999996</v>
      </c>
      <c r="AO377" s="178"/>
      <c r="AP377" s="96"/>
      <c r="AQ377" s="187"/>
      <c r="AR377" s="178"/>
      <c r="AS377" s="178"/>
      <c r="AT377" s="181"/>
      <c r="AU377" s="95"/>
      <c r="AV377" s="178"/>
      <c r="AW377" s="178"/>
      <c r="AX377" s="181"/>
      <c r="AY377" s="95"/>
      <c r="AZ377" s="178"/>
      <c r="BA377" s="178"/>
      <c r="BB377" s="181"/>
      <c r="BC377" s="95"/>
      <c r="BD377" s="178"/>
      <c r="BE377" s="178"/>
      <c r="BF377" s="181"/>
      <c r="BG377" s="95"/>
      <c r="BH377" s="178"/>
      <c r="BI377" s="178"/>
      <c r="BJ377" s="181"/>
      <c r="BK377" s="95"/>
      <c r="BL377" s="178"/>
      <c r="BM377" s="178"/>
      <c r="BN377" s="181"/>
      <c r="BO377" s="185"/>
      <c r="BP377" s="183"/>
      <c r="BQ377" s="183"/>
      <c r="BR377" s="186"/>
      <c r="BS377" s="185"/>
      <c r="BT377" s="183"/>
      <c r="BU377" s="183"/>
      <c r="BV377" s="186"/>
      <c r="BY377" s="125"/>
      <c r="BZ377" s="126">
        <f t="shared" ref="BZ377:BZ391" si="145">AF377+AJ377+AN377+AR377+AV377+AZ377+BD377+BH377+BL377+BP377+BT377</f>
        <v>-34090.879000000001</v>
      </c>
      <c r="CA377" s="126">
        <f t="shared" si="105"/>
        <v>0</v>
      </c>
      <c r="CB377" s="127">
        <f t="shared" si="106"/>
        <v>-783.36</v>
      </c>
      <c r="CC377" s="776">
        <f t="shared" si="144"/>
        <v>-34090.879000000001</v>
      </c>
    </row>
    <row r="378" spans="1:82" ht="60.75" hidden="1" customHeight="1" outlineLevel="1" x14ac:dyDescent="0.25">
      <c r="A378" s="10"/>
      <c r="C378" s="10"/>
      <c r="D378" s="10"/>
      <c r="E378" s="10"/>
      <c r="F378" s="10"/>
      <c r="G378" s="10"/>
      <c r="H378" s="10"/>
      <c r="I378" s="10"/>
      <c r="J378" s="10"/>
      <c r="K378" s="12"/>
      <c r="L378" s="10"/>
      <c r="AB378" s="65"/>
      <c r="AC378" s="80" t="s">
        <v>726</v>
      </c>
      <c r="AD378" s="51"/>
      <c r="AE378" s="95"/>
      <c r="AF378" s="178"/>
      <c r="AG378" s="178"/>
      <c r="AH378" s="96"/>
      <c r="AI378" s="187"/>
      <c r="AJ378" s="178"/>
      <c r="AK378" s="178"/>
      <c r="AL378" s="181"/>
      <c r="AM378" s="95"/>
      <c r="AN378" s="178"/>
      <c r="AO378" s="178"/>
      <c r="AP378" s="96"/>
      <c r="AQ378" s="187"/>
      <c r="AR378" s="178">
        <f>-1322.17</f>
        <v>-1322.17</v>
      </c>
      <c r="AS378" s="178"/>
      <c r="AT378" s="181"/>
      <c r="AU378" s="95"/>
      <c r="AV378" s="178">
        <v>-189.24</v>
      </c>
      <c r="AW378" s="178"/>
      <c r="AX378" s="181"/>
      <c r="AY378" s="95"/>
      <c r="AZ378" s="178"/>
      <c r="BA378" s="178"/>
      <c r="BB378" s="181"/>
      <c r="BC378" s="95"/>
      <c r="BD378" s="178">
        <v>-222.03</v>
      </c>
      <c r="BE378" s="178"/>
      <c r="BF378" s="181"/>
      <c r="BG378" s="95"/>
      <c r="BH378" s="178"/>
      <c r="BI378" s="178"/>
      <c r="BJ378" s="181"/>
      <c r="BK378" s="95"/>
      <c r="BL378" s="178">
        <v>-1649.67</v>
      </c>
      <c r="BM378" s="178"/>
      <c r="BN378" s="181"/>
      <c r="BO378" s="185"/>
      <c r="BP378" s="183">
        <v>-222.18</v>
      </c>
      <c r="BQ378" s="183"/>
      <c r="BR378" s="186"/>
      <c r="BS378" s="185"/>
      <c r="BT378" s="183">
        <v>-285.88</v>
      </c>
      <c r="BU378" s="183"/>
      <c r="BV378" s="186"/>
      <c r="BY378" s="125"/>
      <c r="BZ378" s="126">
        <f t="shared" si="145"/>
        <v>-3891.17</v>
      </c>
      <c r="CA378" s="126">
        <f t="shared" si="105"/>
        <v>0</v>
      </c>
      <c r="CB378" s="127">
        <f t="shared" si="106"/>
        <v>0</v>
      </c>
      <c r="CC378" s="776">
        <f t="shared" si="144"/>
        <v>-3891.17</v>
      </c>
    </row>
    <row r="379" spans="1:82" ht="46.5" hidden="1" customHeight="1" outlineLevel="1" x14ac:dyDescent="0.25">
      <c r="A379" s="10"/>
      <c r="C379" s="10"/>
      <c r="D379" s="10"/>
      <c r="E379" s="10"/>
      <c r="F379" s="10"/>
      <c r="G379" s="10"/>
      <c r="H379" s="10"/>
      <c r="I379" s="10"/>
      <c r="J379" s="10"/>
      <c r="K379" s="12"/>
      <c r="L379" s="10"/>
      <c r="AB379" s="65"/>
      <c r="AC379" s="80" t="s">
        <v>508</v>
      </c>
      <c r="AD379" s="51" t="s">
        <v>111</v>
      </c>
      <c r="AE379" s="95"/>
      <c r="AF379" s="178">
        <v>-50281.913999999997</v>
      </c>
      <c r="AG379" s="178"/>
      <c r="AH379" s="96">
        <v>2449.9299999999998</v>
      </c>
      <c r="AI379" s="187"/>
      <c r="AJ379" s="178"/>
      <c r="AK379" s="178"/>
      <c r="AL379" s="181"/>
      <c r="AM379" s="95"/>
      <c r="AN379" s="178">
        <v>-2517.174</v>
      </c>
      <c r="AO379" s="178"/>
      <c r="AP379" s="96"/>
      <c r="AQ379" s="187"/>
      <c r="AR379" s="178">
        <v>-1145.5999999999999</v>
      </c>
      <c r="AS379" s="178"/>
      <c r="AT379" s="181"/>
      <c r="AU379" s="95"/>
      <c r="AV379" s="178">
        <v>-1.48</v>
      </c>
      <c r="AW379" s="178"/>
      <c r="AX379" s="181"/>
      <c r="AY379" s="95"/>
      <c r="AZ379" s="178"/>
      <c r="BA379" s="178"/>
      <c r="BB379" s="181"/>
      <c r="BC379" s="95"/>
      <c r="BD379" s="178"/>
      <c r="BE379" s="178"/>
      <c r="BF379" s="181"/>
      <c r="BG379" s="95"/>
      <c r="BH379" s="178"/>
      <c r="BI379" s="178"/>
      <c r="BJ379" s="181"/>
      <c r="BK379" s="95"/>
      <c r="BL379" s="178"/>
      <c r="BM379" s="178"/>
      <c r="BN379" s="181"/>
      <c r="BO379" s="185"/>
      <c r="BP379" s="183"/>
      <c r="BQ379" s="183"/>
      <c r="BR379" s="186"/>
      <c r="BS379" s="185"/>
      <c r="BT379" s="183"/>
      <c r="BU379" s="183"/>
      <c r="BV379" s="186"/>
      <c r="BY379" s="125"/>
      <c r="BZ379" s="126">
        <f t="shared" si="145"/>
        <v>-53946.167999999998</v>
      </c>
      <c r="CA379" s="126">
        <f t="shared" si="105"/>
        <v>0</v>
      </c>
      <c r="CB379" s="127">
        <f t="shared" si="106"/>
        <v>2449.9299999999998</v>
      </c>
      <c r="CC379" s="776">
        <f t="shared" si="144"/>
        <v>-53946.167999999998</v>
      </c>
    </row>
    <row r="380" spans="1:82" ht="67.5" hidden="1" customHeight="1" outlineLevel="1" x14ac:dyDescent="0.25">
      <c r="A380" s="10"/>
      <c r="C380" s="10"/>
      <c r="D380" s="10"/>
      <c r="E380" s="10"/>
      <c r="F380" s="10"/>
      <c r="G380" s="10"/>
      <c r="H380" s="10"/>
      <c r="I380" s="10"/>
      <c r="J380" s="10"/>
      <c r="K380" s="12"/>
      <c r="L380" s="10"/>
      <c r="AB380" s="65"/>
      <c r="AC380" s="80" t="s">
        <v>509</v>
      </c>
      <c r="AD380" s="51" t="s">
        <v>111</v>
      </c>
      <c r="AE380" s="95"/>
      <c r="AF380" s="178">
        <v>-27236.86</v>
      </c>
      <c r="AG380" s="178"/>
      <c r="AH380" s="96">
        <v>-9365.11</v>
      </c>
      <c r="AI380" s="187"/>
      <c r="AJ380" s="300">
        <v>2527.48</v>
      </c>
      <c r="AK380" s="178"/>
      <c r="AL380" s="181"/>
      <c r="AM380" s="95"/>
      <c r="AN380" s="178">
        <f>31437.05-21640.16-2106.2</f>
        <v>7690.69</v>
      </c>
      <c r="AO380" s="178"/>
      <c r="AP380" s="96"/>
      <c r="AQ380" s="187"/>
      <c r="AR380" s="178">
        <f>40901.55-39499.26-1150.98</f>
        <v>251.31000000000085</v>
      </c>
      <c r="AS380" s="178"/>
      <c r="AT380" s="181"/>
      <c r="AU380" s="95"/>
      <c r="AV380" s="178">
        <f>4772.75-3114.35-505.94</f>
        <v>1152.46</v>
      </c>
      <c r="AW380" s="178"/>
      <c r="AX380" s="181"/>
      <c r="AY380" s="95"/>
      <c r="AZ380" s="178"/>
      <c r="BA380" s="178"/>
      <c r="BB380" s="181"/>
      <c r="BC380" s="95"/>
      <c r="BD380" s="178">
        <v>-1586.91</v>
      </c>
      <c r="BE380" s="178"/>
      <c r="BF380" s="181">
        <v>-4633.09</v>
      </c>
      <c r="BG380" s="95"/>
      <c r="BH380" s="178"/>
      <c r="BI380" s="178"/>
      <c r="BJ380" s="181">
        <v>-10654.38</v>
      </c>
      <c r="BK380" s="95"/>
      <c r="BL380" s="178">
        <v>8719.11</v>
      </c>
      <c r="BM380" s="178"/>
      <c r="BN380" s="181"/>
      <c r="BO380" s="185"/>
      <c r="BP380" s="183">
        <f>-294.13</f>
        <v>-294.13</v>
      </c>
      <c r="BQ380" s="183"/>
      <c r="BR380" s="186"/>
      <c r="BS380" s="185"/>
      <c r="BT380" s="183">
        <f>7090.62-4361.58</f>
        <v>2729.04</v>
      </c>
      <c r="BU380" s="183"/>
      <c r="BV380" s="186"/>
      <c r="BY380" s="125"/>
      <c r="BZ380" s="126">
        <f t="shared" si="145"/>
        <v>-6047.81</v>
      </c>
      <c r="CA380" s="126">
        <f t="shared" si="105"/>
        <v>0</v>
      </c>
      <c r="CB380" s="127">
        <f t="shared" si="106"/>
        <v>-24652.58</v>
      </c>
      <c r="CC380" s="776">
        <f t="shared" si="144"/>
        <v>-6047.81</v>
      </c>
    </row>
    <row r="381" spans="1:82" ht="19.899999999999999" hidden="1" customHeight="1" outlineLevel="1" x14ac:dyDescent="0.25">
      <c r="A381" s="10"/>
      <c r="C381" s="10"/>
      <c r="D381" s="10"/>
      <c r="E381" s="10"/>
      <c r="F381" s="10"/>
      <c r="G381" s="10"/>
      <c r="H381" s="10"/>
      <c r="I381" s="10"/>
      <c r="J381" s="10"/>
      <c r="K381" s="12"/>
      <c r="L381" s="10"/>
      <c r="AB381" s="65"/>
      <c r="AC381" s="301" t="s">
        <v>510</v>
      </c>
      <c r="AD381" s="302"/>
      <c r="AE381" s="303"/>
      <c r="AF381" s="301"/>
      <c r="AG381" s="301"/>
      <c r="AH381" s="304"/>
      <c r="AI381" s="1051"/>
      <c r="AJ381" s="300">
        <v>252.75</v>
      </c>
      <c r="AK381" s="178"/>
      <c r="AL381" s="181"/>
      <c r="AM381" s="95"/>
      <c r="AN381" s="178"/>
      <c r="AO381" s="178"/>
      <c r="AP381" s="96"/>
      <c r="AQ381" s="187"/>
      <c r="AR381" s="178"/>
      <c r="AS381" s="178"/>
      <c r="AT381" s="181"/>
      <c r="AU381" s="95"/>
      <c r="AV381" s="178"/>
      <c r="AW381" s="178"/>
      <c r="AX381" s="181"/>
      <c r="AY381" s="95"/>
      <c r="AZ381" s="178"/>
      <c r="BA381" s="178"/>
      <c r="BB381" s="181"/>
      <c r="BC381" s="95"/>
      <c r="BD381" s="178"/>
      <c r="BE381" s="178"/>
      <c r="BF381" s="181"/>
      <c r="BG381" s="95"/>
      <c r="BH381" s="178"/>
      <c r="BI381" s="178"/>
      <c r="BJ381" s="181"/>
      <c r="BK381" s="95"/>
      <c r="BL381" s="178"/>
      <c r="BM381" s="178"/>
      <c r="BN381" s="181"/>
      <c r="BO381" s="185"/>
      <c r="BP381" s="183"/>
      <c r="BQ381" s="183"/>
      <c r="BR381" s="186"/>
      <c r="BS381" s="185"/>
      <c r="BT381" s="183"/>
      <c r="BU381" s="183"/>
      <c r="BV381" s="186"/>
      <c r="BY381" s="125"/>
      <c r="BZ381" s="126">
        <f t="shared" si="145"/>
        <v>252.75</v>
      </c>
      <c r="CA381" s="126">
        <f t="shared" si="105"/>
        <v>0</v>
      </c>
      <c r="CB381" s="127">
        <f t="shared" si="106"/>
        <v>0</v>
      </c>
      <c r="CC381" s="776">
        <f t="shared" si="144"/>
        <v>252.75</v>
      </c>
    </row>
    <row r="382" spans="1:82" ht="19.899999999999999" hidden="1" customHeight="1" outlineLevel="1" x14ac:dyDescent="0.25">
      <c r="A382" s="10"/>
      <c r="C382" s="10"/>
      <c r="D382" s="10"/>
      <c r="E382" s="10"/>
      <c r="F382" s="10"/>
      <c r="G382" s="10"/>
      <c r="H382" s="10"/>
      <c r="I382" s="10"/>
      <c r="J382" s="10"/>
      <c r="K382" s="12"/>
      <c r="L382" s="10"/>
      <c r="AB382" s="65"/>
      <c r="AC382" s="301" t="s">
        <v>511</v>
      </c>
      <c r="AD382" s="302"/>
      <c r="AE382" s="303"/>
      <c r="AF382" s="301"/>
      <c r="AG382" s="301"/>
      <c r="AH382" s="304"/>
      <c r="AI382" s="1051"/>
      <c r="AJ382" s="300">
        <f>AJ380-AJ381</f>
        <v>2274.73</v>
      </c>
      <c r="AK382" s="178"/>
      <c r="AL382" s="181"/>
      <c r="AM382" s="95"/>
      <c r="AN382" s="178"/>
      <c r="AO382" s="178"/>
      <c r="AP382" s="96"/>
      <c r="AQ382" s="187"/>
      <c r="AR382" s="178"/>
      <c r="AS382" s="178"/>
      <c r="AT382" s="181"/>
      <c r="AU382" s="95"/>
      <c r="AV382" s="178"/>
      <c r="AW382" s="178"/>
      <c r="AX382" s="181"/>
      <c r="AY382" s="95"/>
      <c r="AZ382" s="178"/>
      <c r="BA382" s="178"/>
      <c r="BB382" s="181"/>
      <c r="BC382" s="95"/>
      <c r="BD382" s="178"/>
      <c r="BE382" s="178"/>
      <c r="BF382" s="181"/>
      <c r="BG382" s="95"/>
      <c r="BH382" s="178"/>
      <c r="BI382" s="178"/>
      <c r="BJ382" s="181"/>
      <c r="BK382" s="95"/>
      <c r="BL382" s="178"/>
      <c r="BM382" s="178"/>
      <c r="BN382" s="181"/>
      <c r="BO382" s="185"/>
      <c r="BP382" s="183"/>
      <c r="BQ382" s="183"/>
      <c r="BR382" s="186"/>
      <c r="BS382" s="185"/>
      <c r="BT382" s="183"/>
      <c r="BU382" s="183"/>
      <c r="BV382" s="186"/>
      <c r="BY382" s="125"/>
      <c r="BZ382" s="126">
        <f t="shared" si="145"/>
        <v>2274.73</v>
      </c>
      <c r="CA382" s="126">
        <f t="shared" si="105"/>
        <v>0</v>
      </c>
      <c r="CB382" s="127">
        <f t="shared" si="106"/>
        <v>0</v>
      </c>
      <c r="CC382" s="776">
        <f t="shared" si="144"/>
        <v>2274.73</v>
      </c>
    </row>
    <row r="383" spans="1:82" ht="39.75" hidden="1" customHeight="1" outlineLevel="1" x14ac:dyDescent="0.25">
      <c r="A383" s="10"/>
      <c r="C383" s="10"/>
      <c r="D383" s="10"/>
      <c r="E383" s="10"/>
      <c r="F383" s="10"/>
      <c r="G383" s="10"/>
      <c r="H383" s="10"/>
      <c r="I383" s="10"/>
      <c r="J383" s="10"/>
      <c r="K383" s="12"/>
      <c r="L383" s="10"/>
      <c r="AB383" s="65"/>
      <c r="AC383" s="305" t="s">
        <v>512</v>
      </c>
      <c r="AD383" s="302"/>
      <c r="AE383" s="303"/>
      <c r="AF383" s="301"/>
      <c r="AG383" s="301"/>
      <c r="AH383" s="304"/>
      <c r="AI383" s="1051"/>
      <c r="AJ383" s="306">
        <v>-390.56</v>
      </c>
      <c r="AK383" s="178"/>
      <c r="AL383" s="181"/>
      <c r="AM383" s="95"/>
      <c r="AN383" s="178"/>
      <c r="AO383" s="178"/>
      <c r="AP383" s="96"/>
      <c r="AQ383" s="187"/>
      <c r="AR383" s="178"/>
      <c r="AS383" s="178"/>
      <c r="AT383" s="181"/>
      <c r="AU383" s="95"/>
      <c r="AV383" s="178"/>
      <c r="AW383" s="178"/>
      <c r="AX383" s="181"/>
      <c r="AY383" s="95"/>
      <c r="AZ383" s="178"/>
      <c r="BA383" s="178"/>
      <c r="BB383" s="181"/>
      <c r="BC383" s="95"/>
      <c r="BD383" s="178"/>
      <c r="BE383" s="178"/>
      <c r="BF383" s="181"/>
      <c r="BG383" s="95"/>
      <c r="BH383" s="178"/>
      <c r="BI383" s="178"/>
      <c r="BJ383" s="181"/>
      <c r="BK383" s="95"/>
      <c r="BL383" s="178"/>
      <c r="BM383" s="178"/>
      <c r="BN383" s="181"/>
      <c r="BO383" s="185"/>
      <c r="BP383" s="183"/>
      <c r="BQ383" s="183"/>
      <c r="BR383" s="186"/>
      <c r="BS383" s="185"/>
      <c r="BT383" s="183"/>
      <c r="BU383" s="183"/>
      <c r="BV383" s="186"/>
      <c r="BY383" s="125"/>
      <c r="BZ383" s="126">
        <f t="shared" si="145"/>
        <v>-390.56</v>
      </c>
      <c r="CA383" s="126">
        <f t="shared" si="105"/>
        <v>0</v>
      </c>
      <c r="CB383" s="127">
        <f t="shared" si="106"/>
        <v>0</v>
      </c>
      <c r="CC383" s="776">
        <f t="shared" si="144"/>
        <v>-390.56</v>
      </c>
    </row>
    <row r="384" spans="1:82" ht="48" hidden="1" customHeight="1" outlineLevel="1" x14ac:dyDescent="0.25">
      <c r="A384" s="10" t="e">
        <f t="array" ref="A384">#REF!</f>
        <v>#REF!</v>
      </c>
      <c r="B384" s="5" t="e">
        <f t="array" ref="B384">A384</f>
        <v>#REF!</v>
      </c>
      <c r="C384" s="10" t="s">
        <v>83</v>
      </c>
      <c r="D384" s="10" t="s">
        <v>84</v>
      </c>
      <c r="E384" s="10" t="s">
        <v>73</v>
      </c>
      <c r="F384" s="10" t="s">
        <v>74</v>
      </c>
      <c r="G384" s="10" t="s">
        <v>513</v>
      </c>
      <c r="H384" s="10" t="s">
        <v>73</v>
      </c>
      <c r="I384" s="10" t="s">
        <v>73</v>
      </c>
      <c r="J384" s="10" t="s">
        <v>73</v>
      </c>
      <c r="K384" s="12" t="s">
        <v>73</v>
      </c>
      <c r="L384" s="10" t="s">
        <v>133</v>
      </c>
      <c r="M384" s="5" t="str">
        <f t="array" ref="M384">Y95</f>
        <v>1ХВС::1.1</v>
      </c>
      <c r="AB384" s="65" t="str">
        <f>AB375&amp;".6"</f>
        <v>4.6</v>
      </c>
      <c r="AC384" s="80" t="s">
        <v>513</v>
      </c>
      <c r="AD384" s="51" t="s">
        <v>111</v>
      </c>
      <c r="AE384" s="95"/>
      <c r="AF384" s="178"/>
      <c r="AG384" s="178">
        <v>228401.3</v>
      </c>
      <c r="AH384" s="96"/>
      <c r="AI384" s="187"/>
      <c r="AJ384" s="178"/>
      <c r="AK384" s="178">
        <v>11620.4</v>
      </c>
      <c r="AL384" s="181"/>
      <c r="AM384" s="95"/>
      <c r="AN384" s="178"/>
      <c r="AO384" s="178">
        <v>24652.343000000001</v>
      </c>
      <c r="AP384" s="96">
        <v>-3267.02</v>
      </c>
      <c r="AQ384" s="187"/>
      <c r="AR384" s="178"/>
      <c r="AS384" s="178">
        <v>16203.53</v>
      </c>
      <c r="AT384" s="181">
        <v>-6767.88</v>
      </c>
      <c r="AU384" s="95"/>
      <c r="AV384" s="178"/>
      <c r="AW384" s="178">
        <v>19950.235000000001</v>
      </c>
      <c r="AX384" s="181">
        <v>5839.74</v>
      </c>
      <c r="AY384" s="95"/>
      <c r="AZ384" s="178"/>
      <c r="BA384" s="178">
        <v>24120.25</v>
      </c>
      <c r="BB384" s="181">
        <v>6793.66</v>
      </c>
      <c r="BC384" s="95"/>
      <c r="BD384" s="178"/>
      <c r="BE384" s="178"/>
      <c r="BF384" s="181">
        <v>-4633.09</v>
      </c>
      <c r="BG384" s="95"/>
      <c r="BH384" s="178"/>
      <c r="BI384" s="178"/>
      <c r="BJ384" s="181">
        <v>-10654.38</v>
      </c>
      <c r="BK384" s="95">
        <v>59212.93</v>
      </c>
      <c r="BL384" s="178">
        <v>0</v>
      </c>
      <c r="BM384" s="178">
        <v>0</v>
      </c>
      <c r="BN384" s="181">
        <v>3987.56</v>
      </c>
      <c r="BO384" s="185"/>
      <c r="BP384" s="183"/>
      <c r="BQ384" s="183">
        <v>854.20399999999995</v>
      </c>
      <c r="BR384" s="186">
        <v>-122.79</v>
      </c>
      <c r="BS384" s="185"/>
      <c r="BT384" s="183">
        <v>2443.16</v>
      </c>
      <c r="BU384" s="183"/>
      <c r="BV384" s="186">
        <v>-1280.52</v>
      </c>
      <c r="BY384" s="125">
        <f t="shared" ref="BY384:BY391" si="146">AE384+AI384+AM384+AQ384+AU384+AY384+BC384+BG384+BK384+BO384+BS384</f>
        <v>59212.93</v>
      </c>
      <c r="BZ384" s="126">
        <f t="shared" si="145"/>
        <v>2443.16</v>
      </c>
      <c r="CA384" s="126">
        <f t="shared" si="105"/>
        <v>325802.26200000005</v>
      </c>
      <c r="CB384" s="127">
        <f t="shared" si="106"/>
        <v>-10104.720000000001</v>
      </c>
      <c r="CC384" s="1030">
        <f t="shared" ref="CC384" si="147">AI384+AM384+AQ384+AU384+AY384+BC384+BG384+BK384+BO384+BS384+BW384</f>
        <v>59212.93</v>
      </c>
    </row>
    <row r="385" spans="1:81" s="171" customFormat="1" ht="22.5" customHeight="1" collapsed="1" x14ac:dyDescent="0.25">
      <c r="A385" s="167" t="b">
        <f>REGULATION_METHODS="Метод индексации"</f>
        <v>1</v>
      </c>
      <c r="B385" s="166" t="b">
        <f t="array" ref="B385">A385</f>
        <v>1</v>
      </c>
      <c r="C385" s="167" t="s">
        <v>83</v>
      </c>
      <c r="D385" s="167" t="s">
        <v>84</v>
      </c>
      <c r="E385" s="167" t="s">
        <v>73</v>
      </c>
      <c r="F385" s="167" t="s">
        <v>74</v>
      </c>
      <c r="G385" s="167" t="s">
        <v>514</v>
      </c>
      <c r="H385" s="167" t="s">
        <v>73</v>
      </c>
      <c r="I385" s="167" t="s">
        <v>73</v>
      </c>
      <c r="J385" s="167" t="s">
        <v>73</v>
      </c>
      <c r="K385" s="168" t="s">
        <v>73</v>
      </c>
      <c r="L385" s="167" t="s">
        <v>133</v>
      </c>
      <c r="M385" s="166" t="str">
        <f t="array" ref="M385">Y95</f>
        <v>1ХВС::1.1</v>
      </c>
      <c r="N385" s="166"/>
      <c r="O385" s="166"/>
      <c r="P385" s="166"/>
      <c r="Q385" s="166"/>
      <c r="R385" s="166"/>
      <c r="S385" s="166"/>
      <c r="T385" s="166"/>
      <c r="U385" s="166"/>
      <c r="V385" s="166"/>
      <c r="W385" s="166"/>
      <c r="X385" s="166"/>
      <c r="Y385" s="166"/>
      <c r="Z385" s="166"/>
      <c r="AA385" s="166"/>
      <c r="AB385" s="155">
        <f>COUNT(AB375,AB141,AB98)+2</f>
        <v>5</v>
      </c>
      <c r="AC385" s="156" t="s">
        <v>515</v>
      </c>
      <c r="AD385" s="157" t="s">
        <v>111</v>
      </c>
      <c r="AE385" s="307"/>
      <c r="AF385" s="262">
        <v>-18490</v>
      </c>
      <c r="AG385" s="262"/>
      <c r="AH385" s="308"/>
      <c r="AI385" s="1052"/>
      <c r="AJ385" s="262"/>
      <c r="AK385" s="262"/>
      <c r="AL385" s="309">
        <v>-410</v>
      </c>
      <c r="AM385" s="307"/>
      <c r="AN385" s="262">
        <v>245</v>
      </c>
      <c r="AO385" s="262"/>
      <c r="AP385" s="308"/>
      <c r="AQ385" s="1052"/>
      <c r="AR385" s="262"/>
      <c r="AS385" s="262"/>
      <c r="AT385" s="309"/>
      <c r="AU385" s="307"/>
      <c r="AV385" s="262">
        <v>1000</v>
      </c>
      <c r="AW385" s="262"/>
      <c r="AX385" s="309"/>
      <c r="AY385" s="307"/>
      <c r="AZ385" s="262"/>
      <c r="BA385" s="262"/>
      <c r="BB385" s="309"/>
      <c r="BC385" s="307"/>
      <c r="BD385" s="262">
        <v>1000</v>
      </c>
      <c r="BE385" s="262"/>
      <c r="BF385" s="309">
        <v>0</v>
      </c>
      <c r="BG385" s="307"/>
      <c r="BH385" s="262"/>
      <c r="BI385" s="262"/>
      <c r="BJ385" s="309">
        <v>0</v>
      </c>
      <c r="BK385" s="307"/>
      <c r="BL385" s="262">
        <v>-32000</v>
      </c>
      <c r="BM385" s="262">
        <v>0</v>
      </c>
      <c r="BN385" s="309">
        <v>32000</v>
      </c>
      <c r="BO385" s="312"/>
      <c r="BP385" s="265">
        <v>-9000</v>
      </c>
      <c r="BQ385" s="265"/>
      <c r="BR385" s="313">
        <v>9000</v>
      </c>
      <c r="BS385" s="312"/>
      <c r="BT385" s="265">
        <v>-11000</v>
      </c>
      <c r="BU385" s="265"/>
      <c r="BV385" s="313">
        <v>11000</v>
      </c>
      <c r="BW385" s="170"/>
      <c r="BX385" s="166"/>
      <c r="BY385" s="163">
        <f t="shared" si="146"/>
        <v>0</v>
      </c>
      <c r="BZ385" s="164">
        <f t="shared" si="145"/>
        <v>-68245</v>
      </c>
      <c r="CA385" s="164">
        <f t="shared" ref="CA385:CB391" si="148">AG385+AK385+AO385+AS385+AW385+BA385+BE385+BI385+BM385+BQ385+BU385</f>
        <v>0</v>
      </c>
      <c r="CB385" s="165">
        <f t="shared" si="148"/>
        <v>51590</v>
      </c>
      <c r="CC385" s="760"/>
    </row>
    <row r="386" spans="1:81" s="171" customFormat="1" ht="35.25" customHeight="1" x14ac:dyDescent="0.25">
      <c r="A386" s="166"/>
      <c r="B386" s="166"/>
      <c r="C386" s="167" t="s">
        <v>83</v>
      </c>
      <c r="D386" s="167" t="s">
        <v>84</v>
      </c>
      <c r="E386" s="167" t="s">
        <v>73</v>
      </c>
      <c r="F386" s="167" t="s">
        <v>74</v>
      </c>
      <c r="G386" s="314" t="s">
        <v>516</v>
      </c>
      <c r="H386" s="167" t="s">
        <v>73</v>
      </c>
      <c r="I386" s="167" t="s">
        <v>73</v>
      </c>
      <c r="J386" s="167" t="s">
        <v>73</v>
      </c>
      <c r="K386" s="168" t="s">
        <v>73</v>
      </c>
      <c r="L386" s="315" t="s">
        <v>73</v>
      </c>
      <c r="M386" s="166" t="str">
        <f t="array" ref="M386">Y95</f>
        <v>1ХВС::1.1</v>
      </c>
      <c r="N386" s="166"/>
      <c r="O386" s="166"/>
      <c r="P386" s="166"/>
      <c r="Q386" s="166"/>
      <c r="R386" s="166"/>
      <c r="S386" s="166"/>
      <c r="T386" s="166"/>
      <c r="U386" s="166"/>
      <c r="V386" s="166"/>
      <c r="W386" s="166"/>
      <c r="X386" s="166"/>
      <c r="Y386" s="166"/>
      <c r="Z386" s="166"/>
      <c r="AA386" s="166"/>
      <c r="AB386" s="155">
        <f>COUNT(AB375,AB141,AB98,AB385,#REF!)+2</f>
        <v>6</v>
      </c>
      <c r="AC386" s="156" t="s">
        <v>517</v>
      </c>
      <c r="AD386" s="157" t="s">
        <v>111</v>
      </c>
      <c r="AE386" s="307"/>
      <c r="AF386" s="262"/>
      <c r="AG386" s="262"/>
      <c r="AH386" s="308">
        <f>AH388</f>
        <v>37350</v>
      </c>
      <c r="AI386" s="1052"/>
      <c r="AJ386" s="262"/>
      <c r="AK386" s="262"/>
      <c r="AL386" s="309"/>
      <c r="AM386" s="307"/>
      <c r="AN386" s="262">
        <v>-1272.18</v>
      </c>
      <c r="AO386" s="262"/>
      <c r="AP386" s="308">
        <f>AP388</f>
        <v>15348.26</v>
      </c>
      <c r="AQ386" s="1052">
        <f>AQ388</f>
        <v>0</v>
      </c>
      <c r="AR386" s="262">
        <f>AR388</f>
        <v>0</v>
      </c>
      <c r="AS386" s="262">
        <f>AS388</f>
        <v>0</v>
      </c>
      <c r="AT386" s="309">
        <f>AT388</f>
        <v>15894.18</v>
      </c>
      <c r="AU386" s="307"/>
      <c r="AV386" s="262">
        <f t="shared" ref="AV386:BB386" si="149">AV388</f>
        <v>-7488.5829999999996</v>
      </c>
      <c r="AW386" s="262">
        <f t="shared" si="149"/>
        <v>0</v>
      </c>
      <c r="AX386" s="309">
        <f t="shared" si="149"/>
        <v>24944.560000000001</v>
      </c>
      <c r="AY386" s="307">
        <f t="shared" si="149"/>
        <v>0</v>
      </c>
      <c r="AZ386" s="262">
        <f t="shared" si="149"/>
        <v>-9374.2199999999993</v>
      </c>
      <c r="BA386" s="262">
        <f t="shared" si="149"/>
        <v>0</v>
      </c>
      <c r="BB386" s="309">
        <f t="shared" si="149"/>
        <v>16323.03</v>
      </c>
      <c r="BC386" s="307"/>
      <c r="BD386" s="262">
        <f>BD388</f>
        <v>11548.32</v>
      </c>
      <c r="BE386" s="262"/>
      <c r="BF386" s="309">
        <f>BF388</f>
        <v>29227.86</v>
      </c>
      <c r="BG386" s="307"/>
      <c r="BH386" s="262">
        <f>BH388</f>
        <v>43478.745000000003</v>
      </c>
      <c r="BI386" s="262"/>
      <c r="BJ386" s="309">
        <f>BJ388</f>
        <v>26980.53</v>
      </c>
      <c r="BK386" s="307"/>
      <c r="BL386" s="262">
        <v>-26132.01</v>
      </c>
      <c r="BM386" s="262"/>
      <c r="BN386" s="309">
        <f>BN388</f>
        <v>-79513.27</v>
      </c>
      <c r="BO386" s="312"/>
      <c r="BP386" s="265">
        <f>BP387+BP388</f>
        <v>-15666.35</v>
      </c>
      <c r="BQ386" s="265">
        <f>BQ387+BQ388</f>
        <v>0</v>
      </c>
      <c r="BR386" s="313">
        <f>BR387+BR388</f>
        <v>-44805.69</v>
      </c>
      <c r="BS386" s="312"/>
      <c r="BT386" s="265">
        <f>BT387+BT388</f>
        <v>-21213.07</v>
      </c>
      <c r="BU386" s="265"/>
      <c r="BV386" s="313">
        <f>BV387+BV388</f>
        <v>-41065.550000000003</v>
      </c>
      <c r="BW386" s="170"/>
      <c r="BX386" s="166"/>
      <c r="BY386" s="163">
        <f t="shared" si="146"/>
        <v>0</v>
      </c>
      <c r="BZ386" s="164">
        <f t="shared" si="145"/>
        <v>-26119.347999999998</v>
      </c>
      <c r="CA386" s="164">
        <f t="shared" si="148"/>
        <v>0</v>
      </c>
      <c r="CB386" s="165">
        <f t="shared" si="148"/>
        <v>683.91000000000349</v>
      </c>
      <c r="CC386" s="760"/>
    </row>
    <row r="387" spans="1:81" ht="30.75" customHeight="1" x14ac:dyDescent="0.25">
      <c r="C387" s="316" t="s">
        <v>83</v>
      </c>
      <c r="D387" s="316" t="s">
        <v>84</v>
      </c>
      <c r="E387" s="316" t="s">
        <v>73</v>
      </c>
      <c r="F387" s="316" t="s">
        <v>74</v>
      </c>
      <c r="G387" s="316" t="s">
        <v>518</v>
      </c>
      <c r="H387" s="316" t="s">
        <v>73</v>
      </c>
      <c r="I387" s="316" t="s">
        <v>73</v>
      </c>
      <c r="J387" s="316" t="s">
        <v>73</v>
      </c>
      <c r="K387" s="317" t="s">
        <v>73</v>
      </c>
      <c r="L387" s="316" t="s">
        <v>73</v>
      </c>
      <c r="M387" s="5" t="str">
        <f t="array" ref="M387">Y95</f>
        <v>1ХВС::1.1</v>
      </c>
      <c r="AB387" s="29" t="str">
        <f>AB386&amp;".1"</f>
        <v>6.1</v>
      </c>
      <c r="AC387" s="80" t="s">
        <v>518</v>
      </c>
      <c r="AD387" s="51" t="s">
        <v>111</v>
      </c>
      <c r="AE387" s="95"/>
      <c r="AF387" s="178"/>
      <c r="AG387" s="178"/>
      <c r="AH387" s="96"/>
      <c r="AI387" s="187"/>
      <c r="AJ387" s="178"/>
      <c r="AK387" s="178"/>
      <c r="AL387" s="181"/>
      <c r="AM387" s="95"/>
      <c r="AN387" s="178"/>
      <c r="AO387" s="178"/>
      <c r="AP387" s="96"/>
      <c r="AQ387" s="187"/>
      <c r="AR387" s="178"/>
      <c r="AS387" s="178"/>
      <c r="AT387" s="181"/>
      <c r="AU387" s="95"/>
      <c r="AV387" s="178"/>
      <c r="AW387" s="178"/>
      <c r="AX387" s="181"/>
      <c r="AY387" s="95"/>
      <c r="AZ387" s="178"/>
      <c r="BA387" s="178"/>
      <c r="BB387" s="181"/>
      <c r="BC387" s="95"/>
      <c r="BD387" s="178"/>
      <c r="BE387" s="178"/>
      <c r="BF387" s="181"/>
      <c r="BG387" s="95"/>
      <c r="BH387" s="178"/>
      <c r="BI387" s="178"/>
      <c r="BJ387" s="181"/>
      <c r="BK387" s="95"/>
      <c r="BL387" s="178"/>
      <c r="BM387" s="178"/>
      <c r="BN387" s="181"/>
      <c r="BO387" s="185"/>
      <c r="BP387" s="183"/>
      <c r="BQ387" s="183"/>
      <c r="BR387" s="186"/>
      <c r="BS387" s="185"/>
      <c r="BT387" s="183"/>
      <c r="BU387" s="183"/>
      <c r="BV387" s="186"/>
      <c r="BY387" s="125">
        <f t="shared" si="146"/>
        <v>0</v>
      </c>
      <c r="BZ387" s="126">
        <f t="shared" si="145"/>
        <v>0</v>
      </c>
      <c r="CA387" s="126">
        <f t="shared" si="148"/>
        <v>0</v>
      </c>
      <c r="CB387" s="127">
        <f t="shared" si="148"/>
        <v>0</v>
      </c>
    </row>
    <row r="388" spans="1:81" ht="30.75" customHeight="1" x14ac:dyDescent="0.25">
      <c r="C388" s="316" t="s">
        <v>83</v>
      </c>
      <c r="D388" s="316" t="s">
        <v>84</v>
      </c>
      <c r="E388" s="316" t="s">
        <v>73</v>
      </c>
      <c r="F388" s="316" t="s">
        <v>74</v>
      </c>
      <c r="G388" s="316" t="s">
        <v>519</v>
      </c>
      <c r="H388" s="316" t="s">
        <v>73</v>
      </c>
      <c r="I388" s="316" t="s">
        <v>73</v>
      </c>
      <c r="J388" s="316" t="s">
        <v>73</v>
      </c>
      <c r="K388" s="317" t="s">
        <v>73</v>
      </c>
      <c r="L388" s="316" t="s">
        <v>73</v>
      </c>
      <c r="M388" s="5" t="str">
        <f t="array" ref="M388">Y95</f>
        <v>1ХВС::1.1</v>
      </c>
      <c r="AB388" s="29" t="str">
        <f>AB386&amp;".2"</f>
        <v>6.2</v>
      </c>
      <c r="AC388" s="80" t="s">
        <v>519</v>
      </c>
      <c r="AD388" s="51" t="s">
        <v>111</v>
      </c>
      <c r="AE388" s="95"/>
      <c r="AF388" s="178"/>
      <c r="AG388" s="178"/>
      <c r="AH388" s="96">
        <v>37350</v>
      </c>
      <c r="AI388" s="187"/>
      <c r="AJ388" s="178"/>
      <c r="AK388" s="178"/>
      <c r="AL388" s="181"/>
      <c r="AM388" s="95"/>
      <c r="AN388" s="178">
        <v>-1272.18</v>
      </c>
      <c r="AO388" s="178"/>
      <c r="AP388" s="96">
        <v>15348.26</v>
      </c>
      <c r="AQ388" s="187"/>
      <c r="AR388" s="178"/>
      <c r="AS388" s="178"/>
      <c r="AT388" s="181">
        <v>15894.18</v>
      </c>
      <c r="AU388" s="95"/>
      <c r="AV388" s="178">
        <v>-7488.5829999999996</v>
      </c>
      <c r="AW388" s="178"/>
      <c r="AX388" s="181">
        <v>24944.560000000001</v>
      </c>
      <c r="AY388" s="95"/>
      <c r="AZ388" s="178">
        <v>-9374.2199999999993</v>
      </c>
      <c r="BA388" s="178"/>
      <c r="BB388" s="181">
        <v>16323.03</v>
      </c>
      <c r="BC388" s="95"/>
      <c r="BD388" s="178">
        <v>11548.32</v>
      </c>
      <c r="BE388" s="178"/>
      <c r="BF388" s="181">
        <v>29227.86</v>
      </c>
      <c r="BG388" s="95"/>
      <c r="BH388" s="178">
        <v>43478.745000000003</v>
      </c>
      <c r="BI388" s="178"/>
      <c r="BJ388" s="181">
        <f>26980.53</f>
        <v>26980.53</v>
      </c>
      <c r="BK388" s="95"/>
      <c r="BL388" s="178">
        <v>-26132.01</v>
      </c>
      <c r="BM388" s="178"/>
      <c r="BN388" s="181">
        <v>-79513.27</v>
      </c>
      <c r="BO388" s="185"/>
      <c r="BP388" s="183">
        <v>-15666.35</v>
      </c>
      <c r="BQ388" s="183"/>
      <c r="BR388" s="186">
        <v>-44805.69</v>
      </c>
      <c r="BS388" s="185"/>
      <c r="BT388" s="183">
        <v>-21213.07</v>
      </c>
      <c r="BU388" s="183"/>
      <c r="BV388" s="186">
        <v>-41065.550000000003</v>
      </c>
      <c r="BY388" s="125">
        <f t="shared" si="146"/>
        <v>0</v>
      </c>
      <c r="BZ388" s="126">
        <f>AF388+AJ388+AN388+AR388+AV388+AZ388+BD388+BH388+BL388+BP388+BT388</f>
        <v>-26119.347999999998</v>
      </c>
      <c r="CA388" s="126">
        <f t="shared" si="148"/>
        <v>0</v>
      </c>
      <c r="CB388" s="127">
        <f t="shared" si="148"/>
        <v>683.91000000000349</v>
      </c>
    </row>
    <row r="389" spans="1:81" s="171" customFormat="1" ht="30.75" customHeight="1" x14ac:dyDescent="0.25">
      <c r="A389" s="166"/>
      <c r="B389" s="166"/>
      <c r="C389" s="321" t="s">
        <v>83</v>
      </c>
      <c r="D389" s="315" t="s">
        <v>84</v>
      </c>
      <c r="E389" s="315" t="s">
        <v>73</v>
      </c>
      <c r="F389" s="315" t="s">
        <v>74</v>
      </c>
      <c r="G389" s="315" t="s">
        <v>520</v>
      </c>
      <c r="H389" s="315" t="s">
        <v>73</v>
      </c>
      <c r="I389" s="315" t="s">
        <v>73</v>
      </c>
      <c r="J389" s="315" t="s">
        <v>73</v>
      </c>
      <c r="K389" s="322" t="s">
        <v>73</v>
      </c>
      <c r="L389" s="315" t="s">
        <v>73</v>
      </c>
      <c r="M389" s="166" t="str">
        <f t="array" ref="M389">Y95</f>
        <v>1ХВС::1.1</v>
      </c>
      <c r="N389" s="166"/>
      <c r="O389" s="166"/>
      <c r="P389" s="166"/>
      <c r="Q389" s="166"/>
      <c r="R389" s="166"/>
      <c r="S389" s="166"/>
      <c r="T389" s="166"/>
      <c r="U389" s="166"/>
      <c r="V389" s="166"/>
      <c r="W389" s="166"/>
      <c r="X389" s="166"/>
      <c r="Y389" s="166"/>
      <c r="Z389" s="166"/>
      <c r="AA389" s="166"/>
      <c r="AB389" s="323">
        <f>COUNT(AB375,AB141,AB98,AB385,#REF!,AB386,#REF!)+2</f>
        <v>7</v>
      </c>
      <c r="AC389" s="324" t="s">
        <v>520</v>
      </c>
      <c r="AD389" s="777" t="s">
        <v>111</v>
      </c>
      <c r="AE389" s="329"/>
      <c r="AF389" s="330"/>
      <c r="AG389" s="330"/>
      <c r="AH389" s="331"/>
      <c r="AI389" s="682"/>
      <c r="AJ389" s="330"/>
      <c r="AK389" s="330"/>
      <c r="AL389" s="332"/>
      <c r="AM389" s="329"/>
      <c r="AN389" s="330"/>
      <c r="AO389" s="330"/>
      <c r="AP389" s="331"/>
      <c r="AQ389" s="682"/>
      <c r="AR389" s="330"/>
      <c r="AS389" s="330"/>
      <c r="AT389" s="332"/>
      <c r="AU389" s="329"/>
      <c r="AV389" s="330"/>
      <c r="AW389" s="330"/>
      <c r="AX389" s="332"/>
      <c r="AY389" s="329"/>
      <c r="AZ389" s="330"/>
      <c r="BA389" s="330"/>
      <c r="BB389" s="332"/>
      <c r="BC389" s="329"/>
      <c r="BD389" s="330"/>
      <c r="BE389" s="330"/>
      <c r="BF389" s="332"/>
      <c r="BG389" s="329"/>
      <c r="BH389" s="330"/>
      <c r="BI389" s="330"/>
      <c r="BJ389" s="332"/>
      <c r="BK389" s="329"/>
      <c r="BL389" s="330"/>
      <c r="BM389" s="330"/>
      <c r="BN389" s="332"/>
      <c r="BO389" s="336"/>
      <c r="BP389" s="334"/>
      <c r="BQ389" s="334"/>
      <c r="BR389" s="337"/>
      <c r="BS389" s="336"/>
      <c r="BT389" s="334"/>
      <c r="BU389" s="334"/>
      <c r="BV389" s="337"/>
      <c r="BW389" s="170"/>
      <c r="BX389" s="166"/>
      <c r="BY389" s="125">
        <f t="shared" si="146"/>
        <v>0</v>
      </c>
      <c r="BZ389" s="126">
        <f t="shared" si="145"/>
        <v>0</v>
      </c>
      <c r="CA389" s="126">
        <f t="shared" si="148"/>
        <v>0</v>
      </c>
      <c r="CB389" s="127">
        <f t="shared" si="148"/>
        <v>0</v>
      </c>
      <c r="CC389" s="760"/>
    </row>
    <row r="390" spans="1:81" s="171" customFormat="1" ht="37.5" customHeight="1" thickBot="1" x14ac:dyDescent="0.3">
      <c r="A390" s="166"/>
      <c r="B390" s="166"/>
      <c r="C390" s="321" t="s">
        <v>83</v>
      </c>
      <c r="D390" s="315" t="s">
        <v>84</v>
      </c>
      <c r="E390" s="315" t="s">
        <v>73</v>
      </c>
      <c r="F390" s="315" t="s">
        <v>74</v>
      </c>
      <c r="G390" s="315" t="s">
        <v>521</v>
      </c>
      <c r="H390" s="315" t="s">
        <v>73</v>
      </c>
      <c r="I390" s="315" t="s">
        <v>73</v>
      </c>
      <c r="J390" s="315" t="s">
        <v>73</v>
      </c>
      <c r="K390" s="322" t="s">
        <v>73</v>
      </c>
      <c r="L390" s="315" t="s">
        <v>73</v>
      </c>
      <c r="M390" s="166" t="str">
        <f t="array" ref="M390">Y95</f>
        <v>1ХВС::1.1</v>
      </c>
      <c r="N390" s="166"/>
      <c r="O390" s="166"/>
      <c r="P390" s="166"/>
      <c r="Q390" s="166"/>
      <c r="R390" s="166"/>
      <c r="S390" s="166"/>
      <c r="T390" s="166"/>
      <c r="U390" s="166"/>
      <c r="V390" s="166"/>
      <c r="W390" s="166"/>
      <c r="X390" s="166"/>
      <c r="Y390" s="166"/>
      <c r="Z390" s="166"/>
      <c r="AA390" s="166"/>
      <c r="AB390" s="338">
        <f>COUNT(AB375,AB141,AB98,AB385,#REF!,AB386,AB389,#REF!)+2</f>
        <v>8</v>
      </c>
      <c r="AC390" s="339" t="s">
        <v>521</v>
      </c>
      <c r="AD390" s="778" t="s">
        <v>111</v>
      </c>
      <c r="AE390" s="879"/>
      <c r="AF390" s="880"/>
      <c r="AG390" s="880"/>
      <c r="AH390" s="939"/>
      <c r="AI390" s="940"/>
      <c r="AJ390" s="880"/>
      <c r="AK390" s="880"/>
      <c r="AL390" s="881"/>
      <c r="AM390" s="879"/>
      <c r="AN390" s="880"/>
      <c r="AO390" s="880"/>
      <c r="AP390" s="939"/>
      <c r="AQ390" s="940"/>
      <c r="AR390" s="880"/>
      <c r="AS390" s="880"/>
      <c r="AT390" s="881"/>
      <c r="AU390" s="879"/>
      <c r="AV390" s="880"/>
      <c r="AW390" s="880"/>
      <c r="AX390" s="881"/>
      <c r="AY390" s="879"/>
      <c r="AZ390" s="880"/>
      <c r="BA390" s="880"/>
      <c r="BB390" s="881"/>
      <c r="BC390" s="879"/>
      <c r="BD390" s="880"/>
      <c r="BE390" s="880"/>
      <c r="BF390" s="881"/>
      <c r="BG390" s="879"/>
      <c r="BH390" s="880"/>
      <c r="BI390" s="880"/>
      <c r="BJ390" s="881"/>
      <c r="BK390" s="879"/>
      <c r="BL390" s="880"/>
      <c r="BM390" s="880"/>
      <c r="BN390" s="881"/>
      <c r="BO390" s="882"/>
      <c r="BP390" s="883"/>
      <c r="BQ390" s="883"/>
      <c r="BR390" s="885"/>
      <c r="BS390" s="882"/>
      <c r="BT390" s="883"/>
      <c r="BU390" s="883"/>
      <c r="BV390" s="885"/>
      <c r="BW390" s="170"/>
      <c r="BX390" s="166"/>
      <c r="BY390" s="779">
        <f t="shared" si="146"/>
        <v>0</v>
      </c>
      <c r="BZ390" s="780">
        <f t="shared" si="145"/>
        <v>0</v>
      </c>
      <c r="CA390" s="780">
        <f t="shared" si="148"/>
        <v>0</v>
      </c>
      <c r="CB390" s="781">
        <f t="shared" si="148"/>
        <v>0</v>
      </c>
      <c r="CC390" s="760"/>
    </row>
    <row r="391" spans="1:81" s="171" customFormat="1" ht="27.75" customHeight="1" thickBot="1" x14ac:dyDescent="0.3">
      <c r="A391" s="166"/>
      <c r="B391" s="166"/>
      <c r="C391" s="167" t="s">
        <v>83</v>
      </c>
      <c r="D391" s="167" t="s">
        <v>84</v>
      </c>
      <c r="E391" s="167" t="s">
        <v>73</v>
      </c>
      <c r="F391" s="167" t="s">
        <v>74</v>
      </c>
      <c r="G391" s="167" t="s">
        <v>85</v>
      </c>
      <c r="H391" s="167" t="s">
        <v>73</v>
      </c>
      <c r="I391" s="167" t="s">
        <v>73</v>
      </c>
      <c r="J391" s="167" t="s">
        <v>73</v>
      </c>
      <c r="K391" s="168" t="s">
        <v>73</v>
      </c>
      <c r="L391" s="167" t="s">
        <v>133</v>
      </c>
      <c r="M391" s="166" t="str">
        <f t="array" ref="M391">Y95</f>
        <v>1ХВС::1.1</v>
      </c>
      <c r="N391" s="166"/>
      <c r="O391" s="166"/>
      <c r="P391" s="166"/>
      <c r="Q391" s="166"/>
      <c r="R391" s="166"/>
      <c r="S391" s="166"/>
      <c r="T391" s="166"/>
      <c r="U391" s="166"/>
      <c r="V391" s="166"/>
      <c r="W391" s="166"/>
      <c r="X391" s="166"/>
      <c r="Y391" s="166"/>
      <c r="Z391" s="166"/>
      <c r="AA391" s="166"/>
      <c r="AB391" s="350">
        <f>COUNT(AB375,AB141,AB98,AB385,#REF!,AB386,AB389,AB390,#REF!)+2</f>
        <v>9</v>
      </c>
      <c r="AC391" s="351" t="s">
        <v>522</v>
      </c>
      <c r="AD391" s="352" t="s">
        <v>111</v>
      </c>
      <c r="AE391" s="1053">
        <f>AE142+AE371+AE372+AE375+AE385+AE386</f>
        <v>1611478.3340580531</v>
      </c>
      <c r="AF391" s="1054">
        <f>AF142+AF371+AF372+AF375+AF385+AF386</f>
        <v>1380762.2273414219</v>
      </c>
      <c r="AG391" s="1054">
        <f>AG142+AG371+AG372+AG375+AG385+AG386</f>
        <v>2336602.7407540255</v>
      </c>
      <c r="AH391" s="1055">
        <f>AH142+AH371+AH372+AH375+AH385-AH386</f>
        <v>1583763.06446</v>
      </c>
      <c r="AI391" s="1053">
        <f t="shared" ref="AI391:AO391" si="150">AI142+AI371+AI372+AI375+AI385+AI386</f>
        <v>19586.074429200002</v>
      </c>
      <c r="AJ391" s="1054">
        <f t="shared" si="150"/>
        <v>6638.57</v>
      </c>
      <c r="AK391" s="1054">
        <f t="shared" si="150"/>
        <v>37581.580945100002</v>
      </c>
      <c r="AL391" s="1060">
        <f>AL142+AL371+AL372+AL375+AL385+AL386</f>
        <v>8084.5392200000006</v>
      </c>
      <c r="AM391" s="1053">
        <f t="shared" si="150"/>
        <v>64126.684430819994</v>
      </c>
      <c r="AN391" s="1054">
        <f t="shared" si="150"/>
        <v>34845.466098839999</v>
      </c>
      <c r="AO391" s="1054">
        <f t="shared" si="150"/>
        <v>105297.85289440001</v>
      </c>
      <c r="AP391" s="1054">
        <f>AP142+AP371+AP372+AP375+AP385-AP386</f>
        <v>34156.401949000006</v>
      </c>
      <c r="AQ391" s="1053">
        <f>AQ142+AQ371+AQ372+AQ375+AQ385+AQ386</f>
        <v>69469.992562080006</v>
      </c>
      <c r="AR391" s="1054">
        <f>AR142+AR371+AR372+AR375+AR385+AR386</f>
        <v>46271.447376972006</v>
      </c>
      <c r="AS391" s="1054">
        <f>AS142+AS371+AS372+AS375+AS385+AS386</f>
        <v>112218.46419997999</v>
      </c>
      <c r="AT391" s="1054">
        <f>AT142+AT371+AT372+AT375+AT385-AT386</f>
        <v>51859.067980640008</v>
      </c>
      <c r="AU391" s="1053">
        <f>AU142+AU371+AU372+AU375+AU385+AU386</f>
        <v>32157.999299119998</v>
      </c>
      <c r="AV391" s="1054">
        <f>AV142+AV371+AV372+AV375+AV385+AV386</f>
        <v>7325.0286952000015</v>
      </c>
      <c r="AW391" s="1054">
        <f>AW142+AW371+AW372+AW375+AW385+AW386</f>
        <v>61904.749328000005</v>
      </c>
      <c r="AX391" s="1060">
        <f>AX142+AX371+AX372+AX375+AX385-AX386</f>
        <v>8140.2407469600039</v>
      </c>
      <c r="AY391" s="1053">
        <f>AY142+AY371+AY372+AY375+AY385+AY386</f>
        <v>86959.794469900022</v>
      </c>
      <c r="AZ391" s="1054">
        <f>AZ142+AZ371+AZ372+AZ375+AZ385+AZ386</f>
        <v>68089.755503769993</v>
      </c>
      <c r="BA391" s="1054">
        <f>BA142+BA371+BA372+BA375+BA385+BA386</f>
        <v>144087.11742596998</v>
      </c>
      <c r="BB391" s="1061">
        <f>BB142+BB371+BB372+BB375+BB385-BB386</f>
        <v>70576.082636305015</v>
      </c>
      <c r="BC391" s="1062">
        <f>BC142+BC371+BC372+BC375+BC385+BC386</f>
        <v>61298.975146209996</v>
      </c>
      <c r="BD391" s="1054">
        <f>BD142+BD371+BD372+BD375+BD385-BD386</f>
        <v>13618.817903200001</v>
      </c>
      <c r="BE391" s="1060">
        <f>BE142+BE371+BE372+BE375+BE385+BE386</f>
        <v>67277.24303920001</v>
      </c>
      <c r="BF391" s="1060">
        <f>BF142+BF371+BF372+BF375+BF385-BF386</f>
        <v>15718.469165799994</v>
      </c>
      <c r="BG391" s="1053">
        <f>BG142+BG371+BG372+BG375+BG385+BG386</f>
        <v>114764.74250909498</v>
      </c>
      <c r="BH391" s="1054">
        <f>BH142+BH371+BH372+BH375+BH385-BH386</f>
        <v>85404.302288999985</v>
      </c>
      <c r="BI391" s="1054">
        <f>BI142+BI371+BI372+BI375+BI385+BI386</f>
        <v>155405.89157494999</v>
      </c>
      <c r="BJ391" s="1063">
        <f>BJ142+BJ371+BJ372+BJ375-BJ386</f>
        <v>96535.819641658745</v>
      </c>
      <c r="BK391" s="1053">
        <f t="shared" ref="BK391:BV391" si="151">BK142+BK371+BK372+BK375+BK385+BK386</f>
        <v>226743.87175359996</v>
      </c>
      <c r="BL391" s="1054">
        <f t="shared" si="151"/>
        <v>78301.740000000005</v>
      </c>
      <c r="BM391" s="1054">
        <f t="shared" si="151"/>
        <v>198835.967925</v>
      </c>
      <c r="BN391" s="1061">
        <f t="shared" si="151"/>
        <v>90067.023799999981</v>
      </c>
      <c r="BO391" s="1062">
        <f t="shared" si="151"/>
        <v>34090.336577499998</v>
      </c>
      <c r="BP391" s="1054">
        <f t="shared" si="151"/>
        <v>4629.7796760000037</v>
      </c>
      <c r="BQ391" s="1054">
        <f t="shared" si="151"/>
        <v>38617.25664688</v>
      </c>
      <c r="BR391" s="1060">
        <f t="shared" si="151"/>
        <v>5312.6371962543926</v>
      </c>
      <c r="BS391" s="1053">
        <f t="shared" si="151"/>
        <v>32257.124699309996</v>
      </c>
      <c r="BT391" s="1054">
        <f t="shared" si="151"/>
        <v>9629.227575200006</v>
      </c>
      <c r="BU391" s="1054">
        <f t="shared" si="151"/>
        <v>46040.571460199993</v>
      </c>
      <c r="BV391" s="1061">
        <f t="shared" si="151"/>
        <v>11049.478320000002</v>
      </c>
      <c r="BW391" s="170"/>
      <c r="BX391" s="166"/>
      <c r="BY391" s="782">
        <f t="shared" si="146"/>
        <v>2352933.9299348881</v>
      </c>
      <c r="BZ391" s="783">
        <f t="shared" si="145"/>
        <v>1735516.3624596039</v>
      </c>
      <c r="CA391" s="783">
        <f t="shared" si="148"/>
        <v>3303869.4361937055</v>
      </c>
      <c r="CB391" s="784">
        <f t="shared" si="148"/>
        <v>1975262.8251166183</v>
      </c>
      <c r="CC391" s="760"/>
    </row>
    <row r="392" spans="1:81" s="171" customFormat="1" ht="15.75" customHeight="1" x14ac:dyDescent="0.25">
      <c r="A392" s="167" t="b">
        <f>$W95="одноставочный"</f>
        <v>1</v>
      </c>
      <c r="B392" s="166" t="b">
        <f t="array" ref="B392">A392</f>
        <v>1</v>
      </c>
      <c r="C392" s="167" t="s">
        <v>90</v>
      </c>
      <c r="D392" s="167" t="s">
        <v>91</v>
      </c>
      <c r="E392" s="167" t="s">
        <v>73</v>
      </c>
      <c r="F392" s="167" t="s">
        <v>74</v>
      </c>
      <c r="G392" s="167" t="s">
        <v>73</v>
      </c>
      <c r="H392" s="167" t="s">
        <v>73</v>
      </c>
      <c r="I392" s="167" t="s">
        <v>73</v>
      </c>
      <c r="J392" s="167" t="s">
        <v>73</v>
      </c>
      <c r="K392" s="168" t="s">
        <v>73</v>
      </c>
      <c r="L392" s="167" t="s">
        <v>133</v>
      </c>
      <c r="M392" s="166" t="str">
        <f t="array" ref="M392">Y95</f>
        <v>1ХВС::1.1</v>
      </c>
      <c r="N392" s="166"/>
      <c r="O392" s="166"/>
      <c r="P392" s="166"/>
      <c r="Q392" s="166"/>
      <c r="R392" s="166"/>
      <c r="S392" s="166"/>
      <c r="T392" s="166"/>
      <c r="U392" s="166"/>
      <c r="V392" s="166"/>
      <c r="W392" s="166"/>
      <c r="X392" s="166"/>
      <c r="Y392" s="166"/>
      <c r="Z392" s="166"/>
      <c r="AA392" s="166"/>
      <c r="AB392" s="361">
        <f>COUNT(AB375,AB141,AB98,AB385,#REF!,AB386,AB391,AB389,AB390,#REF!,#REF!,#REF!,#REF!)+2</f>
        <v>10</v>
      </c>
      <c r="AC392" s="362" t="s">
        <v>768</v>
      </c>
      <c r="AD392" s="785" t="s">
        <v>524</v>
      </c>
      <c r="AE392" s="364">
        <f t="shared" ref="AE392:AK392" si="152">AE391/AE109</f>
        <v>41.641478614030298</v>
      </c>
      <c r="AF392" s="365">
        <f t="shared" si="152"/>
        <v>34.546560791573782</v>
      </c>
      <c r="AG392" s="365">
        <f t="shared" si="152"/>
        <v>59.612769536069145</v>
      </c>
      <c r="AH392" s="365">
        <f t="shared" si="152"/>
        <v>38.873352031005737</v>
      </c>
      <c r="AI392" s="364">
        <f t="shared" si="152"/>
        <v>448.48127929107903</v>
      </c>
      <c r="AJ392" s="365">
        <f t="shared" si="152"/>
        <v>45.277383712999587</v>
      </c>
      <c r="AK392" s="365">
        <f t="shared" si="152"/>
        <v>775.64560689135646</v>
      </c>
      <c r="AL392" s="365">
        <f>AL391/AL109</f>
        <v>49.69229722420279</v>
      </c>
      <c r="AM392" s="364">
        <f t="shared" ref="AM392:BM392" si="153">AM391/AM109</f>
        <v>66.523389093064935</v>
      </c>
      <c r="AN392" s="365">
        <f t="shared" si="153"/>
        <v>27.722457793403031</v>
      </c>
      <c r="AO392" s="365">
        <f t="shared" si="153"/>
        <v>89.136210096892114</v>
      </c>
      <c r="AP392" s="365">
        <f t="shared" si="153"/>
        <v>30.126128480834023</v>
      </c>
      <c r="AQ392" s="364">
        <f t="shared" si="153"/>
        <v>33.490344377425181</v>
      </c>
      <c r="AR392" s="365">
        <f t="shared" si="153"/>
        <v>22.959851228078918</v>
      </c>
      <c r="AS392" s="365">
        <f t="shared" si="153"/>
        <v>56.391754791495387</v>
      </c>
      <c r="AT392" s="365">
        <f t="shared" si="153"/>
        <v>24.042442665504552</v>
      </c>
      <c r="AU392" s="364">
        <f t="shared" si="153"/>
        <v>80.96173036032225</v>
      </c>
      <c r="AV392" s="365">
        <f t="shared" si="153"/>
        <v>16.228075446851879</v>
      </c>
      <c r="AW392" s="365">
        <f t="shared" si="153"/>
        <v>153.18028685818922</v>
      </c>
      <c r="AX392" s="365">
        <f t="shared" si="153"/>
        <v>18.660005379974333</v>
      </c>
      <c r="AY392" s="364">
        <f t="shared" si="153"/>
        <v>36.153559225665106</v>
      </c>
      <c r="AZ392" s="365">
        <f t="shared" si="153"/>
        <v>22.184999088932546</v>
      </c>
      <c r="BA392" s="365">
        <f t="shared" si="153"/>
        <v>63.670842874931495</v>
      </c>
      <c r="BB392" s="365">
        <f t="shared" si="153"/>
        <v>22.995094010877501</v>
      </c>
      <c r="BC392" s="364">
        <f t="shared" si="153"/>
        <v>88.812064655988749</v>
      </c>
      <c r="BD392" s="365">
        <f t="shared" si="153"/>
        <v>19.142071097742669</v>
      </c>
      <c r="BE392" s="365">
        <f t="shared" si="153"/>
        <v>96.289996821498406</v>
      </c>
      <c r="BF392" s="367">
        <f>BF391/BF109</f>
        <v>21.022258970504446</v>
      </c>
      <c r="BG392" s="364">
        <f t="shared" si="153"/>
        <v>37.979549773987003</v>
      </c>
      <c r="BH392" s="365">
        <f t="shared" si="153"/>
        <v>27.275001289908438</v>
      </c>
      <c r="BI392" s="365">
        <f t="shared" si="153"/>
        <v>50.340739979187447</v>
      </c>
      <c r="BJ392" s="367">
        <f t="shared" si="153"/>
        <v>30.829999598131966</v>
      </c>
      <c r="BK392" s="364">
        <f t="shared" si="153"/>
        <v>79.277470518333061</v>
      </c>
      <c r="BL392" s="365">
        <f t="shared" si="153"/>
        <v>29.862133825151368</v>
      </c>
      <c r="BM392" s="365">
        <f t="shared" si="153"/>
        <v>68.527925221917258</v>
      </c>
      <c r="BN392" s="367">
        <v>26.52</v>
      </c>
      <c r="BO392" s="1032">
        <f t="shared" ref="BO392:BV392" si="154">BO391/BO109</f>
        <v>231.08959176721802</v>
      </c>
      <c r="BP392" s="1033">
        <f t="shared" si="154"/>
        <v>26.254846750595458</v>
      </c>
      <c r="BQ392" s="1033">
        <f t="shared" si="154"/>
        <v>259.00239199785375</v>
      </c>
      <c r="BR392" s="1034">
        <f t="shared" si="154"/>
        <v>30.127238268426854</v>
      </c>
      <c r="BS392" s="1032">
        <f t="shared" si="154"/>
        <v>111.72459372163341</v>
      </c>
      <c r="BT392" s="1033">
        <f t="shared" si="154"/>
        <v>26.25484669865854</v>
      </c>
      <c r="BU392" s="1033">
        <f t="shared" si="154"/>
        <v>158.19327741959867</v>
      </c>
      <c r="BV392" s="1034">
        <f t="shared" si="154"/>
        <v>30.127272112553175</v>
      </c>
      <c r="BW392" s="170"/>
      <c r="BX392" s="166"/>
      <c r="BY392" s="369"/>
      <c r="BZ392" s="369"/>
      <c r="CA392" s="369"/>
      <c r="CB392" s="369"/>
      <c r="CC392" s="760"/>
    </row>
    <row r="393" spans="1:81" ht="15.75" customHeight="1" outlineLevel="1" x14ac:dyDescent="0.25">
      <c r="A393" s="6"/>
      <c r="B393" s="116" t="b">
        <f>AND(OR(isFIRST_PERIOD="да",$AD$56="нет"),$W95="одноставочный")</f>
        <v>1</v>
      </c>
      <c r="C393" s="116" t="s">
        <v>92</v>
      </c>
      <c r="D393" s="116" t="s">
        <v>93</v>
      </c>
      <c r="E393" s="116" t="s">
        <v>73</v>
      </c>
      <c r="F393" s="116" t="s">
        <v>74</v>
      </c>
      <c r="G393" s="116" t="s">
        <v>73</v>
      </c>
      <c r="H393" s="116" t="s">
        <v>73</v>
      </c>
      <c r="I393" s="116" t="s">
        <v>73</v>
      </c>
      <c r="J393" s="116" t="s">
        <v>73</v>
      </c>
      <c r="K393" s="209" t="s">
        <v>73</v>
      </c>
      <c r="L393" s="116" t="s">
        <v>133</v>
      </c>
      <c r="M393" s="6" t="str">
        <f t="array" ref="M393">Y95</f>
        <v>1ХВС::1.1</v>
      </c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29" t="str">
        <f>AB392&amp;".1"</f>
        <v>10.1</v>
      </c>
      <c r="AC393" s="80" t="s">
        <v>727</v>
      </c>
      <c r="AD393" s="51" t="s">
        <v>524</v>
      </c>
      <c r="AE393" s="95">
        <f>AE392</f>
        <v>41.641478614030298</v>
      </c>
      <c r="AF393" s="178">
        <v>30.22</v>
      </c>
      <c r="AG393" s="178">
        <v>38.869999999999997</v>
      </c>
      <c r="AH393" s="181">
        <v>38.869999999999997</v>
      </c>
      <c r="AI393" s="95">
        <f>AI392</f>
        <v>448.48127929107903</v>
      </c>
      <c r="AJ393" s="178">
        <v>41.01</v>
      </c>
      <c r="AK393" s="178">
        <v>775.65</v>
      </c>
      <c r="AL393" s="181">
        <v>49.54</v>
      </c>
      <c r="AM393" s="95">
        <f>AM392</f>
        <v>66.523389093064935</v>
      </c>
      <c r="AN393" s="178">
        <v>25.22</v>
      </c>
      <c r="AO393" s="178">
        <v>84.09</v>
      </c>
      <c r="AP393" s="181">
        <v>29.61</v>
      </c>
      <c r="AQ393" s="95">
        <f>AQ392</f>
        <v>33.490344377425181</v>
      </c>
      <c r="AR393" s="178">
        <v>22.29</v>
      </c>
      <c r="AS393" s="178">
        <v>56.39</v>
      </c>
      <c r="AT393" s="181">
        <v>23.63</v>
      </c>
      <c r="AU393" s="95">
        <f>AU392</f>
        <v>80.96173036032225</v>
      </c>
      <c r="AV393" s="178">
        <v>14.67</v>
      </c>
      <c r="AW393" s="178">
        <v>153.18</v>
      </c>
      <c r="AX393" s="181">
        <v>18.34</v>
      </c>
      <c r="AY393" s="95">
        <f>AY392</f>
        <v>36.153559225665106</v>
      </c>
      <c r="AZ393" s="178">
        <v>21.69</v>
      </c>
      <c r="BA393" s="178">
        <v>26.11</v>
      </c>
      <c r="BB393" s="181">
        <v>22.68</v>
      </c>
      <c r="BC393" s="95">
        <f>BC392</f>
        <v>88.812064655988749</v>
      </c>
      <c r="BD393" s="178">
        <v>17.61</v>
      </c>
      <c r="BE393" s="178">
        <v>20.67</v>
      </c>
      <c r="BF393" s="181">
        <v>20.67</v>
      </c>
      <c r="BG393" s="95">
        <f>BG392</f>
        <v>37.979549773987003</v>
      </c>
      <c r="BH393" s="178">
        <v>23.72</v>
      </c>
      <c r="BI393" s="178">
        <v>30.83</v>
      </c>
      <c r="BJ393" s="181">
        <v>30.83</v>
      </c>
      <c r="BK393" s="95">
        <f>BK392</f>
        <v>79.277470518333061</v>
      </c>
      <c r="BL393" s="178">
        <v>20.399999999999999</v>
      </c>
      <c r="BM393" s="178">
        <v>26.52</v>
      </c>
      <c r="BN393" s="181">
        <v>26.52</v>
      </c>
      <c r="BO393" s="185">
        <f>BO392</f>
        <v>231.08959176721802</v>
      </c>
      <c r="BP393" s="183">
        <v>22.9</v>
      </c>
      <c r="BQ393" s="183">
        <v>29.61</v>
      </c>
      <c r="BR393" s="186">
        <v>29.61</v>
      </c>
      <c r="BS393" s="185">
        <f>BS392</f>
        <v>111.72459372163341</v>
      </c>
      <c r="BT393" s="183">
        <v>22.9</v>
      </c>
      <c r="BU393" s="183">
        <v>29.61</v>
      </c>
      <c r="BV393" s="186">
        <v>29.61</v>
      </c>
      <c r="BY393" s="371"/>
      <c r="BZ393" s="371"/>
      <c r="CA393" s="371"/>
      <c r="CB393" s="371"/>
    </row>
    <row r="394" spans="1:81" ht="15.75" customHeight="1" outlineLevel="1" x14ac:dyDescent="0.25">
      <c r="A394" s="6"/>
      <c r="B394" s="116" t="b">
        <f>AND(OR(isFIRST_PERIOD="да",$AD$56="нет"),$W95="одноставочный")</f>
        <v>1</v>
      </c>
      <c r="C394" s="116" t="s">
        <v>94</v>
      </c>
      <c r="D394" s="116" t="s">
        <v>95</v>
      </c>
      <c r="E394" s="116" t="s">
        <v>73</v>
      </c>
      <c r="F394" s="116" t="s">
        <v>74</v>
      </c>
      <c r="G394" s="116" t="s">
        <v>73</v>
      </c>
      <c r="H394" s="116" t="s">
        <v>73</v>
      </c>
      <c r="I394" s="116" t="s">
        <v>73</v>
      </c>
      <c r="J394" s="116" t="s">
        <v>73</v>
      </c>
      <c r="K394" s="209" t="s">
        <v>73</v>
      </c>
      <c r="L394" s="116" t="s">
        <v>133</v>
      </c>
      <c r="M394" s="6" t="str">
        <f t="array" ref="M394">Y95</f>
        <v>1ХВС::1.1</v>
      </c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29" t="str">
        <f>AB392&amp;".2"</f>
        <v>10.2</v>
      </c>
      <c r="AC394" s="80" t="s">
        <v>728</v>
      </c>
      <c r="AD394" s="51" t="s">
        <v>524</v>
      </c>
      <c r="AE394" s="95">
        <f>AE393</f>
        <v>41.641478614030298</v>
      </c>
      <c r="AF394" s="178">
        <v>61.06</v>
      </c>
      <c r="AG394" s="73">
        <v>78.84</v>
      </c>
      <c r="AH394" s="138">
        <v>38.869999999999997</v>
      </c>
      <c r="AI394" s="95">
        <f>AI393</f>
        <v>448.48127929107903</v>
      </c>
      <c r="AJ394" s="178">
        <v>49.54</v>
      </c>
      <c r="AK394" s="73">
        <v>775.65</v>
      </c>
      <c r="AL394" s="138">
        <v>52.83</v>
      </c>
      <c r="AM394" s="95">
        <f>AM393</f>
        <v>66.523389093064935</v>
      </c>
      <c r="AN394" s="178">
        <v>29.61</v>
      </c>
      <c r="AO394" s="73">
        <f>ROUND(IF($U95="Водоснабжение",IF(AO111=0,0,(AO391-AO110*AO393)/AO111),IF(#REF!=0,0,(AO391-#REF!*AO393)/#REF!)),2)</f>
        <v>84.08</v>
      </c>
      <c r="AP394" s="138">
        <v>31.68</v>
      </c>
      <c r="AQ394" s="95">
        <f>AQ393</f>
        <v>33.490344377425181</v>
      </c>
      <c r="AR394" s="178">
        <v>23.63</v>
      </c>
      <c r="AS394" s="73">
        <f>ROUND(IF($U95="Водоснабжение",IF(AS111=0,0,(AS391-AS110*AS393)/AS111),IF(#REF!=0,0,(AS391-#REF!*AS393)/#REF!)),2)</f>
        <v>56.39</v>
      </c>
      <c r="AT394" s="138">
        <v>25.28</v>
      </c>
      <c r="AU394" s="95">
        <f>AU393</f>
        <v>80.96173036032225</v>
      </c>
      <c r="AV394" s="178">
        <v>18.34</v>
      </c>
      <c r="AW394" s="73">
        <f>ROUND(IF($U95="Водоснабжение",IF(AW111=0,0,(AW391-AW110*AW393)/AW111),IF(#REF!=0,0,(AW391-#REF!*AW393)/#REF!)),2)</f>
        <v>153.18</v>
      </c>
      <c r="AX394" s="138">
        <v>19.62</v>
      </c>
      <c r="AY394" s="95">
        <f>AY393</f>
        <v>36.153559225665106</v>
      </c>
      <c r="AZ394" s="178">
        <v>22.68</v>
      </c>
      <c r="BA394" s="73">
        <v>101.23</v>
      </c>
      <c r="BB394" s="138">
        <v>23.94</v>
      </c>
      <c r="BC394" s="95">
        <f>BC393</f>
        <v>88.812064655988749</v>
      </c>
      <c r="BD394" s="178">
        <v>20.67</v>
      </c>
      <c r="BE394" s="73">
        <v>171.91</v>
      </c>
      <c r="BF394" s="138">
        <v>22.12</v>
      </c>
      <c r="BG394" s="95">
        <f>BG393</f>
        <v>37.979549773987003</v>
      </c>
      <c r="BH394" s="178">
        <v>30.83</v>
      </c>
      <c r="BI394" s="73">
        <v>69.849999999999994</v>
      </c>
      <c r="BJ394" s="138">
        <v>30.83</v>
      </c>
      <c r="BK394" s="95">
        <f>BK393</f>
        <v>79.277470518333061</v>
      </c>
      <c r="BL394" s="178">
        <v>26.52</v>
      </c>
      <c r="BM394" s="73">
        <v>110.54</v>
      </c>
      <c r="BN394" s="138">
        <v>28.38</v>
      </c>
      <c r="BO394" s="185">
        <f>BO393</f>
        <v>231.08959176721802</v>
      </c>
      <c r="BP394" s="183">
        <v>29.61</v>
      </c>
      <c r="BQ394" s="140">
        <v>488.39</v>
      </c>
      <c r="BR394" s="143">
        <v>31.68</v>
      </c>
      <c r="BS394" s="185">
        <f>BS393</f>
        <v>111.72459372163341</v>
      </c>
      <c r="BT394" s="183">
        <v>29.61</v>
      </c>
      <c r="BU394" s="140">
        <v>286.77999999999997</v>
      </c>
      <c r="BV394" s="143">
        <v>31.68</v>
      </c>
      <c r="BY394" s="371">
        <f>BY391-BY395</f>
        <v>0</v>
      </c>
      <c r="BZ394" s="371">
        <f>BZ391-BZ395</f>
        <v>0</v>
      </c>
      <c r="CA394" s="371">
        <f>CA391-CA395</f>
        <v>0</v>
      </c>
      <c r="CB394" s="371">
        <f>CB391-CB395</f>
        <v>0</v>
      </c>
    </row>
    <row r="395" spans="1:81" ht="15.75" customHeight="1" outlineLevel="1" thickBot="1" x14ac:dyDescent="0.3">
      <c r="A395" s="116" t="b">
        <f>$W95="одноставочный"</f>
        <v>1</v>
      </c>
      <c r="B395" s="6" t="b">
        <f t="array" ref="B395">A395</f>
        <v>1</v>
      </c>
      <c r="C395" s="116" t="s">
        <v>96</v>
      </c>
      <c r="D395" s="116" t="s">
        <v>97</v>
      </c>
      <c r="E395" s="116" t="s">
        <v>73</v>
      </c>
      <c r="F395" s="116" t="s">
        <v>74</v>
      </c>
      <c r="G395" s="116" t="s">
        <v>73</v>
      </c>
      <c r="H395" s="116" t="s">
        <v>73</v>
      </c>
      <c r="I395" s="116" t="s">
        <v>73</v>
      </c>
      <c r="J395" s="116" t="s">
        <v>73</v>
      </c>
      <c r="K395" s="209" t="s">
        <v>73</v>
      </c>
      <c r="L395" s="116" t="s">
        <v>133</v>
      </c>
      <c r="M395" s="6" t="str">
        <f t="array" ref="M395">Y95</f>
        <v>1ХВС::1.1</v>
      </c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372" t="str">
        <f>AB392&amp;".3"</f>
        <v>10.3</v>
      </c>
      <c r="AC395" s="373" t="s">
        <v>97</v>
      </c>
      <c r="AD395" s="786" t="s">
        <v>119</v>
      </c>
      <c r="AE395" s="375">
        <f t="shared" ref="AE395:AL395" si="155">AE394/AE393*100</f>
        <v>100</v>
      </c>
      <c r="AF395" s="376">
        <f t="shared" si="155"/>
        <v>202.05162144275315</v>
      </c>
      <c r="AG395" s="376">
        <f t="shared" si="155"/>
        <v>202.82994597375873</v>
      </c>
      <c r="AH395" s="376">
        <f t="shared" si="155"/>
        <v>100</v>
      </c>
      <c r="AI395" s="375">
        <f t="shared" si="155"/>
        <v>100</v>
      </c>
      <c r="AJ395" s="376">
        <f t="shared" si="155"/>
        <v>120.7998049256279</v>
      </c>
      <c r="AK395" s="376">
        <f t="shared" si="155"/>
        <v>100</v>
      </c>
      <c r="AL395" s="376">
        <f t="shared" si="155"/>
        <v>106.64109810254341</v>
      </c>
      <c r="AM395" s="375">
        <f t="shared" ref="AM395:BN395" si="156">AM394/AM393*100</f>
        <v>100</v>
      </c>
      <c r="AN395" s="376">
        <f t="shared" si="156"/>
        <v>117.40681998413957</v>
      </c>
      <c r="AO395" s="376">
        <f t="shared" si="156"/>
        <v>99.988107979545717</v>
      </c>
      <c r="AP395" s="376">
        <f t="shared" si="156"/>
        <v>106.99088145896656</v>
      </c>
      <c r="AQ395" s="375">
        <f t="shared" si="156"/>
        <v>100</v>
      </c>
      <c r="AR395" s="376">
        <f t="shared" si="156"/>
        <v>106.01166442350829</v>
      </c>
      <c r="AS395" s="376">
        <f t="shared" si="156"/>
        <v>100</v>
      </c>
      <c r="AT395" s="376">
        <f t="shared" si="156"/>
        <v>106.98264917477785</v>
      </c>
      <c r="AU395" s="375">
        <f t="shared" si="156"/>
        <v>100</v>
      </c>
      <c r="AV395" s="376">
        <f t="shared" si="156"/>
        <v>125.01704158145877</v>
      </c>
      <c r="AW395" s="376">
        <f t="shared" si="156"/>
        <v>100</v>
      </c>
      <c r="AX395" s="376">
        <f t="shared" si="156"/>
        <v>106.97928026172301</v>
      </c>
      <c r="AY395" s="375">
        <f t="shared" si="156"/>
        <v>100</v>
      </c>
      <c r="AZ395" s="376">
        <f t="shared" si="156"/>
        <v>104.56431535269708</v>
      </c>
      <c r="BA395" s="376">
        <f t="shared" si="156"/>
        <v>387.70585982382232</v>
      </c>
      <c r="BB395" s="376">
        <f t="shared" si="156"/>
        <v>105.55555555555556</v>
      </c>
      <c r="BC395" s="375">
        <f t="shared" si="156"/>
        <v>100</v>
      </c>
      <c r="BD395" s="376">
        <f t="shared" si="156"/>
        <v>117.37649063032369</v>
      </c>
      <c r="BE395" s="376">
        <f t="shared" si="156"/>
        <v>831.68843734881466</v>
      </c>
      <c r="BF395" s="378">
        <f t="shared" si="156"/>
        <v>107.01499758103532</v>
      </c>
      <c r="BG395" s="375">
        <f t="shared" si="156"/>
        <v>100</v>
      </c>
      <c r="BH395" s="376">
        <f t="shared" si="156"/>
        <v>129.97470489038784</v>
      </c>
      <c r="BI395" s="376">
        <f t="shared" si="156"/>
        <v>226.56503405773597</v>
      </c>
      <c r="BJ395" s="378">
        <f t="shared" si="156"/>
        <v>100</v>
      </c>
      <c r="BK395" s="375">
        <f t="shared" si="156"/>
        <v>100</v>
      </c>
      <c r="BL395" s="376">
        <f t="shared" si="156"/>
        <v>130</v>
      </c>
      <c r="BM395" s="376">
        <f t="shared" si="156"/>
        <v>416.81749622926094</v>
      </c>
      <c r="BN395" s="378">
        <f t="shared" si="156"/>
        <v>107.01357466063348</v>
      </c>
      <c r="BO395" s="375">
        <f t="shared" ref="BO395:BV395" si="157">BO394/BO393*100</f>
        <v>100</v>
      </c>
      <c r="BP395" s="376">
        <f t="shared" si="157"/>
        <v>129.30131004366814</v>
      </c>
      <c r="BQ395" s="376">
        <f t="shared" si="157"/>
        <v>1649.4089834515369</v>
      </c>
      <c r="BR395" s="377">
        <f t="shared" si="157"/>
        <v>106.99088145896656</v>
      </c>
      <c r="BS395" s="375">
        <f t="shared" si="157"/>
        <v>100</v>
      </c>
      <c r="BT395" s="376">
        <f t="shared" si="157"/>
        <v>129.30131004366814</v>
      </c>
      <c r="BU395" s="376">
        <f t="shared" si="157"/>
        <v>968.52414724755147</v>
      </c>
      <c r="BV395" s="377">
        <f t="shared" si="157"/>
        <v>106.99088145896656</v>
      </c>
      <c r="BX395" s="5" t="s">
        <v>580</v>
      </c>
      <c r="BY395" s="398">
        <f>AE391+AI391+AM391+AQ391+AU391+AY391+BC391+BG391+BK391+BO391+BS391</f>
        <v>2352933.9299348881</v>
      </c>
      <c r="BZ395" s="398">
        <f>AF391+AJ391+AN391+AR391+AV391+AZ391+BD391+BH391+BL391+BP391+BT391</f>
        <v>1735516.3624596039</v>
      </c>
      <c r="CA395" s="398">
        <f>AG391+AK391+AO391+AS391+AW391+BA391+BE391+BI391+BM391+BQ391+BU391</f>
        <v>3303869.4361937055</v>
      </c>
      <c r="CB395" s="398">
        <f>AH391+AL391+AP391+AT391+AX391+BB391+BF391+BJ391+BN391+BR391+BV391</f>
        <v>1975262.8251166183</v>
      </c>
    </row>
    <row r="396" spans="1:81" ht="26.25" customHeight="1" outlineLevel="1" x14ac:dyDescent="0.25">
      <c r="A396" s="116"/>
      <c r="B396" s="6"/>
      <c r="C396" s="116"/>
      <c r="D396" s="116"/>
      <c r="E396" s="116"/>
      <c r="F396" s="116"/>
      <c r="G396" s="116"/>
      <c r="H396" s="116"/>
      <c r="I396" s="116"/>
      <c r="J396" s="116"/>
      <c r="K396" s="209"/>
      <c r="L396" s="11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152"/>
      <c r="AC396" s="787"/>
      <c r="AD396" s="152"/>
      <c r="AE396" s="391"/>
      <c r="AF396" s="391"/>
      <c r="AG396" s="391"/>
      <c r="AH396" s="391"/>
      <c r="AI396" s="391"/>
      <c r="AJ396" s="391"/>
      <c r="AK396" s="391"/>
      <c r="AL396" s="391"/>
      <c r="AM396" s="391"/>
      <c r="AN396" s="391"/>
      <c r="AO396" s="391"/>
      <c r="AP396" s="391"/>
      <c r="AQ396" s="391"/>
      <c r="AR396" s="391"/>
      <c r="AS396" s="391"/>
      <c r="AT396" s="391"/>
      <c r="AU396" s="391"/>
      <c r="AV396" s="391"/>
      <c r="AW396" s="391"/>
      <c r="AX396" s="391"/>
      <c r="AY396" s="391"/>
      <c r="AZ396" s="391"/>
      <c r="BA396" s="391"/>
      <c r="BB396" s="391"/>
      <c r="BC396" s="391"/>
      <c r="BD396" s="391"/>
      <c r="BE396" s="391"/>
      <c r="BF396" s="391"/>
      <c r="BG396" s="391"/>
      <c r="BH396" s="391"/>
      <c r="BI396" s="391"/>
      <c r="BJ396" s="788"/>
      <c r="BK396" s="391"/>
      <c r="BL396" s="391"/>
      <c r="BM396" s="391"/>
      <c r="BN396" s="391"/>
      <c r="BO396" s="391"/>
      <c r="BP396" s="391"/>
      <c r="BQ396" s="391"/>
      <c r="BR396" s="391"/>
      <c r="BS396" s="391"/>
      <c r="BT396" s="391"/>
      <c r="BU396" s="391"/>
      <c r="BV396" s="391"/>
      <c r="BY396" s="398"/>
      <c r="BZ396" s="371"/>
      <c r="CA396" s="371"/>
      <c r="CB396" s="371"/>
    </row>
    <row r="397" spans="1:81" ht="37.5" customHeight="1" thickBot="1" x14ac:dyDescent="0.3">
      <c r="A397" s="10" t="b">
        <f>$W95&lt;&gt;"одноставочный"</f>
        <v>0</v>
      </c>
      <c r="B397" s="5" t="b">
        <f t="array" ref="B397">A397</f>
        <v>0</v>
      </c>
      <c r="C397" s="75" t="s">
        <v>527</v>
      </c>
      <c r="D397" s="5" t="s">
        <v>528</v>
      </c>
      <c r="E397" s="10" t="s">
        <v>73</v>
      </c>
      <c r="F397" s="10" t="s">
        <v>74</v>
      </c>
      <c r="G397" s="10" t="s">
        <v>73</v>
      </c>
      <c r="H397" s="10" t="s">
        <v>73</v>
      </c>
      <c r="I397" s="10" t="s">
        <v>73</v>
      </c>
      <c r="J397" s="10" t="s">
        <v>73</v>
      </c>
      <c r="K397" s="12" t="s">
        <v>73</v>
      </c>
      <c r="M397" s="5" t="str">
        <f t="array" ref="M397">Y95</f>
        <v>1ХВС::1.1</v>
      </c>
      <c r="Z397" s="6"/>
      <c r="AA397" s="6"/>
      <c r="AB397" s="1141" t="s">
        <v>729</v>
      </c>
      <c r="AC397" s="1141"/>
      <c r="AD397" s="1141"/>
      <c r="AE397" s="1141"/>
      <c r="AF397" s="1141"/>
      <c r="AG397" s="1141"/>
      <c r="AH397" s="1141"/>
      <c r="AI397" s="1141"/>
      <c r="AJ397" s="1141"/>
      <c r="AK397" s="1141"/>
      <c r="AL397" s="1141"/>
      <c r="AM397" s="1141"/>
      <c r="AN397" s="1141"/>
      <c r="AO397" s="698">
        <f>AO391-AO375</f>
        <v>80645.50989440002</v>
      </c>
      <c r="BJ397" s="789"/>
      <c r="BY397" s="371"/>
      <c r="BZ397" s="371"/>
      <c r="CA397" s="371"/>
      <c r="CB397" s="371"/>
    </row>
    <row r="398" spans="1:81" s="5" customFormat="1" ht="15.75" customHeight="1" outlineLevel="1" thickBot="1" x14ac:dyDescent="0.3">
      <c r="A398" s="10" t="b">
        <f>AND($AD$56="нет",$W95&lt;&gt;"одноставочный")</f>
        <v>0</v>
      </c>
      <c r="B398" s="5" t="b">
        <f t="array" ref="B398">A398</f>
        <v>0</v>
      </c>
      <c r="C398" s="75" t="s">
        <v>529</v>
      </c>
      <c r="D398" s="5" t="s">
        <v>530</v>
      </c>
      <c r="E398" s="10" t="s">
        <v>73</v>
      </c>
      <c r="F398" s="10" t="s">
        <v>74</v>
      </c>
      <c r="G398" s="10" t="s">
        <v>73</v>
      </c>
      <c r="H398" s="10" t="s">
        <v>73</v>
      </c>
      <c r="I398" s="10" t="s">
        <v>73</v>
      </c>
      <c r="J398" s="10" t="s">
        <v>73</v>
      </c>
      <c r="K398" s="12" t="s">
        <v>73</v>
      </c>
      <c r="M398" s="5" t="str">
        <f t="array" ref="M398">Y95</f>
        <v>1ХВС::1.1</v>
      </c>
      <c r="Z398" s="6"/>
      <c r="AA398" s="6"/>
      <c r="AB398" s="1131" t="s">
        <v>730</v>
      </c>
      <c r="AC398" s="1131"/>
      <c r="AD398" s="1131"/>
      <c r="AE398" s="1131"/>
      <c r="AF398" s="1131"/>
      <c r="AG398" s="1131"/>
      <c r="AH398" s="1131"/>
      <c r="AI398" s="1131"/>
      <c r="AJ398" s="1131"/>
      <c r="AK398" s="1131"/>
      <c r="AL398" s="1131"/>
      <c r="AM398" s="1131"/>
      <c r="AN398" s="1131"/>
      <c r="AO398" s="1131"/>
      <c r="AP398" s="1131"/>
      <c r="AQ398" s="1131"/>
      <c r="AR398" s="1131"/>
      <c r="AS398" s="1131"/>
      <c r="AT398" s="1131"/>
      <c r="AU398" s="1131"/>
      <c r="AV398" s="1131"/>
      <c r="AW398" s="1131"/>
      <c r="AX398" s="1131"/>
      <c r="AY398" s="1131"/>
      <c r="AZ398" s="1131"/>
      <c r="BA398" s="1131"/>
      <c r="BB398" s="1131"/>
      <c r="BC398" s="1131"/>
      <c r="BD398" s="1131"/>
      <c r="BE398" s="1131"/>
      <c r="BF398" s="1131"/>
      <c r="BG398" s="1131"/>
      <c r="BH398" s="1131"/>
      <c r="BI398" s="1131"/>
      <c r="BJ398" s="1131"/>
      <c r="BK398" s="1131"/>
      <c r="BL398" s="1131"/>
      <c r="BM398" s="1131"/>
      <c r="BN398" s="1131"/>
      <c r="BO398" s="1131"/>
      <c r="BP398" s="1131"/>
      <c r="BQ398" s="1131"/>
      <c r="BR398" s="1131"/>
      <c r="BS398" s="1131"/>
      <c r="BT398" s="1131"/>
      <c r="BU398" s="1131"/>
      <c r="BV398" s="1131"/>
      <c r="BW398" s="6"/>
      <c r="BY398" s="152"/>
      <c r="BZ398" s="152"/>
      <c r="CA398" s="152"/>
      <c r="CB398" s="152"/>
    </row>
    <row r="399" spans="1:81" s="5" customFormat="1" ht="100.5" customHeight="1" outlineLevel="1" x14ac:dyDescent="0.25">
      <c r="A399" s="10" t="b">
        <f>AND($AD$56="нет",$W95&lt;&gt;"одноставочный")</f>
        <v>0</v>
      </c>
      <c r="B399" s="5" t="b">
        <f t="array" ref="B399">A399</f>
        <v>0</v>
      </c>
      <c r="C399" s="75" t="s">
        <v>531</v>
      </c>
      <c r="D399" s="5" t="s">
        <v>532</v>
      </c>
      <c r="E399" s="10" t="s">
        <v>73</v>
      </c>
      <c r="F399" s="10" t="s">
        <v>74</v>
      </c>
      <c r="G399" s="10" t="s">
        <v>73</v>
      </c>
      <c r="H399" s="10" t="s">
        <v>73</v>
      </c>
      <c r="I399" s="10" t="s">
        <v>73</v>
      </c>
      <c r="J399" s="10" t="s">
        <v>73</v>
      </c>
      <c r="K399" s="12" t="s">
        <v>73</v>
      </c>
      <c r="M399" s="5" t="str">
        <f t="array" ref="M399">Y95</f>
        <v>1ХВС::1.1</v>
      </c>
      <c r="Z399" s="6"/>
      <c r="AA399" s="6"/>
      <c r="AB399" s="790" t="s">
        <v>731</v>
      </c>
      <c r="AC399" s="791" t="s">
        <v>732</v>
      </c>
      <c r="AD399" s="792" t="s">
        <v>119</v>
      </c>
      <c r="AE399" s="793">
        <v>0</v>
      </c>
      <c r="AF399" s="794">
        <v>0</v>
      </c>
      <c r="AG399" s="794">
        <v>0</v>
      </c>
      <c r="AH399" s="795">
        <v>0</v>
      </c>
      <c r="AI399" s="796">
        <v>0</v>
      </c>
      <c r="AJ399" s="582">
        <v>0</v>
      </c>
      <c r="AK399" s="582">
        <v>0</v>
      </c>
      <c r="AL399" s="582">
        <v>0</v>
      </c>
      <c r="AM399" s="798">
        <v>0</v>
      </c>
      <c r="AN399" s="799">
        <v>0</v>
      </c>
      <c r="AO399" s="799">
        <v>0</v>
      </c>
      <c r="AP399" s="800">
        <v>0</v>
      </c>
      <c r="AQ399" s="801">
        <v>0</v>
      </c>
      <c r="AR399" s="802">
        <v>2.92</v>
      </c>
      <c r="AS399" s="802">
        <v>6.85</v>
      </c>
      <c r="AT399" s="803">
        <v>0</v>
      </c>
      <c r="AU399" s="801">
        <v>0</v>
      </c>
      <c r="AV399" s="802">
        <v>29.78</v>
      </c>
      <c r="AW399" s="802">
        <v>4.63</v>
      </c>
      <c r="AX399" s="804">
        <v>0</v>
      </c>
      <c r="AY399" s="805">
        <v>90.93</v>
      </c>
      <c r="AZ399" s="802">
        <v>0</v>
      </c>
      <c r="BA399" s="802">
        <v>89.41</v>
      </c>
      <c r="BB399" s="803">
        <v>0</v>
      </c>
      <c r="BC399" s="793">
        <v>0</v>
      </c>
      <c r="BD399" s="794">
        <v>15</v>
      </c>
      <c r="BE399" s="794">
        <v>0</v>
      </c>
      <c r="BF399" s="795">
        <v>0</v>
      </c>
      <c r="BG399" s="796">
        <v>66.75</v>
      </c>
      <c r="BH399" s="582">
        <v>18</v>
      </c>
      <c r="BI399" s="582">
        <v>32.51</v>
      </c>
      <c r="BJ399" s="797">
        <v>18</v>
      </c>
      <c r="BK399" s="801">
        <v>0</v>
      </c>
      <c r="BL399" s="802">
        <v>0.67</v>
      </c>
      <c r="BM399" s="802">
        <v>7.04</v>
      </c>
      <c r="BN399" s="803">
        <v>0.67</v>
      </c>
      <c r="BO399" s="793">
        <v>0</v>
      </c>
      <c r="BP399" s="794">
        <v>1.35</v>
      </c>
      <c r="BQ399" s="794">
        <v>0</v>
      </c>
      <c r="BR399" s="806">
        <v>1.35</v>
      </c>
      <c r="BS399" s="793">
        <v>0</v>
      </c>
      <c r="BT399" s="794">
        <v>25.93</v>
      </c>
      <c r="BU399" s="794">
        <v>0</v>
      </c>
      <c r="BV399" s="795">
        <v>25.93</v>
      </c>
      <c r="BW399" s="6"/>
      <c r="BY399" s="371"/>
      <c r="BZ399" s="371"/>
      <c r="CA399" s="371"/>
      <c r="CB399" s="371"/>
    </row>
    <row r="400" spans="1:81" s="5" customFormat="1" ht="75" customHeight="1" outlineLevel="1" thickBot="1" x14ac:dyDescent="0.3">
      <c r="A400" s="10" t="b">
        <f>$W95&lt;&gt;"одноставочный"</f>
        <v>0</v>
      </c>
      <c r="B400" s="5" t="b">
        <f t="array" ref="B400">A400</f>
        <v>0</v>
      </c>
      <c r="C400" s="75" t="s">
        <v>533</v>
      </c>
      <c r="D400" s="5" t="s">
        <v>534</v>
      </c>
      <c r="E400" s="10" t="s">
        <v>73</v>
      </c>
      <c r="F400" s="10" t="s">
        <v>74</v>
      </c>
      <c r="G400" s="10" t="s">
        <v>73</v>
      </c>
      <c r="H400" s="10" t="s">
        <v>73</v>
      </c>
      <c r="I400" s="10" t="s">
        <v>73</v>
      </c>
      <c r="J400" s="10" t="s">
        <v>73</v>
      </c>
      <c r="K400" s="12" t="s">
        <v>73</v>
      </c>
      <c r="M400" s="5" t="str">
        <f t="array" ref="M400">Y95</f>
        <v>1ХВС::1.1</v>
      </c>
      <c r="Z400" s="6"/>
      <c r="AA400" s="6"/>
      <c r="AB400" s="807" t="s">
        <v>733</v>
      </c>
      <c r="AC400" s="808" t="s">
        <v>734</v>
      </c>
      <c r="AD400" s="809" t="s">
        <v>119</v>
      </c>
      <c r="AE400" s="375">
        <v>0</v>
      </c>
      <c r="AF400" s="376">
        <v>0</v>
      </c>
      <c r="AG400" s="376">
        <v>0.49</v>
      </c>
      <c r="AH400" s="377">
        <v>0</v>
      </c>
      <c r="AI400" s="810">
        <v>0</v>
      </c>
      <c r="AJ400" s="811">
        <v>0</v>
      </c>
      <c r="AK400" s="811">
        <v>0</v>
      </c>
      <c r="AL400" s="811">
        <v>0</v>
      </c>
      <c r="AM400" s="813">
        <v>0</v>
      </c>
      <c r="AN400" s="814">
        <v>0</v>
      </c>
      <c r="AO400" s="814">
        <v>0.63</v>
      </c>
      <c r="AP400" s="815">
        <v>0</v>
      </c>
      <c r="AQ400" s="816">
        <v>0</v>
      </c>
      <c r="AR400" s="817">
        <v>0</v>
      </c>
      <c r="AS400" s="817">
        <v>3.03</v>
      </c>
      <c r="AT400" s="818">
        <v>0</v>
      </c>
      <c r="AU400" s="816">
        <v>0</v>
      </c>
      <c r="AV400" s="817">
        <v>0</v>
      </c>
      <c r="AW400" s="817">
        <v>7.08</v>
      </c>
      <c r="AX400" s="819">
        <v>0</v>
      </c>
      <c r="AY400" s="820">
        <v>86.74</v>
      </c>
      <c r="AZ400" s="817">
        <v>0</v>
      </c>
      <c r="BA400" s="817">
        <v>88.89</v>
      </c>
      <c r="BB400" s="818">
        <v>0</v>
      </c>
      <c r="BC400" s="375">
        <v>0</v>
      </c>
      <c r="BD400" s="376">
        <v>0</v>
      </c>
      <c r="BE400" s="376">
        <v>5.66</v>
      </c>
      <c r="BF400" s="377">
        <v>0</v>
      </c>
      <c r="BG400" s="796">
        <v>93.62</v>
      </c>
      <c r="BH400" s="811">
        <v>0</v>
      </c>
      <c r="BI400" s="582">
        <v>66.92</v>
      </c>
      <c r="BJ400" s="391">
        <v>0</v>
      </c>
      <c r="BK400" s="816">
        <v>0</v>
      </c>
      <c r="BL400" s="817">
        <v>1.1100000000000001</v>
      </c>
      <c r="BM400" s="817">
        <v>12.17</v>
      </c>
      <c r="BN400" s="818">
        <v>0.83</v>
      </c>
      <c r="BO400" s="821">
        <v>0</v>
      </c>
      <c r="BP400" s="376">
        <v>1.4</v>
      </c>
      <c r="BQ400" s="376">
        <v>5.77</v>
      </c>
      <c r="BR400" s="378">
        <v>1</v>
      </c>
      <c r="BS400" s="375">
        <v>0</v>
      </c>
      <c r="BT400" s="376">
        <v>14</v>
      </c>
      <c r="BU400" s="376">
        <v>5.39</v>
      </c>
      <c r="BV400" s="377">
        <v>14</v>
      </c>
      <c r="BW400" s="6"/>
      <c r="BY400" s="371"/>
      <c r="BZ400" s="371"/>
      <c r="CA400" s="371"/>
      <c r="CB400" s="371"/>
    </row>
    <row r="401" spans="1:80" s="5" customFormat="1" ht="21.75" customHeight="1" thickBot="1" x14ac:dyDescent="0.3">
      <c r="A401" s="10" t="b">
        <f>$W95&lt;&gt;"одноставочный"</f>
        <v>0</v>
      </c>
      <c r="B401" s="76" t="b">
        <f>AND(A401,NOT(NDS="нет"))</f>
        <v>0</v>
      </c>
      <c r="C401" s="75" t="s">
        <v>535</v>
      </c>
      <c r="D401" s="5" t="s">
        <v>536</v>
      </c>
      <c r="E401" s="10" t="s">
        <v>73</v>
      </c>
      <c r="F401" s="10" t="s">
        <v>74</v>
      </c>
      <c r="G401" s="10" t="s">
        <v>73</v>
      </c>
      <c r="H401" s="10" t="s">
        <v>73</v>
      </c>
      <c r="I401" s="10" t="s">
        <v>73</v>
      </c>
      <c r="J401" s="10" t="s">
        <v>73</v>
      </c>
      <c r="K401" s="12" t="s">
        <v>73</v>
      </c>
      <c r="M401" s="5" t="str">
        <f t="array" ref="M401">Y95</f>
        <v>1ХВС::1.1</v>
      </c>
      <c r="Z401" s="6"/>
      <c r="AA401" s="6"/>
      <c r="AB401" s="1131" t="s">
        <v>735</v>
      </c>
      <c r="AC401" s="1131"/>
      <c r="AD401" s="1131"/>
      <c r="AE401" s="1131"/>
      <c r="AF401" s="1131"/>
      <c r="AG401" s="1131"/>
      <c r="AH401" s="1131"/>
      <c r="AI401" s="1131"/>
      <c r="AJ401" s="1131"/>
      <c r="AK401" s="1131"/>
      <c r="AL401" s="1131"/>
      <c r="AM401" s="1131"/>
      <c r="AN401" s="1131"/>
      <c r="AO401" s="1131"/>
      <c r="AP401" s="1131"/>
      <c r="AQ401" s="1131"/>
      <c r="AR401" s="1131"/>
      <c r="AS401" s="1131"/>
      <c r="AT401" s="1131"/>
      <c r="AU401" s="1131"/>
      <c r="AV401" s="1131"/>
      <c r="AW401" s="1131"/>
      <c r="AX401" s="1131"/>
      <c r="AY401" s="1131"/>
      <c r="AZ401" s="1131"/>
      <c r="BA401" s="1131"/>
      <c r="BB401" s="1131"/>
      <c r="BC401" s="1131"/>
      <c r="BD401" s="1131"/>
      <c r="BE401" s="1131"/>
      <c r="BF401" s="1131"/>
      <c r="BG401" s="1131"/>
      <c r="BH401" s="1131"/>
      <c r="BI401" s="1131"/>
      <c r="BJ401" s="1131"/>
      <c r="BK401" s="1131"/>
      <c r="BL401" s="1131"/>
      <c r="BM401" s="1131"/>
      <c r="BN401" s="1131"/>
      <c r="BO401" s="1131"/>
      <c r="BP401" s="1131"/>
      <c r="BQ401" s="1131"/>
      <c r="BR401" s="1131"/>
      <c r="BS401" s="1131"/>
      <c r="BT401" s="1131"/>
      <c r="BU401" s="1131"/>
      <c r="BV401" s="1131"/>
      <c r="BW401" s="6"/>
      <c r="BY401" s="371"/>
      <c r="BZ401" s="371"/>
      <c r="CA401" s="371"/>
      <c r="CB401" s="371"/>
    </row>
    <row r="402" spans="1:80" s="5" customFormat="1" ht="73.5" customHeight="1" outlineLevel="1" thickBot="1" x14ac:dyDescent="0.3">
      <c r="A402" s="10" t="b">
        <f>AND($AD$56="нет",$W95&lt;&gt;"одноставочный")</f>
        <v>0</v>
      </c>
      <c r="B402" s="76" t="b">
        <f>AND(A402,NOT(NDS="нет"))</f>
        <v>0</v>
      </c>
      <c r="C402" s="75" t="s">
        <v>537</v>
      </c>
      <c r="D402" s="5" t="s">
        <v>538</v>
      </c>
      <c r="E402" s="10" t="s">
        <v>73</v>
      </c>
      <c r="F402" s="10" t="s">
        <v>74</v>
      </c>
      <c r="G402" s="10" t="s">
        <v>73</v>
      </c>
      <c r="H402" s="10" t="s">
        <v>73</v>
      </c>
      <c r="I402" s="10" t="s">
        <v>73</v>
      </c>
      <c r="J402" s="10" t="s">
        <v>73</v>
      </c>
      <c r="K402" s="12" t="s">
        <v>73</v>
      </c>
      <c r="M402" s="5" t="str">
        <f t="array" ref="M402">Y95</f>
        <v>1ХВС::1.1</v>
      </c>
      <c r="Z402" s="6"/>
      <c r="AA402" s="6"/>
      <c r="AB402" s="822" t="s">
        <v>736</v>
      </c>
      <c r="AC402" s="823" t="s">
        <v>737</v>
      </c>
      <c r="AD402" s="824" t="s">
        <v>738</v>
      </c>
      <c r="AE402" s="825">
        <v>0.34699999999999998</v>
      </c>
      <c r="AF402" s="826">
        <v>0.34699999999999998</v>
      </c>
      <c r="AG402" s="826">
        <v>0.36699999999999999</v>
      </c>
      <c r="AH402" s="827">
        <v>0.34699999999999998</v>
      </c>
      <c r="AI402" s="828">
        <v>0</v>
      </c>
      <c r="AJ402" s="826">
        <v>0</v>
      </c>
      <c r="AK402" s="826">
        <v>0.26</v>
      </c>
      <c r="AL402" s="829">
        <v>0</v>
      </c>
      <c r="AM402" s="830">
        <f>16/10</f>
        <v>1.6</v>
      </c>
      <c r="AN402" s="831">
        <v>0.29699999999999999</v>
      </c>
      <c r="AO402" s="831">
        <v>0.17399999999999999</v>
      </c>
      <c r="AP402" s="832">
        <v>1.1739999999999999</v>
      </c>
      <c r="AQ402" s="833">
        <v>1.5</v>
      </c>
      <c r="AR402" s="834">
        <v>1.26</v>
      </c>
      <c r="AS402" s="834">
        <v>8.8999999999999996E-2</v>
      </c>
      <c r="AT402" s="835">
        <v>8.8999999999999996E-2</v>
      </c>
      <c r="AU402" s="836">
        <v>1.6</v>
      </c>
      <c r="AV402" s="837">
        <v>0.15</v>
      </c>
      <c r="AW402" s="837">
        <v>0.29799999999999999</v>
      </c>
      <c r="AX402" s="838">
        <v>0.29799999999999999</v>
      </c>
      <c r="AY402" s="839">
        <v>0</v>
      </c>
      <c r="AZ402" s="834">
        <v>0</v>
      </c>
      <c r="BA402" s="834">
        <v>0</v>
      </c>
      <c r="BB402" s="835">
        <v>0</v>
      </c>
      <c r="BC402" s="840">
        <v>3.7610000000000001</v>
      </c>
      <c r="BD402" s="841">
        <v>5.8000000000000003E-2</v>
      </c>
      <c r="BE402" s="841">
        <v>3.79</v>
      </c>
      <c r="BF402" s="842">
        <v>3.76</v>
      </c>
      <c r="BG402" s="843">
        <v>1.8440000000000001</v>
      </c>
      <c r="BH402" s="841">
        <v>1.5</v>
      </c>
      <c r="BI402" s="841">
        <v>1.877</v>
      </c>
      <c r="BJ402" s="842">
        <v>1.5</v>
      </c>
      <c r="BK402" s="839">
        <v>2.1999999999999999E-2</v>
      </c>
      <c r="BL402" s="834">
        <v>1.4999999999999999E-2</v>
      </c>
      <c r="BM402" s="834">
        <v>0.23899999999999999</v>
      </c>
      <c r="BN402" s="835">
        <v>1.4999999999999999E-2</v>
      </c>
      <c r="BO402" s="844">
        <v>0.59499999999999997</v>
      </c>
      <c r="BP402" s="845">
        <v>0</v>
      </c>
      <c r="BQ402" s="845">
        <v>1.3049999999999999</v>
      </c>
      <c r="BR402" s="846">
        <v>0</v>
      </c>
      <c r="BS402" s="844">
        <v>0.84699999999999998</v>
      </c>
      <c r="BT402" s="845">
        <v>0</v>
      </c>
      <c r="BU402" s="845">
        <v>0.84699999999999998</v>
      </c>
      <c r="BV402" s="847">
        <v>0</v>
      </c>
      <c r="BW402" s="6"/>
      <c r="BY402" s="371"/>
      <c r="BZ402" s="371"/>
      <c r="CA402" s="371"/>
      <c r="CB402" s="371"/>
    </row>
    <row r="403" spans="1:80" s="5" customFormat="1" ht="15.75" customHeight="1" outlineLevel="1" thickBot="1" x14ac:dyDescent="0.3">
      <c r="A403" s="10" t="b">
        <f>AND($AD$56="нет",$W95&lt;&gt;"одноставочный")</f>
        <v>0</v>
      </c>
      <c r="B403" s="76" t="b">
        <f>AND(A403,NOT(NDS="нет"))</f>
        <v>0</v>
      </c>
      <c r="C403" s="75" t="s">
        <v>539</v>
      </c>
      <c r="D403" s="5" t="s">
        <v>540</v>
      </c>
      <c r="E403" s="10" t="s">
        <v>73</v>
      </c>
      <c r="F403" s="10" t="s">
        <v>74</v>
      </c>
      <c r="G403" s="10" t="s">
        <v>73</v>
      </c>
      <c r="H403" s="10" t="s">
        <v>73</v>
      </c>
      <c r="I403" s="10" t="s">
        <v>73</v>
      </c>
      <c r="J403" s="10" t="s">
        <v>73</v>
      </c>
      <c r="K403" s="12" t="s">
        <v>73</v>
      </c>
      <c r="M403" s="5" t="str">
        <f t="array" ref="M403">Y95</f>
        <v>1ХВС::1.1</v>
      </c>
      <c r="Z403" s="6"/>
      <c r="AA403" s="6"/>
      <c r="AB403" s="1132" t="s">
        <v>739</v>
      </c>
      <c r="AC403" s="1132"/>
      <c r="AD403" s="1132"/>
      <c r="AE403" s="1132"/>
      <c r="AF403" s="1132"/>
      <c r="AG403" s="1132"/>
      <c r="AH403" s="1132"/>
      <c r="AI403" s="1132"/>
      <c r="AJ403" s="1132"/>
      <c r="AK403" s="1132"/>
      <c r="AL403" s="1132"/>
      <c r="AM403" s="1132"/>
      <c r="AN403" s="1132"/>
      <c r="AO403" s="1132"/>
      <c r="AP403" s="1132"/>
      <c r="AQ403" s="1132"/>
      <c r="AR403" s="1132"/>
      <c r="AS403" s="1132"/>
      <c r="AT403" s="1132"/>
      <c r="AU403" s="1132"/>
      <c r="AV403" s="1132"/>
      <c r="AW403" s="1132"/>
      <c r="AX403" s="1132"/>
      <c r="AY403" s="1132"/>
      <c r="AZ403" s="1132"/>
      <c r="BA403" s="1132"/>
      <c r="BB403" s="1132"/>
      <c r="BC403" s="1132"/>
      <c r="BD403" s="1132"/>
      <c r="BE403" s="1132"/>
      <c r="BF403" s="1132"/>
      <c r="BG403" s="1132"/>
      <c r="BH403" s="1132"/>
      <c r="BI403" s="1132"/>
      <c r="BJ403" s="1132"/>
      <c r="BK403" s="1132"/>
      <c r="BL403" s="1132"/>
      <c r="BM403" s="1132"/>
      <c r="BN403" s="1132"/>
      <c r="BO403" s="1132"/>
      <c r="BP403" s="1132"/>
      <c r="BQ403" s="1132"/>
      <c r="BR403" s="1132"/>
      <c r="BS403" s="1132"/>
      <c r="BT403" s="1132"/>
      <c r="BU403" s="1132"/>
      <c r="BV403" s="848"/>
      <c r="BW403" s="6"/>
      <c r="BY403" s="371"/>
      <c r="BZ403" s="371"/>
      <c r="CA403" s="371"/>
      <c r="CB403" s="371"/>
    </row>
    <row r="404" spans="1:80" s="5" customFormat="1" ht="47.25" customHeight="1" outlineLevel="1" x14ac:dyDescent="0.25">
      <c r="A404" s="10" t="b">
        <f>$W95&lt;&gt;"одноставочный"</f>
        <v>0</v>
      </c>
      <c r="B404" s="76" t="b">
        <f>AND(A404,NOT(NDS="нет"))</f>
        <v>0</v>
      </c>
      <c r="C404" s="75" t="s">
        <v>541</v>
      </c>
      <c r="D404" s="5" t="s">
        <v>542</v>
      </c>
      <c r="E404" s="10" t="s">
        <v>73</v>
      </c>
      <c r="F404" s="10" t="s">
        <v>74</v>
      </c>
      <c r="G404" s="10" t="s">
        <v>73</v>
      </c>
      <c r="H404" s="10" t="s">
        <v>73</v>
      </c>
      <c r="I404" s="10" t="s">
        <v>73</v>
      </c>
      <c r="J404" s="10" t="s">
        <v>73</v>
      </c>
      <c r="K404" s="12" t="s">
        <v>73</v>
      </c>
      <c r="M404" s="5" t="str">
        <f t="array" ref="M404">Y95</f>
        <v>1ХВС::1.1</v>
      </c>
      <c r="Z404" s="6"/>
      <c r="AA404" s="6"/>
      <c r="AB404" s="849" t="s">
        <v>740</v>
      </c>
      <c r="AC404" s="850" t="s">
        <v>741</v>
      </c>
      <c r="AD404" s="851" t="s">
        <v>119</v>
      </c>
      <c r="AE404" s="852">
        <v>22.19</v>
      </c>
      <c r="AF404" s="853">
        <v>22.75</v>
      </c>
      <c r="AG404" s="853">
        <v>22.75</v>
      </c>
      <c r="AH404" s="854">
        <v>22.75</v>
      </c>
      <c r="AI404" s="852">
        <v>2.2999999999999998</v>
      </c>
      <c r="AJ404" s="853">
        <v>4.43</v>
      </c>
      <c r="AK404" s="853">
        <v>3.37</v>
      </c>
      <c r="AL404" s="854">
        <v>1.33</v>
      </c>
      <c r="AM404" s="798">
        <v>10.119999999999999</v>
      </c>
      <c r="AN404" s="799">
        <v>3.19</v>
      </c>
      <c r="AO404" s="799">
        <v>7</v>
      </c>
      <c r="AP404" s="800">
        <v>11.32</v>
      </c>
      <c r="AQ404" s="855">
        <v>20.89</v>
      </c>
      <c r="AR404" s="799">
        <v>9.6300000000000008</v>
      </c>
      <c r="AS404" s="799">
        <v>20.72</v>
      </c>
      <c r="AT404" s="800">
        <v>10.29</v>
      </c>
      <c r="AU404" s="801">
        <v>0.48</v>
      </c>
      <c r="AV404" s="802">
        <v>10</v>
      </c>
      <c r="AW404" s="802">
        <v>2.8</v>
      </c>
      <c r="AX404" s="803">
        <v>16.48</v>
      </c>
      <c r="AY404" s="801">
        <v>68.900000000000006</v>
      </c>
      <c r="AZ404" s="802">
        <v>12.36</v>
      </c>
      <c r="BA404" s="802">
        <v>69.72</v>
      </c>
      <c r="BB404" s="803">
        <v>12.36</v>
      </c>
      <c r="BC404" s="793">
        <v>43.83</v>
      </c>
      <c r="BD404" s="794">
        <v>0</v>
      </c>
      <c r="BE404" s="794">
        <v>42.14</v>
      </c>
      <c r="BF404" s="806">
        <v>8.48</v>
      </c>
      <c r="BG404" s="793">
        <v>56.71</v>
      </c>
      <c r="BH404" s="794">
        <v>11.32</v>
      </c>
      <c r="BI404" s="794">
        <v>11.32</v>
      </c>
      <c r="BJ404" s="806">
        <v>11.32</v>
      </c>
      <c r="BK404" s="801">
        <v>37.19</v>
      </c>
      <c r="BL404" s="802">
        <v>15.87</v>
      </c>
      <c r="BM404" s="802">
        <v>0</v>
      </c>
      <c r="BN404" s="803">
        <v>19.309999999999999</v>
      </c>
      <c r="BO404" s="793">
        <v>44.66</v>
      </c>
      <c r="BP404" s="794">
        <v>13.77</v>
      </c>
      <c r="BQ404" s="794">
        <v>41.85</v>
      </c>
      <c r="BR404" s="806">
        <v>16.010000000000002</v>
      </c>
      <c r="BS404" s="793">
        <v>36.770000000000003</v>
      </c>
      <c r="BT404" s="794">
        <v>8.31</v>
      </c>
      <c r="BU404" s="794">
        <v>35.32</v>
      </c>
      <c r="BV404" s="795">
        <v>11.97</v>
      </c>
      <c r="BW404" s="6"/>
      <c r="BY404" s="371"/>
      <c r="BZ404" s="371"/>
      <c r="CA404" s="371"/>
      <c r="CB404" s="371"/>
    </row>
    <row r="405" spans="1:80" s="5" customFormat="1" ht="60" customHeight="1" x14ac:dyDescent="0.25">
      <c r="A405" s="10" t="b">
        <f>$W95&lt;&gt;"одноставочный"</f>
        <v>0</v>
      </c>
      <c r="B405" s="5" t="b">
        <f t="array" ref="B405">A405</f>
        <v>0</v>
      </c>
      <c r="C405" s="75" t="s">
        <v>543</v>
      </c>
      <c r="D405" s="5" t="s">
        <v>544</v>
      </c>
      <c r="E405" s="10" t="s">
        <v>73</v>
      </c>
      <c r="F405" s="10" t="s">
        <v>74</v>
      </c>
      <c r="G405" s="10" t="s">
        <v>73</v>
      </c>
      <c r="H405" s="10" t="s">
        <v>73</v>
      </c>
      <c r="I405" s="10" t="s">
        <v>73</v>
      </c>
      <c r="J405" s="10" t="s">
        <v>73</v>
      </c>
      <c r="K405" s="12" t="s">
        <v>73</v>
      </c>
      <c r="M405" s="5" t="str">
        <f t="array" ref="M405">Y95</f>
        <v>1ХВС::1.1</v>
      </c>
      <c r="Z405" s="6"/>
      <c r="AA405" s="6"/>
      <c r="AB405" s="1078" t="s">
        <v>742</v>
      </c>
      <c r="AC405" s="1077" t="s">
        <v>743</v>
      </c>
      <c r="AD405" s="1079" t="s">
        <v>744</v>
      </c>
      <c r="AE405" s="53">
        <v>0.25</v>
      </c>
      <c r="AF405" s="54">
        <v>0.22700000000000001</v>
      </c>
      <c r="AG405" s="54">
        <v>0.25700000000000001</v>
      </c>
      <c r="AH405" s="754">
        <v>0.22700000000000001</v>
      </c>
      <c r="AI405" s="53">
        <v>0.73</v>
      </c>
      <c r="AJ405" s="54">
        <v>0.75</v>
      </c>
      <c r="AK405" s="54">
        <v>0.32800000000000001</v>
      </c>
      <c r="AL405" s="754">
        <v>0.75</v>
      </c>
      <c r="AM405" s="1081">
        <v>0</v>
      </c>
      <c r="AN405" s="1080">
        <v>0</v>
      </c>
      <c r="AO405" s="1080">
        <v>0</v>
      </c>
      <c r="AP405" s="1082">
        <v>0.376</v>
      </c>
      <c r="AQ405" s="1083">
        <v>0</v>
      </c>
      <c r="AR405" s="1080">
        <v>0</v>
      </c>
      <c r="AS405" s="1080">
        <v>0</v>
      </c>
      <c r="AT405" s="1082">
        <v>0.67</v>
      </c>
      <c r="AU405" s="1085">
        <v>0</v>
      </c>
      <c r="AV405" s="1084">
        <v>0</v>
      </c>
      <c r="AW405" s="1084">
        <v>0</v>
      </c>
      <c r="AX405" s="1086">
        <v>1.17</v>
      </c>
      <c r="AY405" s="1085">
        <v>0</v>
      </c>
      <c r="AZ405" s="1084">
        <v>0</v>
      </c>
      <c r="BA405" s="1084">
        <v>0</v>
      </c>
      <c r="BB405" s="1086">
        <v>0</v>
      </c>
      <c r="BC405" s="53">
        <v>0.60799999999999998</v>
      </c>
      <c r="BD405" s="54">
        <v>0.6</v>
      </c>
      <c r="BE405" s="54">
        <v>0.05</v>
      </c>
      <c r="BF405" s="754">
        <v>0.61</v>
      </c>
      <c r="BG405" s="1087">
        <v>0.12</v>
      </c>
      <c r="BH405" s="54">
        <v>0.37</v>
      </c>
      <c r="BI405" s="54">
        <v>0.37</v>
      </c>
      <c r="BJ405" s="754">
        <v>0.37</v>
      </c>
      <c r="BK405" s="1085">
        <v>0.252</v>
      </c>
      <c r="BL405" s="1137">
        <v>0.70399999999999996</v>
      </c>
      <c r="BM405" s="1084">
        <v>0</v>
      </c>
      <c r="BN405" s="1135">
        <v>0.70399999999999996</v>
      </c>
      <c r="BO405" s="53">
        <v>0</v>
      </c>
      <c r="BP405" s="54">
        <v>0</v>
      </c>
      <c r="BQ405" s="54">
        <v>0</v>
      </c>
      <c r="BR405" s="754">
        <v>0</v>
      </c>
      <c r="BS405" s="602">
        <f>BS326</f>
        <v>0.34047347904165393</v>
      </c>
      <c r="BT405" s="54">
        <f t="shared" ref="BT405:BV405" si="158">BT326</f>
        <v>0.58996250000000006</v>
      </c>
      <c r="BU405" s="54">
        <f t="shared" si="158"/>
        <v>0.94699999999999995</v>
      </c>
      <c r="BV405" s="603">
        <f t="shared" si="158"/>
        <v>0.94699999999999995</v>
      </c>
      <c r="BW405" s="6"/>
      <c r="BY405" s="371"/>
      <c r="BZ405" s="371"/>
      <c r="CA405" s="371"/>
      <c r="CB405" s="371"/>
    </row>
    <row r="406" spans="1:80" s="5" customFormat="1" ht="50.25" customHeight="1" outlineLevel="1" thickBot="1" x14ac:dyDescent="0.3">
      <c r="A406" s="10" t="b">
        <f>AND($AD$56="нет",$W95&lt;&gt;"одноставочный")</f>
        <v>0</v>
      </c>
      <c r="B406" s="5" t="b">
        <f t="array" ref="B406">A406</f>
        <v>0</v>
      </c>
      <c r="C406" s="75" t="s">
        <v>545</v>
      </c>
      <c r="D406" s="5" t="s">
        <v>546</v>
      </c>
      <c r="E406" s="10" t="s">
        <v>73</v>
      </c>
      <c r="F406" s="10" t="s">
        <v>74</v>
      </c>
      <c r="G406" s="10" t="s">
        <v>73</v>
      </c>
      <c r="H406" s="10" t="s">
        <v>73</v>
      </c>
      <c r="I406" s="10" t="s">
        <v>73</v>
      </c>
      <c r="J406" s="10" t="s">
        <v>73</v>
      </c>
      <c r="K406" s="12" t="s">
        <v>73</v>
      </c>
      <c r="M406" s="5" t="str">
        <f t="array" ref="M406">Y95</f>
        <v>1ХВС::1.1</v>
      </c>
      <c r="Z406" s="6"/>
      <c r="AA406" s="6"/>
      <c r="AB406" s="857" t="s">
        <v>745</v>
      </c>
      <c r="AC406" s="858" t="s">
        <v>746</v>
      </c>
      <c r="AD406" s="859" t="s">
        <v>744</v>
      </c>
      <c r="AE406" s="860">
        <v>0.31</v>
      </c>
      <c r="AF406" s="861">
        <v>0.33100000000000002</v>
      </c>
      <c r="AG406" s="861">
        <v>0.33</v>
      </c>
      <c r="AH406" s="862">
        <v>0.33100000000000002</v>
      </c>
      <c r="AI406" s="860">
        <v>0</v>
      </c>
      <c r="AJ406" s="861">
        <v>0</v>
      </c>
      <c r="AK406" s="861">
        <v>0.315</v>
      </c>
      <c r="AL406" s="862">
        <v>0</v>
      </c>
      <c r="AM406" s="863">
        <v>0.56100000000000005</v>
      </c>
      <c r="AN406" s="864">
        <v>0.38700000000000001</v>
      </c>
      <c r="AO406" s="864">
        <v>0.376</v>
      </c>
      <c r="AP406" s="865">
        <v>0</v>
      </c>
      <c r="AQ406" s="866">
        <v>0.68899999999999995</v>
      </c>
      <c r="AR406" s="864">
        <v>0.67</v>
      </c>
      <c r="AS406" s="864">
        <v>0.73599999999999999</v>
      </c>
      <c r="AT406" s="865">
        <v>0</v>
      </c>
      <c r="AU406" s="867">
        <v>1.2</v>
      </c>
      <c r="AV406" s="868">
        <v>1.9</v>
      </c>
      <c r="AW406" s="868">
        <v>1.2969999999999999</v>
      </c>
      <c r="AX406" s="869">
        <v>0</v>
      </c>
      <c r="AY406" s="867">
        <v>0.37</v>
      </c>
      <c r="AZ406" s="868">
        <v>0.36</v>
      </c>
      <c r="BA406" s="868">
        <v>0.35699999999999998</v>
      </c>
      <c r="BB406" s="869">
        <v>0.36</v>
      </c>
      <c r="BC406" s="860">
        <v>0</v>
      </c>
      <c r="BD406" s="861">
        <v>1.65</v>
      </c>
      <c r="BE406" s="861">
        <v>0.59699999999999998</v>
      </c>
      <c r="BF406" s="862">
        <v>0</v>
      </c>
      <c r="BG406" s="1088">
        <v>0.4</v>
      </c>
      <c r="BH406" s="861">
        <v>0.4</v>
      </c>
      <c r="BI406" s="861">
        <v>0.4</v>
      </c>
      <c r="BJ406" s="862">
        <v>0.4</v>
      </c>
      <c r="BK406" s="867">
        <v>0.37</v>
      </c>
      <c r="BL406" s="1138"/>
      <c r="BM406" s="868">
        <v>0.66600000000000004</v>
      </c>
      <c r="BN406" s="1136"/>
      <c r="BO406" s="860">
        <v>1.1000000000000001</v>
      </c>
      <c r="BP406" s="861">
        <v>1.7370000000000001</v>
      </c>
      <c r="BQ406" s="861">
        <v>1.139</v>
      </c>
      <c r="BR406" s="862">
        <v>1.7370000000000001</v>
      </c>
      <c r="BS406" s="860">
        <v>0.57599999999999996</v>
      </c>
      <c r="BT406" s="861">
        <v>0.79200000000000004</v>
      </c>
      <c r="BU406" s="861">
        <v>0.79200000000000004</v>
      </c>
      <c r="BV406" s="870">
        <v>0.79200000000000004</v>
      </c>
      <c r="BW406" s="6"/>
      <c r="BY406" s="371"/>
      <c r="BZ406" s="371"/>
      <c r="CA406" s="371"/>
      <c r="CB406" s="371"/>
    </row>
    <row r="407" spans="1:80" s="5" customFormat="1" hidden="1" outlineLevel="1" x14ac:dyDescent="0.25">
      <c r="A407" s="10" t="b">
        <f>AND($AD$56="нет",$W95&lt;&gt;"одноставочный")</f>
        <v>0</v>
      </c>
      <c r="B407" s="5" t="b">
        <f t="array" ref="B407">A407</f>
        <v>0</v>
      </c>
      <c r="C407" s="75" t="s">
        <v>547</v>
      </c>
      <c r="D407" s="5" t="s">
        <v>548</v>
      </c>
      <c r="E407" s="10" t="s">
        <v>73</v>
      </c>
      <c r="F407" s="10" t="s">
        <v>74</v>
      </c>
      <c r="G407" s="10" t="s">
        <v>73</v>
      </c>
      <c r="H407" s="10" t="s">
        <v>73</v>
      </c>
      <c r="I407" s="10" t="s">
        <v>73</v>
      </c>
      <c r="J407" s="10" t="s">
        <v>73</v>
      </c>
      <c r="K407" s="12" t="s">
        <v>73</v>
      </c>
      <c r="M407" s="5" t="str">
        <f t="array" ref="M407">Y95</f>
        <v>1ХВС::1.1</v>
      </c>
      <c r="Z407" s="6"/>
      <c r="AA407" s="6"/>
      <c r="AB407" s="871"/>
      <c r="AC407" s="872"/>
      <c r="AD407" s="871"/>
      <c r="AE407" s="382"/>
      <c r="AF407" s="382"/>
      <c r="AG407" s="382"/>
      <c r="AH407" s="391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6"/>
      <c r="BL407" s="6"/>
      <c r="BM407" s="6"/>
      <c r="BN407" s="6"/>
      <c r="BO407" s="6"/>
      <c r="BP407" s="6"/>
      <c r="BQ407" s="6"/>
      <c r="BR407" s="6"/>
      <c r="BS407" s="6"/>
      <c r="BT407" s="6"/>
      <c r="BU407" s="6"/>
      <c r="BV407" s="6"/>
      <c r="BW407" s="6"/>
      <c r="BY407" s="383">
        <f t="shared" ref="BY407:BY426" si="159">AE407+AI407+AM407+AQ407+AU407+AY407+BC407+BG407+BK407+BO407+BS407</f>
        <v>0</v>
      </c>
      <c r="BZ407" s="383">
        <f t="shared" ref="BZ407:BZ426" si="160">AF407+AJ407+AN407+AR407+AV407+AZ407+BD407+BH407+BL407+BP407+BT407</f>
        <v>0</v>
      </c>
      <c r="CA407" s="383">
        <f t="shared" ref="CA407:CA426" si="161">AG407+AK407+AO407+AS407+AW407+BA407+BE407+BI407+BM407+BQ407+BU407</f>
        <v>0</v>
      </c>
      <c r="CB407" s="371"/>
    </row>
    <row r="408" spans="1:80" s="5" customFormat="1" hidden="1" outlineLevel="1" x14ac:dyDescent="0.25">
      <c r="A408" s="10" t="b">
        <f>$W95&lt;&gt;"одноставочный"</f>
        <v>0</v>
      </c>
      <c r="B408" s="5" t="b">
        <f t="array" ref="B408">A408</f>
        <v>0</v>
      </c>
      <c r="C408" s="75" t="s">
        <v>549</v>
      </c>
      <c r="D408" s="5" t="s">
        <v>550</v>
      </c>
      <c r="E408" s="10" t="s">
        <v>73</v>
      </c>
      <c r="F408" s="10" t="s">
        <v>74</v>
      </c>
      <c r="G408" s="10" t="s">
        <v>73</v>
      </c>
      <c r="H408" s="10" t="s">
        <v>73</v>
      </c>
      <c r="I408" s="10" t="s">
        <v>73</v>
      </c>
      <c r="J408" s="10" t="s">
        <v>73</v>
      </c>
      <c r="K408" s="12" t="s">
        <v>73</v>
      </c>
      <c r="M408" s="5" t="str">
        <f t="array" ref="M408">Y95</f>
        <v>1ХВС::1.1</v>
      </c>
      <c r="Z408" s="6"/>
      <c r="AA408" s="6"/>
      <c r="AB408" s="384"/>
      <c r="AC408" s="385"/>
      <c r="AD408" s="384"/>
      <c r="AE408" s="386"/>
      <c r="AF408" s="386"/>
      <c r="AG408" s="386"/>
      <c r="AH408" s="391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6"/>
      <c r="BL408" s="6"/>
      <c r="BM408" s="6"/>
      <c r="BN408" s="6"/>
      <c r="BO408" s="6"/>
      <c r="BP408" s="6"/>
      <c r="BQ408" s="6"/>
      <c r="BR408" s="6"/>
      <c r="BS408" s="6"/>
      <c r="BT408" s="6"/>
      <c r="BU408" s="6"/>
      <c r="BV408" s="6"/>
      <c r="BW408" s="6"/>
      <c r="BY408" s="125">
        <f t="shared" si="159"/>
        <v>0</v>
      </c>
      <c r="BZ408" s="125">
        <f t="shared" si="160"/>
        <v>0</v>
      </c>
      <c r="CA408" s="125">
        <f t="shared" si="161"/>
        <v>0</v>
      </c>
      <c r="CB408" s="371"/>
    </row>
    <row r="409" spans="1:80" s="5" customFormat="1" hidden="1" x14ac:dyDescent="0.25">
      <c r="A409" s="10" t="b">
        <f>$W95&lt;&gt;"одноставочный"</f>
        <v>0</v>
      </c>
      <c r="B409" s="76" t="b">
        <f>AND(A409,NOT(NDS="нет"))</f>
        <v>0</v>
      </c>
      <c r="C409" s="75" t="s">
        <v>551</v>
      </c>
      <c r="D409" s="5" t="s">
        <v>552</v>
      </c>
      <c r="E409" s="10" t="s">
        <v>73</v>
      </c>
      <c r="F409" s="10" t="s">
        <v>74</v>
      </c>
      <c r="G409" s="10" t="s">
        <v>73</v>
      </c>
      <c r="H409" s="10" t="s">
        <v>73</v>
      </c>
      <c r="I409" s="10" t="s">
        <v>73</v>
      </c>
      <c r="J409" s="10" t="s">
        <v>73</v>
      </c>
      <c r="K409" s="12" t="s">
        <v>73</v>
      </c>
      <c r="M409" s="5" t="str">
        <f t="array" ref="M409">Y95</f>
        <v>1ХВС::1.1</v>
      </c>
      <c r="Z409" s="6"/>
      <c r="AA409" s="6"/>
      <c r="AB409" s="387"/>
      <c r="AC409" s="388"/>
      <c r="AD409" s="387"/>
      <c r="AE409" s="389"/>
      <c r="AF409" s="389"/>
      <c r="AG409" s="389"/>
      <c r="AH409" s="391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6"/>
      <c r="BL409" s="6"/>
      <c r="BM409" s="6"/>
      <c r="BN409" s="6"/>
      <c r="BO409" s="6"/>
      <c r="BP409" s="6"/>
      <c r="BQ409" s="6"/>
      <c r="BR409" s="6"/>
      <c r="BS409" s="6"/>
      <c r="BT409" s="6"/>
      <c r="BU409" s="6"/>
      <c r="BV409" s="6"/>
      <c r="BW409" s="6"/>
      <c r="BY409" s="125">
        <f t="shared" si="159"/>
        <v>0</v>
      </c>
      <c r="BZ409" s="125">
        <f t="shared" si="160"/>
        <v>0</v>
      </c>
      <c r="CA409" s="125">
        <f t="shared" si="161"/>
        <v>0</v>
      </c>
      <c r="CB409" s="371"/>
    </row>
    <row r="410" spans="1:80" s="5" customFormat="1" hidden="1" outlineLevel="1" x14ac:dyDescent="0.25">
      <c r="A410" s="10" t="b">
        <f>AND($AD$56="нет",$W95&lt;&gt;"одноставочный")</f>
        <v>0</v>
      </c>
      <c r="B410" s="76" t="b">
        <f>AND(A410,NOT(NDS="нет"))</f>
        <v>0</v>
      </c>
      <c r="C410" s="75" t="s">
        <v>553</v>
      </c>
      <c r="D410" s="5" t="s">
        <v>554</v>
      </c>
      <c r="E410" s="10" t="s">
        <v>73</v>
      </c>
      <c r="F410" s="10" t="s">
        <v>74</v>
      </c>
      <c r="G410" s="10" t="s">
        <v>73</v>
      </c>
      <c r="H410" s="10" t="s">
        <v>73</v>
      </c>
      <c r="I410" s="10" t="s">
        <v>73</v>
      </c>
      <c r="J410" s="10" t="s">
        <v>73</v>
      </c>
      <c r="K410" s="12" t="s">
        <v>73</v>
      </c>
      <c r="M410" s="5" t="str">
        <f t="array" ref="M410">Y95</f>
        <v>1ХВС::1.1</v>
      </c>
      <c r="Z410" s="6"/>
      <c r="AA410" s="6"/>
      <c r="AB410" s="384"/>
      <c r="AC410" s="385"/>
      <c r="AD410" s="384"/>
      <c r="AE410" s="389"/>
      <c r="AF410" s="389"/>
      <c r="AG410" s="389"/>
      <c r="AH410" s="391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6"/>
      <c r="BL410" s="6"/>
      <c r="BM410" s="6"/>
      <c r="BN410" s="6"/>
      <c r="BO410" s="6"/>
      <c r="BP410" s="6"/>
      <c r="BQ410" s="6"/>
      <c r="BR410" s="6"/>
      <c r="BS410" s="6"/>
      <c r="BT410" s="6"/>
      <c r="BU410" s="6"/>
      <c r="BV410" s="6"/>
      <c r="BW410" s="6"/>
      <c r="BY410" s="125">
        <f t="shared" si="159"/>
        <v>0</v>
      </c>
      <c r="BZ410" s="125">
        <f t="shared" si="160"/>
        <v>0</v>
      </c>
      <c r="CA410" s="125">
        <f t="shared" si="161"/>
        <v>0</v>
      </c>
      <c r="CB410" s="371"/>
    </row>
    <row r="411" spans="1:80" hidden="1" outlineLevel="1" x14ac:dyDescent="0.25">
      <c r="A411" s="10" t="b">
        <f>AND($AD$56="нет",$W95&lt;&gt;"одноставочный")</f>
        <v>0</v>
      </c>
      <c r="B411" s="76" t="b">
        <f>AND(A411,NOT(NDS="нет"))</f>
        <v>0</v>
      </c>
      <c r="C411" s="75" t="s">
        <v>555</v>
      </c>
      <c r="D411" s="5" t="s">
        <v>556</v>
      </c>
      <c r="E411" s="10" t="s">
        <v>73</v>
      </c>
      <c r="F411" s="10" t="s">
        <v>74</v>
      </c>
      <c r="G411" s="10" t="s">
        <v>73</v>
      </c>
      <c r="H411" s="10" t="s">
        <v>73</v>
      </c>
      <c r="I411" s="10" t="s">
        <v>73</v>
      </c>
      <c r="J411" s="10" t="s">
        <v>73</v>
      </c>
      <c r="K411" s="12" t="s">
        <v>73</v>
      </c>
      <c r="M411" s="5" t="str">
        <f t="array" ref="M411">Y95</f>
        <v>1ХВС::1.1</v>
      </c>
      <c r="Z411" s="6"/>
      <c r="AA411" s="6"/>
      <c r="AB411" s="384"/>
      <c r="AC411" s="385"/>
      <c r="AD411" s="384"/>
      <c r="AE411" s="390"/>
      <c r="AF411" s="390"/>
      <c r="AG411" s="390"/>
      <c r="AH411" s="391"/>
      <c r="BY411" s="125">
        <f t="shared" si="159"/>
        <v>0</v>
      </c>
      <c r="BZ411" s="125">
        <f t="shared" si="160"/>
        <v>0</v>
      </c>
      <c r="CA411" s="125">
        <f t="shared" si="161"/>
        <v>0</v>
      </c>
      <c r="CB411" s="371"/>
    </row>
    <row r="412" spans="1:80" hidden="1" outlineLevel="1" x14ac:dyDescent="0.25">
      <c r="A412" s="10" t="b">
        <f>$W95&lt;&gt;"одноставочный"</f>
        <v>0</v>
      </c>
      <c r="B412" s="76" t="b">
        <f>AND(A412,NOT(NDS="нет"))</f>
        <v>0</v>
      </c>
      <c r="C412" s="75" t="s">
        <v>557</v>
      </c>
      <c r="D412" s="5" t="s">
        <v>558</v>
      </c>
      <c r="E412" s="10" t="s">
        <v>73</v>
      </c>
      <c r="F412" s="10" t="s">
        <v>74</v>
      </c>
      <c r="G412" s="10" t="s">
        <v>73</v>
      </c>
      <c r="H412" s="10" t="s">
        <v>73</v>
      </c>
      <c r="I412" s="10" t="s">
        <v>73</v>
      </c>
      <c r="J412" s="10" t="s">
        <v>73</v>
      </c>
      <c r="K412" s="12" t="s">
        <v>73</v>
      </c>
      <c r="M412" s="5" t="str">
        <f t="array" ref="M412">Y95</f>
        <v>1ХВС::1.1</v>
      </c>
      <c r="Z412" s="6"/>
      <c r="AA412" s="6"/>
      <c r="AB412" s="384"/>
      <c r="AC412" s="385"/>
      <c r="AD412" s="384"/>
      <c r="AE412" s="386"/>
      <c r="AF412" s="386"/>
      <c r="AG412" s="386"/>
      <c r="AH412" s="391"/>
      <c r="BY412" s="125">
        <f t="shared" si="159"/>
        <v>0</v>
      </c>
      <c r="BZ412" s="125">
        <f t="shared" si="160"/>
        <v>0</v>
      </c>
      <c r="CA412" s="125">
        <f t="shared" si="161"/>
        <v>0</v>
      </c>
      <c r="CB412" s="371"/>
    </row>
    <row r="413" spans="1:80" hidden="1" outlineLevel="1" x14ac:dyDescent="0.25">
      <c r="A413" s="10" t="b">
        <f>$V95="разделение внутри одной сметы"</f>
        <v>0</v>
      </c>
      <c r="B413" s="10" t="b">
        <f>AND($V95="разделение внутри одной сметы",A413)</f>
        <v>0</v>
      </c>
      <c r="C413" s="75" t="s">
        <v>559</v>
      </c>
      <c r="D413" s="5" t="s">
        <v>560</v>
      </c>
      <c r="E413" s="10" t="s">
        <v>73</v>
      </c>
      <c r="F413" s="10" t="s">
        <v>74</v>
      </c>
      <c r="G413" s="10" t="s">
        <v>73</v>
      </c>
      <c r="H413" s="10" t="s">
        <v>73</v>
      </c>
      <c r="I413" s="10" t="s">
        <v>73</v>
      </c>
      <c r="J413" s="10" t="s">
        <v>73</v>
      </c>
      <c r="K413" s="12" t="s">
        <v>73</v>
      </c>
      <c r="M413" s="5" t="str">
        <f t="array" ref="M413">Y95</f>
        <v>1ХВС::1.1</v>
      </c>
      <c r="Z413" s="6"/>
      <c r="AA413" s="6"/>
      <c r="AB413" s="387"/>
      <c r="AC413" s="388"/>
      <c r="AD413" s="387"/>
      <c r="AE413" s="387"/>
      <c r="AF413" s="387"/>
      <c r="AG413" s="387"/>
      <c r="AH413" s="152"/>
      <c r="BY413" s="125">
        <f t="shared" si="159"/>
        <v>0</v>
      </c>
      <c r="BZ413" s="125">
        <f t="shared" si="160"/>
        <v>0</v>
      </c>
      <c r="CA413" s="125">
        <f t="shared" si="161"/>
        <v>0</v>
      </c>
      <c r="CB413" s="371"/>
    </row>
    <row r="414" spans="1:80" hidden="1" outlineLevel="2" x14ac:dyDescent="0.25">
      <c r="B414" s="10" t="b">
        <f>$V96="разделение внутри одной сметы"</f>
        <v>0</v>
      </c>
      <c r="C414" s="75" t="s">
        <v>561</v>
      </c>
      <c r="E414" s="10" t="s">
        <v>73</v>
      </c>
      <c r="F414" s="10" t="s">
        <v>74</v>
      </c>
      <c r="G414" s="10" t="s">
        <v>73</v>
      </c>
      <c r="H414" s="10" t="s">
        <v>73</v>
      </c>
      <c r="I414" s="10" t="s">
        <v>73</v>
      </c>
      <c r="J414" s="10" t="s">
        <v>73</v>
      </c>
      <c r="K414" s="12" t="s">
        <v>73</v>
      </c>
      <c r="M414" s="5" t="str">
        <f t="array" ref="M414">Y95</f>
        <v>1ХВС::1.1</v>
      </c>
      <c r="AB414" s="384" t="str">
        <f>AB413&amp;".0"</f>
        <v>.0</v>
      </c>
      <c r="AC414" s="385"/>
      <c r="AD414" s="384"/>
      <c r="AE414" s="391"/>
      <c r="AF414" s="391"/>
      <c r="AG414" s="391"/>
      <c r="AH414" s="391"/>
      <c r="BY414" s="125">
        <f t="shared" si="159"/>
        <v>0</v>
      </c>
      <c r="BZ414" s="125">
        <f t="shared" si="160"/>
        <v>0</v>
      </c>
      <c r="CA414" s="125">
        <f t="shared" si="161"/>
        <v>0</v>
      </c>
      <c r="CB414" s="371"/>
    </row>
    <row r="415" spans="1:80" hidden="1" outlineLevel="2" x14ac:dyDescent="0.25">
      <c r="A415" s="10" t="b">
        <f t="array" ref="A415">$B413</f>
        <v>0</v>
      </c>
      <c r="B415" s="10" t="b">
        <f t="array" ref="B415">$B413</f>
        <v>0</v>
      </c>
      <c r="C415" s="75" t="s">
        <v>562</v>
      </c>
      <c r="D415" s="5" t="s">
        <v>563</v>
      </c>
      <c r="E415" s="10" t="s">
        <v>73</v>
      </c>
      <c r="F415" s="10" t="s">
        <v>74</v>
      </c>
      <c r="G415" s="10" t="s">
        <v>73</v>
      </c>
      <c r="H415" s="10" t="s">
        <v>73</v>
      </c>
      <c r="I415" s="10" t="s">
        <v>73</v>
      </c>
      <c r="J415" s="10" t="s">
        <v>73</v>
      </c>
      <c r="K415" s="12" t="s">
        <v>73</v>
      </c>
      <c r="M415" s="5" t="str">
        <f t="array" ref="M415">Y95</f>
        <v>1ХВС::1.1</v>
      </c>
      <c r="Z415" s="6"/>
      <c r="AA415" s="6"/>
      <c r="AB415" s="384"/>
      <c r="AC415" s="392"/>
      <c r="AD415" s="384"/>
      <c r="AE415" s="393"/>
      <c r="AF415" s="393"/>
      <c r="AG415" s="393"/>
      <c r="AH415" s="391"/>
      <c r="BY415" s="125">
        <f t="shared" si="159"/>
        <v>0</v>
      </c>
      <c r="BZ415" s="125">
        <f t="shared" si="160"/>
        <v>0</v>
      </c>
      <c r="CA415" s="125">
        <f t="shared" si="161"/>
        <v>0</v>
      </c>
      <c r="CB415" s="371"/>
    </row>
    <row r="416" spans="1:80" hidden="1" outlineLevel="3" x14ac:dyDescent="0.25">
      <c r="A416" s="10" t="b">
        <f t="array" ref="A416">$B413</f>
        <v>0</v>
      </c>
      <c r="B416" s="10" t="b">
        <f t="array" ref="B416">$B413</f>
        <v>0</v>
      </c>
      <c r="C416" s="75" t="s">
        <v>564</v>
      </c>
      <c r="D416" s="5" t="s">
        <v>565</v>
      </c>
      <c r="E416" s="10" t="s">
        <v>73</v>
      </c>
      <c r="F416" s="10" t="s">
        <v>74</v>
      </c>
      <c r="G416" s="10" t="s">
        <v>73</v>
      </c>
      <c r="H416" s="10" t="s">
        <v>73</v>
      </c>
      <c r="I416" s="10" t="s">
        <v>73</v>
      </c>
      <c r="J416" s="10" t="s">
        <v>73</v>
      </c>
      <c r="K416" s="12" t="s">
        <v>73</v>
      </c>
      <c r="M416" s="5" t="str">
        <f t="array" ref="M416">Y95</f>
        <v>1ХВС::1.1</v>
      </c>
      <c r="Z416" s="6"/>
      <c r="AA416" s="6"/>
      <c r="AB416" s="384"/>
      <c r="AC416" s="394"/>
      <c r="AD416" s="384"/>
      <c r="AE416" s="393"/>
      <c r="AF416" s="393"/>
      <c r="AG416" s="393"/>
      <c r="AH416" s="391"/>
      <c r="BY416" s="125">
        <f t="shared" si="159"/>
        <v>0</v>
      </c>
      <c r="BZ416" s="125">
        <f t="shared" si="160"/>
        <v>0</v>
      </c>
      <c r="CA416" s="125">
        <f t="shared" si="161"/>
        <v>0</v>
      </c>
      <c r="CB416" s="371"/>
    </row>
    <row r="417" spans="1:81" hidden="1" outlineLevel="3" x14ac:dyDescent="0.25">
      <c r="A417" s="10" t="b">
        <f t="array" ref="A417">$B413</f>
        <v>0</v>
      </c>
      <c r="B417" s="10" t="b">
        <f t="array" ref="B417">$B413</f>
        <v>0</v>
      </c>
      <c r="C417" s="75" t="s">
        <v>566</v>
      </c>
      <c r="D417" s="5" t="s">
        <v>567</v>
      </c>
      <c r="E417" s="10" t="s">
        <v>73</v>
      </c>
      <c r="F417" s="10" t="s">
        <v>74</v>
      </c>
      <c r="G417" s="10" t="s">
        <v>73</v>
      </c>
      <c r="H417" s="10" t="s">
        <v>73</v>
      </c>
      <c r="I417" s="10" t="s">
        <v>73</v>
      </c>
      <c r="J417" s="10" t="s">
        <v>73</v>
      </c>
      <c r="K417" s="12" t="s">
        <v>73</v>
      </c>
      <c r="M417" s="5" t="str">
        <f t="array" ref="M417">Y95</f>
        <v>1ХВС::1.1</v>
      </c>
      <c r="Z417" s="6"/>
      <c r="AA417" s="6"/>
      <c r="AB417" s="384"/>
      <c r="AC417" s="394"/>
      <c r="AD417" s="384"/>
      <c r="AE417" s="393"/>
      <c r="AF417" s="393"/>
      <c r="AG417" s="393"/>
      <c r="AH417" s="391"/>
      <c r="BY417" s="125">
        <f t="shared" si="159"/>
        <v>0</v>
      </c>
      <c r="BZ417" s="125">
        <f t="shared" si="160"/>
        <v>0</v>
      </c>
      <c r="CA417" s="125">
        <f t="shared" si="161"/>
        <v>0</v>
      </c>
      <c r="CB417" s="371"/>
    </row>
    <row r="418" spans="1:81" hidden="1" outlineLevel="3" x14ac:dyDescent="0.25">
      <c r="A418" s="10" t="b">
        <f t="array" ref="A418">$B413</f>
        <v>0</v>
      </c>
      <c r="B418" s="10" t="b">
        <f t="array" ref="B418">$B413</f>
        <v>0</v>
      </c>
      <c r="C418" s="75" t="s">
        <v>568</v>
      </c>
      <c r="D418" s="5" t="s">
        <v>569</v>
      </c>
      <c r="E418" s="10" t="s">
        <v>73</v>
      </c>
      <c r="F418" s="10" t="s">
        <v>74</v>
      </c>
      <c r="G418" s="10" t="s">
        <v>73</v>
      </c>
      <c r="H418" s="10" t="s">
        <v>73</v>
      </c>
      <c r="I418" s="10" t="s">
        <v>73</v>
      </c>
      <c r="J418" s="10" t="s">
        <v>73</v>
      </c>
      <c r="K418" s="12" t="s">
        <v>73</v>
      </c>
      <c r="M418" s="5" t="str">
        <f t="array" ref="M418">Y95</f>
        <v>1ХВС::1.1</v>
      </c>
      <c r="Z418" s="6"/>
      <c r="AA418" s="6"/>
      <c r="AB418" s="384"/>
      <c r="AC418" s="394"/>
      <c r="AD418" s="384"/>
      <c r="AE418" s="393"/>
      <c r="AF418" s="393"/>
      <c r="AG418" s="393"/>
      <c r="AH418" s="391"/>
      <c r="BY418" s="125">
        <f t="shared" si="159"/>
        <v>0</v>
      </c>
      <c r="BZ418" s="125">
        <f t="shared" si="160"/>
        <v>0</v>
      </c>
      <c r="CA418" s="125">
        <f t="shared" si="161"/>
        <v>0</v>
      </c>
      <c r="CB418" s="371"/>
    </row>
    <row r="419" spans="1:81" hidden="1" outlineLevel="3" x14ac:dyDescent="0.25">
      <c r="A419" s="10" t="b">
        <f t="array" ref="A419">$B413</f>
        <v>0</v>
      </c>
      <c r="B419" s="10" t="b">
        <f t="array" ref="B419">$B413</f>
        <v>0</v>
      </c>
      <c r="C419" s="75" t="s">
        <v>570</v>
      </c>
      <c r="D419" s="5" t="s">
        <v>571</v>
      </c>
      <c r="E419" s="10" t="s">
        <v>73</v>
      </c>
      <c r="F419" s="10" t="s">
        <v>74</v>
      </c>
      <c r="G419" s="10" t="s">
        <v>73</v>
      </c>
      <c r="H419" s="10" t="s">
        <v>73</v>
      </c>
      <c r="I419" s="10" t="s">
        <v>73</v>
      </c>
      <c r="J419" s="10" t="s">
        <v>73</v>
      </c>
      <c r="K419" s="12" t="s">
        <v>73</v>
      </c>
      <c r="M419" s="5" t="str">
        <f t="array" ref="M419">Y95</f>
        <v>1ХВС::1.1</v>
      </c>
      <c r="Z419" s="6"/>
      <c r="AA419" s="6"/>
      <c r="AB419" s="384"/>
      <c r="AC419" s="385"/>
      <c r="AD419" s="384"/>
      <c r="AE419" s="393"/>
      <c r="AF419" s="393"/>
      <c r="AG419" s="393"/>
      <c r="AH419" s="391"/>
      <c r="BY419" s="125">
        <f t="shared" si="159"/>
        <v>0</v>
      </c>
      <c r="BZ419" s="125">
        <f t="shared" si="160"/>
        <v>0</v>
      </c>
      <c r="CA419" s="125">
        <f t="shared" si="161"/>
        <v>0</v>
      </c>
      <c r="CB419" s="371"/>
    </row>
    <row r="420" spans="1:81" hidden="1" outlineLevel="4" x14ac:dyDescent="0.25">
      <c r="A420" s="10" t="b">
        <f t="array" ref="A420">$B413</f>
        <v>0</v>
      </c>
      <c r="B420" s="10" t="b">
        <f t="array" ref="B420">$B413</f>
        <v>0</v>
      </c>
      <c r="C420" s="75" t="s">
        <v>572</v>
      </c>
      <c r="D420" s="5" t="s">
        <v>573</v>
      </c>
      <c r="E420" s="10" t="s">
        <v>73</v>
      </c>
      <c r="F420" s="10" t="s">
        <v>74</v>
      </c>
      <c r="G420" s="10" t="s">
        <v>73</v>
      </c>
      <c r="H420" s="10" t="s">
        <v>73</v>
      </c>
      <c r="I420" s="10" t="s">
        <v>73</v>
      </c>
      <c r="J420" s="10" t="s">
        <v>73</v>
      </c>
      <c r="K420" s="12" t="s">
        <v>73</v>
      </c>
      <c r="M420" s="5" t="str">
        <f t="array" ref="M420">Y95</f>
        <v>1ХВС::1.1</v>
      </c>
      <c r="Z420" s="6"/>
      <c r="AA420" s="6"/>
      <c r="AB420" s="384"/>
      <c r="AC420" s="394"/>
      <c r="AD420" s="384"/>
      <c r="AE420" s="393"/>
      <c r="AF420" s="393"/>
      <c r="AG420" s="393"/>
      <c r="AH420" s="391"/>
      <c r="BY420" s="125">
        <f t="shared" si="159"/>
        <v>0</v>
      </c>
      <c r="BZ420" s="125">
        <f t="shared" si="160"/>
        <v>0</v>
      </c>
      <c r="CA420" s="125">
        <f t="shared" si="161"/>
        <v>0</v>
      </c>
      <c r="CB420" s="371"/>
    </row>
    <row r="421" spans="1:81" hidden="1" outlineLevel="4" x14ac:dyDescent="0.25">
      <c r="A421" s="10" t="b">
        <f t="array" ref="A421">$B413</f>
        <v>0</v>
      </c>
      <c r="B421" s="10" t="b">
        <f t="array" ref="B421">$B413</f>
        <v>0</v>
      </c>
      <c r="C421" s="75" t="s">
        <v>574</v>
      </c>
      <c r="D421" s="5" t="s">
        <v>575</v>
      </c>
      <c r="E421" s="10" t="s">
        <v>73</v>
      </c>
      <c r="F421" s="10" t="s">
        <v>74</v>
      </c>
      <c r="G421" s="10" t="s">
        <v>73</v>
      </c>
      <c r="H421" s="10" t="s">
        <v>73</v>
      </c>
      <c r="I421" s="10" t="s">
        <v>73</v>
      </c>
      <c r="J421" s="10" t="s">
        <v>73</v>
      </c>
      <c r="K421" s="12" t="s">
        <v>73</v>
      </c>
      <c r="M421" s="5" t="str">
        <f t="array" ref="M421">Y95</f>
        <v>1ХВС::1.1</v>
      </c>
      <c r="Z421" s="6"/>
      <c r="AA421" s="6"/>
      <c r="AB421" s="384"/>
      <c r="AC421" s="394"/>
      <c r="AD421" s="384"/>
      <c r="AE421" s="393"/>
      <c r="AF421" s="393"/>
      <c r="AG421" s="393"/>
      <c r="AH421" s="391"/>
      <c r="BY421" s="125">
        <f t="shared" si="159"/>
        <v>0</v>
      </c>
      <c r="BZ421" s="125">
        <f t="shared" si="160"/>
        <v>0</v>
      </c>
      <c r="CA421" s="125">
        <f t="shared" si="161"/>
        <v>0</v>
      </c>
      <c r="CB421" s="371"/>
    </row>
    <row r="422" spans="1:81" hidden="1" outlineLevel="3" x14ac:dyDescent="0.25">
      <c r="A422" s="10" t="b">
        <f t="array" ref="A422">$B413</f>
        <v>0</v>
      </c>
      <c r="B422" s="10" t="b">
        <f t="array" ref="B422">$B413</f>
        <v>0</v>
      </c>
      <c r="C422" s="75" t="s">
        <v>576</v>
      </c>
      <c r="D422" s="5" t="s">
        <v>577</v>
      </c>
      <c r="E422" s="10" t="s">
        <v>73</v>
      </c>
      <c r="F422" s="10" t="s">
        <v>74</v>
      </c>
      <c r="G422" s="10" t="s">
        <v>73</v>
      </c>
      <c r="H422" s="10" t="s">
        <v>73</v>
      </c>
      <c r="I422" s="10" t="s">
        <v>73</v>
      </c>
      <c r="J422" s="10" t="s">
        <v>73</v>
      </c>
      <c r="K422" s="12" t="s">
        <v>73</v>
      </c>
      <c r="M422" s="5" t="str">
        <f t="array" ref="M422">Y95</f>
        <v>1ХВС::1.1</v>
      </c>
      <c r="Z422" s="6"/>
      <c r="AA422" s="6"/>
      <c r="AB422" s="384"/>
      <c r="AC422" s="385"/>
      <c r="AD422" s="384"/>
      <c r="AE422" s="393"/>
      <c r="AF422" s="393"/>
      <c r="AG422" s="393"/>
      <c r="AH422" s="391"/>
      <c r="BY422" s="125">
        <f t="shared" si="159"/>
        <v>0</v>
      </c>
      <c r="BZ422" s="125">
        <f t="shared" si="160"/>
        <v>0</v>
      </c>
      <c r="CA422" s="125">
        <f t="shared" si="161"/>
        <v>0</v>
      </c>
      <c r="CB422" s="371"/>
    </row>
    <row r="423" spans="1:81" hidden="1" outlineLevel="4" x14ac:dyDescent="0.25">
      <c r="A423" s="10" t="b">
        <f t="array" ref="A423">$B413</f>
        <v>0</v>
      </c>
      <c r="B423" s="10" t="b">
        <f t="array" ref="B423">$B413</f>
        <v>0</v>
      </c>
      <c r="C423" s="75" t="s">
        <v>86</v>
      </c>
      <c r="D423" s="5" t="s">
        <v>87</v>
      </c>
      <c r="E423" s="10" t="s">
        <v>73</v>
      </c>
      <c r="F423" s="10" t="s">
        <v>74</v>
      </c>
      <c r="G423" s="10" t="s">
        <v>73</v>
      </c>
      <c r="H423" s="10" t="s">
        <v>73</v>
      </c>
      <c r="I423" s="10" t="s">
        <v>73</v>
      </c>
      <c r="J423" s="10" t="s">
        <v>73</v>
      </c>
      <c r="K423" s="12" t="s">
        <v>73</v>
      </c>
      <c r="M423" s="5" t="str">
        <f t="array" ref="M423">Y95</f>
        <v>1ХВС::1.1</v>
      </c>
      <c r="Z423" s="6"/>
      <c r="AA423" s="6"/>
      <c r="AB423" s="384"/>
      <c r="AC423" s="394"/>
      <c r="AD423" s="384"/>
      <c r="AE423" s="393"/>
      <c r="AF423" s="393"/>
      <c r="AG423" s="393"/>
      <c r="AH423" s="391"/>
      <c r="BY423" s="125">
        <f t="shared" si="159"/>
        <v>0</v>
      </c>
      <c r="BZ423" s="125">
        <f t="shared" si="160"/>
        <v>0</v>
      </c>
      <c r="CA423" s="125">
        <f t="shared" si="161"/>
        <v>0</v>
      </c>
      <c r="CB423" s="371"/>
    </row>
    <row r="424" spans="1:81" hidden="1" outlineLevel="4" x14ac:dyDescent="0.25">
      <c r="A424" s="10" t="b">
        <f t="array" ref="A424">$B413</f>
        <v>0</v>
      </c>
      <c r="B424" s="10" t="b">
        <f t="array" ref="B424">$B413</f>
        <v>0</v>
      </c>
      <c r="C424" s="75" t="s">
        <v>88</v>
      </c>
      <c r="D424" s="5" t="s">
        <v>89</v>
      </c>
      <c r="E424" s="10" t="s">
        <v>73</v>
      </c>
      <c r="F424" s="10" t="s">
        <v>74</v>
      </c>
      <c r="G424" s="10" t="s">
        <v>73</v>
      </c>
      <c r="H424" s="10" t="s">
        <v>73</v>
      </c>
      <c r="I424" s="10" t="s">
        <v>73</v>
      </c>
      <c r="J424" s="10" t="s">
        <v>73</v>
      </c>
      <c r="K424" s="12" t="s">
        <v>73</v>
      </c>
      <c r="M424" s="5" t="str">
        <f t="array" ref="M424">Y95</f>
        <v>1ХВС::1.1</v>
      </c>
      <c r="Z424" s="6"/>
      <c r="AA424" s="6"/>
      <c r="AB424" s="384"/>
      <c r="AC424" s="394"/>
      <c r="AD424" s="384"/>
      <c r="AE424" s="393"/>
      <c r="AF424" s="393"/>
      <c r="AG424" s="393"/>
      <c r="AH424" s="391"/>
      <c r="BY424" s="125">
        <f t="shared" si="159"/>
        <v>0</v>
      </c>
      <c r="BZ424" s="125">
        <f t="shared" si="160"/>
        <v>0</v>
      </c>
      <c r="CA424" s="125">
        <f t="shared" si="161"/>
        <v>0</v>
      </c>
      <c r="CB424" s="371"/>
    </row>
    <row r="425" spans="1:81" hidden="1" outlineLevel="4" x14ac:dyDescent="0.25">
      <c r="A425" s="10" t="b">
        <f t="array" ref="A425">$B413</f>
        <v>0</v>
      </c>
      <c r="B425" s="10" t="b">
        <f t="array" ref="B425">$B413</f>
        <v>0</v>
      </c>
      <c r="D425" s="5" t="s">
        <v>577</v>
      </c>
      <c r="E425" s="10" t="s">
        <v>73</v>
      </c>
      <c r="F425" s="10" t="s">
        <v>74</v>
      </c>
      <c r="G425" s="10" t="s">
        <v>73</v>
      </c>
      <c r="H425" s="10" t="s">
        <v>73</v>
      </c>
      <c r="I425" s="10" t="s">
        <v>73</v>
      </c>
      <c r="J425" s="10" t="s">
        <v>73</v>
      </c>
      <c r="K425" s="12" t="s">
        <v>73</v>
      </c>
      <c r="Z425" s="6"/>
      <c r="AA425" s="6"/>
      <c r="AB425" s="384"/>
      <c r="AC425" s="394"/>
      <c r="AD425" s="384"/>
      <c r="AE425" s="393"/>
      <c r="AF425" s="393"/>
      <c r="AG425" s="393"/>
      <c r="AH425" s="391"/>
      <c r="BY425" s="125">
        <f t="shared" si="159"/>
        <v>0</v>
      </c>
      <c r="BZ425" s="125">
        <f t="shared" si="160"/>
        <v>0</v>
      </c>
      <c r="CA425" s="125">
        <f t="shared" si="161"/>
        <v>0</v>
      </c>
      <c r="CB425" s="371"/>
    </row>
    <row r="426" spans="1:81" hidden="1" outlineLevel="2" x14ac:dyDescent="0.25">
      <c r="A426" s="10" t="b">
        <f t="array" ref="A426">$B413</f>
        <v>0</v>
      </c>
      <c r="B426" s="10" t="b">
        <f t="array" ref="B426">$B413</f>
        <v>0</v>
      </c>
      <c r="Y426" s="10" t="s">
        <v>578</v>
      </c>
      <c r="Z426" s="6"/>
      <c r="AA426" s="6"/>
      <c r="AB426" s="395"/>
      <c r="AC426" s="396"/>
      <c r="AD426" s="397"/>
      <c r="AE426" s="397"/>
      <c r="AF426" s="397"/>
      <c r="AG426" s="397"/>
      <c r="AH426" s="873"/>
      <c r="BY426" s="125">
        <f t="shared" si="159"/>
        <v>0</v>
      </c>
      <c r="BZ426" s="125">
        <f t="shared" si="160"/>
        <v>0</v>
      </c>
      <c r="CA426" s="125">
        <f t="shared" si="161"/>
        <v>0</v>
      </c>
      <c r="CB426" s="371"/>
    </row>
    <row r="427" spans="1:81" ht="14.25" hidden="1" customHeight="1" x14ac:dyDescent="0.25">
      <c r="BY427" s="398"/>
      <c r="BZ427" s="398"/>
      <c r="CA427" s="398"/>
      <c r="CB427" s="398"/>
    </row>
    <row r="428" spans="1:81" s="400" customFormat="1" hidden="1" x14ac:dyDescent="0.25">
      <c r="A428" s="5"/>
      <c r="B428" s="5"/>
      <c r="C428" s="5" t="s">
        <v>579</v>
      </c>
      <c r="D428" s="5" t="s">
        <v>73</v>
      </c>
      <c r="E428" s="5" t="s">
        <v>73</v>
      </c>
      <c r="F428" s="5" t="s">
        <v>73</v>
      </c>
      <c r="G428" s="5" t="s">
        <v>73</v>
      </c>
      <c r="H428" s="5" t="s">
        <v>73</v>
      </c>
      <c r="I428" s="5" t="s">
        <v>73</v>
      </c>
      <c r="J428" s="5" t="s">
        <v>73</v>
      </c>
      <c r="K428" s="5" t="s">
        <v>73</v>
      </c>
      <c r="L428" s="5" t="s">
        <v>73</v>
      </c>
      <c r="M428" s="5" t="s">
        <v>73</v>
      </c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4"/>
      <c r="AC428" s="4"/>
      <c r="AD428" s="4"/>
      <c r="AE428" s="399" t="e">
        <f>SUM(AE79:AE427)</f>
        <v>#REF!</v>
      </c>
      <c r="AF428" s="399" t="e">
        <f>SUM(AF79:AF427)</f>
        <v>#REF!</v>
      </c>
      <c r="AG428" s="399" t="e">
        <f>SUM(AG79:AG427)</f>
        <v>#REF!</v>
      </c>
      <c r="AH428" s="399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/>
      <c r="BI428" s="6"/>
      <c r="BJ428" s="6"/>
      <c r="BK428" s="6"/>
      <c r="BL428" s="6"/>
      <c r="BM428" s="6"/>
      <c r="BN428" s="6"/>
      <c r="BO428" s="6"/>
      <c r="BP428" s="6"/>
      <c r="BQ428" s="6"/>
      <c r="BR428" s="6"/>
      <c r="BS428" s="6"/>
      <c r="BT428" s="6"/>
      <c r="BU428" s="6"/>
      <c r="BV428" s="6"/>
      <c r="BW428" s="6"/>
      <c r="BX428" s="5"/>
      <c r="BY428" s="398"/>
      <c r="BZ428" s="398"/>
      <c r="CA428" s="398"/>
      <c r="CB428" s="398"/>
      <c r="CC428" s="874"/>
    </row>
    <row r="429" spans="1:81" hidden="1" x14ac:dyDescent="0.25">
      <c r="BY429" s="398"/>
      <c r="BZ429" s="398"/>
      <c r="CA429" s="398"/>
      <c r="CB429" s="398"/>
    </row>
    <row r="430" spans="1:81" hidden="1" x14ac:dyDescent="0.25">
      <c r="BY430" s="398"/>
      <c r="BZ430" s="398"/>
      <c r="CA430" s="398"/>
      <c r="CB430" s="398"/>
    </row>
    <row r="431" spans="1:81" ht="14.25" hidden="1" customHeight="1" x14ac:dyDescent="0.25">
      <c r="BY431" s="398"/>
      <c r="BZ431" s="398"/>
      <c r="CA431" s="398"/>
      <c r="CB431" s="398"/>
    </row>
    <row r="432" spans="1:81" ht="15" customHeight="1" x14ac:dyDescent="0.25">
      <c r="AB432" s="16"/>
      <c r="AC432" s="170"/>
      <c r="AD432" s="6"/>
      <c r="BY432" s="398"/>
      <c r="BZ432" s="398"/>
      <c r="CA432" s="398"/>
      <c r="CB432" s="398"/>
    </row>
    <row r="433" spans="1:80" ht="26.25" customHeight="1" thickBot="1" x14ac:dyDescent="0.3">
      <c r="AB433" s="16" t="s">
        <v>49</v>
      </c>
      <c r="AC433" s="6"/>
      <c r="AD433" s="6"/>
      <c r="BY433" s="401"/>
      <c r="BZ433" s="398"/>
      <c r="CA433" s="398"/>
      <c r="CB433" s="398"/>
    </row>
    <row r="434" spans="1:80" s="402" customFormat="1" ht="23.25" customHeight="1" thickBot="1" x14ac:dyDescent="0.3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1106" t="s">
        <v>581</v>
      </c>
      <c r="AC434" s="1106"/>
      <c r="AD434" s="1106"/>
      <c r="AE434" s="1133" t="s">
        <v>51</v>
      </c>
      <c r="AF434" s="1133"/>
      <c r="AG434" s="1133"/>
      <c r="AH434" s="1133"/>
      <c r="AI434" s="1127" t="s">
        <v>52</v>
      </c>
      <c r="AJ434" s="1127"/>
      <c r="AK434" s="1127"/>
      <c r="AL434" s="1127"/>
      <c r="AM434" s="1133" t="s">
        <v>53</v>
      </c>
      <c r="AN434" s="1133"/>
      <c r="AO434" s="1133"/>
      <c r="AP434" s="1133"/>
      <c r="AQ434" s="1127" t="s">
        <v>582</v>
      </c>
      <c r="AR434" s="1127"/>
      <c r="AS434" s="1127"/>
      <c r="AT434" s="1127"/>
      <c r="AU434" s="1127" t="s">
        <v>55</v>
      </c>
      <c r="AV434" s="1127"/>
      <c r="AW434" s="1127"/>
      <c r="AX434" s="1127"/>
      <c r="AY434" s="1127" t="s">
        <v>583</v>
      </c>
      <c r="AZ434" s="1127"/>
      <c r="BA434" s="1127"/>
      <c r="BB434" s="1127"/>
      <c r="BC434" s="1127" t="s">
        <v>57</v>
      </c>
      <c r="BD434" s="1127"/>
      <c r="BE434" s="1127"/>
      <c r="BF434" s="1127"/>
      <c r="BG434" s="1134" t="s">
        <v>58</v>
      </c>
      <c r="BH434" s="1134"/>
      <c r="BI434" s="1134"/>
      <c r="BJ434" s="1134"/>
      <c r="BK434" s="1127" t="s">
        <v>59</v>
      </c>
      <c r="BL434" s="1127"/>
      <c r="BM434" s="1127"/>
      <c r="BN434" s="1127"/>
      <c r="BO434" s="1133" t="s">
        <v>60</v>
      </c>
      <c r="BP434" s="1133"/>
      <c r="BQ434" s="1133"/>
      <c r="BR434" s="1133"/>
      <c r="BS434" s="1127" t="s">
        <v>61</v>
      </c>
      <c r="BT434" s="1127"/>
      <c r="BU434" s="1127"/>
      <c r="BV434" s="1127"/>
      <c r="BW434" s="6"/>
      <c r="BX434" s="5"/>
      <c r="BY434" s="1127" t="s">
        <v>584</v>
      </c>
      <c r="BZ434" s="1127"/>
      <c r="CA434" s="1127"/>
      <c r="CB434" s="1127"/>
    </row>
    <row r="435" spans="1:80" s="402" customFormat="1" ht="24.75" customHeight="1" x14ac:dyDescent="0.25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1107" t="s">
        <v>63</v>
      </c>
      <c r="AC435" s="1108" t="s">
        <v>64</v>
      </c>
      <c r="AD435" s="1108" t="s">
        <v>65</v>
      </c>
      <c r="AE435" s="21">
        <f>god-2</f>
        <v>2024</v>
      </c>
      <c r="AF435" s="22">
        <f>god-1</f>
        <v>2025</v>
      </c>
      <c r="AG435" s="741">
        <f>god</f>
        <v>2026</v>
      </c>
      <c r="AH435" s="743">
        <v>2026</v>
      </c>
      <c r="AI435" s="930">
        <f>god-2</f>
        <v>2024</v>
      </c>
      <c r="AJ435" s="22">
        <f>god-1</f>
        <v>2025</v>
      </c>
      <c r="AK435" s="741">
        <f>god</f>
        <v>2026</v>
      </c>
      <c r="AL435" s="742">
        <v>2026</v>
      </c>
      <c r="AM435" s="21">
        <f>god-2</f>
        <v>2024</v>
      </c>
      <c r="AN435" s="22">
        <f>god-1</f>
        <v>2025</v>
      </c>
      <c r="AO435" s="741">
        <f>god</f>
        <v>2026</v>
      </c>
      <c r="AP435" s="742">
        <v>2026</v>
      </c>
      <c r="AQ435" s="21">
        <f>god-2</f>
        <v>2024</v>
      </c>
      <c r="AR435" s="22">
        <f>god-1</f>
        <v>2025</v>
      </c>
      <c r="AS435" s="741">
        <f>god</f>
        <v>2026</v>
      </c>
      <c r="AT435" s="742">
        <v>2026</v>
      </c>
      <c r="AU435" s="21">
        <f>god-2</f>
        <v>2024</v>
      </c>
      <c r="AV435" s="22">
        <f>god-1</f>
        <v>2025</v>
      </c>
      <c r="AW435" s="741">
        <f>god</f>
        <v>2026</v>
      </c>
      <c r="AX435" s="742">
        <v>2026</v>
      </c>
      <c r="AY435" s="21">
        <f>god-2</f>
        <v>2024</v>
      </c>
      <c r="AZ435" s="22">
        <f>god-1</f>
        <v>2025</v>
      </c>
      <c r="BA435" s="741">
        <f>god</f>
        <v>2026</v>
      </c>
      <c r="BB435" s="742">
        <v>2026</v>
      </c>
      <c r="BC435" s="21">
        <v>2024</v>
      </c>
      <c r="BD435" s="22">
        <v>2025</v>
      </c>
      <c r="BE435" s="741">
        <v>2026</v>
      </c>
      <c r="BF435" s="742">
        <v>2026</v>
      </c>
      <c r="BG435" s="21">
        <v>2024</v>
      </c>
      <c r="BH435" s="22">
        <v>2025</v>
      </c>
      <c r="BI435" s="741">
        <v>2026</v>
      </c>
      <c r="BJ435" s="742">
        <v>2026</v>
      </c>
      <c r="BK435" s="21">
        <f>god-2</f>
        <v>2024</v>
      </c>
      <c r="BL435" s="22">
        <f>god-1</f>
        <v>2025</v>
      </c>
      <c r="BM435" s="741">
        <f>god</f>
        <v>2026</v>
      </c>
      <c r="BN435" s="742">
        <v>2026</v>
      </c>
      <c r="BO435" s="21">
        <f>god-2</f>
        <v>2024</v>
      </c>
      <c r="BP435" s="22">
        <f>god-1</f>
        <v>2025</v>
      </c>
      <c r="BQ435" s="741">
        <f>god</f>
        <v>2026</v>
      </c>
      <c r="BR435" s="742">
        <v>2026</v>
      </c>
      <c r="BS435" s="21">
        <f>god-2</f>
        <v>2024</v>
      </c>
      <c r="BT435" s="22">
        <f>god-1</f>
        <v>2025</v>
      </c>
      <c r="BU435" s="741">
        <f>god</f>
        <v>2026</v>
      </c>
      <c r="BV435" s="743">
        <v>2026</v>
      </c>
      <c r="BW435" s="6"/>
      <c r="BX435" s="5"/>
      <c r="BY435" s="21">
        <f>god-2</f>
        <v>2024</v>
      </c>
      <c r="BZ435" s="22">
        <f>god-1</f>
        <v>2025</v>
      </c>
      <c r="CA435" s="741">
        <f>god</f>
        <v>2026</v>
      </c>
      <c r="CB435" s="743">
        <v>2026</v>
      </c>
    </row>
    <row r="436" spans="1:80" s="402" customFormat="1" ht="46.5" customHeight="1" x14ac:dyDescent="0.25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1107"/>
      <c r="AC436" s="1108"/>
      <c r="AD436" s="1108"/>
      <c r="AE436" s="29" t="s">
        <v>66</v>
      </c>
      <c r="AF436" s="30" t="s">
        <v>67</v>
      </c>
      <c r="AG436" s="1002" t="str">
        <f>"план организации"&amp;IF(TYPE="Корректировка"," (корректировка)","")</f>
        <v>план организации (корректировка)</v>
      </c>
      <c r="AH436" s="619" t="s">
        <v>67</v>
      </c>
      <c r="AI436" s="33" t="s">
        <v>66</v>
      </c>
      <c r="AJ436" s="30" t="s">
        <v>67</v>
      </c>
      <c r="AK436" s="1002" t="str">
        <f>"план организации"&amp;IF(TYPE="Корректировка"," (корректировка)","")</f>
        <v>план организации (корректировка)</v>
      </c>
      <c r="AL436" s="118" t="s">
        <v>67</v>
      </c>
      <c r="AM436" s="29" t="s">
        <v>66</v>
      </c>
      <c r="AN436" s="30" t="s">
        <v>67</v>
      </c>
      <c r="AO436" s="1002" t="str">
        <f>"план организации"&amp;IF(TYPE="Корректировка"," (корректировка)","")</f>
        <v>план организации (корректировка)</v>
      </c>
      <c r="AP436" s="118" t="s">
        <v>67</v>
      </c>
      <c r="AQ436" s="29" t="s">
        <v>66</v>
      </c>
      <c r="AR436" s="30" t="s">
        <v>67</v>
      </c>
      <c r="AS436" s="1002" t="str">
        <f>"план организации"&amp;IF(TYPE="Корректировка"," (корректировка)","")</f>
        <v>план организации (корректировка)</v>
      </c>
      <c r="AT436" s="118" t="s">
        <v>67</v>
      </c>
      <c r="AU436" s="29" t="s">
        <v>66</v>
      </c>
      <c r="AV436" s="30" t="s">
        <v>67</v>
      </c>
      <c r="AW436" s="1002" t="str">
        <f>"план организации"&amp;IF(TYPE="Корректировка"," (корректировка)","")</f>
        <v>план организации (корректировка)</v>
      </c>
      <c r="AX436" s="118" t="s">
        <v>67</v>
      </c>
      <c r="AY436" s="29" t="s">
        <v>66</v>
      </c>
      <c r="AZ436" s="30" t="s">
        <v>67</v>
      </c>
      <c r="BA436" s="1002" t="str">
        <f>"план организации"&amp;IF(TYPE="Корректировка"," (корректировка)","")</f>
        <v>план организации (корректировка)</v>
      </c>
      <c r="BB436" s="118" t="s">
        <v>67</v>
      </c>
      <c r="BC436" s="29" t="s">
        <v>66</v>
      </c>
      <c r="BD436" s="30" t="s">
        <v>67</v>
      </c>
      <c r="BE436" s="1002" t="str">
        <f>"план организации"&amp;IF(TYPE="Корректировка"," (корректировка)","")</f>
        <v>план организации (корректировка)</v>
      </c>
      <c r="BF436" s="118" t="s">
        <v>67</v>
      </c>
      <c r="BG436" s="29" t="s">
        <v>66</v>
      </c>
      <c r="BH436" s="30" t="s">
        <v>67</v>
      </c>
      <c r="BI436" s="1002" t="str">
        <f>"план организации"&amp;IF(TYPE="Корректировка"," (корректировка)","")</f>
        <v>план организации (корректировка)</v>
      </c>
      <c r="BJ436" s="118" t="s">
        <v>67</v>
      </c>
      <c r="BK436" s="29" t="s">
        <v>66</v>
      </c>
      <c r="BL436" s="30" t="s">
        <v>67</v>
      </c>
      <c r="BM436" s="1002" t="str">
        <f>"план организации"&amp;IF(TYPE="Корректировка"," (корректировка)","")</f>
        <v>план организации (корректировка)</v>
      </c>
      <c r="BN436" s="118" t="s">
        <v>67</v>
      </c>
      <c r="BO436" s="29" t="s">
        <v>66</v>
      </c>
      <c r="BP436" s="30" t="s">
        <v>67</v>
      </c>
      <c r="BQ436" s="1002" t="str">
        <f>"план организации"&amp;IF(TYPE="Корректировка"," (корректировка)","")</f>
        <v>план организации (корректировка)</v>
      </c>
      <c r="BR436" s="118" t="s">
        <v>67</v>
      </c>
      <c r="BS436" s="29" t="s">
        <v>66</v>
      </c>
      <c r="BT436" s="30" t="s">
        <v>67</v>
      </c>
      <c r="BU436" s="1002" t="str">
        <f>"план организации"&amp;IF(TYPE="Корректировка"," (корректировка)","")</f>
        <v>план организации (корректировка)</v>
      </c>
      <c r="BV436" s="619" t="s">
        <v>67</v>
      </c>
      <c r="BW436" s="6"/>
      <c r="BX436" s="5"/>
      <c r="BY436" s="34" t="s">
        <v>66</v>
      </c>
      <c r="BZ436" s="35" t="s">
        <v>67</v>
      </c>
      <c r="CA436" s="1002" t="str">
        <f>"план организации"&amp;IF(TYPE="Корректировка"," (корректировка)","")</f>
        <v>план организации (корректировка)</v>
      </c>
      <c r="CB436" s="619" t="s">
        <v>67</v>
      </c>
    </row>
    <row r="437" spans="1:80" ht="19.5" customHeight="1" x14ac:dyDescent="0.25">
      <c r="B437" s="5" t="b">
        <f>$AD$56="да"</f>
        <v>0</v>
      </c>
      <c r="AB437" s="1107"/>
      <c r="AC437" s="1108"/>
      <c r="AD437" s="1108"/>
      <c r="AE437" s="37" t="s">
        <v>68</v>
      </c>
      <c r="AF437" s="38" t="s">
        <v>68</v>
      </c>
      <c r="AG437" s="38" t="s">
        <v>68</v>
      </c>
      <c r="AH437" s="39" t="s">
        <v>68</v>
      </c>
      <c r="AI437" s="44"/>
      <c r="AJ437" s="41"/>
      <c r="AK437" s="41"/>
      <c r="AL437" s="43"/>
      <c r="AM437" s="40"/>
      <c r="AN437" s="41"/>
      <c r="AO437" s="41"/>
      <c r="AP437" s="43"/>
      <c r="AQ437" s="40"/>
      <c r="AR437" s="41"/>
      <c r="AS437" s="41"/>
      <c r="AT437" s="43"/>
      <c r="AU437" s="40"/>
      <c r="AV437" s="41"/>
      <c r="AW437" s="41"/>
      <c r="AX437" s="43"/>
      <c r="AY437" s="40"/>
      <c r="AZ437" s="41"/>
      <c r="BA437" s="41"/>
      <c r="BB437" s="43"/>
      <c r="BC437" s="40"/>
      <c r="BD437" s="41"/>
      <c r="BE437" s="41"/>
      <c r="BF437" s="43"/>
      <c r="BG437" s="40"/>
      <c r="BH437" s="41"/>
      <c r="BI437" s="41"/>
      <c r="BJ437" s="43"/>
      <c r="BK437" s="40"/>
      <c r="BL437" s="41"/>
      <c r="BM437" s="41"/>
      <c r="BN437" s="43"/>
      <c r="BO437" s="40"/>
      <c r="BP437" s="41"/>
      <c r="BQ437" s="41"/>
      <c r="BR437" s="43"/>
      <c r="BS437" s="40"/>
      <c r="BT437" s="41"/>
      <c r="BU437" s="41"/>
      <c r="BV437" s="42"/>
      <c r="BY437" s="45"/>
      <c r="BZ437" s="46"/>
      <c r="CA437" s="46"/>
      <c r="CB437" s="47"/>
    </row>
    <row r="438" spans="1:80" ht="12" hidden="1" customHeight="1" x14ac:dyDescent="0.25">
      <c r="B438" s="10" t="b">
        <f>FALSE()</f>
        <v>0</v>
      </c>
      <c r="AB438" s="1107"/>
      <c r="AC438" s="1108"/>
      <c r="AD438" s="1108"/>
      <c r="AE438" s="48" t="e">
        <f>OR(#REF!&lt;god_reagenty,AND(FIRST_PERIOD_IN_LT&lt;god_reagenty,#REF!&gt;=FIRST_PERIOD_IN_LT),AND(FIRST_PERIOD_IN_LT-PREVIOUS_PERIOD_LENGTH&lt;god_reagenty,#REF!&lt;FIRST_PERIOD_IN_LT))</f>
        <v>#REF!</v>
      </c>
      <c r="AF438" s="49" t="e">
        <f>OR(#REF!&lt;god_reagenty,AND(FIRST_PERIOD_IN_LT&lt;god_reagenty,#REF!&gt;=FIRST_PERIOD_IN_LT),AND(FIRST_PERIOD_IN_LT-PREVIOUS_PERIOD_LENGTH&lt;god_reagenty,#REF!&lt;FIRST_PERIOD_IN_LT))</f>
        <v>#REF!</v>
      </c>
      <c r="AG438" s="49" t="e">
        <f>OR(#REF!&lt;god_reagenty,AND(FIRST_PERIOD_IN_LT&lt;god_reagenty,#REF!&gt;=FIRST_PERIOD_IN_LT),AND(FIRST_PERIOD_IN_LT-PREVIOUS_PERIOD_LENGTH&lt;god_reagenty,#REF!&lt;FIRST_PERIOD_IN_LT))</f>
        <v>#REF!</v>
      </c>
      <c r="AH438" s="50"/>
      <c r="AI438" s="44"/>
      <c r="AJ438" s="41"/>
      <c r="AK438" s="41"/>
      <c r="AL438" s="43"/>
      <c r="AM438" s="40"/>
      <c r="AN438" s="41"/>
      <c r="AO438" s="41"/>
      <c r="AP438" s="43"/>
      <c r="AQ438" s="40"/>
      <c r="AR438" s="41"/>
      <c r="AS438" s="41"/>
      <c r="AT438" s="43"/>
      <c r="AU438" s="40"/>
      <c r="AV438" s="41"/>
      <c r="AW438" s="41"/>
      <c r="AX438" s="43"/>
      <c r="AY438" s="40"/>
      <c r="AZ438" s="41"/>
      <c r="BA438" s="41"/>
      <c r="BB438" s="43"/>
      <c r="BC438" s="40"/>
      <c r="BD438" s="41"/>
      <c r="BE438" s="41"/>
      <c r="BF438" s="43"/>
      <c r="BG438" s="40"/>
      <c r="BH438" s="41"/>
      <c r="BI438" s="41"/>
      <c r="BJ438" s="43"/>
      <c r="BK438" s="40"/>
      <c r="BL438" s="41"/>
      <c r="BM438" s="41"/>
      <c r="BN438" s="43"/>
      <c r="BO438" s="40"/>
      <c r="BP438" s="41"/>
      <c r="BQ438" s="41"/>
      <c r="BR438" s="43"/>
      <c r="BS438" s="40"/>
      <c r="BT438" s="41"/>
      <c r="BU438" s="41"/>
      <c r="BV438" s="42"/>
      <c r="BY438" s="45"/>
      <c r="BZ438" s="46"/>
      <c r="CA438" s="46"/>
      <c r="CB438" s="47"/>
    </row>
    <row r="439" spans="1:80" ht="12" hidden="1" customHeight="1" x14ac:dyDescent="0.25">
      <c r="B439" s="10" t="b">
        <f>FALSE()</f>
        <v>0</v>
      </c>
      <c r="AB439" s="1107"/>
      <c r="AC439" s="1108"/>
      <c r="AD439" s="1108"/>
      <c r="AE439" s="48" t="b">
        <f>FALSE()</f>
        <v>0</v>
      </c>
      <c r="AF439" s="49" t="e">
        <f>OR(AND(PREVIOUS_REGULATION_METHODS="Метод индексации",TYPE="Базовый"),AND(#REF!&gt;FIRST_PERIOD_IN_LT,TYPE="Корректировка",#REF!&lt;&gt;[4]Титульный!$AD$93))</f>
        <v>#REF!</v>
      </c>
      <c r="AG439" s="49" t="e">
        <f>AND(TYPE="Корректировка",#REF!&lt;&gt;[4]Титульный!$AD$93)</f>
        <v>#REF!</v>
      </c>
      <c r="AH439" s="50"/>
      <c r="AI439" s="44"/>
      <c r="AJ439" s="41"/>
      <c r="AK439" s="41"/>
      <c r="AL439" s="43"/>
      <c r="AM439" s="40"/>
      <c r="AN439" s="41"/>
      <c r="AO439" s="41"/>
      <c r="AP439" s="43"/>
      <c r="AQ439" s="40"/>
      <c r="AR439" s="41"/>
      <c r="AS439" s="41"/>
      <c r="AT439" s="43"/>
      <c r="AU439" s="40"/>
      <c r="AV439" s="41"/>
      <c r="AW439" s="41"/>
      <c r="AX439" s="43"/>
      <c r="AY439" s="40"/>
      <c r="AZ439" s="41"/>
      <c r="BA439" s="41"/>
      <c r="BB439" s="43"/>
      <c r="BC439" s="40"/>
      <c r="BD439" s="41"/>
      <c r="BE439" s="41"/>
      <c r="BF439" s="43"/>
      <c r="BG439" s="40"/>
      <c r="BH439" s="41"/>
      <c r="BI439" s="41"/>
      <c r="BJ439" s="43"/>
      <c r="BK439" s="40"/>
      <c r="BL439" s="41"/>
      <c r="BM439" s="41"/>
      <c r="BN439" s="43"/>
      <c r="BO439" s="40"/>
      <c r="BP439" s="41"/>
      <c r="BQ439" s="41"/>
      <c r="BR439" s="43"/>
      <c r="BS439" s="40"/>
      <c r="BT439" s="41"/>
      <c r="BU439" s="41"/>
      <c r="BV439" s="42"/>
      <c r="BY439" s="45"/>
      <c r="BZ439" s="46"/>
      <c r="CA439" s="46"/>
      <c r="CB439" s="47"/>
    </row>
    <row r="440" spans="1:80" ht="12" hidden="1" customHeight="1" x14ac:dyDescent="0.25">
      <c r="B440" s="10" t="b">
        <f>FALSE()</f>
        <v>0</v>
      </c>
      <c r="AB440" s="403"/>
      <c r="AC440" s="404" t="s">
        <v>70</v>
      </c>
      <c r="AD440" s="422"/>
      <c r="AE440" s="53">
        <f t="array" ref="AE440">[4]Индексы!$AH$92</f>
        <v>12</v>
      </c>
      <c r="AF440" s="54">
        <f t="array" ref="AF440">[4]Индексы!$AI$92</f>
        <v>12</v>
      </c>
      <c r="AG440" s="54">
        <f t="array" ref="AG440">[4]Индексы!$AK$92</f>
        <v>12</v>
      </c>
      <c r="AH440" s="55"/>
      <c r="AI440" s="44"/>
      <c r="AJ440" s="41"/>
      <c r="AK440" s="41"/>
      <c r="AL440" s="43"/>
      <c r="AM440" s="40"/>
      <c r="AN440" s="41"/>
      <c r="AO440" s="41"/>
      <c r="AP440" s="43"/>
      <c r="AQ440" s="40"/>
      <c r="AR440" s="41"/>
      <c r="AS440" s="41"/>
      <c r="AT440" s="43"/>
      <c r="AU440" s="40"/>
      <c r="AV440" s="41"/>
      <c r="AW440" s="41"/>
      <c r="AX440" s="43"/>
      <c r="AY440" s="40"/>
      <c r="AZ440" s="41"/>
      <c r="BA440" s="41"/>
      <c r="BB440" s="43"/>
      <c r="BC440" s="40"/>
      <c r="BD440" s="41"/>
      <c r="BE440" s="41"/>
      <c r="BF440" s="43"/>
      <c r="BG440" s="40"/>
      <c r="BH440" s="41"/>
      <c r="BI440" s="41"/>
      <c r="BJ440" s="43"/>
      <c r="BK440" s="40"/>
      <c r="BL440" s="41"/>
      <c r="BM440" s="41"/>
      <c r="BN440" s="43"/>
      <c r="BO440" s="40"/>
      <c r="BP440" s="41"/>
      <c r="BQ440" s="41"/>
      <c r="BR440" s="43"/>
      <c r="BS440" s="40"/>
      <c r="BT440" s="41"/>
      <c r="BU440" s="41"/>
      <c r="BV440" s="42"/>
      <c r="BY440" s="45"/>
      <c r="BZ440" s="46"/>
      <c r="CA440" s="46"/>
      <c r="CB440" s="47"/>
    </row>
    <row r="441" spans="1:80" ht="24" hidden="1" customHeight="1" x14ac:dyDescent="0.25">
      <c r="A441" s="5" t="b">
        <f>$AD$56="да"</f>
        <v>0</v>
      </c>
      <c r="B441" s="5" t="b">
        <f t="array" ref="B441">A441</f>
        <v>0</v>
      </c>
      <c r="C441" s="5" t="s">
        <v>71</v>
      </c>
      <c r="D441" s="5" t="s">
        <v>72</v>
      </c>
      <c r="E441" s="5" t="s">
        <v>73</v>
      </c>
      <c r="F441" s="5" t="s">
        <v>74</v>
      </c>
      <c r="G441" s="5" t="s">
        <v>73</v>
      </c>
      <c r="H441" s="5" t="s">
        <v>73</v>
      </c>
      <c r="I441" s="5" t="s">
        <v>73</v>
      </c>
      <c r="J441" s="5" t="s">
        <v>73</v>
      </c>
      <c r="K441" s="5" t="s">
        <v>73</v>
      </c>
      <c r="M441" s="5">
        <f t="shared" ref="M441:M457" si="162">$AC$92</f>
        <v>0</v>
      </c>
      <c r="Z441" s="6"/>
      <c r="AA441" s="6"/>
      <c r="AB441" s="40"/>
      <c r="AC441" s="404"/>
      <c r="AD441" s="43"/>
      <c r="AE441" s="58"/>
      <c r="AF441" s="59"/>
      <c r="AG441" s="59"/>
      <c r="AH441" s="60"/>
      <c r="AI441" s="44"/>
      <c r="AJ441" s="41"/>
      <c r="AK441" s="41"/>
      <c r="AL441" s="43"/>
      <c r="AM441" s="40"/>
      <c r="AN441" s="41"/>
      <c r="AO441" s="41"/>
      <c r="AP441" s="43"/>
      <c r="AQ441" s="40"/>
      <c r="AR441" s="41"/>
      <c r="AS441" s="41"/>
      <c r="AT441" s="43"/>
      <c r="AU441" s="40"/>
      <c r="AV441" s="41"/>
      <c r="AW441" s="41"/>
      <c r="AX441" s="43"/>
      <c r="AY441" s="40"/>
      <c r="AZ441" s="41"/>
      <c r="BA441" s="41"/>
      <c r="BB441" s="43"/>
      <c r="BC441" s="40"/>
      <c r="BD441" s="41"/>
      <c r="BE441" s="41"/>
      <c r="BF441" s="43"/>
      <c r="BG441" s="40"/>
      <c r="BH441" s="41"/>
      <c r="BI441" s="41"/>
      <c r="BJ441" s="43"/>
      <c r="BK441" s="40"/>
      <c r="BL441" s="41"/>
      <c r="BM441" s="41"/>
      <c r="BN441" s="43"/>
      <c r="BO441" s="40"/>
      <c r="BP441" s="41"/>
      <c r="BQ441" s="41"/>
      <c r="BR441" s="43"/>
      <c r="BS441" s="40"/>
      <c r="BT441" s="41"/>
      <c r="BU441" s="41"/>
      <c r="BV441" s="42"/>
      <c r="BY441" s="45"/>
      <c r="BZ441" s="46"/>
      <c r="CA441" s="46"/>
      <c r="CB441" s="47"/>
    </row>
    <row r="442" spans="1:80" ht="13.5" hidden="1" customHeight="1" x14ac:dyDescent="0.25">
      <c r="B442" s="10" t="b">
        <f>TRUE()</f>
        <v>1</v>
      </c>
      <c r="M442" s="5">
        <f t="shared" si="162"/>
        <v>0</v>
      </c>
      <c r="AB442" s="403"/>
      <c r="AC442" s="405"/>
      <c r="AD442" s="422"/>
      <c r="AE442" s="48"/>
      <c r="AF442" s="49"/>
      <c r="AG442" s="49"/>
      <c r="AH442" s="50"/>
      <c r="AI442" s="44"/>
      <c r="AJ442" s="41"/>
      <c r="AK442" s="41"/>
      <c r="AL442" s="43"/>
      <c r="AM442" s="40"/>
      <c r="AN442" s="41"/>
      <c r="AO442" s="41"/>
      <c r="AP442" s="43"/>
      <c r="AQ442" s="40"/>
      <c r="AR442" s="41"/>
      <c r="AS442" s="41"/>
      <c r="AT442" s="43"/>
      <c r="AU442" s="40"/>
      <c r="AV442" s="41"/>
      <c r="AW442" s="41"/>
      <c r="AX442" s="43"/>
      <c r="AY442" s="40"/>
      <c r="AZ442" s="41"/>
      <c r="BA442" s="41"/>
      <c r="BB442" s="43"/>
      <c r="BC442" s="40"/>
      <c r="BD442" s="41"/>
      <c r="BE442" s="41"/>
      <c r="BF442" s="43"/>
      <c r="BG442" s="40"/>
      <c r="BH442" s="41"/>
      <c r="BI442" s="41"/>
      <c r="BJ442" s="43"/>
      <c r="BK442" s="40"/>
      <c r="BL442" s="41"/>
      <c r="BM442" s="41"/>
      <c r="BN442" s="43"/>
      <c r="BO442" s="40"/>
      <c r="BP442" s="41"/>
      <c r="BQ442" s="41"/>
      <c r="BR442" s="43"/>
      <c r="BS442" s="40"/>
      <c r="BT442" s="41"/>
      <c r="BU442" s="41"/>
      <c r="BV442" s="42"/>
      <c r="BY442" s="45"/>
      <c r="BZ442" s="46"/>
      <c r="CA442" s="46"/>
      <c r="CB442" s="47"/>
    </row>
    <row r="443" spans="1:80" ht="13.5" hidden="1" customHeight="1" x14ac:dyDescent="0.25">
      <c r="A443" s="10" t="e">
        <f>COUNTIF([4]Тарифы!$AK$87:$AK$90,"с дифференциацией (несколько смет)")&gt;0</f>
        <v>#VALUE!</v>
      </c>
      <c r="B443" s="10" t="e">
        <f t="array" ref="B443">A443</f>
        <v>#VALUE!</v>
      </c>
      <c r="M443" s="5">
        <f t="shared" si="162"/>
        <v>0</v>
      </c>
      <c r="Z443" s="6"/>
      <c r="AA443" s="6"/>
      <c r="AB443" s="406"/>
      <c r="AC443" s="407"/>
      <c r="AD443" s="408"/>
      <c r="AE443" s="61"/>
      <c r="AF443" s="62"/>
      <c r="AG443" s="62"/>
      <c r="AH443" s="64"/>
      <c r="AI443" s="44"/>
      <c r="AJ443" s="41"/>
      <c r="AK443" s="41"/>
      <c r="AL443" s="43"/>
      <c r="AM443" s="40"/>
      <c r="AN443" s="41"/>
      <c r="AO443" s="41"/>
      <c r="AP443" s="43"/>
      <c r="AQ443" s="40"/>
      <c r="AR443" s="41"/>
      <c r="AS443" s="41"/>
      <c r="AT443" s="43"/>
      <c r="AU443" s="40"/>
      <c r="AV443" s="41"/>
      <c r="AW443" s="41"/>
      <c r="AX443" s="43"/>
      <c r="AY443" s="40"/>
      <c r="AZ443" s="41"/>
      <c r="BA443" s="41"/>
      <c r="BB443" s="43"/>
      <c r="BC443" s="40"/>
      <c r="BD443" s="41"/>
      <c r="BE443" s="41"/>
      <c r="BF443" s="43"/>
      <c r="BG443" s="40"/>
      <c r="BH443" s="41"/>
      <c r="BI443" s="41"/>
      <c r="BJ443" s="43"/>
      <c r="BK443" s="40"/>
      <c r="BL443" s="41"/>
      <c r="BM443" s="41"/>
      <c r="BN443" s="43"/>
      <c r="BO443" s="40"/>
      <c r="BP443" s="41"/>
      <c r="BQ443" s="41"/>
      <c r="BR443" s="43"/>
      <c r="BS443" s="40"/>
      <c r="BT443" s="41"/>
      <c r="BU443" s="41"/>
      <c r="BV443" s="42"/>
      <c r="BY443" s="45"/>
      <c r="BZ443" s="46"/>
      <c r="CA443" s="46"/>
      <c r="CB443" s="47"/>
    </row>
    <row r="444" spans="1:80" ht="14.25" hidden="1" customHeight="1" outlineLevel="1" x14ac:dyDescent="0.25">
      <c r="A444" s="10" t="e">
        <f>COUNTIF([4]Тарифы!$AK$87:$AK$90,"с дифференциацией (несколько смет)")&gt;0</f>
        <v>#VALUE!</v>
      </c>
      <c r="B444" s="10" t="e">
        <f t="array" ref="B444">A444</f>
        <v>#VALUE!</v>
      </c>
      <c r="C444" s="5" t="s">
        <v>75</v>
      </c>
      <c r="D444" s="10" t="s">
        <v>76</v>
      </c>
      <c r="E444" s="5" t="s">
        <v>73</v>
      </c>
      <c r="F444" s="5" t="s">
        <v>73</v>
      </c>
      <c r="G444" s="5" t="s">
        <v>73</v>
      </c>
      <c r="H444" s="5" t="s">
        <v>73</v>
      </c>
      <c r="I444" s="5" t="s">
        <v>73</v>
      </c>
      <c r="J444" s="5" t="s">
        <v>73</v>
      </c>
      <c r="K444" s="5" t="s">
        <v>77</v>
      </c>
      <c r="M444" s="5">
        <f t="shared" si="162"/>
        <v>0</v>
      </c>
      <c r="Z444" s="6"/>
      <c r="AA444" s="6"/>
      <c r="AB444" s="403"/>
      <c r="AC444" s="409"/>
      <c r="AD444" s="422"/>
      <c r="AE444" s="66"/>
      <c r="AF444" s="67"/>
      <c r="AG444" s="67"/>
      <c r="AH444" s="68"/>
      <c r="AI444" s="44"/>
      <c r="AJ444" s="41"/>
      <c r="AK444" s="41"/>
      <c r="AL444" s="43"/>
      <c r="AM444" s="40"/>
      <c r="AN444" s="41"/>
      <c r="AO444" s="41"/>
      <c r="AP444" s="43"/>
      <c r="AQ444" s="40"/>
      <c r="AR444" s="41"/>
      <c r="AS444" s="41"/>
      <c r="AT444" s="43"/>
      <c r="AU444" s="40"/>
      <c r="AV444" s="41"/>
      <c r="AW444" s="41"/>
      <c r="AX444" s="43"/>
      <c r="AY444" s="40"/>
      <c r="AZ444" s="41"/>
      <c r="BA444" s="41"/>
      <c r="BB444" s="43"/>
      <c r="BC444" s="40"/>
      <c r="BD444" s="41"/>
      <c r="BE444" s="41"/>
      <c r="BF444" s="43"/>
      <c r="BG444" s="40"/>
      <c r="BH444" s="41"/>
      <c r="BI444" s="41"/>
      <c r="BJ444" s="43"/>
      <c r="BK444" s="40"/>
      <c r="BL444" s="41"/>
      <c r="BM444" s="41"/>
      <c r="BN444" s="43"/>
      <c r="BO444" s="40"/>
      <c r="BP444" s="41"/>
      <c r="BQ444" s="41"/>
      <c r="BR444" s="43"/>
      <c r="BS444" s="40"/>
      <c r="BT444" s="41"/>
      <c r="BU444" s="41"/>
      <c r="BV444" s="42"/>
      <c r="BY444" s="45"/>
      <c r="BZ444" s="46"/>
      <c r="CA444" s="46"/>
      <c r="CB444" s="47"/>
    </row>
    <row r="445" spans="1:80" ht="14.25" hidden="1" customHeight="1" outlineLevel="1" x14ac:dyDescent="0.25">
      <c r="A445" s="10" t="e">
        <f>COUNTIF([4]Тарифы!$AK$87:$AK$90,"с дифференциацией (несколько смет)")&gt;0</f>
        <v>#VALUE!</v>
      </c>
      <c r="B445" s="10" t="e">
        <f t="array" ref="B445">A445</f>
        <v>#VALUE!</v>
      </c>
      <c r="C445" s="69" t="s">
        <v>78</v>
      </c>
      <c r="D445" s="70" t="s">
        <v>79</v>
      </c>
      <c r="E445" s="70" t="s">
        <v>80</v>
      </c>
      <c r="F445" s="70" t="s">
        <v>80</v>
      </c>
      <c r="G445" s="70" t="s">
        <v>80</v>
      </c>
      <c r="H445" s="70" t="s">
        <v>80</v>
      </c>
      <c r="I445" s="70" t="s">
        <v>80</v>
      </c>
      <c r="J445" s="70" t="s">
        <v>80</v>
      </c>
      <c r="K445" s="5" t="s">
        <v>77</v>
      </c>
      <c r="M445" s="5">
        <f t="shared" si="162"/>
        <v>0</v>
      </c>
      <c r="Z445" s="6"/>
      <c r="AA445" s="6"/>
      <c r="AB445" s="410"/>
      <c r="AC445" s="305"/>
      <c r="AD445" s="32"/>
      <c r="AE445" s="66"/>
      <c r="AF445" s="67"/>
      <c r="AG445" s="67"/>
      <c r="AH445" s="68"/>
      <c r="AI445" s="44"/>
      <c r="AJ445" s="41"/>
      <c r="AK445" s="41"/>
      <c r="AL445" s="43"/>
      <c r="AM445" s="40"/>
      <c r="AN445" s="41"/>
      <c r="AO445" s="41"/>
      <c r="AP445" s="43"/>
      <c r="AQ445" s="40"/>
      <c r="AR445" s="41"/>
      <c r="AS445" s="41"/>
      <c r="AT445" s="43"/>
      <c r="AU445" s="40"/>
      <c r="AV445" s="41"/>
      <c r="AW445" s="41"/>
      <c r="AX445" s="43"/>
      <c r="AY445" s="40"/>
      <c r="AZ445" s="41"/>
      <c r="BA445" s="41"/>
      <c r="BB445" s="43"/>
      <c r="BC445" s="40"/>
      <c r="BD445" s="41"/>
      <c r="BE445" s="41"/>
      <c r="BF445" s="43"/>
      <c r="BG445" s="40"/>
      <c r="BH445" s="41"/>
      <c r="BI445" s="41"/>
      <c r="BJ445" s="43"/>
      <c r="BK445" s="40"/>
      <c r="BL445" s="41"/>
      <c r="BM445" s="41"/>
      <c r="BN445" s="43"/>
      <c r="BO445" s="40"/>
      <c r="BP445" s="41"/>
      <c r="BQ445" s="41"/>
      <c r="BR445" s="43"/>
      <c r="BS445" s="40"/>
      <c r="BT445" s="41"/>
      <c r="BU445" s="41"/>
      <c r="BV445" s="42"/>
      <c r="BY445" s="45"/>
      <c r="BZ445" s="46"/>
      <c r="CA445" s="46"/>
      <c r="CB445" s="47"/>
    </row>
    <row r="446" spans="1:80" ht="14.25" hidden="1" customHeight="1" outlineLevel="1" x14ac:dyDescent="0.25">
      <c r="A446" s="10" t="e">
        <f>COUNTIF([4]Тарифы!$AK$87:$AK$90,"с дифференциацией (несколько смет)")&gt;0</f>
        <v>#VALUE!</v>
      </c>
      <c r="B446" s="10" t="e">
        <f t="array" ref="B446">A446</f>
        <v>#VALUE!</v>
      </c>
      <c r="C446" s="69" t="s">
        <v>81</v>
      </c>
      <c r="D446" s="70" t="s">
        <v>82</v>
      </c>
      <c r="E446" s="70" t="s">
        <v>73</v>
      </c>
      <c r="F446" s="70" t="s">
        <v>73</v>
      </c>
      <c r="G446" s="70" t="s">
        <v>73</v>
      </c>
      <c r="H446" s="70" t="s">
        <v>73</v>
      </c>
      <c r="I446" s="70" t="s">
        <v>73</v>
      </c>
      <c r="J446" s="70" t="s">
        <v>73</v>
      </c>
      <c r="K446" s="5" t="s">
        <v>77</v>
      </c>
      <c r="M446" s="5">
        <f t="shared" si="162"/>
        <v>0</v>
      </c>
      <c r="Z446" s="6"/>
      <c r="AA446" s="6"/>
      <c r="AB446" s="410"/>
      <c r="AC446" s="305"/>
      <c r="AD446" s="32"/>
      <c r="AE446" s="66"/>
      <c r="AF446" s="67"/>
      <c r="AG446" s="67"/>
      <c r="AH446" s="68"/>
      <c r="AI446" s="44"/>
      <c r="AJ446" s="41"/>
      <c r="AK446" s="41"/>
      <c r="AL446" s="43"/>
      <c r="AM446" s="40"/>
      <c r="AN446" s="41"/>
      <c r="AO446" s="41"/>
      <c r="AP446" s="43"/>
      <c r="AQ446" s="40"/>
      <c r="AR446" s="41"/>
      <c r="AS446" s="41"/>
      <c r="AT446" s="43"/>
      <c r="AU446" s="40"/>
      <c r="AV446" s="41"/>
      <c r="AW446" s="41"/>
      <c r="AX446" s="43"/>
      <c r="AY446" s="40"/>
      <c r="AZ446" s="41"/>
      <c r="BA446" s="41"/>
      <c r="BB446" s="43"/>
      <c r="BC446" s="40"/>
      <c r="BD446" s="41"/>
      <c r="BE446" s="41"/>
      <c r="BF446" s="43"/>
      <c r="BG446" s="40"/>
      <c r="BH446" s="41"/>
      <c r="BI446" s="41"/>
      <c r="BJ446" s="43"/>
      <c r="BK446" s="40"/>
      <c r="BL446" s="41"/>
      <c r="BM446" s="41"/>
      <c r="BN446" s="43"/>
      <c r="BO446" s="40"/>
      <c r="BP446" s="41"/>
      <c r="BQ446" s="41"/>
      <c r="BR446" s="43"/>
      <c r="BS446" s="40"/>
      <c r="BT446" s="41"/>
      <c r="BU446" s="41"/>
      <c r="BV446" s="42"/>
      <c r="BY446" s="45"/>
      <c r="BZ446" s="46"/>
      <c r="CA446" s="46"/>
      <c r="CB446" s="47"/>
    </row>
    <row r="447" spans="1:80" ht="14.25" hidden="1" customHeight="1" outlineLevel="1" x14ac:dyDescent="0.25">
      <c r="A447" s="10" t="e">
        <f>COUNTIF([4]Тарифы!$AK$87:$AK$90,"с дифференциацией (несколько смет)")&gt;0</f>
        <v>#VALUE!</v>
      </c>
      <c r="B447" s="10" t="e">
        <f t="array" ref="B447">A447</f>
        <v>#VALUE!</v>
      </c>
      <c r="C447" s="10" t="s">
        <v>83</v>
      </c>
      <c r="D447" s="10" t="s">
        <v>84</v>
      </c>
      <c r="E447" s="10" t="s">
        <v>73</v>
      </c>
      <c r="F447" s="10" t="s">
        <v>74</v>
      </c>
      <c r="G447" s="10" t="s">
        <v>85</v>
      </c>
      <c r="H447" s="10" t="s">
        <v>73</v>
      </c>
      <c r="I447" s="10" t="s">
        <v>73</v>
      </c>
      <c r="J447" s="10" t="s">
        <v>73</v>
      </c>
      <c r="K447" s="5" t="s">
        <v>77</v>
      </c>
      <c r="M447" s="5">
        <f t="shared" si="162"/>
        <v>0</v>
      </c>
      <c r="Z447" s="6"/>
      <c r="AA447" s="6"/>
      <c r="AB447" s="403"/>
      <c r="AC447" s="409"/>
      <c r="AD447" s="32"/>
      <c r="AE447" s="72"/>
      <c r="AF447" s="73"/>
      <c r="AG447" s="73"/>
      <c r="AH447" s="74"/>
      <c r="AI447" s="44"/>
      <c r="AJ447" s="41"/>
      <c r="AK447" s="41"/>
      <c r="AL447" s="43"/>
      <c r="AM447" s="40"/>
      <c r="AN447" s="41"/>
      <c r="AO447" s="41"/>
      <c r="AP447" s="43"/>
      <c r="AQ447" s="40"/>
      <c r="AR447" s="41"/>
      <c r="AS447" s="41"/>
      <c r="AT447" s="43"/>
      <c r="AU447" s="40"/>
      <c r="AV447" s="41"/>
      <c r="AW447" s="41"/>
      <c r="AX447" s="43"/>
      <c r="AY447" s="40"/>
      <c r="AZ447" s="41"/>
      <c r="BA447" s="41"/>
      <c r="BB447" s="43"/>
      <c r="BC447" s="40"/>
      <c r="BD447" s="41"/>
      <c r="BE447" s="41"/>
      <c r="BF447" s="43"/>
      <c r="BG447" s="40"/>
      <c r="BH447" s="41"/>
      <c r="BI447" s="41"/>
      <c r="BJ447" s="43"/>
      <c r="BK447" s="40"/>
      <c r="BL447" s="41"/>
      <c r="BM447" s="41"/>
      <c r="BN447" s="43"/>
      <c r="BO447" s="40"/>
      <c r="BP447" s="41"/>
      <c r="BQ447" s="41"/>
      <c r="BR447" s="43"/>
      <c r="BS447" s="40"/>
      <c r="BT447" s="41"/>
      <c r="BU447" s="41"/>
      <c r="BV447" s="42"/>
      <c r="BY447" s="45"/>
      <c r="BZ447" s="46"/>
      <c r="CA447" s="46"/>
      <c r="CB447" s="47"/>
    </row>
    <row r="448" spans="1:80" ht="14.25" hidden="1" customHeight="1" outlineLevel="1" x14ac:dyDescent="0.25">
      <c r="A448" s="10" t="e">
        <f>COUNTIF([4]Тарифы!$AK$87:$AK$90,"с дифференциацией (несколько смет)")&gt;0</f>
        <v>#VALUE!</v>
      </c>
      <c r="B448" s="10" t="e">
        <f t="array" ref="B448">A448</f>
        <v>#VALUE!</v>
      </c>
      <c r="C448" s="75" t="s">
        <v>86</v>
      </c>
      <c r="D448" s="5" t="s">
        <v>87</v>
      </c>
      <c r="E448" s="10" t="s">
        <v>73</v>
      </c>
      <c r="F448" s="10" t="s">
        <v>74</v>
      </c>
      <c r="G448" s="10" t="s">
        <v>73</v>
      </c>
      <c r="H448" s="10" t="s">
        <v>73</v>
      </c>
      <c r="I448" s="10" t="s">
        <v>73</v>
      </c>
      <c r="J448" s="10" t="s">
        <v>73</v>
      </c>
      <c r="K448" s="5" t="s">
        <v>77</v>
      </c>
      <c r="M448" s="5">
        <f t="shared" si="162"/>
        <v>0</v>
      </c>
      <c r="Z448" s="6"/>
      <c r="AA448" s="6"/>
      <c r="AB448" s="410"/>
      <c r="AC448" s="305"/>
      <c r="AD448" s="32"/>
      <c r="AE448" s="56"/>
      <c r="AF448" s="73"/>
      <c r="AG448" s="73"/>
      <c r="AH448" s="74"/>
      <c r="AI448" s="44"/>
      <c r="AJ448" s="41"/>
      <c r="AK448" s="41"/>
      <c r="AL448" s="43"/>
      <c r="AM448" s="40"/>
      <c r="AN448" s="41"/>
      <c r="AO448" s="41"/>
      <c r="AP448" s="43"/>
      <c r="AQ448" s="40"/>
      <c r="AR448" s="41"/>
      <c r="AS448" s="41"/>
      <c r="AT448" s="43"/>
      <c r="AU448" s="40"/>
      <c r="AV448" s="41"/>
      <c r="AW448" s="41"/>
      <c r="AX448" s="43"/>
      <c r="AY448" s="40"/>
      <c r="AZ448" s="41"/>
      <c r="BA448" s="41"/>
      <c r="BB448" s="43"/>
      <c r="BC448" s="40"/>
      <c r="BD448" s="41"/>
      <c r="BE448" s="41"/>
      <c r="BF448" s="43"/>
      <c r="BG448" s="40"/>
      <c r="BH448" s="41"/>
      <c r="BI448" s="41"/>
      <c r="BJ448" s="43"/>
      <c r="BK448" s="40"/>
      <c r="BL448" s="41"/>
      <c r="BM448" s="41"/>
      <c r="BN448" s="43"/>
      <c r="BO448" s="40"/>
      <c r="BP448" s="41"/>
      <c r="BQ448" s="41"/>
      <c r="BR448" s="43"/>
      <c r="BS448" s="40"/>
      <c r="BT448" s="41"/>
      <c r="BU448" s="41"/>
      <c r="BV448" s="42"/>
      <c r="BY448" s="45"/>
      <c r="BZ448" s="46"/>
      <c r="CA448" s="46"/>
      <c r="CB448" s="47"/>
    </row>
    <row r="449" spans="1:80" ht="14.25" hidden="1" customHeight="1" outlineLevel="1" x14ac:dyDescent="0.25">
      <c r="A449" s="10" t="e">
        <f>COUNTIF([4]Тарифы!$AK$87:$AK$90,"с дифференциацией (несколько смет)")&gt;0</f>
        <v>#VALUE!</v>
      </c>
      <c r="B449" s="10" t="e">
        <f t="array" ref="B449">A449</f>
        <v>#VALUE!</v>
      </c>
      <c r="C449" s="75" t="s">
        <v>88</v>
      </c>
      <c r="D449" s="5" t="s">
        <v>89</v>
      </c>
      <c r="E449" s="10" t="s">
        <v>73</v>
      </c>
      <c r="F449" s="10" t="s">
        <v>74</v>
      </c>
      <c r="G449" s="10" t="s">
        <v>73</v>
      </c>
      <c r="H449" s="10" t="s">
        <v>73</v>
      </c>
      <c r="I449" s="10" t="s">
        <v>73</v>
      </c>
      <c r="J449" s="10" t="s">
        <v>73</v>
      </c>
      <c r="K449" s="5" t="s">
        <v>77</v>
      </c>
      <c r="M449" s="5">
        <f t="shared" si="162"/>
        <v>0</v>
      </c>
      <c r="Z449" s="6"/>
      <c r="AA449" s="6"/>
      <c r="AB449" s="410"/>
      <c r="AC449" s="305"/>
      <c r="AD449" s="32"/>
      <c r="AE449" s="56"/>
      <c r="AF449" s="73"/>
      <c r="AG449" s="73"/>
      <c r="AH449" s="74"/>
      <c r="AI449" s="44"/>
      <c r="AJ449" s="41"/>
      <c r="AK449" s="41"/>
      <c r="AL449" s="43"/>
      <c r="AM449" s="40"/>
      <c r="AN449" s="41"/>
      <c r="AO449" s="41"/>
      <c r="AP449" s="43"/>
      <c r="AQ449" s="40"/>
      <c r="AR449" s="41"/>
      <c r="AS449" s="41"/>
      <c r="AT449" s="43"/>
      <c r="AU449" s="40"/>
      <c r="AV449" s="41"/>
      <c r="AW449" s="41"/>
      <c r="AX449" s="43"/>
      <c r="AY449" s="40"/>
      <c r="AZ449" s="41"/>
      <c r="BA449" s="41"/>
      <c r="BB449" s="43"/>
      <c r="BC449" s="40"/>
      <c r="BD449" s="41"/>
      <c r="BE449" s="41"/>
      <c r="BF449" s="43"/>
      <c r="BG449" s="40"/>
      <c r="BH449" s="41"/>
      <c r="BI449" s="41"/>
      <c r="BJ449" s="43"/>
      <c r="BK449" s="40"/>
      <c r="BL449" s="41"/>
      <c r="BM449" s="41"/>
      <c r="BN449" s="43"/>
      <c r="BO449" s="40"/>
      <c r="BP449" s="41"/>
      <c r="BQ449" s="41"/>
      <c r="BR449" s="43"/>
      <c r="BS449" s="40"/>
      <c r="BT449" s="41"/>
      <c r="BU449" s="41"/>
      <c r="BV449" s="42"/>
      <c r="BY449" s="45"/>
      <c r="BZ449" s="46"/>
      <c r="CA449" s="46"/>
      <c r="CB449" s="47"/>
    </row>
    <row r="450" spans="1:80" ht="14.25" hidden="1" customHeight="1" outlineLevel="1" x14ac:dyDescent="0.25">
      <c r="A450" s="10" t="e">
        <f>COUNTIF([4]Тарифы!$AK$87:$AK$90,"с дифференциацией (несколько смет)")&gt;0</f>
        <v>#VALUE!</v>
      </c>
      <c r="B450" s="10" t="e">
        <f t="array" ref="B450">A450</f>
        <v>#VALUE!</v>
      </c>
      <c r="C450" s="10" t="s">
        <v>90</v>
      </c>
      <c r="D450" s="10" t="s">
        <v>91</v>
      </c>
      <c r="E450" s="10" t="s">
        <v>73</v>
      </c>
      <c r="F450" s="10" t="s">
        <v>74</v>
      </c>
      <c r="G450" s="10" t="s">
        <v>73</v>
      </c>
      <c r="H450" s="10" t="s">
        <v>73</v>
      </c>
      <c r="I450" s="10" t="s">
        <v>73</v>
      </c>
      <c r="J450" s="10" t="s">
        <v>73</v>
      </c>
      <c r="K450" s="5" t="s">
        <v>77</v>
      </c>
      <c r="M450" s="5">
        <f t="shared" si="162"/>
        <v>0</v>
      </c>
      <c r="Z450" s="6"/>
      <c r="AA450" s="6"/>
      <c r="AB450" s="403"/>
      <c r="AC450" s="409"/>
      <c r="AD450" s="32"/>
      <c r="AE450" s="72"/>
      <c r="AF450" s="73"/>
      <c r="AG450" s="73"/>
      <c r="AH450" s="74"/>
      <c r="AI450" s="44"/>
      <c r="AJ450" s="41"/>
      <c r="AK450" s="41"/>
      <c r="AL450" s="43"/>
      <c r="AM450" s="40"/>
      <c r="AN450" s="41"/>
      <c r="AO450" s="41"/>
      <c r="AP450" s="43"/>
      <c r="AQ450" s="40"/>
      <c r="AR450" s="41"/>
      <c r="AS450" s="41"/>
      <c r="AT450" s="43"/>
      <c r="AU450" s="40"/>
      <c r="AV450" s="41"/>
      <c r="AW450" s="41"/>
      <c r="AX450" s="43"/>
      <c r="AY450" s="40"/>
      <c r="AZ450" s="41"/>
      <c r="BA450" s="41"/>
      <c r="BB450" s="43"/>
      <c r="BC450" s="40"/>
      <c r="BD450" s="41"/>
      <c r="BE450" s="41"/>
      <c r="BF450" s="43"/>
      <c r="BG450" s="40"/>
      <c r="BH450" s="41"/>
      <c r="BI450" s="41"/>
      <c r="BJ450" s="43"/>
      <c r="BK450" s="40"/>
      <c r="BL450" s="41"/>
      <c r="BM450" s="41"/>
      <c r="BN450" s="43"/>
      <c r="BO450" s="40"/>
      <c r="BP450" s="41"/>
      <c r="BQ450" s="41"/>
      <c r="BR450" s="43"/>
      <c r="BS450" s="40"/>
      <c r="BT450" s="41"/>
      <c r="BU450" s="41"/>
      <c r="BV450" s="42"/>
      <c r="BY450" s="45"/>
      <c r="BZ450" s="46"/>
      <c r="CA450" s="46"/>
      <c r="CB450" s="47"/>
    </row>
    <row r="451" spans="1:80" ht="14.25" hidden="1" customHeight="1" outlineLevel="1" x14ac:dyDescent="0.25">
      <c r="A451" s="10" t="e">
        <f>COUNTIF([4]Тарифы!$AK$87:$AK$90,"с дифференциацией (несколько смет)")&gt;0</f>
        <v>#VALUE!</v>
      </c>
      <c r="B451" s="10" t="e">
        <f t="array" ref="B451">A451</f>
        <v>#VALUE!</v>
      </c>
      <c r="C451" s="10" t="s">
        <v>92</v>
      </c>
      <c r="D451" s="10" t="s">
        <v>93</v>
      </c>
      <c r="E451" s="10" t="s">
        <v>73</v>
      </c>
      <c r="F451" s="10" t="s">
        <v>74</v>
      </c>
      <c r="G451" s="10" t="s">
        <v>73</v>
      </c>
      <c r="H451" s="10" t="s">
        <v>73</v>
      </c>
      <c r="I451" s="10" t="s">
        <v>73</v>
      </c>
      <c r="J451" s="10" t="s">
        <v>73</v>
      </c>
      <c r="K451" s="5" t="s">
        <v>77</v>
      </c>
      <c r="M451" s="5">
        <f t="shared" si="162"/>
        <v>0</v>
      </c>
      <c r="Z451" s="6"/>
      <c r="AA451" s="6"/>
      <c r="AB451" s="410"/>
      <c r="AC451" s="305"/>
      <c r="AD451" s="32"/>
      <c r="AE451" s="56"/>
      <c r="AF451" s="73"/>
      <c r="AG451" s="73"/>
      <c r="AH451" s="74"/>
      <c r="AI451" s="44"/>
      <c r="AJ451" s="41"/>
      <c r="AK451" s="41"/>
      <c r="AL451" s="43"/>
      <c r="AM451" s="40"/>
      <c r="AN451" s="41"/>
      <c r="AO451" s="41"/>
      <c r="AP451" s="43"/>
      <c r="AQ451" s="40"/>
      <c r="AR451" s="41"/>
      <c r="AS451" s="41"/>
      <c r="AT451" s="43"/>
      <c r="AU451" s="40"/>
      <c r="AV451" s="41"/>
      <c r="AW451" s="41"/>
      <c r="AX451" s="43"/>
      <c r="AY451" s="40"/>
      <c r="AZ451" s="41"/>
      <c r="BA451" s="41"/>
      <c r="BB451" s="43"/>
      <c r="BC451" s="40"/>
      <c r="BD451" s="41"/>
      <c r="BE451" s="41"/>
      <c r="BF451" s="43"/>
      <c r="BG451" s="40"/>
      <c r="BH451" s="41"/>
      <c r="BI451" s="41"/>
      <c r="BJ451" s="43"/>
      <c r="BK451" s="40"/>
      <c r="BL451" s="41"/>
      <c r="BM451" s="41"/>
      <c r="BN451" s="43"/>
      <c r="BO451" s="40"/>
      <c r="BP451" s="41"/>
      <c r="BQ451" s="41"/>
      <c r="BR451" s="43"/>
      <c r="BS451" s="40"/>
      <c r="BT451" s="41"/>
      <c r="BU451" s="41"/>
      <c r="BV451" s="42"/>
      <c r="BY451" s="45"/>
      <c r="BZ451" s="46"/>
      <c r="CA451" s="46"/>
      <c r="CB451" s="47"/>
    </row>
    <row r="452" spans="1:80" ht="14.25" hidden="1" customHeight="1" outlineLevel="1" x14ac:dyDescent="0.25">
      <c r="A452" s="10" t="e">
        <f>COUNTIF([4]Тарифы!$AK$87:$AK$90,"с дифференциацией (несколько смет)")&gt;0</f>
        <v>#VALUE!</v>
      </c>
      <c r="B452" s="10" t="e">
        <f t="array" ref="B452">A452</f>
        <v>#VALUE!</v>
      </c>
      <c r="C452" s="10" t="s">
        <v>94</v>
      </c>
      <c r="D452" s="10" t="s">
        <v>95</v>
      </c>
      <c r="E452" s="10" t="s">
        <v>73</v>
      </c>
      <c r="F452" s="10" t="s">
        <v>74</v>
      </c>
      <c r="G452" s="10" t="s">
        <v>73</v>
      </c>
      <c r="H452" s="10" t="s">
        <v>73</v>
      </c>
      <c r="I452" s="10" t="s">
        <v>73</v>
      </c>
      <c r="J452" s="10" t="s">
        <v>73</v>
      </c>
      <c r="K452" s="5" t="s">
        <v>77</v>
      </c>
      <c r="M452" s="5">
        <f t="shared" si="162"/>
        <v>0</v>
      </c>
      <c r="Z452" s="6"/>
      <c r="AA452" s="6"/>
      <c r="AB452" s="410"/>
      <c r="AC452" s="305"/>
      <c r="AD452" s="32"/>
      <c r="AE452" s="56"/>
      <c r="AF452" s="73"/>
      <c r="AG452" s="73"/>
      <c r="AH452" s="74"/>
      <c r="AI452" s="44"/>
      <c r="AJ452" s="41"/>
      <c r="AK452" s="41"/>
      <c r="AL452" s="43"/>
      <c r="AM452" s="40"/>
      <c r="AN452" s="41"/>
      <c r="AO452" s="41"/>
      <c r="AP452" s="43"/>
      <c r="AQ452" s="40"/>
      <c r="AR452" s="41"/>
      <c r="AS452" s="41"/>
      <c r="AT452" s="43"/>
      <c r="AU452" s="40"/>
      <c r="AV452" s="41"/>
      <c r="AW452" s="41"/>
      <c r="AX452" s="43"/>
      <c r="AY452" s="40"/>
      <c r="AZ452" s="41"/>
      <c r="BA452" s="41"/>
      <c r="BB452" s="43"/>
      <c r="BC452" s="40"/>
      <c r="BD452" s="41"/>
      <c r="BE452" s="41"/>
      <c r="BF452" s="43"/>
      <c r="BG452" s="40"/>
      <c r="BH452" s="41"/>
      <c r="BI452" s="41"/>
      <c r="BJ452" s="43"/>
      <c r="BK452" s="40"/>
      <c r="BL452" s="41"/>
      <c r="BM452" s="41"/>
      <c r="BN452" s="43"/>
      <c r="BO452" s="40"/>
      <c r="BP452" s="41"/>
      <c r="BQ452" s="41"/>
      <c r="BR452" s="43"/>
      <c r="BS452" s="40"/>
      <c r="BT452" s="41"/>
      <c r="BU452" s="41"/>
      <c r="BV452" s="42"/>
      <c r="BY452" s="45"/>
      <c r="BZ452" s="46"/>
      <c r="CA452" s="46"/>
      <c r="CB452" s="47"/>
    </row>
    <row r="453" spans="1:80" ht="14.25" hidden="1" customHeight="1" outlineLevel="1" x14ac:dyDescent="0.25">
      <c r="A453" s="10" t="e">
        <f>COUNTIF([4]Тарифы!$AK$87:$AK$90,"с дифференциацией (несколько смет)")&gt;0</f>
        <v>#VALUE!</v>
      </c>
      <c r="B453" s="10" t="e">
        <f t="array" ref="B453">A453</f>
        <v>#VALUE!</v>
      </c>
      <c r="C453" s="10" t="s">
        <v>96</v>
      </c>
      <c r="D453" s="10" t="s">
        <v>97</v>
      </c>
      <c r="E453" s="10" t="s">
        <v>73</v>
      </c>
      <c r="F453" s="10" t="s">
        <v>74</v>
      </c>
      <c r="G453" s="10" t="s">
        <v>73</v>
      </c>
      <c r="H453" s="10" t="s">
        <v>73</v>
      </c>
      <c r="I453" s="10" t="s">
        <v>73</v>
      </c>
      <c r="J453" s="10" t="s">
        <v>73</v>
      </c>
      <c r="K453" s="5" t="s">
        <v>77</v>
      </c>
      <c r="M453" s="5">
        <f t="shared" si="162"/>
        <v>0</v>
      </c>
      <c r="Z453" s="6"/>
      <c r="AA453" s="6"/>
      <c r="AB453" s="410"/>
      <c r="AC453" s="305"/>
      <c r="AD453" s="32"/>
      <c r="AE453" s="72"/>
      <c r="AF453" s="73"/>
      <c r="AG453" s="73"/>
      <c r="AH453" s="74"/>
      <c r="AI453" s="44"/>
      <c r="AJ453" s="41"/>
      <c r="AK453" s="41"/>
      <c r="AL453" s="43"/>
      <c r="AM453" s="40"/>
      <c r="AN453" s="41"/>
      <c r="AO453" s="41"/>
      <c r="AP453" s="43"/>
      <c r="AQ453" s="40"/>
      <c r="AR453" s="41"/>
      <c r="AS453" s="41"/>
      <c r="AT453" s="43"/>
      <c r="AU453" s="40"/>
      <c r="AV453" s="41"/>
      <c r="AW453" s="41"/>
      <c r="AX453" s="43"/>
      <c r="AY453" s="40"/>
      <c r="AZ453" s="41"/>
      <c r="BA453" s="41"/>
      <c r="BB453" s="43"/>
      <c r="BC453" s="40"/>
      <c r="BD453" s="41"/>
      <c r="BE453" s="41"/>
      <c r="BF453" s="43"/>
      <c r="BG453" s="40"/>
      <c r="BH453" s="41"/>
      <c r="BI453" s="41"/>
      <c r="BJ453" s="43"/>
      <c r="BK453" s="40"/>
      <c r="BL453" s="41"/>
      <c r="BM453" s="41"/>
      <c r="BN453" s="43"/>
      <c r="BO453" s="40"/>
      <c r="BP453" s="41"/>
      <c r="BQ453" s="41"/>
      <c r="BR453" s="43"/>
      <c r="BS453" s="40"/>
      <c r="BT453" s="41"/>
      <c r="BU453" s="41"/>
      <c r="BV453" s="42"/>
      <c r="BY453" s="45"/>
      <c r="BZ453" s="46"/>
      <c r="CA453" s="46"/>
      <c r="CB453" s="47"/>
    </row>
    <row r="454" spans="1:80" ht="14.25" hidden="1" customHeight="1" outlineLevel="1" x14ac:dyDescent="0.25">
      <c r="A454" s="10" t="e">
        <f>COUNTIF([4]Тарифы!$AK$87:$AK$90,"с дифференциацией (несколько смет)")&gt;0</f>
        <v>#VALUE!</v>
      </c>
      <c r="B454" s="76" t="e">
        <f>AND(NOT(NDS="нет"),A454)</f>
        <v>#VALUE!</v>
      </c>
      <c r="C454" s="10" t="s">
        <v>98</v>
      </c>
      <c r="D454" s="10" t="s">
        <v>99</v>
      </c>
      <c r="E454" s="10" t="s">
        <v>73</v>
      </c>
      <c r="F454" s="10" t="s">
        <v>74</v>
      </c>
      <c r="G454" s="10" t="s">
        <v>73</v>
      </c>
      <c r="H454" s="10" t="s">
        <v>73</v>
      </c>
      <c r="I454" s="10" t="s">
        <v>73</v>
      </c>
      <c r="J454" s="10" t="s">
        <v>73</v>
      </c>
      <c r="K454" s="5" t="s">
        <v>77</v>
      </c>
      <c r="M454" s="5">
        <f t="shared" si="162"/>
        <v>0</v>
      </c>
      <c r="Z454" s="6"/>
      <c r="AA454" s="6"/>
      <c r="AB454" s="403"/>
      <c r="AC454" s="409"/>
      <c r="AD454" s="32"/>
      <c r="AE454" s="72"/>
      <c r="AF454" s="73"/>
      <c r="AG454" s="73"/>
      <c r="AH454" s="74"/>
      <c r="AI454" s="44"/>
      <c r="AJ454" s="41"/>
      <c r="AK454" s="41"/>
      <c r="AL454" s="43"/>
      <c r="AM454" s="40"/>
      <c r="AN454" s="41"/>
      <c r="AO454" s="41"/>
      <c r="AP454" s="43"/>
      <c r="AQ454" s="40"/>
      <c r="AR454" s="41"/>
      <c r="AS454" s="41"/>
      <c r="AT454" s="43"/>
      <c r="AU454" s="40"/>
      <c r="AV454" s="41"/>
      <c r="AW454" s="41"/>
      <c r="AX454" s="43"/>
      <c r="AY454" s="40"/>
      <c r="AZ454" s="41"/>
      <c r="BA454" s="41"/>
      <c r="BB454" s="43"/>
      <c r="BC454" s="40"/>
      <c r="BD454" s="41"/>
      <c r="BE454" s="41"/>
      <c r="BF454" s="43"/>
      <c r="BG454" s="40"/>
      <c r="BH454" s="41"/>
      <c r="BI454" s="41"/>
      <c r="BJ454" s="43"/>
      <c r="BK454" s="40"/>
      <c r="BL454" s="41"/>
      <c r="BM454" s="41"/>
      <c r="BN454" s="43"/>
      <c r="BO454" s="40"/>
      <c r="BP454" s="41"/>
      <c r="BQ454" s="41"/>
      <c r="BR454" s="43"/>
      <c r="BS454" s="40"/>
      <c r="BT454" s="41"/>
      <c r="BU454" s="41"/>
      <c r="BV454" s="42"/>
      <c r="BY454" s="45"/>
      <c r="BZ454" s="46"/>
      <c r="CA454" s="46"/>
      <c r="CB454" s="47"/>
    </row>
    <row r="455" spans="1:80" ht="14.25" hidden="1" customHeight="1" outlineLevel="1" x14ac:dyDescent="0.25">
      <c r="A455" s="10" t="e">
        <f>COUNTIF([4]Тарифы!$AK$87:$AK$90,"с дифференциацией (несколько смет)")&gt;0</f>
        <v>#VALUE!</v>
      </c>
      <c r="B455" s="76" t="e">
        <f>AND(NOT(NDS="нет"),A455)</f>
        <v>#VALUE!</v>
      </c>
      <c r="C455" s="10" t="s">
        <v>100</v>
      </c>
      <c r="D455" s="10" t="s">
        <v>101</v>
      </c>
      <c r="E455" s="10" t="s">
        <v>73</v>
      </c>
      <c r="F455" s="10" t="s">
        <v>74</v>
      </c>
      <c r="G455" s="10" t="s">
        <v>73</v>
      </c>
      <c r="H455" s="10" t="s">
        <v>73</v>
      </c>
      <c r="I455" s="10" t="s">
        <v>73</v>
      </c>
      <c r="J455" s="10" t="s">
        <v>73</v>
      </c>
      <c r="K455" s="5" t="s">
        <v>77</v>
      </c>
      <c r="M455" s="5">
        <f t="shared" si="162"/>
        <v>0</v>
      </c>
      <c r="Z455" s="6"/>
      <c r="AA455" s="6"/>
      <c r="AB455" s="410"/>
      <c r="AC455" s="305"/>
      <c r="AD455" s="32"/>
      <c r="AE455" s="72"/>
      <c r="AF455" s="73"/>
      <c r="AG455" s="73"/>
      <c r="AH455" s="74"/>
      <c r="AI455" s="44"/>
      <c r="AJ455" s="41"/>
      <c r="AK455" s="41"/>
      <c r="AL455" s="43"/>
      <c r="AM455" s="40"/>
      <c r="AN455" s="41"/>
      <c r="AO455" s="41"/>
      <c r="AP455" s="43"/>
      <c r="AQ455" s="40"/>
      <c r="AR455" s="41"/>
      <c r="AS455" s="41"/>
      <c r="AT455" s="43"/>
      <c r="AU455" s="40"/>
      <c r="AV455" s="41"/>
      <c r="AW455" s="41"/>
      <c r="AX455" s="43"/>
      <c r="AY455" s="40"/>
      <c r="AZ455" s="41"/>
      <c r="BA455" s="41"/>
      <c r="BB455" s="43"/>
      <c r="BC455" s="40"/>
      <c r="BD455" s="41"/>
      <c r="BE455" s="41"/>
      <c r="BF455" s="43"/>
      <c r="BG455" s="40"/>
      <c r="BH455" s="41"/>
      <c r="BI455" s="41"/>
      <c r="BJ455" s="43"/>
      <c r="BK455" s="40"/>
      <c r="BL455" s="41"/>
      <c r="BM455" s="41"/>
      <c r="BN455" s="43"/>
      <c r="BO455" s="40"/>
      <c r="BP455" s="41"/>
      <c r="BQ455" s="41"/>
      <c r="BR455" s="43"/>
      <c r="BS455" s="40"/>
      <c r="BT455" s="41"/>
      <c r="BU455" s="41"/>
      <c r="BV455" s="42"/>
      <c r="BY455" s="45"/>
      <c r="BZ455" s="46"/>
      <c r="CA455" s="46"/>
      <c r="CB455" s="47"/>
    </row>
    <row r="456" spans="1:80" ht="14.25" hidden="1" customHeight="1" outlineLevel="1" x14ac:dyDescent="0.25">
      <c r="A456" s="10" t="e">
        <f>COUNTIF([4]Тарифы!$AK$87:$AK$90,"с дифференциацией (несколько смет)")&gt;0</f>
        <v>#VALUE!</v>
      </c>
      <c r="B456" s="76" t="e">
        <f>AND(NOT(NDS="нет"),A456)</f>
        <v>#VALUE!</v>
      </c>
      <c r="C456" s="10" t="s">
        <v>102</v>
      </c>
      <c r="D456" s="10" t="s">
        <v>103</v>
      </c>
      <c r="E456" s="10" t="s">
        <v>73</v>
      </c>
      <c r="F456" s="10" t="s">
        <v>74</v>
      </c>
      <c r="G456" s="10" t="s">
        <v>73</v>
      </c>
      <c r="H456" s="10" t="s">
        <v>73</v>
      </c>
      <c r="I456" s="10" t="s">
        <v>73</v>
      </c>
      <c r="J456" s="10" t="s">
        <v>73</v>
      </c>
      <c r="K456" s="5" t="s">
        <v>77</v>
      </c>
      <c r="M456" s="5">
        <f t="shared" si="162"/>
        <v>0</v>
      </c>
      <c r="Z456" s="6"/>
      <c r="AA456" s="6"/>
      <c r="AB456" s="410"/>
      <c r="AC456" s="305"/>
      <c r="AD456" s="32"/>
      <c r="AE456" s="72"/>
      <c r="AF456" s="73"/>
      <c r="AG456" s="73"/>
      <c r="AH456" s="74"/>
      <c r="AI456" s="44"/>
      <c r="AJ456" s="41"/>
      <c r="AK456" s="41"/>
      <c r="AL456" s="43"/>
      <c r="AM456" s="40"/>
      <c r="AN456" s="41"/>
      <c r="AO456" s="41"/>
      <c r="AP456" s="43"/>
      <c r="AQ456" s="40"/>
      <c r="AR456" s="41"/>
      <c r="AS456" s="41"/>
      <c r="AT456" s="43"/>
      <c r="AU456" s="40"/>
      <c r="AV456" s="41"/>
      <c r="AW456" s="41"/>
      <c r="AX456" s="43"/>
      <c r="AY456" s="40"/>
      <c r="AZ456" s="41"/>
      <c r="BA456" s="41"/>
      <c r="BB456" s="43"/>
      <c r="BC456" s="40"/>
      <c r="BD456" s="41"/>
      <c r="BE456" s="41"/>
      <c r="BF456" s="43"/>
      <c r="BG456" s="40"/>
      <c r="BH456" s="41"/>
      <c r="BI456" s="41"/>
      <c r="BJ456" s="43"/>
      <c r="BK456" s="40"/>
      <c r="BL456" s="41"/>
      <c r="BM456" s="41"/>
      <c r="BN456" s="43"/>
      <c r="BO456" s="40"/>
      <c r="BP456" s="41"/>
      <c r="BQ456" s="41"/>
      <c r="BR456" s="43"/>
      <c r="BS456" s="40"/>
      <c r="BT456" s="41"/>
      <c r="BU456" s="41"/>
      <c r="BV456" s="42"/>
      <c r="BY456" s="45"/>
      <c r="BZ456" s="46"/>
      <c r="CA456" s="46"/>
      <c r="CB456" s="47"/>
    </row>
    <row r="457" spans="1:80" ht="14.25" hidden="1" customHeight="1" outlineLevel="1" x14ac:dyDescent="0.25">
      <c r="A457" s="10" t="e">
        <f>COUNTIF([4]Тарифы!$AK$87:$AK$90,"с дифференциацией (несколько смет)")&gt;0</f>
        <v>#VALUE!</v>
      </c>
      <c r="B457" s="76" t="e">
        <f>AND(NOT(NDS="нет"),A457)</f>
        <v>#VALUE!</v>
      </c>
      <c r="C457" s="10" t="s">
        <v>104</v>
      </c>
      <c r="D457" s="10" t="s">
        <v>105</v>
      </c>
      <c r="E457" s="10" t="s">
        <v>73</v>
      </c>
      <c r="F457" s="10" t="s">
        <v>74</v>
      </c>
      <c r="G457" s="10" t="s">
        <v>73</v>
      </c>
      <c r="H457" s="10" t="s">
        <v>73</v>
      </c>
      <c r="I457" s="10" t="s">
        <v>73</v>
      </c>
      <c r="J457" s="10" t="s">
        <v>73</v>
      </c>
      <c r="K457" s="5" t="s">
        <v>77</v>
      </c>
      <c r="M457" s="5">
        <f t="shared" si="162"/>
        <v>0</v>
      </c>
      <c r="Z457" s="6"/>
      <c r="AA457" s="6"/>
      <c r="AB457" s="410"/>
      <c r="AC457" s="305"/>
      <c r="AD457" s="32"/>
      <c r="AE457" s="72"/>
      <c r="AF457" s="73"/>
      <c r="AG457" s="73"/>
      <c r="AH457" s="74"/>
      <c r="AI457" s="44"/>
      <c r="AJ457" s="41"/>
      <c r="AK457" s="41"/>
      <c r="AL457" s="43"/>
      <c r="AM457" s="40"/>
      <c r="AN457" s="41"/>
      <c r="AO457" s="41"/>
      <c r="AP457" s="43"/>
      <c r="AQ457" s="40"/>
      <c r="AR457" s="41"/>
      <c r="AS457" s="41"/>
      <c r="AT457" s="43"/>
      <c r="AU457" s="40"/>
      <c r="AV457" s="41"/>
      <c r="AW457" s="41"/>
      <c r="AX457" s="43"/>
      <c r="AY457" s="40"/>
      <c r="AZ457" s="41"/>
      <c r="BA457" s="41"/>
      <c r="BB457" s="43"/>
      <c r="BC457" s="40"/>
      <c r="BD457" s="41"/>
      <c r="BE457" s="41"/>
      <c r="BF457" s="43"/>
      <c r="BG457" s="40"/>
      <c r="BH457" s="41"/>
      <c r="BI457" s="41"/>
      <c r="BJ457" s="43"/>
      <c r="BK457" s="40"/>
      <c r="BL457" s="41"/>
      <c r="BM457" s="41"/>
      <c r="BN457" s="43"/>
      <c r="BO457" s="40"/>
      <c r="BP457" s="41"/>
      <c r="BQ457" s="41"/>
      <c r="BR457" s="43"/>
      <c r="BS457" s="40"/>
      <c r="BT457" s="41"/>
      <c r="BU457" s="41"/>
      <c r="BV457" s="42"/>
      <c r="BY457" s="45"/>
      <c r="BZ457" s="46"/>
      <c r="CA457" s="46"/>
      <c r="CB457" s="47"/>
    </row>
    <row r="458" spans="1:80" ht="13.5" hidden="1" customHeight="1" x14ac:dyDescent="0.25">
      <c r="B458" s="10" t="b">
        <f>SETTING_BASE="да"</f>
        <v>0</v>
      </c>
      <c r="M458" s="5" t="str">
        <f t="array" ref="M458">Y458</f>
        <v>1ВО::1.1</v>
      </c>
      <c r="S458" s="10" t="str">
        <f t="array" ref="S458">INDEX([4]Тарифы!$AM$86:$AM$99,MATCH($X458,[4]Тарифы!$Y$86:$Y$99,0))</f>
        <v>да</v>
      </c>
      <c r="T458" s="10" t="str">
        <f t="array" ref="T458">INDEX([4]Тарифы!$AC$86:$AC$99,MATCH($X458,[4]Тарифы!$Y$86:$Y$99,0))</f>
        <v>Тариф на водоотведение</v>
      </c>
      <c r="U458" s="10" t="str">
        <f t="array" ref="U458">INDEX([4]Тарифы!$AB$86:$AB$99,MATCH($X458,[4]Тарифы!$Y$86:$Y$99,0))</f>
        <v>Водоотведение</v>
      </c>
      <c r="V458" s="10" t="str">
        <f t="array" ref="V458">INDEX([4]Тарифы!$AK$86:$AK$99,MATCH($X458,[4]Тарифы!$Y$86:$Y$99,0))</f>
        <v>без дифференциации</v>
      </c>
      <c r="W458" s="10" t="str">
        <f t="array" ref="W458">INDEX([4]Тарифы!$AD$86:$AD$99,MATCH($X458,[4]Тарифы!$Y$86:$Y$99,0))</f>
        <v>одноставочный</v>
      </c>
      <c r="X458" s="10" t="str">
        <f t="array" ref="X458">INDEX([4]Тарифы!$Y$86:$Y$99,MATCH($Y458,[4]Тарифы!$X$86:$X$99,0))</f>
        <v>1ВО</v>
      </c>
      <c r="Y458" s="77" t="str">
        <f t="array" ref="Y458">[4]Тарифы!$X$87</f>
        <v>1ВО::1.1</v>
      </c>
      <c r="AB458" s="406"/>
      <c r="AC458" s="407" t="str">
        <f t="array" ref="AC458">INDEX([4]Тарифы!$U$86:$U$99,MATCH($Y458,[4]Тарифы!$X$86:$X$99,0))</f>
        <v>1ВО - Тариф на водоотведение</v>
      </c>
      <c r="AD458" s="408"/>
      <c r="AE458" s="61"/>
      <c r="AF458" s="62"/>
      <c r="AG458" s="62"/>
      <c r="AH458" s="64"/>
      <c r="AI458" s="44"/>
      <c r="AJ458" s="41"/>
      <c r="AK458" s="41"/>
      <c r="AL458" s="43"/>
      <c r="AM458" s="40"/>
      <c r="AN458" s="41"/>
      <c r="AO458" s="41"/>
      <c r="AP458" s="43"/>
      <c r="AQ458" s="40"/>
      <c r="AR458" s="41"/>
      <c r="AS458" s="41"/>
      <c r="AT458" s="43"/>
      <c r="AU458" s="40"/>
      <c r="AV458" s="41"/>
      <c r="AW458" s="41"/>
      <c r="AX458" s="43"/>
      <c r="AY458" s="40"/>
      <c r="AZ458" s="41"/>
      <c r="BA458" s="41"/>
      <c r="BB458" s="43"/>
      <c r="BC458" s="40"/>
      <c r="BD458" s="41"/>
      <c r="BE458" s="41"/>
      <c r="BF458" s="43"/>
      <c r="BG458" s="40"/>
      <c r="BH458" s="41"/>
      <c r="BI458" s="41"/>
      <c r="BJ458" s="43"/>
      <c r="BK458" s="40"/>
      <c r="BL458" s="41"/>
      <c r="BM458" s="41"/>
      <c r="BN458" s="43"/>
      <c r="BO458" s="40"/>
      <c r="BP458" s="41"/>
      <c r="BQ458" s="41"/>
      <c r="BR458" s="43"/>
      <c r="BS458" s="40"/>
      <c r="BT458" s="41"/>
      <c r="BU458" s="41"/>
      <c r="BV458" s="42"/>
      <c r="BY458" s="45"/>
      <c r="BZ458" s="46"/>
      <c r="CA458" s="46"/>
      <c r="CB458" s="47"/>
    </row>
    <row r="459" spans="1:80" ht="14.25" hidden="1" customHeight="1" x14ac:dyDescent="0.25">
      <c r="A459" s="10" t="b">
        <f>REGULATION_METHODS="Метод индексации"</f>
        <v>1</v>
      </c>
      <c r="B459" s="5" t="b">
        <f t="array" ref="B459">A459</f>
        <v>1</v>
      </c>
      <c r="M459" s="5" t="str">
        <f t="array" ref="M459">Y458</f>
        <v>1ВО::1.1</v>
      </c>
      <c r="AB459" s="403">
        <v>0</v>
      </c>
      <c r="AC459" s="411" t="s">
        <v>106</v>
      </c>
      <c r="AD459" s="412"/>
      <c r="AE459" s="61"/>
      <c r="AF459" s="62"/>
      <c r="AG459" s="62"/>
      <c r="AH459" s="64"/>
      <c r="AI459" s="44"/>
      <c r="AJ459" s="41"/>
      <c r="AK459" s="41"/>
      <c r="AL459" s="43"/>
      <c r="AM459" s="40"/>
      <c r="AN459" s="41"/>
      <c r="AO459" s="41"/>
      <c r="AP459" s="43"/>
      <c r="AQ459" s="40"/>
      <c r="AR459" s="41"/>
      <c r="AS459" s="41"/>
      <c r="AT459" s="43"/>
      <c r="AU459" s="40"/>
      <c r="AV459" s="41"/>
      <c r="AW459" s="41"/>
      <c r="AX459" s="43"/>
      <c r="AY459" s="40"/>
      <c r="AZ459" s="41"/>
      <c r="BA459" s="41"/>
      <c r="BB459" s="43"/>
      <c r="BC459" s="40"/>
      <c r="BD459" s="41"/>
      <c r="BE459" s="41"/>
      <c r="BF459" s="43"/>
      <c r="BG459" s="40"/>
      <c r="BH459" s="41"/>
      <c r="BI459" s="41"/>
      <c r="BJ459" s="43"/>
      <c r="BK459" s="40"/>
      <c r="BL459" s="41"/>
      <c r="BM459" s="41"/>
      <c r="BN459" s="43"/>
      <c r="BO459" s="40"/>
      <c r="BP459" s="41"/>
      <c r="BQ459" s="41"/>
      <c r="BR459" s="43"/>
      <c r="BS459" s="40"/>
      <c r="BT459" s="41"/>
      <c r="BU459" s="41"/>
      <c r="BV459" s="42"/>
      <c r="BY459" s="45"/>
      <c r="BZ459" s="46"/>
      <c r="CA459" s="46"/>
      <c r="CB459" s="47"/>
    </row>
    <row r="460" spans="1:80" ht="14.25" hidden="1" customHeight="1" outlineLevel="1" x14ac:dyDescent="0.25">
      <c r="A460" s="10" t="b">
        <f t="array" ref="A460">A459</f>
        <v>1</v>
      </c>
      <c r="C460" s="79" t="s">
        <v>107</v>
      </c>
      <c r="D460" s="79" t="s">
        <v>108</v>
      </c>
      <c r="E460" s="10" t="s">
        <v>73</v>
      </c>
      <c r="F460" s="11" t="s">
        <v>74</v>
      </c>
      <c r="G460" s="79" t="s">
        <v>109</v>
      </c>
      <c r="H460" s="10" t="s">
        <v>73</v>
      </c>
      <c r="I460" s="10" t="s">
        <v>73</v>
      </c>
      <c r="K460" s="12" t="s">
        <v>73</v>
      </c>
      <c r="M460" s="5" t="str">
        <f t="array" ref="M460">Y458</f>
        <v>1ВО::1.1</v>
      </c>
      <c r="AB460" s="403" t="str">
        <f>AB459&amp;".1"</f>
        <v>0.1</v>
      </c>
      <c r="AC460" s="305" t="s">
        <v>110</v>
      </c>
      <c r="AD460" s="32" t="s">
        <v>111</v>
      </c>
      <c r="AE460" s="72"/>
      <c r="AF460" s="73">
        <f>AF510+AF639+AF593+AF602-AF509</f>
        <v>0</v>
      </c>
      <c r="AG460" s="73">
        <f>AG510+AG639+AG593+AG602-AG509</f>
        <v>0</v>
      </c>
      <c r="AH460" s="74"/>
      <c r="AI460" s="44"/>
      <c r="AJ460" s="41"/>
      <c r="AK460" s="41"/>
      <c r="AL460" s="43"/>
      <c r="AM460" s="40"/>
      <c r="AN460" s="41"/>
      <c r="AO460" s="41"/>
      <c r="AP460" s="43"/>
      <c r="AQ460" s="40"/>
      <c r="AR460" s="41"/>
      <c r="AS460" s="41"/>
      <c r="AT460" s="43"/>
      <c r="AU460" s="40"/>
      <c r="AV460" s="41"/>
      <c r="AW460" s="41"/>
      <c r="AX460" s="43"/>
      <c r="AY460" s="40"/>
      <c r="AZ460" s="41"/>
      <c r="BA460" s="41"/>
      <c r="BB460" s="43"/>
      <c r="BC460" s="40"/>
      <c r="BD460" s="41"/>
      <c r="BE460" s="41"/>
      <c r="BF460" s="43"/>
      <c r="BG460" s="40"/>
      <c r="BH460" s="41"/>
      <c r="BI460" s="41"/>
      <c r="BJ460" s="43"/>
      <c r="BK460" s="40"/>
      <c r="BL460" s="41"/>
      <c r="BM460" s="41"/>
      <c r="BN460" s="43"/>
      <c r="BO460" s="40"/>
      <c r="BP460" s="41"/>
      <c r="BQ460" s="41"/>
      <c r="BR460" s="43"/>
      <c r="BS460" s="40"/>
      <c r="BT460" s="41"/>
      <c r="BU460" s="41"/>
      <c r="BV460" s="42"/>
      <c r="BY460" s="45"/>
      <c r="BZ460" s="46"/>
      <c r="CA460" s="46"/>
      <c r="CB460" s="47"/>
    </row>
    <row r="461" spans="1:80" ht="14.25" hidden="1" customHeight="1" x14ac:dyDescent="0.25">
      <c r="A461" s="10" t="b">
        <f t="array" ref="A461">A460</f>
        <v>1</v>
      </c>
      <c r="M461" s="5" t="str">
        <f t="array" ref="M461">Y458</f>
        <v>1ВО::1.1</v>
      </c>
      <c r="AB461" s="403">
        <v>1</v>
      </c>
      <c r="AC461" s="411" t="s">
        <v>112</v>
      </c>
      <c r="AD461" s="412"/>
      <c r="AE461" s="61"/>
      <c r="AF461" s="62"/>
      <c r="AG461" s="62"/>
      <c r="AH461" s="64"/>
      <c r="AI461" s="44"/>
      <c r="AJ461" s="41"/>
      <c r="AK461" s="41"/>
      <c r="AL461" s="43"/>
      <c r="AM461" s="40"/>
      <c r="AN461" s="41"/>
      <c r="AO461" s="41"/>
      <c r="AP461" s="43"/>
      <c r="AQ461" s="40"/>
      <c r="AR461" s="41"/>
      <c r="AS461" s="41"/>
      <c r="AT461" s="43"/>
      <c r="AU461" s="40"/>
      <c r="AV461" s="41"/>
      <c r="AW461" s="41"/>
      <c r="AX461" s="43"/>
      <c r="AY461" s="40"/>
      <c r="AZ461" s="41"/>
      <c r="BA461" s="41"/>
      <c r="BB461" s="43"/>
      <c r="BC461" s="40"/>
      <c r="BD461" s="41"/>
      <c r="BE461" s="41"/>
      <c r="BF461" s="43"/>
      <c r="BG461" s="40"/>
      <c r="BH461" s="41"/>
      <c r="BI461" s="41"/>
      <c r="BJ461" s="43"/>
      <c r="BK461" s="40"/>
      <c r="BL461" s="41"/>
      <c r="BM461" s="41"/>
      <c r="BN461" s="43"/>
      <c r="BO461" s="40"/>
      <c r="BP461" s="41"/>
      <c r="BQ461" s="41"/>
      <c r="BR461" s="43"/>
      <c r="BS461" s="40"/>
      <c r="BT461" s="41"/>
      <c r="BU461" s="41"/>
      <c r="BV461" s="42"/>
      <c r="BY461" s="45"/>
      <c r="BZ461" s="46"/>
      <c r="CA461" s="46"/>
      <c r="CB461" s="47"/>
    </row>
    <row r="462" spans="1:80" ht="14.25" hidden="1" customHeight="1" outlineLevel="1" x14ac:dyDescent="0.25">
      <c r="A462" s="10" t="b">
        <f t="array" ref="A462">A461</f>
        <v>1</v>
      </c>
      <c r="C462" s="10" t="s">
        <v>113</v>
      </c>
      <c r="D462" s="10" t="s">
        <v>114</v>
      </c>
      <c r="E462" s="5" t="str">
        <f t="array" ref="E462">AC462</f>
        <v>Коэффициент операционных расходов</v>
      </c>
      <c r="F462" s="11" t="s">
        <v>74</v>
      </c>
      <c r="G462" s="10" t="s">
        <v>73</v>
      </c>
      <c r="H462" s="10" t="s">
        <v>73</v>
      </c>
      <c r="I462" s="10" t="s">
        <v>73</v>
      </c>
      <c r="K462" s="12" t="s">
        <v>73</v>
      </c>
      <c r="L462" s="10" t="s">
        <v>115</v>
      </c>
      <c r="M462" s="5" t="str">
        <f t="array" ref="M462">Y458</f>
        <v>1ВО::1.1</v>
      </c>
      <c r="AB462" s="403" t="str">
        <f>AB461&amp;".1"</f>
        <v>1.1</v>
      </c>
      <c r="AC462" s="305" t="s">
        <v>116</v>
      </c>
      <c r="AD462" s="32"/>
      <c r="AE462" s="81" t="e">
        <f>(1-AE464)*(1+AE465)*(1+AE466)*AE470</f>
        <v>#REF!</v>
      </c>
      <c r="AF462" s="82" t="e">
        <f>(1-AF464)*(1+AF465)*(1+AF466)*AF470</f>
        <v>#REF!</v>
      </c>
      <c r="AG462" s="82">
        <f>(1-AG464)*(1+AG465)*(1+AG466)*AG470</f>
        <v>1.042</v>
      </c>
      <c r="AH462" s="83"/>
      <c r="AI462" s="44"/>
      <c r="AJ462" s="41"/>
      <c r="AK462" s="41"/>
      <c r="AL462" s="43"/>
      <c r="AM462" s="40"/>
      <c r="AN462" s="41"/>
      <c r="AO462" s="41"/>
      <c r="AP462" s="43"/>
      <c r="AQ462" s="40"/>
      <c r="AR462" s="41"/>
      <c r="AS462" s="41"/>
      <c r="AT462" s="43"/>
      <c r="AU462" s="40"/>
      <c r="AV462" s="41"/>
      <c r="AW462" s="41"/>
      <c r="AX462" s="43"/>
      <c r="AY462" s="40"/>
      <c r="AZ462" s="41"/>
      <c r="BA462" s="41"/>
      <c r="BB462" s="43"/>
      <c r="BC462" s="40"/>
      <c r="BD462" s="41"/>
      <c r="BE462" s="41"/>
      <c r="BF462" s="43"/>
      <c r="BG462" s="40"/>
      <c r="BH462" s="41"/>
      <c r="BI462" s="41"/>
      <c r="BJ462" s="43"/>
      <c r="BK462" s="40"/>
      <c r="BL462" s="41"/>
      <c r="BM462" s="41"/>
      <c r="BN462" s="43"/>
      <c r="BO462" s="40"/>
      <c r="BP462" s="41"/>
      <c r="BQ462" s="41"/>
      <c r="BR462" s="43"/>
      <c r="BS462" s="40"/>
      <c r="BT462" s="41"/>
      <c r="BU462" s="41"/>
      <c r="BV462" s="42"/>
      <c r="BY462" s="45"/>
      <c r="BZ462" s="46"/>
      <c r="CA462" s="46"/>
      <c r="CB462" s="47"/>
    </row>
    <row r="463" spans="1:80" ht="14.25" hidden="1" customHeight="1" outlineLevel="1" x14ac:dyDescent="0.25">
      <c r="A463" s="10" t="b">
        <f t="array" ref="A463">A462</f>
        <v>1</v>
      </c>
      <c r="C463" s="84" t="s">
        <v>113</v>
      </c>
      <c r="D463" s="84" t="s">
        <v>114</v>
      </c>
      <c r="E463" s="85" t="str">
        <f t="array" ref="E463">AC463</f>
        <v>Коэффициент роста ОР к значению прошлого года</v>
      </c>
      <c r="F463" s="84" t="s">
        <v>74</v>
      </c>
      <c r="G463" s="84" t="s">
        <v>73</v>
      </c>
      <c r="H463" s="84" t="s">
        <v>73</v>
      </c>
      <c r="I463" s="84" t="s">
        <v>73</v>
      </c>
      <c r="J463" s="85"/>
      <c r="K463" s="86" t="s">
        <v>73</v>
      </c>
      <c r="L463" s="84" t="s">
        <v>115</v>
      </c>
      <c r="M463" s="5" t="str">
        <f t="array" ref="M463">Y458</f>
        <v>1ВО::1.1</v>
      </c>
      <c r="AB463" s="403" t="str">
        <f>AB461&amp;".1*"</f>
        <v>1.1*</v>
      </c>
      <c r="AC463" s="305" t="s">
        <v>117</v>
      </c>
      <c r="AD463" s="32"/>
      <c r="AE463" s="81" t="e">
        <f>IF(#REF!=0,0,AE509/#REF!)</f>
        <v>#REF!</v>
      </c>
      <c r="AF463" s="82">
        <v>1.046915</v>
      </c>
      <c r="AG463" s="82">
        <v>1.056298</v>
      </c>
      <c r="AH463" s="83"/>
      <c r="AI463" s="44"/>
      <c r="AJ463" s="41"/>
      <c r="AK463" s="41"/>
      <c r="AL463" s="43"/>
      <c r="AM463" s="40"/>
      <c r="AN463" s="41"/>
      <c r="AO463" s="41"/>
      <c r="AP463" s="43"/>
      <c r="AQ463" s="40"/>
      <c r="AR463" s="41"/>
      <c r="AS463" s="41"/>
      <c r="AT463" s="43"/>
      <c r="AU463" s="40"/>
      <c r="AV463" s="41"/>
      <c r="AW463" s="41"/>
      <c r="AX463" s="43"/>
      <c r="AY463" s="40"/>
      <c r="AZ463" s="41"/>
      <c r="BA463" s="41"/>
      <c r="BB463" s="43"/>
      <c r="BC463" s="40"/>
      <c r="BD463" s="41"/>
      <c r="BE463" s="41"/>
      <c r="BF463" s="43"/>
      <c r="BG463" s="40"/>
      <c r="BH463" s="41"/>
      <c r="BI463" s="41"/>
      <c r="BJ463" s="43"/>
      <c r="BK463" s="40"/>
      <c r="BL463" s="41"/>
      <c r="BM463" s="41"/>
      <c r="BN463" s="43"/>
      <c r="BO463" s="40"/>
      <c r="BP463" s="41"/>
      <c r="BQ463" s="41"/>
      <c r="BR463" s="43"/>
      <c r="BS463" s="40"/>
      <c r="BT463" s="41"/>
      <c r="BU463" s="41"/>
      <c r="BV463" s="42"/>
      <c r="BY463" s="45"/>
      <c r="BZ463" s="46"/>
      <c r="CA463" s="46"/>
      <c r="CB463" s="47"/>
    </row>
    <row r="464" spans="1:80" ht="14.25" hidden="1" customHeight="1" outlineLevel="2" x14ac:dyDescent="0.25">
      <c r="A464" s="10" t="b">
        <f t="array" ref="A464">A462</f>
        <v>1</v>
      </c>
      <c r="C464" s="10" t="s">
        <v>113</v>
      </c>
      <c r="D464" s="10" t="s">
        <v>114</v>
      </c>
      <c r="E464" s="10" t="s">
        <v>118</v>
      </c>
      <c r="F464" s="11" t="s">
        <v>74</v>
      </c>
      <c r="G464" s="10" t="s">
        <v>73</v>
      </c>
      <c r="H464" s="10" t="s">
        <v>73</v>
      </c>
      <c r="I464" s="10" t="s">
        <v>73</v>
      </c>
      <c r="K464" s="12" t="s">
        <v>73</v>
      </c>
      <c r="L464" s="10" t="s">
        <v>115</v>
      </c>
      <c r="M464" s="5" t="str">
        <f t="array" ref="M464">Y458</f>
        <v>1ВО::1.1</v>
      </c>
      <c r="AB464" s="403" t="str">
        <f>AB462&amp;".1"</f>
        <v>1.1.1</v>
      </c>
      <c r="AC464" s="413" t="s">
        <v>118</v>
      </c>
      <c r="AD464" s="32" t="s">
        <v>119</v>
      </c>
      <c r="AE464" s="88" t="e">
        <f>#REF!</f>
        <v>#REF!</v>
      </c>
      <c r="AF464" s="89">
        <v>0.01</v>
      </c>
      <c r="AG464" s="89">
        <v>0</v>
      </c>
      <c r="AH464" s="90"/>
      <c r="AI464" s="44"/>
      <c r="AJ464" s="41"/>
      <c r="AK464" s="41"/>
      <c r="AL464" s="43"/>
      <c r="AM464" s="40"/>
      <c r="AN464" s="41"/>
      <c r="AO464" s="41"/>
      <c r="AP464" s="43"/>
      <c r="AQ464" s="40"/>
      <c r="AR464" s="41"/>
      <c r="AS464" s="41"/>
      <c r="AT464" s="43"/>
      <c r="AU464" s="40"/>
      <c r="AV464" s="41"/>
      <c r="AW464" s="41"/>
      <c r="AX464" s="43"/>
      <c r="AY464" s="40"/>
      <c r="AZ464" s="41"/>
      <c r="BA464" s="41"/>
      <c r="BB464" s="43"/>
      <c r="BC464" s="40"/>
      <c r="BD464" s="41"/>
      <c r="BE464" s="41"/>
      <c r="BF464" s="43"/>
      <c r="BG464" s="40"/>
      <c r="BH464" s="41"/>
      <c r="BI464" s="41"/>
      <c r="BJ464" s="43"/>
      <c r="BK464" s="40"/>
      <c r="BL464" s="41"/>
      <c r="BM464" s="41"/>
      <c r="BN464" s="43"/>
      <c r="BO464" s="40"/>
      <c r="BP464" s="41"/>
      <c r="BQ464" s="41"/>
      <c r="BR464" s="43"/>
      <c r="BS464" s="40"/>
      <c r="BT464" s="41"/>
      <c r="BU464" s="41"/>
      <c r="BV464" s="42"/>
      <c r="BY464" s="45"/>
      <c r="BZ464" s="46"/>
      <c r="CA464" s="46"/>
      <c r="CB464" s="47"/>
    </row>
    <row r="465" spans="1:80" ht="14.25" hidden="1" customHeight="1" outlineLevel="2" x14ac:dyDescent="0.25">
      <c r="A465" s="10" t="b">
        <f t="array" ref="A465">A464</f>
        <v>1</v>
      </c>
      <c r="C465" s="10" t="s">
        <v>113</v>
      </c>
      <c r="D465" s="10" t="s">
        <v>114</v>
      </c>
      <c r="E465" s="10" t="s">
        <v>120</v>
      </c>
      <c r="F465" s="11" t="s">
        <v>74</v>
      </c>
      <c r="G465" s="10" t="s">
        <v>73</v>
      </c>
      <c r="H465" s="10" t="s">
        <v>73</v>
      </c>
      <c r="I465" s="10" t="s">
        <v>73</v>
      </c>
      <c r="K465" s="12" t="s">
        <v>73</v>
      </c>
      <c r="L465" s="10" t="s">
        <v>115</v>
      </c>
      <c r="M465" s="5" t="str">
        <f t="array" ref="M465">Y458</f>
        <v>1ВО::1.1</v>
      </c>
      <c r="AB465" s="403" t="str">
        <f>AB462&amp;".2"</f>
        <v>1.1.2</v>
      </c>
      <c r="AC465" s="413" t="s">
        <v>121</v>
      </c>
      <c r="AD465" s="32"/>
      <c r="AE465" s="53">
        <f>[4]Индексы!AH447-1</f>
        <v>-1</v>
      </c>
      <c r="AF465" s="54">
        <v>4.2000000000000003E-2</v>
      </c>
      <c r="AG465" s="54">
        <v>4.2000000000000003E-2</v>
      </c>
      <c r="AH465" s="55"/>
      <c r="AI465" s="44"/>
      <c r="AJ465" s="41"/>
      <c r="AK465" s="41"/>
      <c r="AL465" s="43"/>
      <c r="AM465" s="40"/>
      <c r="AN465" s="41"/>
      <c r="AO465" s="41"/>
      <c r="AP465" s="43"/>
      <c r="AQ465" s="40"/>
      <c r="AR465" s="41"/>
      <c r="AS465" s="41"/>
      <c r="AT465" s="43"/>
      <c r="AU465" s="40"/>
      <c r="AV465" s="41"/>
      <c r="AW465" s="41"/>
      <c r="AX465" s="43"/>
      <c r="AY465" s="40"/>
      <c r="AZ465" s="41"/>
      <c r="BA465" s="41"/>
      <c r="BB465" s="43"/>
      <c r="BC465" s="40"/>
      <c r="BD465" s="41"/>
      <c r="BE465" s="41"/>
      <c r="BF465" s="43"/>
      <c r="BG465" s="40"/>
      <c r="BH465" s="41"/>
      <c r="BI465" s="41"/>
      <c r="BJ465" s="43"/>
      <c r="BK465" s="40"/>
      <c r="BL465" s="41"/>
      <c r="BM465" s="41"/>
      <c r="BN465" s="43"/>
      <c r="BO465" s="40"/>
      <c r="BP465" s="41"/>
      <c r="BQ465" s="41"/>
      <c r="BR465" s="43"/>
      <c r="BS465" s="40"/>
      <c r="BT465" s="41"/>
      <c r="BU465" s="41"/>
      <c r="BV465" s="42"/>
      <c r="BY465" s="45"/>
      <c r="BZ465" s="46"/>
      <c r="CA465" s="46"/>
      <c r="CB465" s="47"/>
    </row>
    <row r="466" spans="1:80" ht="14.25" hidden="1" customHeight="1" outlineLevel="2" x14ac:dyDescent="0.25">
      <c r="A466" s="10" t="b">
        <f t="array" ref="A466">A465</f>
        <v>1</v>
      </c>
      <c r="C466" s="10" t="s">
        <v>113</v>
      </c>
      <c r="D466" s="10" t="s">
        <v>114</v>
      </c>
      <c r="E466" s="10" t="s">
        <v>122</v>
      </c>
      <c r="F466" s="11" t="s">
        <v>74</v>
      </c>
      <c r="G466" s="10" t="s">
        <v>73</v>
      </c>
      <c r="H466" s="10" t="s">
        <v>73</v>
      </c>
      <c r="I466" s="10" t="s">
        <v>73</v>
      </c>
      <c r="K466" s="12" t="s">
        <v>73</v>
      </c>
      <c r="L466" s="10" t="s">
        <v>115</v>
      </c>
      <c r="M466" s="5" t="str">
        <f t="array" ref="M466">Y458</f>
        <v>1ВО::1.1</v>
      </c>
      <c r="AB466" s="403" t="str">
        <f>AB462&amp;".3"</f>
        <v>1.1.3</v>
      </c>
      <c r="AC466" s="413" t="s">
        <v>123</v>
      </c>
      <c r="AD466" s="32"/>
      <c r="AE466" s="66"/>
      <c r="AF466" s="91"/>
      <c r="AG466" s="67"/>
      <c r="AH466" s="68"/>
      <c r="AI466" s="44"/>
      <c r="AJ466" s="41"/>
      <c r="AK466" s="41"/>
      <c r="AL466" s="43"/>
      <c r="AM466" s="40"/>
      <c r="AN466" s="41"/>
      <c r="AO466" s="41"/>
      <c r="AP466" s="43"/>
      <c r="AQ466" s="40"/>
      <c r="AR466" s="41"/>
      <c r="AS466" s="41"/>
      <c r="AT466" s="43"/>
      <c r="AU466" s="40"/>
      <c r="AV466" s="41"/>
      <c r="AW466" s="41"/>
      <c r="AX466" s="43"/>
      <c r="AY466" s="40"/>
      <c r="AZ466" s="41"/>
      <c r="BA466" s="41"/>
      <c r="BB466" s="43"/>
      <c r="BC466" s="40"/>
      <c r="BD466" s="41"/>
      <c r="BE466" s="41"/>
      <c r="BF466" s="43"/>
      <c r="BG466" s="40"/>
      <c r="BH466" s="41"/>
      <c r="BI466" s="41"/>
      <c r="BJ466" s="43"/>
      <c r="BK466" s="40"/>
      <c r="BL466" s="41"/>
      <c r="BM466" s="41"/>
      <c r="BN466" s="43"/>
      <c r="BO466" s="40"/>
      <c r="BP466" s="41"/>
      <c r="BQ466" s="41"/>
      <c r="BR466" s="43"/>
      <c r="BS466" s="40"/>
      <c r="BT466" s="41"/>
      <c r="BU466" s="41"/>
      <c r="BV466" s="42"/>
      <c r="BY466" s="45"/>
      <c r="BZ466" s="46"/>
      <c r="CA466" s="46"/>
      <c r="CB466" s="47"/>
    </row>
    <row r="467" spans="1:80" ht="14.25" hidden="1" customHeight="1" outlineLevel="3" x14ac:dyDescent="0.25">
      <c r="A467" s="10" t="b">
        <f t="array" ref="A467">A466</f>
        <v>1</v>
      </c>
      <c r="C467" s="10" t="s">
        <v>113</v>
      </c>
      <c r="D467" s="10" t="s">
        <v>114</v>
      </c>
      <c r="E467" s="10" t="s">
        <v>124</v>
      </c>
      <c r="F467" s="11" t="s">
        <v>74</v>
      </c>
      <c r="G467" s="10" t="s">
        <v>73</v>
      </c>
      <c r="H467" s="10" t="s">
        <v>73</v>
      </c>
      <c r="I467" s="10" t="s">
        <v>73</v>
      </c>
      <c r="K467" s="12" t="s">
        <v>73</v>
      </c>
      <c r="L467" s="10" t="s">
        <v>115</v>
      </c>
      <c r="M467" s="5" t="str">
        <f t="array" ref="M467">Y458</f>
        <v>1ВО::1.1</v>
      </c>
      <c r="AB467" s="403" t="str">
        <f>AB466&amp;".1"</f>
        <v>1.1.3.1</v>
      </c>
      <c r="AC467" s="414" t="s">
        <v>125</v>
      </c>
      <c r="AD467" s="32" t="s">
        <v>119</v>
      </c>
      <c r="AE467" s="88">
        <v>4.0399999999999998E-2</v>
      </c>
      <c r="AF467" s="93"/>
      <c r="AG467" s="755">
        <v>0</v>
      </c>
      <c r="AH467" s="94"/>
      <c r="AI467" s="44"/>
      <c r="AJ467" s="41"/>
      <c r="AK467" s="41"/>
      <c r="AL467" s="43"/>
      <c r="AM467" s="40"/>
      <c r="AN467" s="41"/>
      <c r="AO467" s="41"/>
      <c r="AP467" s="43"/>
      <c r="AQ467" s="40"/>
      <c r="AR467" s="41"/>
      <c r="AS467" s="41"/>
      <c r="AT467" s="43"/>
      <c r="AU467" s="40"/>
      <c r="AV467" s="41"/>
      <c r="AW467" s="41"/>
      <c r="AX467" s="43"/>
      <c r="AY467" s="40"/>
      <c r="AZ467" s="41"/>
      <c r="BA467" s="41"/>
      <c r="BB467" s="43"/>
      <c r="BC467" s="40"/>
      <c r="BD467" s="41"/>
      <c r="BE467" s="41"/>
      <c r="BF467" s="43"/>
      <c r="BG467" s="40"/>
      <c r="BH467" s="41"/>
      <c r="BI467" s="41"/>
      <c r="BJ467" s="43"/>
      <c r="BK467" s="40"/>
      <c r="BL467" s="41"/>
      <c r="BM467" s="41"/>
      <c r="BN467" s="43"/>
      <c r="BO467" s="40"/>
      <c r="BP467" s="41"/>
      <c r="BQ467" s="41"/>
      <c r="BR467" s="43"/>
      <c r="BS467" s="40"/>
      <c r="BT467" s="41"/>
      <c r="BU467" s="41"/>
      <c r="BV467" s="42"/>
      <c r="BY467" s="45"/>
      <c r="BZ467" s="46"/>
      <c r="CA467" s="46"/>
      <c r="CB467" s="47"/>
    </row>
    <row r="468" spans="1:80" ht="39" hidden="1" customHeight="1" outlineLevel="3" x14ac:dyDescent="0.25">
      <c r="A468" s="10" t="b">
        <f t="array" ref="A468">A467</f>
        <v>1</v>
      </c>
      <c r="C468" s="10" t="s">
        <v>126</v>
      </c>
      <c r="D468" s="10" t="s">
        <v>127</v>
      </c>
      <c r="E468" s="10" t="s">
        <v>73</v>
      </c>
      <c r="F468" s="11" t="s">
        <v>74</v>
      </c>
      <c r="G468" s="10" t="s">
        <v>73</v>
      </c>
      <c r="H468" s="10" t="s">
        <v>73</v>
      </c>
      <c r="I468" s="10" t="s">
        <v>73</v>
      </c>
      <c r="K468" s="12" t="s">
        <v>73</v>
      </c>
      <c r="L468" s="10" t="s">
        <v>115</v>
      </c>
      <c r="M468" s="5" t="str">
        <f t="array" ref="M468">Y458</f>
        <v>1ВО::1.1</v>
      </c>
      <c r="AB468" s="403" t="str">
        <f>AB466&amp;".2"</f>
        <v>1.1.3.2</v>
      </c>
      <c r="AC468" s="414" t="s">
        <v>128</v>
      </c>
      <c r="AD468" s="32" t="s">
        <v>111</v>
      </c>
      <c r="AE468" s="95"/>
      <c r="AF468" s="93"/>
      <c r="AG468" s="178"/>
      <c r="AH468" s="96"/>
      <c r="AI468" s="44"/>
      <c r="AJ468" s="41"/>
      <c r="AK468" s="41"/>
      <c r="AL468" s="43"/>
      <c r="AM468" s="40"/>
      <c r="AN468" s="41"/>
      <c r="AO468" s="41"/>
      <c r="AP468" s="43"/>
      <c r="AQ468" s="40"/>
      <c r="AR468" s="41"/>
      <c r="AS468" s="41"/>
      <c r="AT468" s="43"/>
      <c r="AU468" s="40"/>
      <c r="AV468" s="41"/>
      <c r="AW468" s="41"/>
      <c r="AX468" s="43"/>
      <c r="AY468" s="40"/>
      <c r="AZ468" s="41"/>
      <c r="BA468" s="41"/>
      <c r="BB468" s="43"/>
      <c r="BC468" s="40"/>
      <c r="BD468" s="41"/>
      <c r="BE468" s="41"/>
      <c r="BF468" s="43"/>
      <c r="BG468" s="40"/>
      <c r="BH468" s="41"/>
      <c r="BI468" s="41"/>
      <c r="BJ468" s="43"/>
      <c r="BK468" s="40"/>
      <c r="BL468" s="41"/>
      <c r="BM468" s="41"/>
      <c r="BN468" s="43"/>
      <c r="BO468" s="40"/>
      <c r="BP468" s="41"/>
      <c r="BQ468" s="41"/>
      <c r="BR468" s="43"/>
      <c r="BS468" s="40"/>
      <c r="BT468" s="41"/>
      <c r="BU468" s="41"/>
      <c r="BV468" s="42"/>
      <c r="BY468" s="45"/>
      <c r="BZ468" s="46"/>
      <c r="CA468" s="46"/>
      <c r="CB468" s="47"/>
    </row>
    <row r="469" spans="1:80" ht="14.25" hidden="1" customHeight="1" outlineLevel="3" x14ac:dyDescent="0.25">
      <c r="A469" s="10" t="b">
        <f t="array" ref="A469">A468</f>
        <v>1</v>
      </c>
      <c r="C469" s="10" t="s">
        <v>129</v>
      </c>
      <c r="D469" s="10" t="s">
        <v>130</v>
      </c>
      <c r="E469" s="10" t="s">
        <v>73</v>
      </c>
      <c r="F469" s="11" t="s">
        <v>74</v>
      </c>
      <c r="G469" s="10" t="s">
        <v>73</v>
      </c>
      <c r="H469" s="10" t="s">
        <v>73</v>
      </c>
      <c r="I469" s="10" t="s">
        <v>73</v>
      </c>
      <c r="K469" s="12" t="s">
        <v>73</v>
      </c>
      <c r="L469" s="10" t="s">
        <v>115</v>
      </c>
      <c r="M469" s="5" t="str">
        <f t="array" ref="M469">Y458</f>
        <v>1ВО::1.1</v>
      </c>
      <c r="AB469" s="403" t="str">
        <f>AB466&amp;".3"</f>
        <v>1.1.3.3</v>
      </c>
      <c r="AC469" s="414" t="s">
        <v>131</v>
      </c>
      <c r="AD469" s="32"/>
      <c r="AE469" s="97">
        <v>0.01</v>
      </c>
      <c r="AF469" s="93"/>
      <c r="AG469" s="93"/>
      <c r="AH469" s="98"/>
      <c r="AI469" s="44"/>
      <c r="AJ469" s="41"/>
      <c r="AK469" s="41"/>
      <c r="AL469" s="43"/>
      <c r="AM469" s="40"/>
      <c r="AN469" s="41"/>
      <c r="AO469" s="41"/>
      <c r="AP469" s="43"/>
      <c r="AQ469" s="40"/>
      <c r="AR469" s="41"/>
      <c r="AS469" s="41"/>
      <c r="AT469" s="43"/>
      <c r="AU469" s="40"/>
      <c r="AV469" s="41"/>
      <c r="AW469" s="41"/>
      <c r="AX469" s="43"/>
      <c r="AY469" s="40"/>
      <c r="AZ469" s="41"/>
      <c r="BA469" s="41"/>
      <c r="BB469" s="43"/>
      <c r="BC469" s="40"/>
      <c r="BD469" s="41"/>
      <c r="BE469" s="41"/>
      <c r="BF469" s="43"/>
      <c r="BG469" s="40"/>
      <c r="BH469" s="41"/>
      <c r="BI469" s="41"/>
      <c r="BJ469" s="43"/>
      <c r="BK469" s="40"/>
      <c r="BL469" s="41"/>
      <c r="BM469" s="41"/>
      <c r="BN469" s="43"/>
      <c r="BO469" s="40"/>
      <c r="BP469" s="41"/>
      <c r="BQ469" s="41"/>
      <c r="BR469" s="43"/>
      <c r="BS469" s="40"/>
      <c r="BT469" s="41"/>
      <c r="BU469" s="41"/>
      <c r="BV469" s="42"/>
      <c r="BY469" s="45"/>
      <c r="BZ469" s="46"/>
      <c r="CA469" s="46"/>
      <c r="CB469" s="47"/>
    </row>
    <row r="470" spans="1:80" ht="14.25" hidden="1" customHeight="1" outlineLevel="2" x14ac:dyDescent="0.25">
      <c r="A470" s="10" t="b">
        <f t="array" ref="A470">A469</f>
        <v>1</v>
      </c>
      <c r="C470" s="10" t="s">
        <v>113</v>
      </c>
      <c r="D470" s="10" t="s">
        <v>114</v>
      </c>
      <c r="E470" s="10" t="s">
        <v>132</v>
      </c>
      <c r="F470" s="11" t="s">
        <v>74</v>
      </c>
      <c r="G470" s="10" t="s">
        <v>73</v>
      </c>
      <c r="H470" s="10" t="s">
        <v>73</v>
      </c>
      <c r="I470" s="10" t="s">
        <v>73</v>
      </c>
      <c r="K470" s="12" t="s">
        <v>73</v>
      </c>
      <c r="L470" s="10" t="s">
        <v>133</v>
      </c>
      <c r="M470" s="5" t="str">
        <f t="array" ref="M470">Y458</f>
        <v>1ВО::1.1</v>
      </c>
      <c r="AB470" s="403" t="str">
        <f>AB462&amp;".4"</f>
        <v>1.1.4</v>
      </c>
      <c r="AC470" s="413" t="s">
        <v>132</v>
      </c>
      <c r="AD470" s="32"/>
      <c r="AE470" s="66" t="e">
        <f t="array" ref="AE470">#REF!</f>
        <v>#REF!</v>
      </c>
      <c r="AF470" s="67" t="e">
        <f>IF(#REF!=0,0,AF440/#REF!)</f>
        <v>#REF!</v>
      </c>
      <c r="AG470" s="67">
        <v>1</v>
      </c>
      <c r="AH470" s="68"/>
      <c r="AI470" s="44"/>
      <c r="AJ470" s="41"/>
      <c r="AK470" s="41"/>
      <c r="AL470" s="43"/>
      <c r="AM470" s="40"/>
      <c r="AN470" s="41"/>
      <c r="AO470" s="41"/>
      <c r="AP470" s="43"/>
      <c r="AQ470" s="40"/>
      <c r="AR470" s="41"/>
      <c r="AS470" s="41"/>
      <c r="AT470" s="43"/>
      <c r="AU470" s="40"/>
      <c r="AV470" s="41"/>
      <c r="AW470" s="41"/>
      <c r="AX470" s="43"/>
      <c r="AY470" s="40"/>
      <c r="AZ470" s="41"/>
      <c r="BA470" s="41"/>
      <c r="BB470" s="43"/>
      <c r="BC470" s="40"/>
      <c r="BD470" s="41"/>
      <c r="BE470" s="41"/>
      <c r="BF470" s="43"/>
      <c r="BG470" s="40"/>
      <c r="BH470" s="41"/>
      <c r="BI470" s="41"/>
      <c r="BJ470" s="43"/>
      <c r="BK470" s="40"/>
      <c r="BL470" s="41"/>
      <c r="BM470" s="41"/>
      <c r="BN470" s="43"/>
      <c r="BO470" s="40"/>
      <c r="BP470" s="41"/>
      <c r="BQ470" s="41"/>
      <c r="BR470" s="43"/>
      <c r="BS470" s="40"/>
      <c r="BT470" s="41"/>
      <c r="BU470" s="41"/>
      <c r="BV470" s="42"/>
      <c r="BY470" s="45"/>
      <c r="BZ470" s="46"/>
      <c r="CA470" s="46"/>
      <c r="CB470" s="47"/>
    </row>
    <row r="471" spans="1:80" ht="14.25" hidden="1" customHeight="1" outlineLevel="1" x14ac:dyDescent="0.25">
      <c r="A471" s="10" t="b">
        <f t="array" ref="A471">A470</f>
        <v>1</v>
      </c>
      <c r="C471" s="10" t="s">
        <v>113</v>
      </c>
      <c r="D471" s="10" t="s">
        <v>114</v>
      </c>
      <c r="E471" s="10" t="s">
        <v>134</v>
      </c>
      <c r="F471" s="11" t="s">
        <v>74</v>
      </c>
      <c r="G471" s="10" t="s">
        <v>73</v>
      </c>
      <c r="H471" s="10" t="s">
        <v>73</v>
      </c>
      <c r="I471" s="10" t="s">
        <v>73</v>
      </c>
      <c r="K471" s="12" t="s">
        <v>73</v>
      </c>
      <c r="L471" s="10" t="s">
        <v>135</v>
      </c>
      <c r="M471" s="5" t="str">
        <f t="array" ref="M471">Y458</f>
        <v>1ВО::1.1</v>
      </c>
      <c r="AB471" s="403" t="str">
        <f>AB461&amp;".2"</f>
        <v>1.2</v>
      </c>
      <c r="AC471" s="305" t="s">
        <v>134</v>
      </c>
      <c r="AD471" s="32"/>
      <c r="AE471" s="53">
        <v>0.09</v>
      </c>
      <c r="AF471" s="54">
        <v>0.06</v>
      </c>
      <c r="AG471" s="54">
        <v>0.06</v>
      </c>
      <c r="AH471" s="55"/>
      <c r="AI471" s="44"/>
      <c r="AJ471" s="41"/>
      <c r="AK471" s="41"/>
      <c r="AL471" s="43"/>
      <c r="AM471" s="40"/>
      <c r="AN471" s="41"/>
      <c r="AO471" s="41"/>
      <c r="AP471" s="43"/>
      <c r="AQ471" s="40"/>
      <c r="AR471" s="41"/>
      <c r="AS471" s="41"/>
      <c r="AT471" s="43"/>
      <c r="AU471" s="40"/>
      <c r="AV471" s="41"/>
      <c r="AW471" s="41"/>
      <c r="AX471" s="43"/>
      <c r="AY471" s="40"/>
      <c r="AZ471" s="41"/>
      <c r="BA471" s="41"/>
      <c r="BB471" s="43"/>
      <c r="BC471" s="40"/>
      <c r="BD471" s="41"/>
      <c r="BE471" s="41"/>
      <c r="BF471" s="43"/>
      <c r="BG471" s="40"/>
      <c r="BH471" s="41"/>
      <c r="BI471" s="41"/>
      <c r="BJ471" s="43"/>
      <c r="BK471" s="40"/>
      <c r="BL471" s="41"/>
      <c r="BM471" s="41"/>
      <c r="BN471" s="43"/>
      <c r="BO471" s="40"/>
      <c r="BP471" s="41"/>
      <c r="BQ471" s="41"/>
      <c r="BR471" s="43"/>
      <c r="BS471" s="40"/>
      <c r="BT471" s="41"/>
      <c r="BU471" s="41"/>
      <c r="BV471" s="42"/>
      <c r="BY471" s="45"/>
      <c r="BZ471" s="46"/>
      <c r="CA471" s="46"/>
      <c r="CB471" s="47"/>
    </row>
    <row r="472" spans="1:80" ht="14.25" hidden="1" customHeight="1" x14ac:dyDescent="0.25">
      <c r="A472" s="10" t="b">
        <f>$U458="Водоснабжение"</f>
        <v>0</v>
      </c>
      <c r="C472" s="5" t="s">
        <v>75</v>
      </c>
      <c r="D472" s="10" t="s">
        <v>76</v>
      </c>
      <c r="F472" s="11" t="s">
        <v>74</v>
      </c>
      <c r="G472" s="10" t="s">
        <v>73</v>
      </c>
      <c r="H472" s="10" t="s">
        <v>73</v>
      </c>
      <c r="I472" s="10" t="s">
        <v>73</v>
      </c>
      <c r="K472" s="12" t="s">
        <v>73</v>
      </c>
      <c r="M472" s="5" t="str">
        <f t="array" ref="M472">Y458</f>
        <v>1ВО::1.1</v>
      </c>
      <c r="Z472" s="6"/>
      <c r="AA472" s="6"/>
      <c r="AB472" s="403"/>
      <c r="AC472" s="409"/>
      <c r="AD472" s="422"/>
      <c r="AE472" s="147"/>
      <c r="AF472" s="148"/>
      <c r="AG472" s="148"/>
      <c r="AH472" s="149"/>
      <c r="AI472" s="44"/>
      <c r="AJ472" s="41"/>
      <c r="AK472" s="41"/>
      <c r="AL472" s="43"/>
      <c r="AM472" s="40"/>
      <c r="AN472" s="41"/>
      <c r="AO472" s="41"/>
      <c r="AP472" s="43"/>
      <c r="AQ472" s="40"/>
      <c r="AR472" s="41"/>
      <c r="AS472" s="41"/>
      <c r="AT472" s="43"/>
      <c r="AU472" s="40"/>
      <c r="AV472" s="41"/>
      <c r="AW472" s="41"/>
      <c r="AX472" s="43"/>
      <c r="AY472" s="40"/>
      <c r="AZ472" s="41"/>
      <c r="BA472" s="41"/>
      <c r="BB472" s="43"/>
      <c r="BC472" s="40"/>
      <c r="BD472" s="41"/>
      <c r="BE472" s="41"/>
      <c r="BF472" s="43"/>
      <c r="BG472" s="40"/>
      <c r="BH472" s="41"/>
      <c r="BI472" s="41"/>
      <c r="BJ472" s="43"/>
      <c r="BK472" s="40"/>
      <c r="BL472" s="41"/>
      <c r="BM472" s="41"/>
      <c r="BN472" s="43"/>
      <c r="BO472" s="40"/>
      <c r="BP472" s="41"/>
      <c r="BQ472" s="41"/>
      <c r="BR472" s="43"/>
      <c r="BS472" s="40"/>
      <c r="BT472" s="41"/>
      <c r="BU472" s="41"/>
      <c r="BV472" s="42"/>
      <c r="BY472" s="45"/>
      <c r="BZ472" s="46"/>
      <c r="CA472" s="46"/>
      <c r="CB472" s="47"/>
    </row>
    <row r="473" spans="1:80" ht="14.25" hidden="1" customHeight="1" outlineLevel="2" x14ac:dyDescent="0.25">
      <c r="A473" s="10" t="b">
        <f>AND(A472)</f>
        <v>0</v>
      </c>
      <c r="B473" s="5" t="b">
        <f>AND(OR(isFIRST_PERIOD="да",$AD$56="нет"),A472)</f>
        <v>0</v>
      </c>
      <c r="C473" s="69" t="s">
        <v>78</v>
      </c>
      <c r="D473" s="70" t="s">
        <v>79</v>
      </c>
      <c r="E473" s="70" t="s">
        <v>73</v>
      </c>
      <c r="F473" s="116" t="s">
        <v>74</v>
      </c>
      <c r="G473" s="70" t="s">
        <v>73</v>
      </c>
      <c r="H473" s="70" t="s">
        <v>73</v>
      </c>
      <c r="I473" s="70" t="s">
        <v>73</v>
      </c>
      <c r="J473" s="70" t="s">
        <v>73</v>
      </c>
      <c r="K473" s="70" t="s">
        <v>73</v>
      </c>
      <c r="L473" s="70"/>
      <c r="M473" s="5" t="str">
        <f t="array" ref="M473">Y458</f>
        <v>1ВО::1.1</v>
      </c>
      <c r="N473" s="70"/>
      <c r="Z473" s="6"/>
      <c r="AA473" s="6"/>
      <c r="AB473" s="403"/>
      <c r="AC473" s="415"/>
      <c r="AD473" s="422"/>
      <c r="AE473" s="66"/>
      <c r="AF473" s="67"/>
      <c r="AG473" s="67"/>
      <c r="AH473" s="68"/>
      <c r="AI473" s="44"/>
      <c r="AJ473" s="41"/>
      <c r="AK473" s="41"/>
      <c r="AL473" s="43"/>
      <c r="AM473" s="40"/>
      <c r="AN473" s="41"/>
      <c r="AO473" s="41"/>
      <c r="AP473" s="43"/>
      <c r="AQ473" s="40"/>
      <c r="AR473" s="41"/>
      <c r="AS473" s="41"/>
      <c r="AT473" s="43"/>
      <c r="AU473" s="40"/>
      <c r="AV473" s="41"/>
      <c r="AW473" s="41"/>
      <c r="AX473" s="43"/>
      <c r="AY473" s="40"/>
      <c r="AZ473" s="41"/>
      <c r="BA473" s="41"/>
      <c r="BB473" s="43"/>
      <c r="BC473" s="40"/>
      <c r="BD473" s="41"/>
      <c r="BE473" s="41"/>
      <c r="BF473" s="43"/>
      <c r="BG473" s="40"/>
      <c r="BH473" s="41"/>
      <c r="BI473" s="41"/>
      <c r="BJ473" s="43"/>
      <c r="BK473" s="40"/>
      <c r="BL473" s="41"/>
      <c r="BM473" s="41"/>
      <c r="BN473" s="43"/>
      <c r="BO473" s="40"/>
      <c r="BP473" s="41"/>
      <c r="BQ473" s="41"/>
      <c r="BR473" s="43"/>
      <c r="BS473" s="40"/>
      <c r="BT473" s="41"/>
      <c r="BU473" s="41"/>
      <c r="BV473" s="42"/>
      <c r="BY473" s="45"/>
      <c r="BZ473" s="46"/>
      <c r="CA473" s="46"/>
      <c r="CB473" s="47"/>
    </row>
    <row r="474" spans="1:80" ht="14.25" hidden="1" customHeight="1" outlineLevel="2" x14ac:dyDescent="0.25">
      <c r="A474" s="10" t="b">
        <f>AND(A472)</f>
        <v>0</v>
      </c>
      <c r="B474" s="5" t="b">
        <f>AND(OR(isFIRST_PERIOD="да",$AD$56="нет"),A472)</f>
        <v>0</v>
      </c>
      <c r="C474" s="69" t="s">
        <v>81</v>
      </c>
      <c r="D474" s="70" t="s">
        <v>82</v>
      </c>
      <c r="E474" s="70" t="s">
        <v>73</v>
      </c>
      <c r="F474" s="116" t="s">
        <v>74</v>
      </c>
      <c r="G474" s="70" t="s">
        <v>73</v>
      </c>
      <c r="H474" s="70" t="s">
        <v>73</v>
      </c>
      <c r="I474" s="70" t="s">
        <v>73</v>
      </c>
      <c r="J474" s="70" t="s">
        <v>73</v>
      </c>
      <c r="K474" s="70" t="s">
        <v>73</v>
      </c>
      <c r="L474" s="70"/>
      <c r="M474" s="5" t="str">
        <f t="array" ref="M474">Y458</f>
        <v>1ВО::1.1</v>
      </c>
      <c r="N474" s="70"/>
      <c r="Z474" s="6"/>
      <c r="AA474" s="6"/>
      <c r="AB474" s="403"/>
      <c r="AC474" s="415"/>
      <c r="AD474" s="422"/>
      <c r="AE474" s="66"/>
      <c r="AF474" s="67"/>
      <c r="AG474" s="67"/>
      <c r="AH474" s="68"/>
      <c r="AI474" s="44"/>
      <c r="AJ474" s="41"/>
      <c r="AK474" s="41"/>
      <c r="AL474" s="43"/>
      <c r="AM474" s="40"/>
      <c r="AN474" s="41"/>
      <c r="AO474" s="41"/>
      <c r="AP474" s="43"/>
      <c r="AQ474" s="40"/>
      <c r="AR474" s="41"/>
      <c r="AS474" s="41"/>
      <c r="AT474" s="43"/>
      <c r="AU474" s="40"/>
      <c r="AV474" s="41"/>
      <c r="AW474" s="41"/>
      <c r="AX474" s="43"/>
      <c r="AY474" s="40"/>
      <c r="AZ474" s="41"/>
      <c r="BA474" s="41"/>
      <c r="BB474" s="43"/>
      <c r="BC474" s="40"/>
      <c r="BD474" s="41"/>
      <c r="BE474" s="41"/>
      <c r="BF474" s="43"/>
      <c r="BG474" s="40"/>
      <c r="BH474" s="41"/>
      <c r="BI474" s="41"/>
      <c r="BJ474" s="43"/>
      <c r="BK474" s="40"/>
      <c r="BL474" s="41"/>
      <c r="BM474" s="41"/>
      <c r="BN474" s="43"/>
      <c r="BO474" s="40"/>
      <c r="BP474" s="41"/>
      <c r="BQ474" s="41"/>
      <c r="BR474" s="43"/>
      <c r="BS474" s="40"/>
      <c r="BT474" s="41"/>
      <c r="BU474" s="41"/>
      <c r="BV474" s="42"/>
      <c r="BY474" s="45"/>
      <c r="BZ474" s="46"/>
      <c r="CA474" s="46"/>
      <c r="CB474" s="47"/>
    </row>
    <row r="475" spans="1:80" ht="14.25" hidden="1" customHeight="1" outlineLevel="3" x14ac:dyDescent="0.25">
      <c r="A475" s="10" t="b">
        <f>AND($U458="Водоснабжение",$T458&lt;&gt;"Тариф на транспортировку воды")</f>
        <v>0</v>
      </c>
      <c r="C475" s="136" t="s">
        <v>140</v>
      </c>
      <c r="D475" s="136" t="s">
        <v>141</v>
      </c>
      <c r="E475" s="116" t="s">
        <v>142</v>
      </c>
      <c r="F475" s="116" t="s">
        <v>74</v>
      </c>
      <c r="G475" s="116" t="s">
        <v>73</v>
      </c>
      <c r="H475" s="116" t="s">
        <v>73</v>
      </c>
      <c r="I475" s="116" t="s">
        <v>73</v>
      </c>
      <c r="J475" s="116" t="s">
        <v>73</v>
      </c>
      <c r="K475" s="116" t="s">
        <v>73</v>
      </c>
      <c r="L475" s="116"/>
      <c r="M475" s="5" t="str">
        <f t="array" ref="M475">Y458</f>
        <v>1ВО::1.1</v>
      </c>
      <c r="N475" s="116"/>
      <c r="Y475" s="10">
        <v>1</v>
      </c>
      <c r="Z475" s="6"/>
      <c r="AA475" s="6"/>
      <c r="AB475" s="403"/>
      <c r="AC475" s="305"/>
      <c r="AD475" s="422"/>
      <c r="AE475" s="66"/>
      <c r="AF475" s="67"/>
      <c r="AG475" s="67"/>
      <c r="AH475" s="68"/>
      <c r="AI475" s="44"/>
      <c r="AJ475" s="41"/>
      <c r="AK475" s="41"/>
      <c r="AL475" s="43"/>
      <c r="AM475" s="40"/>
      <c r="AN475" s="41"/>
      <c r="AO475" s="41"/>
      <c r="AP475" s="43"/>
      <c r="AQ475" s="40"/>
      <c r="AR475" s="41"/>
      <c r="AS475" s="41"/>
      <c r="AT475" s="43"/>
      <c r="AU475" s="40"/>
      <c r="AV475" s="41"/>
      <c r="AW475" s="41"/>
      <c r="AX475" s="43"/>
      <c r="AY475" s="40"/>
      <c r="AZ475" s="41"/>
      <c r="BA475" s="41"/>
      <c r="BB475" s="43"/>
      <c r="BC475" s="40"/>
      <c r="BD475" s="41"/>
      <c r="BE475" s="41"/>
      <c r="BF475" s="43"/>
      <c r="BG475" s="40"/>
      <c r="BH475" s="41"/>
      <c r="BI475" s="41"/>
      <c r="BJ475" s="43"/>
      <c r="BK475" s="40"/>
      <c r="BL475" s="41"/>
      <c r="BM475" s="41"/>
      <c r="BN475" s="43"/>
      <c r="BO475" s="40"/>
      <c r="BP475" s="41"/>
      <c r="BQ475" s="41"/>
      <c r="BR475" s="43"/>
      <c r="BS475" s="40"/>
      <c r="BT475" s="41"/>
      <c r="BU475" s="41"/>
      <c r="BV475" s="42"/>
      <c r="BY475" s="45"/>
      <c r="BZ475" s="46"/>
      <c r="CA475" s="46"/>
      <c r="CB475" s="47"/>
    </row>
    <row r="476" spans="1:80" ht="14.25" hidden="1" customHeight="1" outlineLevel="3" x14ac:dyDescent="0.25">
      <c r="A476" s="10" t="b">
        <f>AND($U458="Водоснабжение",$T458&lt;&gt;"Тариф на транспортировку воды",region_name&lt;&gt;"Белгородская область")</f>
        <v>0</v>
      </c>
      <c r="C476" s="136" t="s">
        <v>140</v>
      </c>
      <c r="D476" s="136" t="s">
        <v>141</v>
      </c>
      <c r="E476" s="116" t="s">
        <v>144</v>
      </c>
      <c r="F476" s="116" t="s">
        <v>74</v>
      </c>
      <c r="G476" s="116" t="s">
        <v>73</v>
      </c>
      <c r="H476" s="116" t="s">
        <v>73</v>
      </c>
      <c r="I476" s="116" t="s">
        <v>73</v>
      </c>
      <c r="J476" s="116" t="s">
        <v>73</v>
      </c>
      <c r="K476" s="116" t="s">
        <v>73</v>
      </c>
      <c r="L476" s="116"/>
      <c r="M476" s="5" t="str">
        <f t="array" ref="M476">Y458</f>
        <v>1ВО::1.1</v>
      </c>
      <c r="N476" s="116"/>
      <c r="Y476" s="10">
        <f>COUNT($Y475:Y475)+1</f>
        <v>2</v>
      </c>
      <c r="Z476" s="6"/>
      <c r="AA476" s="6"/>
      <c r="AB476" s="403"/>
      <c r="AC476" s="305"/>
      <c r="AD476" s="422"/>
      <c r="AE476" s="66"/>
      <c r="AF476" s="67"/>
      <c r="AG476" s="67"/>
      <c r="AH476" s="68"/>
      <c r="AI476" s="44"/>
      <c r="AJ476" s="41"/>
      <c r="AK476" s="41"/>
      <c r="AL476" s="43"/>
      <c r="AM476" s="40"/>
      <c r="AN476" s="41"/>
      <c r="AO476" s="41"/>
      <c r="AP476" s="43"/>
      <c r="AQ476" s="40"/>
      <c r="AR476" s="41"/>
      <c r="AS476" s="41"/>
      <c r="AT476" s="43"/>
      <c r="AU476" s="40"/>
      <c r="AV476" s="41"/>
      <c r="AW476" s="41"/>
      <c r="AX476" s="43"/>
      <c r="AY476" s="40"/>
      <c r="AZ476" s="41"/>
      <c r="BA476" s="41"/>
      <c r="BB476" s="43"/>
      <c r="BC476" s="40"/>
      <c r="BD476" s="41"/>
      <c r="BE476" s="41"/>
      <c r="BF476" s="43"/>
      <c r="BG476" s="40"/>
      <c r="BH476" s="41"/>
      <c r="BI476" s="41"/>
      <c r="BJ476" s="43"/>
      <c r="BK476" s="40"/>
      <c r="BL476" s="41"/>
      <c r="BM476" s="41"/>
      <c r="BN476" s="43"/>
      <c r="BO476" s="40"/>
      <c r="BP476" s="41"/>
      <c r="BQ476" s="41"/>
      <c r="BR476" s="43"/>
      <c r="BS476" s="40"/>
      <c r="BT476" s="41"/>
      <c r="BU476" s="41"/>
      <c r="BV476" s="42"/>
      <c r="BY476" s="45"/>
      <c r="BZ476" s="46"/>
      <c r="CA476" s="46"/>
      <c r="CB476" s="47"/>
    </row>
    <row r="477" spans="1:80" ht="14.25" hidden="1" customHeight="1" outlineLevel="3" x14ac:dyDescent="0.25">
      <c r="A477" s="10" t="b">
        <f>$U458="Водоснабжение"</f>
        <v>0</v>
      </c>
      <c r="C477" s="136" t="s">
        <v>140</v>
      </c>
      <c r="D477" s="136" t="s">
        <v>141</v>
      </c>
      <c r="E477" s="116" t="s">
        <v>145</v>
      </c>
      <c r="F477" s="116" t="s">
        <v>74</v>
      </c>
      <c r="G477" s="116" t="s">
        <v>73</v>
      </c>
      <c r="H477" s="116" t="s">
        <v>73</v>
      </c>
      <c r="I477" s="116" t="s">
        <v>73</v>
      </c>
      <c r="J477" s="116" t="s">
        <v>73</v>
      </c>
      <c r="K477" s="116" t="s">
        <v>73</v>
      </c>
      <c r="L477" s="116"/>
      <c r="M477" s="5" t="str">
        <f t="array" ref="M477">Y458</f>
        <v>1ВО::1.1</v>
      </c>
      <c r="N477" s="116"/>
      <c r="Y477" s="10">
        <f>COUNT($Y475:Y476)+1</f>
        <v>3</v>
      </c>
      <c r="Z477" s="6"/>
      <c r="AA477" s="6"/>
      <c r="AB477" s="403"/>
      <c r="AC477" s="305"/>
      <c r="AD477" s="422"/>
      <c r="AE477" s="66"/>
      <c r="AF477" s="67"/>
      <c r="AG477" s="67"/>
      <c r="AH477" s="68"/>
      <c r="AI477" s="44"/>
      <c r="AJ477" s="41"/>
      <c r="AK477" s="41"/>
      <c r="AL477" s="43"/>
      <c r="AM477" s="40"/>
      <c r="AN477" s="41"/>
      <c r="AO477" s="41"/>
      <c r="AP477" s="43"/>
      <c r="AQ477" s="40"/>
      <c r="AR477" s="41"/>
      <c r="AS477" s="41"/>
      <c r="AT477" s="43"/>
      <c r="AU477" s="40"/>
      <c r="AV477" s="41"/>
      <c r="AW477" s="41"/>
      <c r="AX477" s="43"/>
      <c r="AY477" s="40"/>
      <c r="AZ477" s="41"/>
      <c r="BA477" s="41"/>
      <c r="BB477" s="43"/>
      <c r="BC477" s="40"/>
      <c r="BD477" s="41"/>
      <c r="BE477" s="41"/>
      <c r="BF477" s="43"/>
      <c r="BG477" s="40"/>
      <c r="BH477" s="41"/>
      <c r="BI477" s="41"/>
      <c r="BJ477" s="43"/>
      <c r="BK477" s="40"/>
      <c r="BL477" s="41"/>
      <c r="BM477" s="41"/>
      <c r="BN477" s="43"/>
      <c r="BO477" s="40"/>
      <c r="BP477" s="41"/>
      <c r="BQ477" s="41"/>
      <c r="BR477" s="43"/>
      <c r="BS477" s="40"/>
      <c r="BT477" s="41"/>
      <c r="BU477" s="41"/>
      <c r="BV477" s="42"/>
      <c r="BY477" s="45"/>
      <c r="BZ477" s="46"/>
      <c r="CA477" s="46"/>
      <c r="CB477" s="47"/>
    </row>
    <row r="478" spans="1:80" ht="14.25" hidden="1" customHeight="1" outlineLevel="3" x14ac:dyDescent="0.25">
      <c r="A478" s="10" t="b">
        <f t="array" ref="A478">A477</f>
        <v>0</v>
      </c>
      <c r="C478" s="136" t="s">
        <v>140</v>
      </c>
      <c r="D478" s="136" t="s">
        <v>141</v>
      </c>
      <c r="E478" s="116" t="s">
        <v>146</v>
      </c>
      <c r="F478" s="116" t="s">
        <v>74</v>
      </c>
      <c r="G478" s="116" t="s">
        <v>73</v>
      </c>
      <c r="H478" s="116" t="s">
        <v>73</v>
      </c>
      <c r="I478" s="116" t="s">
        <v>73</v>
      </c>
      <c r="J478" s="116" t="s">
        <v>73</v>
      </c>
      <c r="K478" s="116" t="s">
        <v>73</v>
      </c>
      <c r="L478" s="116"/>
      <c r="M478" s="5" t="str">
        <f t="array" ref="M478">Y458</f>
        <v>1ВО::1.1</v>
      </c>
      <c r="N478" s="116"/>
      <c r="Y478" s="10">
        <f>COUNT($Y475:Y477)+1</f>
        <v>4</v>
      </c>
      <c r="Z478" s="6"/>
      <c r="AA478" s="6"/>
      <c r="AB478" s="403"/>
      <c r="AC478" s="305"/>
      <c r="AD478" s="422"/>
      <c r="AE478" s="66"/>
      <c r="AF478" s="67"/>
      <c r="AG478" s="67"/>
      <c r="AH478" s="68"/>
      <c r="AI478" s="44"/>
      <c r="AJ478" s="41"/>
      <c r="AK478" s="41"/>
      <c r="AL478" s="43"/>
      <c r="AM478" s="40"/>
      <c r="AN478" s="41"/>
      <c r="AO478" s="41"/>
      <c r="AP478" s="43"/>
      <c r="AQ478" s="40"/>
      <c r="AR478" s="41"/>
      <c r="AS478" s="41"/>
      <c r="AT478" s="43"/>
      <c r="AU478" s="40"/>
      <c r="AV478" s="41"/>
      <c r="AW478" s="41"/>
      <c r="AX478" s="43"/>
      <c r="AY478" s="40"/>
      <c r="AZ478" s="41"/>
      <c r="BA478" s="41"/>
      <c r="BB478" s="43"/>
      <c r="BC478" s="40"/>
      <c r="BD478" s="41"/>
      <c r="BE478" s="41"/>
      <c r="BF478" s="43"/>
      <c r="BG478" s="40"/>
      <c r="BH478" s="41"/>
      <c r="BI478" s="41"/>
      <c r="BJ478" s="43"/>
      <c r="BK478" s="40"/>
      <c r="BL478" s="41"/>
      <c r="BM478" s="41"/>
      <c r="BN478" s="43"/>
      <c r="BO478" s="40"/>
      <c r="BP478" s="41"/>
      <c r="BQ478" s="41"/>
      <c r="BR478" s="43"/>
      <c r="BS478" s="40"/>
      <c r="BT478" s="41"/>
      <c r="BU478" s="41"/>
      <c r="BV478" s="42"/>
      <c r="BY478" s="45"/>
      <c r="BZ478" s="46"/>
      <c r="CA478" s="46"/>
      <c r="CB478" s="47"/>
    </row>
    <row r="479" spans="1:80" ht="14.25" hidden="1" customHeight="1" outlineLevel="3" x14ac:dyDescent="0.25">
      <c r="A479" s="10" t="b">
        <f>AND($U458="Водоснабжение",$AD$51&lt;&gt;"ФАС")</f>
        <v>0</v>
      </c>
      <c r="C479" s="136" t="s">
        <v>140</v>
      </c>
      <c r="D479" s="136" t="s">
        <v>141</v>
      </c>
      <c r="E479" s="116" t="s">
        <v>147</v>
      </c>
      <c r="F479" s="116" t="s">
        <v>74</v>
      </c>
      <c r="G479" s="116" t="s">
        <v>73</v>
      </c>
      <c r="H479" s="116" t="s">
        <v>73</v>
      </c>
      <c r="I479" s="116" t="s">
        <v>73</v>
      </c>
      <c r="J479" s="116" t="s">
        <v>73</v>
      </c>
      <c r="K479" s="116" t="s">
        <v>73</v>
      </c>
      <c r="L479" s="116"/>
      <c r="M479" s="5" t="str">
        <f t="array" ref="M479">Y458</f>
        <v>1ВО::1.1</v>
      </c>
      <c r="N479" s="116"/>
      <c r="Z479" s="6"/>
      <c r="AA479" s="6"/>
      <c r="AB479" s="403"/>
      <c r="AC479" s="413"/>
      <c r="AD479" s="422"/>
      <c r="AE479" s="66"/>
      <c r="AF479" s="67"/>
      <c r="AG479" s="67"/>
      <c r="AH479" s="68"/>
      <c r="AI479" s="44"/>
      <c r="AJ479" s="41"/>
      <c r="AK479" s="41"/>
      <c r="AL479" s="43"/>
      <c r="AM479" s="40"/>
      <c r="AN479" s="41"/>
      <c r="AO479" s="41"/>
      <c r="AP479" s="43"/>
      <c r="AQ479" s="40"/>
      <c r="AR479" s="41"/>
      <c r="AS479" s="41"/>
      <c r="AT479" s="43"/>
      <c r="AU479" s="40"/>
      <c r="AV479" s="41"/>
      <c r="AW479" s="41"/>
      <c r="AX479" s="43"/>
      <c r="AY479" s="40"/>
      <c r="AZ479" s="41"/>
      <c r="BA479" s="41"/>
      <c r="BB479" s="43"/>
      <c r="BC479" s="40"/>
      <c r="BD479" s="41"/>
      <c r="BE479" s="41"/>
      <c r="BF479" s="43"/>
      <c r="BG479" s="40"/>
      <c r="BH479" s="41"/>
      <c r="BI479" s="41"/>
      <c r="BJ479" s="43"/>
      <c r="BK479" s="40"/>
      <c r="BL479" s="41"/>
      <c r="BM479" s="41"/>
      <c r="BN479" s="43"/>
      <c r="BO479" s="40"/>
      <c r="BP479" s="41"/>
      <c r="BQ479" s="41"/>
      <c r="BR479" s="43"/>
      <c r="BS479" s="40"/>
      <c r="BT479" s="41"/>
      <c r="BU479" s="41"/>
      <c r="BV479" s="42"/>
      <c r="BY479" s="45"/>
      <c r="BZ479" s="46"/>
      <c r="CA479" s="46"/>
      <c r="CB479" s="47"/>
    </row>
    <row r="480" spans="1:80" ht="14.25" hidden="1" customHeight="1" outlineLevel="3" x14ac:dyDescent="0.25">
      <c r="A480" s="10" t="b">
        <f>$U458="Водоснабжение"</f>
        <v>0</v>
      </c>
      <c r="C480" s="136" t="s">
        <v>140</v>
      </c>
      <c r="D480" s="136" t="s">
        <v>141</v>
      </c>
      <c r="E480" s="116" t="s">
        <v>148</v>
      </c>
      <c r="F480" s="116" t="s">
        <v>74</v>
      </c>
      <c r="G480" s="116" t="s">
        <v>73</v>
      </c>
      <c r="H480" s="116" t="s">
        <v>73</v>
      </c>
      <c r="I480" s="116" t="s">
        <v>73</v>
      </c>
      <c r="J480" s="116" t="s">
        <v>73</v>
      </c>
      <c r="K480" s="116" t="s">
        <v>73</v>
      </c>
      <c r="L480" s="116"/>
      <c r="M480" s="5" t="str">
        <f t="array" ref="M480">Y458</f>
        <v>1ВО::1.1</v>
      </c>
      <c r="N480" s="116"/>
      <c r="Z480" s="6"/>
      <c r="AA480" s="6"/>
      <c r="AB480" s="403"/>
      <c r="AC480" s="413"/>
      <c r="AD480" s="422"/>
      <c r="AE480" s="66"/>
      <c r="AF480" s="67"/>
      <c r="AG480" s="67"/>
      <c r="AH480" s="68"/>
      <c r="AI480" s="44"/>
      <c r="AJ480" s="41"/>
      <c r="AK480" s="41"/>
      <c r="AL480" s="43"/>
      <c r="AM480" s="40"/>
      <c r="AN480" s="41"/>
      <c r="AO480" s="41"/>
      <c r="AP480" s="43"/>
      <c r="AQ480" s="40"/>
      <c r="AR480" s="41"/>
      <c r="AS480" s="41"/>
      <c r="AT480" s="43"/>
      <c r="AU480" s="40"/>
      <c r="AV480" s="41"/>
      <c r="AW480" s="41"/>
      <c r="AX480" s="43"/>
      <c r="AY480" s="40"/>
      <c r="AZ480" s="41"/>
      <c r="BA480" s="41"/>
      <c r="BB480" s="43"/>
      <c r="BC480" s="40"/>
      <c r="BD480" s="41"/>
      <c r="BE480" s="41"/>
      <c r="BF480" s="43"/>
      <c r="BG480" s="40"/>
      <c r="BH480" s="41"/>
      <c r="BI480" s="41"/>
      <c r="BJ480" s="43"/>
      <c r="BK480" s="40"/>
      <c r="BL480" s="41"/>
      <c r="BM480" s="41"/>
      <c r="BN480" s="43"/>
      <c r="BO480" s="40"/>
      <c r="BP480" s="41"/>
      <c r="BQ480" s="41"/>
      <c r="BR480" s="43"/>
      <c r="BS480" s="40"/>
      <c r="BT480" s="41"/>
      <c r="BU480" s="41"/>
      <c r="BV480" s="42"/>
      <c r="BY480" s="45"/>
      <c r="BZ480" s="46"/>
      <c r="CA480" s="46"/>
      <c r="CB480" s="47"/>
    </row>
    <row r="481" spans="1:81" ht="14.25" hidden="1" customHeight="1" outlineLevel="3" x14ac:dyDescent="0.25">
      <c r="A481" s="10" t="b">
        <f t="array" ref="A481">A480</f>
        <v>0</v>
      </c>
      <c r="C481" s="136" t="s">
        <v>149</v>
      </c>
      <c r="D481" s="136" t="s">
        <v>150</v>
      </c>
      <c r="E481" s="116" t="s">
        <v>73</v>
      </c>
      <c r="F481" s="116" t="s">
        <v>74</v>
      </c>
      <c r="G481" s="116" t="s">
        <v>73</v>
      </c>
      <c r="H481" s="116" t="s">
        <v>73</v>
      </c>
      <c r="I481" s="116" t="s">
        <v>73</v>
      </c>
      <c r="J481" s="116" t="s">
        <v>73</v>
      </c>
      <c r="K481" s="116" t="s">
        <v>73</v>
      </c>
      <c r="L481" s="116"/>
      <c r="M481" s="5" t="str">
        <f t="array" ref="M481">Y458</f>
        <v>1ВО::1.1</v>
      </c>
      <c r="N481" s="116"/>
      <c r="Z481" s="6"/>
      <c r="AA481" s="6"/>
      <c r="AB481" s="403"/>
      <c r="AC481" s="416"/>
      <c r="AD481" s="422"/>
      <c r="AE481" s="72"/>
      <c r="AF481" s="73"/>
      <c r="AG481" s="73"/>
      <c r="AH481" s="74"/>
      <c r="AI481" s="44"/>
      <c r="AJ481" s="41"/>
      <c r="AK481" s="41"/>
      <c r="AL481" s="43"/>
      <c r="AM481" s="40"/>
      <c r="AN481" s="41"/>
      <c r="AO481" s="41"/>
      <c r="AP481" s="43"/>
      <c r="AQ481" s="40"/>
      <c r="AR481" s="41"/>
      <c r="AS481" s="41"/>
      <c r="AT481" s="43"/>
      <c r="AU481" s="40"/>
      <c r="AV481" s="41"/>
      <c r="AW481" s="41"/>
      <c r="AX481" s="43"/>
      <c r="AY481" s="40"/>
      <c r="AZ481" s="41"/>
      <c r="BA481" s="41"/>
      <c r="BB481" s="43"/>
      <c r="BC481" s="40"/>
      <c r="BD481" s="41"/>
      <c r="BE481" s="41"/>
      <c r="BF481" s="43"/>
      <c r="BG481" s="40"/>
      <c r="BH481" s="41"/>
      <c r="BI481" s="41"/>
      <c r="BJ481" s="43"/>
      <c r="BK481" s="40"/>
      <c r="BL481" s="41"/>
      <c r="BM481" s="41"/>
      <c r="BN481" s="43"/>
      <c r="BO481" s="40"/>
      <c r="BP481" s="41"/>
      <c r="BQ481" s="41"/>
      <c r="BR481" s="43"/>
      <c r="BS481" s="40"/>
      <c r="BT481" s="41"/>
      <c r="BU481" s="41"/>
      <c r="BV481" s="42"/>
      <c r="BY481" s="45"/>
      <c r="BZ481" s="46"/>
      <c r="CA481" s="46"/>
      <c r="CB481" s="47"/>
    </row>
    <row r="482" spans="1:81" ht="14.25" hidden="1" customHeight="1" outlineLevel="3" x14ac:dyDescent="0.25">
      <c r="A482" s="10" t="b">
        <f t="array" ref="A482">A481</f>
        <v>0</v>
      </c>
      <c r="C482" s="136" t="s">
        <v>140</v>
      </c>
      <c r="D482" s="136" t="s">
        <v>141</v>
      </c>
      <c r="E482" s="116" t="s">
        <v>152</v>
      </c>
      <c r="F482" s="116" t="s">
        <v>74</v>
      </c>
      <c r="G482" s="116" t="s">
        <v>73</v>
      </c>
      <c r="H482" s="116" t="s">
        <v>73</v>
      </c>
      <c r="I482" s="116" t="s">
        <v>73</v>
      </c>
      <c r="J482" s="116" t="s">
        <v>73</v>
      </c>
      <c r="K482" s="116" t="s">
        <v>73</v>
      </c>
      <c r="L482" s="116"/>
      <c r="M482" s="5" t="str">
        <f t="array" ref="M482">Y458</f>
        <v>1ВО::1.1</v>
      </c>
      <c r="N482" s="116"/>
      <c r="Y482" s="10">
        <f>COUNT($Y475:Y481)+1</f>
        <v>5</v>
      </c>
      <c r="Z482" s="6"/>
      <c r="AA482" s="6"/>
      <c r="AB482" s="403"/>
      <c r="AC482" s="305"/>
      <c r="AD482" s="422"/>
      <c r="AE482" s="66"/>
      <c r="AF482" s="67"/>
      <c r="AG482" s="67"/>
      <c r="AH482" s="68"/>
      <c r="AI482" s="44"/>
      <c r="AJ482" s="41"/>
      <c r="AK482" s="41"/>
      <c r="AL482" s="43"/>
      <c r="AM482" s="40"/>
      <c r="AN482" s="41"/>
      <c r="AO482" s="41"/>
      <c r="AP482" s="43"/>
      <c r="AQ482" s="40"/>
      <c r="AR482" s="41"/>
      <c r="AS482" s="41"/>
      <c r="AT482" s="43"/>
      <c r="AU482" s="40"/>
      <c r="AV482" s="41"/>
      <c r="AW482" s="41"/>
      <c r="AX482" s="43"/>
      <c r="AY482" s="40"/>
      <c r="AZ482" s="41"/>
      <c r="BA482" s="41"/>
      <c r="BB482" s="43"/>
      <c r="BC482" s="40"/>
      <c r="BD482" s="41"/>
      <c r="BE482" s="41"/>
      <c r="BF482" s="43"/>
      <c r="BG482" s="40"/>
      <c r="BH482" s="41"/>
      <c r="BI482" s="41"/>
      <c r="BJ482" s="43"/>
      <c r="BK482" s="40"/>
      <c r="BL482" s="41"/>
      <c r="BM482" s="41"/>
      <c r="BN482" s="43"/>
      <c r="BO482" s="40"/>
      <c r="BP482" s="41"/>
      <c r="BQ482" s="41"/>
      <c r="BR482" s="43"/>
      <c r="BS482" s="40"/>
      <c r="BT482" s="41"/>
      <c r="BU482" s="41"/>
      <c r="BV482" s="42"/>
      <c r="BY482" s="45"/>
      <c r="BZ482" s="46"/>
      <c r="CA482" s="46"/>
      <c r="CB482" s="47"/>
    </row>
    <row r="483" spans="1:81" ht="14.25" hidden="1" customHeight="1" outlineLevel="3" x14ac:dyDescent="0.25">
      <c r="A483" s="10" t="b">
        <f t="array" ref="A483">A482</f>
        <v>0</v>
      </c>
      <c r="C483" s="136" t="s">
        <v>140</v>
      </c>
      <c r="D483" s="136" t="s">
        <v>141</v>
      </c>
      <c r="E483" s="116" t="s">
        <v>154</v>
      </c>
      <c r="F483" s="116" t="s">
        <v>74</v>
      </c>
      <c r="G483" s="116" t="s">
        <v>73</v>
      </c>
      <c r="H483" s="116" t="s">
        <v>73</v>
      </c>
      <c r="I483" s="116" t="s">
        <v>73</v>
      </c>
      <c r="J483" s="116" t="s">
        <v>73</v>
      </c>
      <c r="K483" s="116" t="s">
        <v>73</v>
      </c>
      <c r="L483" s="116"/>
      <c r="M483" s="5" t="str">
        <f t="array" ref="M483">Y458</f>
        <v>1ВО::1.1</v>
      </c>
      <c r="N483" s="116"/>
      <c r="Z483" s="6"/>
      <c r="AA483" s="6"/>
      <c r="AB483" s="403"/>
      <c r="AC483" s="413"/>
      <c r="AD483" s="422"/>
      <c r="AE483" s="66"/>
      <c r="AF483" s="67"/>
      <c r="AG483" s="67"/>
      <c r="AH483" s="68"/>
      <c r="AI483" s="44"/>
      <c r="AJ483" s="41"/>
      <c r="AK483" s="41"/>
      <c r="AL483" s="43"/>
      <c r="AM483" s="40"/>
      <c r="AN483" s="41"/>
      <c r="AO483" s="41"/>
      <c r="AP483" s="43"/>
      <c r="AQ483" s="40"/>
      <c r="AR483" s="41"/>
      <c r="AS483" s="41"/>
      <c r="AT483" s="43"/>
      <c r="AU483" s="40"/>
      <c r="AV483" s="41"/>
      <c r="AW483" s="41"/>
      <c r="AX483" s="43"/>
      <c r="AY483" s="40"/>
      <c r="AZ483" s="41"/>
      <c r="BA483" s="41"/>
      <c r="BB483" s="43"/>
      <c r="BC483" s="40"/>
      <c r="BD483" s="41"/>
      <c r="BE483" s="41"/>
      <c r="BF483" s="43"/>
      <c r="BG483" s="40"/>
      <c r="BH483" s="41"/>
      <c r="BI483" s="41"/>
      <c r="BJ483" s="43"/>
      <c r="BK483" s="40"/>
      <c r="BL483" s="41"/>
      <c r="BM483" s="41"/>
      <c r="BN483" s="43"/>
      <c r="BO483" s="40"/>
      <c r="BP483" s="41"/>
      <c r="BQ483" s="41"/>
      <c r="BR483" s="43"/>
      <c r="BS483" s="40"/>
      <c r="BT483" s="41"/>
      <c r="BU483" s="41"/>
      <c r="BV483" s="42"/>
      <c r="BY483" s="45"/>
      <c r="BZ483" s="46"/>
      <c r="CA483" s="46"/>
      <c r="CB483" s="47"/>
    </row>
    <row r="484" spans="1:81" ht="14.25" hidden="1" customHeight="1" outlineLevel="3" x14ac:dyDescent="0.25">
      <c r="A484" s="10" t="b">
        <f t="array" ref="A484">A483</f>
        <v>0</v>
      </c>
      <c r="C484" s="136" t="s">
        <v>140</v>
      </c>
      <c r="D484" s="136" t="s">
        <v>141</v>
      </c>
      <c r="E484" s="116" t="s">
        <v>156</v>
      </c>
      <c r="F484" s="116" t="s">
        <v>74</v>
      </c>
      <c r="G484" s="116" t="s">
        <v>73</v>
      </c>
      <c r="H484" s="116" t="s">
        <v>73</v>
      </c>
      <c r="I484" s="116" t="s">
        <v>73</v>
      </c>
      <c r="J484" s="116" t="s">
        <v>73</v>
      </c>
      <c r="K484" s="116" t="s">
        <v>73</v>
      </c>
      <c r="L484" s="116"/>
      <c r="M484" s="5" t="str">
        <f t="array" ref="M484">Y458</f>
        <v>1ВО::1.1</v>
      </c>
      <c r="N484" s="116"/>
      <c r="Z484" s="6"/>
      <c r="AA484" s="6"/>
      <c r="AB484" s="403"/>
      <c r="AC484" s="413"/>
      <c r="AD484" s="422"/>
      <c r="AE484" s="66"/>
      <c r="AF484" s="67"/>
      <c r="AG484" s="67"/>
      <c r="AH484" s="68"/>
      <c r="AI484" s="44"/>
      <c r="AJ484" s="41"/>
      <c r="AK484" s="41"/>
      <c r="AL484" s="43"/>
      <c r="AM484" s="40"/>
      <c r="AN484" s="41"/>
      <c r="AO484" s="41"/>
      <c r="AP484" s="43"/>
      <c r="AQ484" s="40"/>
      <c r="AR484" s="41"/>
      <c r="AS484" s="41"/>
      <c r="AT484" s="43"/>
      <c r="AU484" s="40"/>
      <c r="AV484" s="41"/>
      <c r="AW484" s="41"/>
      <c r="AX484" s="43"/>
      <c r="AY484" s="40"/>
      <c r="AZ484" s="41"/>
      <c r="BA484" s="41"/>
      <c r="BB484" s="43"/>
      <c r="BC484" s="40"/>
      <c r="BD484" s="41"/>
      <c r="BE484" s="41"/>
      <c r="BF484" s="43"/>
      <c r="BG484" s="40"/>
      <c r="BH484" s="41"/>
      <c r="BI484" s="41"/>
      <c r="BJ484" s="43"/>
      <c r="BK484" s="40"/>
      <c r="BL484" s="41"/>
      <c r="BM484" s="41"/>
      <c r="BN484" s="43"/>
      <c r="BO484" s="40"/>
      <c r="BP484" s="41"/>
      <c r="BQ484" s="41"/>
      <c r="BR484" s="43"/>
      <c r="BS484" s="40"/>
      <c r="BT484" s="41"/>
      <c r="BU484" s="41"/>
      <c r="BV484" s="42"/>
      <c r="BY484" s="45"/>
      <c r="BZ484" s="46"/>
      <c r="CA484" s="46"/>
      <c r="CB484" s="47"/>
    </row>
    <row r="485" spans="1:81" ht="14.25" hidden="1" customHeight="1" outlineLevel="3" x14ac:dyDescent="0.25">
      <c r="A485" s="10" t="b">
        <f t="array" ref="A485">A484</f>
        <v>0</v>
      </c>
      <c r="C485" s="136" t="s">
        <v>140</v>
      </c>
      <c r="D485" s="136" t="s">
        <v>141</v>
      </c>
      <c r="E485" s="116" t="s">
        <v>158</v>
      </c>
      <c r="F485" s="116" t="s">
        <v>74</v>
      </c>
      <c r="G485" s="116" t="s">
        <v>73</v>
      </c>
      <c r="H485" s="116" t="s">
        <v>73</v>
      </c>
      <c r="I485" s="116" t="s">
        <v>73</v>
      </c>
      <c r="J485" s="116" t="s">
        <v>73</v>
      </c>
      <c r="K485" s="116" t="s">
        <v>73</v>
      </c>
      <c r="L485" s="116"/>
      <c r="M485" s="5" t="str">
        <f t="array" ref="M485">Y458</f>
        <v>1ВО::1.1</v>
      </c>
      <c r="N485" s="116"/>
      <c r="Z485" s="6"/>
      <c r="AA485" s="6"/>
      <c r="AB485" s="403"/>
      <c r="AC485" s="414"/>
      <c r="AD485" s="422"/>
      <c r="AE485" s="66"/>
      <c r="AF485" s="67"/>
      <c r="AG485" s="67"/>
      <c r="AH485" s="68"/>
      <c r="AI485" s="44"/>
      <c r="AJ485" s="41"/>
      <c r="AK485" s="41"/>
      <c r="AL485" s="43"/>
      <c r="AM485" s="40"/>
      <c r="AN485" s="41"/>
      <c r="AO485" s="41"/>
      <c r="AP485" s="43"/>
      <c r="AQ485" s="40"/>
      <c r="AR485" s="41"/>
      <c r="AS485" s="41"/>
      <c r="AT485" s="43"/>
      <c r="AU485" s="40"/>
      <c r="AV485" s="41"/>
      <c r="AW485" s="41"/>
      <c r="AX485" s="43"/>
      <c r="AY485" s="40"/>
      <c r="AZ485" s="41"/>
      <c r="BA485" s="41"/>
      <c r="BB485" s="43"/>
      <c r="BC485" s="40"/>
      <c r="BD485" s="41"/>
      <c r="BE485" s="41"/>
      <c r="BF485" s="43"/>
      <c r="BG485" s="40"/>
      <c r="BH485" s="41"/>
      <c r="BI485" s="41"/>
      <c r="BJ485" s="43"/>
      <c r="BK485" s="40"/>
      <c r="BL485" s="41"/>
      <c r="BM485" s="41"/>
      <c r="BN485" s="43"/>
      <c r="BO485" s="40"/>
      <c r="BP485" s="41"/>
      <c r="BQ485" s="41"/>
      <c r="BR485" s="43"/>
      <c r="BS485" s="40"/>
      <c r="BT485" s="41"/>
      <c r="BU485" s="41"/>
      <c r="BV485" s="42"/>
      <c r="BY485" s="45"/>
      <c r="BZ485" s="46"/>
      <c r="CA485" s="46"/>
      <c r="CB485" s="47"/>
    </row>
    <row r="486" spans="1:81" ht="14.25" hidden="1" customHeight="1" outlineLevel="3" x14ac:dyDescent="0.25">
      <c r="A486" s="10" t="b">
        <f t="array" ref="A486">A485</f>
        <v>0</v>
      </c>
      <c r="C486" s="136" t="s">
        <v>140</v>
      </c>
      <c r="D486" s="136" t="s">
        <v>141</v>
      </c>
      <c r="E486" s="116" t="s">
        <v>160</v>
      </c>
      <c r="F486" s="116" t="s">
        <v>74</v>
      </c>
      <c r="G486" s="116" t="s">
        <v>73</v>
      </c>
      <c r="H486" s="116" t="s">
        <v>73</v>
      </c>
      <c r="I486" s="116" t="s">
        <v>73</v>
      </c>
      <c r="J486" s="116" t="s">
        <v>73</v>
      </c>
      <c r="K486" s="116" t="s">
        <v>73</v>
      </c>
      <c r="L486" s="116"/>
      <c r="M486" s="5" t="str">
        <f t="array" ref="M486">Y458</f>
        <v>1ВО::1.1</v>
      </c>
      <c r="N486" s="116"/>
      <c r="Z486" s="6"/>
      <c r="AA486" s="6"/>
      <c r="AB486" s="403"/>
      <c r="AC486" s="414"/>
      <c r="AD486" s="422"/>
      <c r="AE486" s="66"/>
      <c r="AF486" s="67"/>
      <c r="AG486" s="67"/>
      <c r="AH486" s="68"/>
      <c r="AI486" s="44"/>
      <c r="AJ486" s="41"/>
      <c r="AK486" s="41"/>
      <c r="AL486" s="43"/>
      <c r="AM486" s="40"/>
      <c r="AN486" s="41"/>
      <c r="AO486" s="41"/>
      <c r="AP486" s="43"/>
      <c r="AQ486" s="40"/>
      <c r="AR486" s="41"/>
      <c r="AS486" s="41"/>
      <c r="AT486" s="43"/>
      <c r="AU486" s="40"/>
      <c r="AV486" s="41"/>
      <c r="AW486" s="41"/>
      <c r="AX486" s="43"/>
      <c r="AY486" s="40"/>
      <c r="AZ486" s="41"/>
      <c r="BA486" s="41"/>
      <c r="BB486" s="43"/>
      <c r="BC486" s="40"/>
      <c r="BD486" s="41"/>
      <c r="BE486" s="41"/>
      <c r="BF486" s="43"/>
      <c r="BG486" s="40"/>
      <c r="BH486" s="41"/>
      <c r="BI486" s="41"/>
      <c r="BJ486" s="43"/>
      <c r="BK486" s="40"/>
      <c r="BL486" s="41"/>
      <c r="BM486" s="41"/>
      <c r="BN486" s="43"/>
      <c r="BO486" s="40"/>
      <c r="BP486" s="41"/>
      <c r="BQ486" s="41"/>
      <c r="BR486" s="43"/>
      <c r="BS486" s="40"/>
      <c r="BT486" s="41"/>
      <c r="BU486" s="41"/>
      <c r="BV486" s="42"/>
      <c r="BY486" s="45"/>
      <c r="BZ486" s="46"/>
      <c r="CA486" s="46"/>
      <c r="CB486" s="47"/>
    </row>
    <row r="487" spans="1:81" ht="14.25" hidden="1" customHeight="1" outlineLevel="3" x14ac:dyDescent="0.25">
      <c r="A487" s="10" t="b">
        <f t="array" ref="A487">A486</f>
        <v>0</v>
      </c>
      <c r="C487" s="136" t="s">
        <v>140</v>
      </c>
      <c r="D487" s="136" t="s">
        <v>141</v>
      </c>
      <c r="E487" s="116" t="s">
        <v>162</v>
      </c>
      <c r="F487" s="116" t="s">
        <v>74</v>
      </c>
      <c r="G487" s="116" t="s">
        <v>73</v>
      </c>
      <c r="H487" s="116" t="s">
        <v>73</v>
      </c>
      <c r="I487" s="116" t="s">
        <v>73</v>
      </c>
      <c r="J487" s="116" t="s">
        <v>73</v>
      </c>
      <c r="K487" s="116" t="s">
        <v>73</v>
      </c>
      <c r="L487" s="116"/>
      <c r="M487" s="5" t="str">
        <f t="array" ref="M487">Y458</f>
        <v>1ВО::1.1</v>
      </c>
      <c r="N487" s="116"/>
      <c r="Z487" s="6"/>
      <c r="AA487" s="6"/>
      <c r="AB487" s="403"/>
      <c r="AC487" s="414"/>
      <c r="AD487" s="422"/>
      <c r="AE487" s="66"/>
      <c r="AF487" s="67"/>
      <c r="AG487" s="67"/>
      <c r="AH487" s="68"/>
      <c r="AI487" s="44"/>
      <c r="AJ487" s="41"/>
      <c r="AK487" s="41"/>
      <c r="AL487" s="43"/>
      <c r="AM487" s="40"/>
      <c r="AN487" s="41"/>
      <c r="AO487" s="41"/>
      <c r="AP487" s="43"/>
      <c r="AQ487" s="40"/>
      <c r="AR487" s="41"/>
      <c r="AS487" s="41"/>
      <c r="AT487" s="43"/>
      <c r="AU487" s="40"/>
      <c r="AV487" s="41"/>
      <c r="AW487" s="41"/>
      <c r="AX487" s="43"/>
      <c r="AY487" s="40"/>
      <c r="AZ487" s="41"/>
      <c r="BA487" s="41"/>
      <c r="BB487" s="43"/>
      <c r="BC487" s="40"/>
      <c r="BD487" s="41"/>
      <c r="BE487" s="41"/>
      <c r="BF487" s="43"/>
      <c r="BG487" s="40"/>
      <c r="BH487" s="41"/>
      <c r="BI487" s="41"/>
      <c r="BJ487" s="43"/>
      <c r="BK487" s="40"/>
      <c r="BL487" s="41"/>
      <c r="BM487" s="41"/>
      <c r="BN487" s="43"/>
      <c r="BO487" s="40"/>
      <c r="BP487" s="41"/>
      <c r="BQ487" s="41"/>
      <c r="BR487" s="43"/>
      <c r="BS487" s="40"/>
      <c r="BT487" s="41"/>
      <c r="BU487" s="41"/>
      <c r="BV487" s="42"/>
      <c r="BY487" s="45"/>
      <c r="BZ487" s="46"/>
      <c r="CA487" s="46"/>
      <c r="CB487" s="47"/>
    </row>
    <row r="488" spans="1:81" ht="14.25" hidden="1" customHeight="1" outlineLevel="3" x14ac:dyDescent="0.25">
      <c r="A488" s="10" t="b">
        <f t="array" ref="A488">A487</f>
        <v>0</v>
      </c>
      <c r="C488" s="136" t="s">
        <v>140</v>
      </c>
      <c r="D488" s="136" t="s">
        <v>141</v>
      </c>
      <c r="E488" s="116" t="s">
        <v>164</v>
      </c>
      <c r="F488" s="116" t="s">
        <v>74</v>
      </c>
      <c r="G488" s="116" t="s">
        <v>73</v>
      </c>
      <c r="H488" s="116" t="s">
        <v>73</v>
      </c>
      <c r="I488" s="116" t="s">
        <v>73</v>
      </c>
      <c r="J488" s="116" t="s">
        <v>73</v>
      </c>
      <c r="K488" s="116" t="s">
        <v>73</v>
      </c>
      <c r="L488" s="116"/>
      <c r="M488" s="5" t="str">
        <f t="array" ref="M488">Y458</f>
        <v>1ВО::1.1</v>
      </c>
      <c r="N488" s="116"/>
      <c r="Z488" s="6"/>
      <c r="AA488" s="6"/>
      <c r="AB488" s="403"/>
      <c r="AC488" s="414"/>
      <c r="AD488" s="422"/>
      <c r="AE488" s="66"/>
      <c r="AF488" s="67"/>
      <c r="AG488" s="67"/>
      <c r="AH488" s="68"/>
      <c r="AI488" s="44"/>
      <c r="AJ488" s="41"/>
      <c r="AK488" s="41"/>
      <c r="AL488" s="43"/>
      <c r="AM488" s="40"/>
      <c r="AN488" s="41"/>
      <c r="AO488" s="41"/>
      <c r="AP488" s="43"/>
      <c r="AQ488" s="40"/>
      <c r="AR488" s="41"/>
      <c r="AS488" s="41"/>
      <c r="AT488" s="43"/>
      <c r="AU488" s="40"/>
      <c r="AV488" s="41"/>
      <c r="AW488" s="41"/>
      <c r="AX488" s="43"/>
      <c r="AY488" s="40"/>
      <c r="AZ488" s="41"/>
      <c r="BA488" s="41"/>
      <c r="BB488" s="43"/>
      <c r="BC488" s="40"/>
      <c r="BD488" s="41"/>
      <c r="BE488" s="41"/>
      <c r="BF488" s="43"/>
      <c r="BG488" s="40"/>
      <c r="BH488" s="41"/>
      <c r="BI488" s="41"/>
      <c r="BJ488" s="43"/>
      <c r="BK488" s="40"/>
      <c r="BL488" s="41"/>
      <c r="BM488" s="41"/>
      <c r="BN488" s="43"/>
      <c r="BO488" s="40"/>
      <c r="BP488" s="41"/>
      <c r="BQ488" s="41"/>
      <c r="BR488" s="43"/>
      <c r="BS488" s="40"/>
      <c r="BT488" s="41"/>
      <c r="BU488" s="41"/>
      <c r="BV488" s="42"/>
      <c r="BY488" s="45"/>
      <c r="BZ488" s="46"/>
      <c r="CA488" s="46"/>
      <c r="CB488" s="47"/>
    </row>
    <row r="489" spans="1:81" s="115" customFormat="1" ht="18" customHeight="1" collapsed="1" x14ac:dyDescent="0.25">
      <c r="A489" s="99" t="b">
        <f>$U458="Водоотведение"</f>
        <v>1</v>
      </c>
      <c r="B489" s="100"/>
      <c r="C489" s="100" t="s">
        <v>166</v>
      </c>
      <c r="D489" s="100" t="s">
        <v>167</v>
      </c>
      <c r="E489" s="417" t="s">
        <v>73</v>
      </c>
      <c r="F489" s="129" t="s">
        <v>74</v>
      </c>
      <c r="G489" s="129" t="s">
        <v>73</v>
      </c>
      <c r="H489" s="129" t="s">
        <v>73</v>
      </c>
      <c r="I489" s="129" t="s">
        <v>73</v>
      </c>
      <c r="J489" s="129" t="s">
        <v>73</v>
      </c>
      <c r="K489" s="129" t="s">
        <v>73</v>
      </c>
      <c r="L489" s="129"/>
      <c r="M489" s="100" t="str">
        <f t="array" ref="M489">Y458</f>
        <v>1ВО::1.1</v>
      </c>
      <c r="N489" s="100"/>
      <c r="O489" s="100"/>
      <c r="P489" s="100"/>
      <c r="Q489" s="100"/>
      <c r="R489" s="100"/>
      <c r="S489" s="100"/>
      <c r="T489" s="100"/>
      <c r="U489" s="100"/>
      <c r="V489" s="100"/>
      <c r="W489" s="100"/>
      <c r="X489" s="100"/>
      <c r="Y489" s="100"/>
      <c r="Z489" s="100"/>
      <c r="AA489" s="100"/>
      <c r="AB489" s="418">
        <f>AB461+1</f>
        <v>2</v>
      </c>
      <c r="AC489" s="419" t="s">
        <v>167</v>
      </c>
      <c r="AD489" s="420" t="s">
        <v>137</v>
      </c>
      <c r="AE489" s="106">
        <f t="array" ref="AE489">AE494</f>
        <v>39009.819000000003</v>
      </c>
      <c r="AF489" s="107">
        <f t="array" ref="AF489">AF494</f>
        <v>37611.42</v>
      </c>
      <c r="AG489" s="107">
        <f t="array" ref="AG489">AG494</f>
        <v>39611.031000000003</v>
      </c>
      <c r="AH489" s="108">
        <f t="array" ref="AH489">AH494</f>
        <v>37611.42</v>
      </c>
      <c r="AI489" s="110">
        <f t="array" ref="AI489">AI494</f>
        <v>43.262</v>
      </c>
      <c r="AJ489" s="107">
        <f t="array" ref="AJ489">AJ494</f>
        <v>123.72</v>
      </c>
      <c r="AK489" s="107">
        <f t="array" ref="AK489">AK494</f>
        <v>47.469000000000001</v>
      </c>
      <c r="AL489" s="109">
        <v>123.72</v>
      </c>
      <c r="AM489" s="106"/>
      <c r="AN489" s="107"/>
      <c r="AO489" s="107"/>
      <c r="AP489" s="109"/>
      <c r="AQ489" s="106">
        <f t="array" ref="AQ489">AQ494</f>
        <v>202.97</v>
      </c>
      <c r="AR489" s="107">
        <f t="array" ref="AR489">AR494</f>
        <v>236.79</v>
      </c>
      <c r="AS489" s="107">
        <f t="array" ref="AS489">AS494</f>
        <v>199</v>
      </c>
      <c r="AT489" s="109">
        <f t="array" ref="AT489">AT494</f>
        <v>208.13</v>
      </c>
      <c r="AU489" s="106">
        <f t="array" ref="AU489">AU494</f>
        <v>502.17</v>
      </c>
      <c r="AV489" s="107">
        <f t="array" ref="AV489">AV494</f>
        <v>438.95</v>
      </c>
      <c r="AW489" s="107">
        <f t="array" ref="AW489">AW494</f>
        <v>482.28</v>
      </c>
      <c r="AX489" s="109">
        <f t="array" ref="AX489">AX494</f>
        <v>536</v>
      </c>
      <c r="AY489" s="106">
        <f t="array" ref="AY489">AY494</f>
        <v>274.77999999999997</v>
      </c>
      <c r="AZ489" s="107">
        <f t="array" ref="AZ489">AZ494</f>
        <v>319.74</v>
      </c>
      <c r="BA489" s="107">
        <f t="array" ref="BA489">BA494</f>
        <v>250</v>
      </c>
      <c r="BB489" s="109">
        <f t="array" ref="BB489">BB494</f>
        <v>319.74</v>
      </c>
      <c r="BC489" s="106">
        <f t="array" ref="BC489">BC494</f>
        <v>269.49</v>
      </c>
      <c r="BD489" s="107">
        <f t="array" ref="BD489">BD494</f>
        <v>313.95999999999998</v>
      </c>
      <c r="BE489" s="107">
        <f t="array" ref="BE489">BE494</f>
        <v>269.49</v>
      </c>
      <c r="BF489" s="109">
        <f>BF494</f>
        <v>269.08</v>
      </c>
      <c r="BG489" s="106">
        <f t="array" ref="BG489">BG494</f>
        <v>2480.741</v>
      </c>
      <c r="BH489" s="107">
        <f t="array" ref="BH489">BH494</f>
        <v>2107.4699999999998</v>
      </c>
      <c r="BI489" s="107">
        <f t="array" ref="BI489">BI494</f>
        <v>2543.17</v>
      </c>
      <c r="BJ489" s="109">
        <f t="array" ref="BJ489">BJ494</f>
        <v>2107.4699999999998</v>
      </c>
      <c r="BK489" s="106">
        <f t="array" ref="BK489">BK494</f>
        <v>2636.1909999999998</v>
      </c>
      <c r="BL489" s="107">
        <f t="array" ref="BL489">BL494</f>
        <v>399.23599999999999</v>
      </c>
      <c r="BM489" s="107">
        <f t="array" ref="BM489">BM494</f>
        <v>2642.37</v>
      </c>
      <c r="BN489" s="109">
        <f>BN494</f>
        <v>2350</v>
      </c>
      <c r="BO489" s="106">
        <f t="array" ref="BO489">BO494</f>
        <v>80.02</v>
      </c>
      <c r="BP489" s="107">
        <f t="array" ref="BP489">BP494</f>
        <v>89.34</v>
      </c>
      <c r="BQ489" s="107">
        <f t="array" ref="BQ489">BQ494</f>
        <v>81.542000000000002</v>
      </c>
      <c r="BR489" s="109">
        <f t="array" ref="BR489">BR494</f>
        <v>89.34</v>
      </c>
      <c r="BS489" s="106">
        <f t="array" ref="BS489">BS494</f>
        <v>243.79</v>
      </c>
      <c r="BT489" s="107">
        <f t="array" ref="BT489">BT494</f>
        <v>300.23</v>
      </c>
      <c r="BU489" s="107">
        <f t="array" ref="BU489">BU494</f>
        <v>252.55</v>
      </c>
      <c r="BV489" s="108">
        <f>BV494</f>
        <v>300.23</v>
      </c>
      <c r="BW489" s="111"/>
      <c r="BX489" s="100"/>
      <c r="BY489" s="112">
        <f t="shared" ref="BY489:BY517" si="163">AE489+AI489+AM489+AQ489+AU489+AY489+BC489+BG489+BK489+BO489+BS489</f>
        <v>45743.233</v>
      </c>
      <c r="BZ489" s="113">
        <f t="shared" ref="BZ489:BZ517" si="164">AF489+AJ489+AN489+AR489+AV489+AZ489+BD489+BH489+BL489+BP489+BT489</f>
        <v>41940.855999999992</v>
      </c>
      <c r="CA489" s="113">
        <f t="shared" ref="CA489:CA517" si="165">AG489+AK489+AO489+AS489+AW489+BA489+BE489+BI489+BM489+BQ489+BU489</f>
        <v>46378.902000000002</v>
      </c>
      <c r="CB489" s="114">
        <f t="shared" ref="CB489:CB517" si="166">AH489+AL489+AP489+AT489+AX489+BB489+BF489+BJ489+BN489+BR489+BV489</f>
        <v>43915.13</v>
      </c>
      <c r="CC489" s="759"/>
    </row>
    <row r="490" spans="1:81" ht="14.25" customHeight="1" outlineLevel="2" x14ac:dyDescent="0.25">
      <c r="A490" s="10" t="b">
        <f>AND(A489)</f>
        <v>1</v>
      </c>
      <c r="B490" s="5" t="b">
        <f>AND(OR(isFIRST_PERIOD="да",$AD$56="нет"),A489)</f>
        <v>1</v>
      </c>
      <c r="C490" s="8" t="s">
        <v>168</v>
      </c>
      <c r="D490" s="152" t="s">
        <v>169</v>
      </c>
      <c r="E490" s="8" t="s">
        <v>73</v>
      </c>
      <c r="F490" s="8" t="s">
        <v>74</v>
      </c>
      <c r="G490" s="8" t="s">
        <v>73</v>
      </c>
      <c r="H490" s="8" t="s">
        <v>73</v>
      </c>
      <c r="I490" s="8" t="s">
        <v>73</v>
      </c>
      <c r="J490" s="8" t="s">
        <v>73</v>
      </c>
      <c r="K490" s="8" t="s">
        <v>73</v>
      </c>
      <c r="L490" s="8"/>
      <c r="M490" s="5" t="str">
        <f t="array" ref="M490">Y458</f>
        <v>1ВО::1.1</v>
      </c>
      <c r="N490" s="4"/>
      <c r="AB490" s="403" t="str">
        <f>AB489&amp;".I"</f>
        <v>2.I</v>
      </c>
      <c r="AC490" s="421" t="s">
        <v>138</v>
      </c>
      <c r="AD490" s="422" t="s">
        <v>137</v>
      </c>
      <c r="AE490" s="66">
        <v>19504.909</v>
      </c>
      <c r="AF490" s="67">
        <v>19033.146000000001</v>
      </c>
      <c r="AG490" s="67">
        <v>19805.516</v>
      </c>
      <c r="AH490" s="68">
        <v>18805.71</v>
      </c>
      <c r="AI490" s="146">
        <f>AI489/2</f>
        <v>21.631</v>
      </c>
      <c r="AJ490" s="67">
        <f>AJ489/2</f>
        <v>61.86</v>
      </c>
      <c r="AK490" s="67">
        <f>AK489/2</f>
        <v>23.734500000000001</v>
      </c>
      <c r="AL490" s="119">
        <f>123.72/2</f>
        <v>61.86</v>
      </c>
      <c r="AM490" s="66"/>
      <c r="AN490" s="67"/>
      <c r="AO490" s="67"/>
      <c r="AP490" s="119"/>
      <c r="AQ490" s="66">
        <v>101.485</v>
      </c>
      <c r="AR490" s="67">
        <v>125.5</v>
      </c>
      <c r="AS490" s="67">
        <v>99.5</v>
      </c>
      <c r="AT490" s="119">
        <f>AT494/12*9</f>
        <v>156.0975</v>
      </c>
      <c r="AU490" s="66">
        <v>251.08500000000001</v>
      </c>
      <c r="AV490" s="67">
        <v>219.47499999999999</v>
      </c>
      <c r="AW490" s="67">
        <v>241.14</v>
      </c>
      <c r="AX490" s="119"/>
      <c r="AY490" s="66">
        <v>137.38999999999999</v>
      </c>
      <c r="AZ490" s="67">
        <v>159.87</v>
      </c>
      <c r="BA490" s="67">
        <v>125</v>
      </c>
      <c r="BB490" s="119">
        <f>BB494/12*9</f>
        <v>239.80500000000001</v>
      </c>
      <c r="BC490" s="66">
        <v>134.745</v>
      </c>
      <c r="BD490" s="67">
        <f>BD489/2</f>
        <v>156.97999999999999</v>
      </c>
      <c r="BE490" s="67">
        <v>134.745</v>
      </c>
      <c r="BF490" s="119">
        <v>201.76</v>
      </c>
      <c r="BG490" s="66">
        <f>BG489/2</f>
        <v>1240.3705</v>
      </c>
      <c r="BH490" s="67">
        <f>BH489/2</f>
        <v>1053.7349999999999</v>
      </c>
      <c r="BI490" s="67">
        <f>BI489/2</f>
        <v>1271.585</v>
      </c>
      <c r="BJ490" s="67">
        <f>BJ489/2</f>
        <v>1053.7349999999999</v>
      </c>
      <c r="BK490" s="66">
        <v>1318.096</v>
      </c>
      <c r="BL490" s="67">
        <v>199.61799999999999</v>
      </c>
      <c r="BM490" s="67">
        <v>1321.1849999999999</v>
      </c>
      <c r="BN490" s="119">
        <f>2350/2</f>
        <v>1175</v>
      </c>
      <c r="BO490" s="123">
        <v>40.01</v>
      </c>
      <c r="BP490" s="121">
        <v>42.218000000000004</v>
      </c>
      <c r="BQ490" s="121">
        <v>40.771000000000001</v>
      </c>
      <c r="BR490" s="122">
        <v>44.67</v>
      </c>
      <c r="BS490" s="123">
        <v>121.895</v>
      </c>
      <c r="BT490" s="121">
        <v>142.53299999999999</v>
      </c>
      <c r="BU490" s="121">
        <v>126.27500000000001</v>
      </c>
      <c r="BV490" s="124">
        <v>150.11500000000001</v>
      </c>
      <c r="BY490" s="125">
        <f t="shared" si="163"/>
        <v>22871.6165</v>
      </c>
      <c r="BZ490" s="126">
        <f t="shared" si="164"/>
        <v>21194.934999999998</v>
      </c>
      <c r="CA490" s="126">
        <f t="shared" si="165"/>
        <v>23189.451499999999</v>
      </c>
      <c r="CB490" s="127">
        <f t="shared" si="166"/>
        <v>21888.752499999999</v>
      </c>
    </row>
    <row r="491" spans="1:81" ht="15.75" customHeight="1" outlineLevel="2" x14ac:dyDescent="0.25">
      <c r="A491" s="10" t="b">
        <f>AND(A489)</f>
        <v>1</v>
      </c>
      <c r="B491" s="5" t="b">
        <f>AND(OR(isFIRST_PERIOD="да",$AD$56="нет"),A489)</f>
        <v>1</v>
      </c>
      <c r="C491" s="8" t="s">
        <v>170</v>
      </c>
      <c r="D491" s="152" t="s">
        <v>171</v>
      </c>
      <c r="E491" s="8" t="s">
        <v>73</v>
      </c>
      <c r="F491" s="8" t="s">
        <v>74</v>
      </c>
      <c r="G491" s="8" t="s">
        <v>73</v>
      </c>
      <c r="H491" s="8" t="s">
        <v>73</v>
      </c>
      <c r="I491" s="8" t="s">
        <v>73</v>
      </c>
      <c r="J491" s="8" t="s">
        <v>73</v>
      </c>
      <c r="K491" s="8" t="s">
        <v>73</v>
      </c>
      <c r="L491" s="8"/>
      <c r="M491" s="5" t="str">
        <f t="array" ref="M491">Y458</f>
        <v>1ВО::1.1</v>
      </c>
      <c r="N491" s="4"/>
      <c r="AB491" s="403" t="str">
        <f>AB489&amp;".II"</f>
        <v>2.II</v>
      </c>
      <c r="AC491" s="421" t="s">
        <v>139</v>
      </c>
      <c r="AD491" s="422" t="s">
        <v>137</v>
      </c>
      <c r="AE491" s="66">
        <v>19504.909</v>
      </c>
      <c r="AF491" s="67">
        <v>18578.274000000001</v>
      </c>
      <c r="AG491" s="67">
        <v>19805.516</v>
      </c>
      <c r="AH491" s="68">
        <f>AH489/2</f>
        <v>18805.71</v>
      </c>
      <c r="AI491" s="146">
        <f>AI489-AI490</f>
        <v>21.631</v>
      </c>
      <c r="AJ491" s="67">
        <f>AJ489-AJ490</f>
        <v>61.86</v>
      </c>
      <c r="AK491" s="67">
        <f>AK489-AK490</f>
        <v>23.734500000000001</v>
      </c>
      <c r="AL491" s="119">
        <f>AL490</f>
        <v>61.86</v>
      </c>
      <c r="AM491" s="66"/>
      <c r="AN491" s="67"/>
      <c r="AO491" s="67"/>
      <c r="AP491" s="119"/>
      <c r="AQ491" s="66">
        <v>101.485</v>
      </c>
      <c r="AR491" s="67">
        <v>111.29</v>
      </c>
      <c r="AS491" s="67">
        <v>99.5</v>
      </c>
      <c r="AT491" s="119">
        <f>AT494/12*3</f>
        <v>52.032499999999999</v>
      </c>
      <c r="AU491" s="66">
        <v>251.08500000000001</v>
      </c>
      <c r="AV491" s="67">
        <v>219.47499999999999</v>
      </c>
      <c r="AW491" s="67">
        <v>241.14</v>
      </c>
      <c r="AX491" s="119"/>
      <c r="AY491" s="66">
        <v>137.38999999999999</v>
      </c>
      <c r="AZ491" s="67">
        <v>159.87</v>
      </c>
      <c r="BA491" s="67">
        <v>125</v>
      </c>
      <c r="BB491" s="119">
        <f>BB494/12*3</f>
        <v>79.935000000000002</v>
      </c>
      <c r="BC491" s="66">
        <v>134.745</v>
      </c>
      <c r="BD491" s="67">
        <f>BD489-BD490</f>
        <v>156.97999999999999</v>
      </c>
      <c r="BE491" s="67">
        <v>134.745</v>
      </c>
      <c r="BF491" s="119">
        <v>67.319999999999993</v>
      </c>
      <c r="BG491" s="66">
        <f>BG489-BG490</f>
        <v>1240.3705</v>
      </c>
      <c r="BH491" s="67">
        <f>BH489-BH490</f>
        <v>1053.7349999999999</v>
      </c>
      <c r="BI491" s="67">
        <f>BI489-BI490</f>
        <v>1271.585</v>
      </c>
      <c r="BJ491" s="67">
        <f>BJ489-BJ490</f>
        <v>1053.7349999999999</v>
      </c>
      <c r="BK491" s="66">
        <v>1318.096</v>
      </c>
      <c r="BL491" s="67">
        <v>199.61799999999999</v>
      </c>
      <c r="BM491" s="67">
        <v>1321.1849999999999</v>
      </c>
      <c r="BN491" s="119">
        <f>2350/2</f>
        <v>1175</v>
      </c>
      <c r="BO491" s="123">
        <v>40.01</v>
      </c>
      <c r="BP491" s="121">
        <v>47.122999999999998</v>
      </c>
      <c r="BQ491" s="121">
        <v>40.771000000000001</v>
      </c>
      <c r="BR491" s="122">
        <v>44.67</v>
      </c>
      <c r="BS491" s="123">
        <v>121.895</v>
      </c>
      <c r="BT491" s="121">
        <v>157.697</v>
      </c>
      <c r="BU491" s="121">
        <v>126.27500000000001</v>
      </c>
      <c r="BV491" s="124">
        <v>150.11500000000001</v>
      </c>
      <c r="BY491" s="125">
        <f t="shared" si="163"/>
        <v>22871.6165</v>
      </c>
      <c r="BZ491" s="126">
        <f t="shared" si="164"/>
        <v>20745.921999999999</v>
      </c>
      <c r="CA491" s="126">
        <f t="shared" si="165"/>
        <v>23189.451499999999</v>
      </c>
      <c r="CB491" s="127">
        <f t="shared" si="166"/>
        <v>21490.377500000002</v>
      </c>
    </row>
    <row r="492" spans="1:81" ht="5.25" hidden="1" customHeight="1" outlineLevel="3" x14ac:dyDescent="0.25">
      <c r="A492" s="10" t="b">
        <f>AND(A489,region_name="Республика Татарстан")</f>
        <v>0</v>
      </c>
      <c r="C492" s="8" t="s">
        <v>140</v>
      </c>
      <c r="D492" s="8" t="s">
        <v>141</v>
      </c>
      <c r="E492" s="8" t="s">
        <v>172</v>
      </c>
      <c r="F492" s="8" t="s">
        <v>74</v>
      </c>
      <c r="G492" s="8" t="s">
        <v>73</v>
      </c>
      <c r="H492" s="8" t="s">
        <v>73</v>
      </c>
      <c r="I492" s="8" t="s">
        <v>73</v>
      </c>
      <c r="J492" s="8" t="s">
        <v>73</v>
      </c>
      <c r="K492" s="8" t="s">
        <v>73</v>
      </c>
      <c r="L492" s="8"/>
      <c r="M492" s="5" t="str">
        <f t="array" ref="M492">Y458</f>
        <v>1ВО::1.1</v>
      </c>
      <c r="N492" s="4"/>
      <c r="Z492" s="6"/>
      <c r="AA492" s="6"/>
      <c r="AB492" s="403"/>
      <c r="AC492" s="305"/>
      <c r="AD492" s="422"/>
      <c r="AE492" s="66"/>
      <c r="AF492" s="67"/>
      <c r="AG492" s="67"/>
      <c r="AH492" s="68"/>
      <c r="AI492" s="146"/>
      <c r="AJ492" s="67"/>
      <c r="AK492" s="67"/>
      <c r="AL492" s="119"/>
      <c r="AM492" s="66"/>
      <c r="AN492" s="67"/>
      <c r="AO492" s="67"/>
      <c r="AP492" s="119"/>
      <c r="AQ492" s="66"/>
      <c r="AR492" s="67"/>
      <c r="AS492" s="67"/>
      <c r="AT492" s="119"/>
      <c r="AU492" s="66"/>
      <c r="AV492" s="67"/>
      <c r="AW492" s="67"/>
      <c r="AX492" s="119"/>
      <c r="AY492" s="66"/>
      <c r="AZ492" s="67"/>
      <c r="BA492" s="67"/>
      <c r="BB492" s="119"/>
      <c r="BC492" s="66"/>
      <c r="BD492" s="67"/>
      <c r="BE492" s="67"/>
      <c r="BF492" s="119"/>
      <c r="BG492" s="66"/>
      <c r="BH492" s="67"/>
      <c r="BI492" s="67"/>
      <c r="BJ492" s="119"/>
      <c r="BK492" s="66"/>
      <c r="BL492" s="67"/>
      <c r="BM492" s="67"/>
      <c r="BN492" s="119"/>
      <c r="BO492" s="123"/>
      <c r="BP492" s="121"/>
      <c r="BQ492" s="121"/>
      <c r="BR492" s="122"/>
      <c r="BS492" s="123"/>
      <c r="BT492" s="121"/>
      <c r="BU492" s="121"/>
      <c r="BV492" s="124"/>
      <c r="BY492" s="125">
        <f t="shared" si="163"/>
        <v>0</v>
      </c>
      <c r="BZ492" s="126">
        <f t="shared" si="164"/>
        <v>0</v>
      </c>
      <c r="CA492" s="126">
        <f t="shared" si="165"/>
        <v>0</v>
      </c>
      <c r="CB492" s="127">
        <f t="shared" si="166"/>
        <v>0</v>
      </c>
    </row>
    <row r="493" spans="1:81" ht="14.25" hidden="1" customHeight="1" outlineLevel="3" x14ac:dyDescent="0.25">
      <c r="A493" s="10" t="b">
        <f>AND(A489,region_name="Республика Татарстан")</f>
        <v>0</v>
      </c>
      <c r="C493" s="8" t="s">
        <v>140</v>
      </c>
      <c r="D493" s="8" t="s">
        <v>141</v>
      </c>
      <c r="E493" s="8" t="s">
        <v>173</v>
      </c>
      <c r="F493" s="8" t="s">
        <v>74</v>
      </c>
      <c r="G493" s="8" t="s">
        <v>73</v>
      </c>
      <c r="H493" s="8" t="s">
        <v>73</v>
      </c>
      <c r="I493" s="8" t="s">
        <v>73</v>
      </c>
      <c r="J493" s="8" t="s">
        <v>73</v>
      </c>
      <c r="K493" s="8" t="s">
        <v>73</v>
      </c>
      <c r="L493" s="8"/>
      <c r="M493" s="5" t="str">
        <f t="array" ref="M493">Y458</f>
        <v>1ВО::1.1</v>
      </c>
      <c r="N493" s="4"/>
      <c r="Z493" s="6"/>
      <c r="AA493" s="6"/>
      <c r="AB493" s="403"/>
      <c r="AC493" s="413"/>
      <c r="AD493" s="422"/>
      <c r="AE493" s="66"/>
      <c r="AF493" s="67"/>
      <c r="AG493" s="67"/>
      <c r="AH493" s="68"/>
      <c r="AI493" s="146"/>
      <c r="AJ493" s="67"/>
      <c r="AK493" s="67"/>
      <c r="AL493" s="119"/>
      <c r="AM493" s="66"/>
      <c r="AN493" s="67"/>
      <c r="AO493" s="67"/>
      <c r="AP493" s="119"/>
      <c r="AQ493" s="66"/>
      <c r="AR493" s="67"/>
      <c r="AS493" s="67"/>
      <c r="AT493" s="119"/>
      <c r="AU493" s="66"/>
      <c r="AV493" s="67"/>
      <c r="AW493" s="67"/>
      <c r="AX493" s="119"/>
      <c r="AY493" s="66"/>
      <c r="AZ493" s="67"/>
      <c r="BA493" s="67"/>
      <c r="BB493" s="119"/>
      <c r="BC493" s="66"/>
      <c r="BD493" s="67"/>
      <c r="BE493" s="67"/>
      <c r="BF493" s="119"/>
      <c r="BG493" s="66"/>
      <c r="BH493" s="67"/>
      <c r="BI493" s="67"/>
      <c r="BJ493" s="119"/>
      <c r="BK493" s="66"/>
      <c r="BL493" s="67"/>
      <c r="BM493" s="67"/>
      <c r="BN493" s="119"/>
      <c r="BO493" s="123"/>
      <c r="BP493" s="121"/>
      <c r="BQ493" s="121"/>
      <c r="BR493" s="122"/>
      <c r="BS493" s="123"/>
      <c r="BT493" s="121"/>
      <c r="BU493" s="121"/>
      <c r="BV493" s="124"/>
      <c r="BY493" s="125">
        <f t="shared" si="163"/>
        <v>0</v>
      </c>
      <c r="BZ493" s="126">
        <f t="shared" si="164"/>
        <v>0</v>
      </c>
      <c r="CA493" s="126">
        <f t="shared" si="165"/>
        <v>0</v>
      </c>
      <c r="CB493" s="127">
        <f t="shared" si="166"/>
        <v>0</v>
      </c>
    </row>
    <row r="494" spans="1:81" s="115" customFormat="1" ht="14.25" customHeight="1" outlineLevel="3" x14ac:dyDescent="0.25">
      <c r="A494" s="99" t="b">
        <f t="array" ref="A494">A489</f>
        <v>1</v>
      </c>
      <c r="B494" s="100"/>
      <c r="C494" s="417" t="s">
        <v>140</v>
      </c>
      <c r="D494" s="417" t="s">
        <v>141</v>
      </c>
      <c r="E494" s="417" t="s">
        <v>174</v>
      </c>
      <c r="F494" s="417" t="s">
        <v>74</v>
      </c>
      <c r="G494" s="417" t="s">
        <v>73</v>
      </c>
      <c r="H494" s="417" t="s">
        <v>73</v>
      </c>
      <c r="I494" s="417" t="s">
        <v>73</v>
      </c>
      <c r="J494" s="417" t="s">
        <v>73</v>
      </c>
      <c r="K494" s="417" t="s">
        <v>73</v>
      </c>
      <c r="L494" s="417"/>
      <c r="M494" s="100" t="str">
        <f t="array" ref="M494">Y458</f>
        <v>1ВО::1.1</v>
      </c>
      <c r="N494" s="423"/>
      <c r="O494" s="100"/>
      <c r="P494" s="100"/>
      <c r="Q494" s="100"/>
      <c r="R494" s="100"/>
      <c r="S494" s="100"/>
      <c r="T494" s="100"/>
      <c r="U494" s="100"/>
      <c r="V494" s="100"/>
      <c r="W494" s="100"/>
      <c r="X494" s="100"/>
      <c r="Y494" s="100"/>
      <c r="Z494" s="100"/>
      <c r="AA494" s="100"/>
      <c r="AB494" s="418" t="str">
        <f>AB489&amp;".1"</f>
        <v>2.1</v>
      </c>
      <c r="AC494" s="424" t="s">
        <v>585</v>
      </c>
      <c r="AD494" s="420" t="s">
        <v>137</v>
      </c>
      <c r="AE494" s="106">
        <v>39009.819000000003</v>
      </c>
      <c r="AF494" s="107">
        <v>37611.42</v>
      </c>
      <c r="AG494" s="107">
        <v>39611.031000000003</v>
      </c>
      <c r="AH494" s="108">
        <v>37611.42</v>
      </c>
      <c r="AI494" s="110">
        <v>43.262</v>
      </c>
      <c r="AJ494" s="107">
        <v>123.72</v>
      </c>
      <c r="AK494" s="107">
        <v>47.469000000000001</v>
      </c>
      <c r="AL494" s="109">
        <v>123.72</v>
      </c>
      <c r="AM494" s="106"/>
      <c r="AN494" s="107"/>
      <c r="AO494" s="107"/>
      <c r="AP494" s="109"/>
      <c r="AQ494" s="106">
        <v>202.97</v>
      </c>
      <c r="AR494" s="107">
        <v>236.79</v>
      </c>
      <c r="AS494" s="107">
        <v>199</v>
      </c>
      <c r="AT494" s="109">
        <v>208.13</v>
      </c>
      <c r="AU494" s="106">
        <v>502.17</v>
      </c>
      <c r="AV494" s="107">
        <v>438.95</v>
      </c>
      <c r="AW494" s="107">
        <v>482.28</v>
      </c>
      <c r="AX494" s="109">
        <v>536</v>
      </c>
      <c r="AY494" s="106">
        <v>274.77999999999997</v>
      </c>
      <c r="AZ494" s="107">
        <v>319.74</v>
      </c>
      <c r="BA494" s="107">
        <v>250</v>
      </c>
      <c r="BB494" s="109">
        <v>319.74</v>
      </c>
      <c r="BC494" s="106">
        <f>BC496</f>
        <v>269.49</v>
      </c>
      <c r="BD494" s="107">
        <f>BD496</f>
        <v>313.95999999999998</v>
      </c>
      <c r="BE494" s="107">
        <f>BE496</f>
        <v>269.49</v>
      </c>
      <c r="BF494" s="109">
        <f>BF496</f>
        <v>269.08</v>
      </c>
      <c r="BG494" s="106">
        <v>2480.741</v>
      </c>
      <c r="BH494" s="107">
        <v>2107.4699999999998</v>
      </c>
      <c r="BI494" s="107">
        <v>2543.17</v>
      </c>
      <c r="BJ494" s="109">
        <v>2107.4699999999998</v>
      </c>
      <c r="BK494" s="106">
        <v>2636.1909999999998</v>
      </c>
      <c r="BL494" s="107">
        <v>399.23599999999999</v>
      </c>
      <c r="BM494" s="107">
        <v>2642.37</v>
      </c>
      <c r="BN494" s="109">
        <f>BN496</f>
        <v>2350</v>
      </c>
      <c r="BO494" s="134">
        <v>80.02</v>
      </c>
      <c r="BP494" s="132">
        <v>89.34</v>
      </c>
      <c r="BQ494" s="132">
        <v>81.542000000000002</v>
      </c>
      <c r="BR494" s="133">
        <v>89.34</v>
      </c>
      <c r="BS494" s="134">
        <v>243.79</v>
      </c>
      <c r="BT494" s="132">
        <v>300.23</v>
      </c>
      <c r="BU494" s="132">
        <v>252.55</v>
      </c>
      <c r="BV494" s="135">
        <v>300.23</v>
      </c>
      <c r="BW494" s="111"/>
      <c r="BX494" s="100"/>
      <c r="BY494" s="112">
        <f t="shared" si="163"/>
        <v>45743.233</v>
      </c>
      <c r="BZ494" s="113">
        <f t="shared" si="164"/>
        <v>41940.855999999992</v>
      </c>
      <c r="CA494" s="113">
        <f t="shared" si="165"/>
        <v>46378.902000000002</v>
      </c>
      <c r="CB494" s="114">
        <f t="shared" si="166"/>
        <v>43915.13</v>
      </c>
      <c r="CC494" s="759"/>
    </row>
    <row r="495" spans="1:81" s="115" customFormat="1" ht="14.25" customHeight="1" outlineLevel="3" x14ac:dyDescent="0.25">
      <c r="A495" s="99" t="b">
        <f t="array" ref="A495">A494</f>
        <v>1</v>
      </c>
      <c r="B495" s="100"/>
      <c r="C495" s="417" t="s">
        <v>140</v>
      </c>
      <c r="D495" s="417" t="s">
        <v>141</v>
      </c>
      <c r="E495" s="417" t="s">
        <v>175</v>
      </c>
      <c r="F495" s="417" t="s">
        <v>74</v>
      </c>
      <c r="G495" s="417" t="s">
        <v>73</v>
      </c>
      <c r="H495" s="417" t="s">
        <v>73</v>
      </c>
      <c r="I495" s="417" t="s">
        <v>73</v>
      </c>
      <c r="J495" s="417" t="s">
        <v>73</v>
      </c>
      <c r="K495" s="417" t="s">
        <v>73</v>
      </c>
      <c r="L495" s="417"/>
      <c r="M495" s="100" t="str">
        <f t="array" ref="M495">Y458</f>
        <v>1ВО::1.1</v>
      </c>
      <c r="N495" s="423"/>
      <c r="O495" s="100"/>
      <c r="P495" s="100"/>
      <c r="Q495" s="100"/>
      <c r="R495" s="100"/>
      <c r="S495" s="100"/>
      <c r="T495" s="100"/>
      <c r="U495" s="100"/>
      <c r="V495" s="100"/>
      <c r="W495" s="100"/>
      <c r="X495" s="100"/>
      <c r="Y495" s="100"/>
      <c r="Z495" s="100"/>
      <c r="AA495" s="100"/>
      <c r="AB495" s="418" t="str">
        <f>AB494&amp;".1"</f>
        <v>2.1.1</v>
      </c>
      <c r="AC495" s="425" t="s">
        <v>586</v>
      </c>
      <c r="AD495" s="420" t="s">
        <v>137</v>
      </c>
      <c r="AE495" s="106"/>
      <c r="AF495" s="107"/>
      <c r="AG495" s="107"/>
      <c r="AH495" s="108"/>
      <c r="AI495" s="110"/>
      <c r="AJ495" s="107"/>
      <c r="AK495" s="107"/>
      <c r="AL495" s="109"/>
      <c r="AM495" s="106"/>
      <c r="AN495" s="107"/>
      <c r="AO495" s="107"/>
      <c r="AP495" s="109"/>
      <c r="AQ495" s="106"/>
      <c r="AR495" s="107"/>
      <c r="AS495" s="107"/>
      <c r="AT495" s="109"/>
      <c r="AU495" s="106"/>
      <c r="AV495" s="107"/>
      <c r="AW495" s="107"/>
      <c r="AX495" s="109"/>
      <c r="AY495" s="106"/>
      <c r="AZ495" s="107"/>
      <c r="BA495" s="107"/>
      <c r="BB495" s="109"/>
      <c r="BC495" s="106">
        <v>0</v>
      </c>
      <c r="BD495" s="107"/>
      <c r="BE495" s="107">
        <v>0</v>
      </c>
      <c r="BF495" s="109">
        <v>0</v>
      </c>
      <c r="BG495" s="106">
        <v>0</v>
      </c>
      <c r="BH495" s="107">
        <v>0</v>
      </c>
      <c r="BI495" s="107">
        <v>0</v>
      </c>
      <c r="BJ495" s="109">
        <v>0</v>
      </c>
      <c r="BK495" s="106"/>
      <c r="BL495" s="107"/>
      <c r="BM495" s="107"/>
      <c r="BN495" s="109"/>
      <c r="BO495" s="134"/>
      <c r="BP495" s="132"/>
      <c r="BQ495" s="132"/>
      <c r="BR495" s="133"/>
      <c r="BS495" s="134"/>
      <c r="BT495" s="132"/>
      <c r="BU495" s="132"/>
      <c r="BV495" s="135"/>
      <c r="BW495" s="111"/>
      <c r="BX495" s="100"/>
      <c r="BY495" s="112">
        <f t="shared" si="163"/>
        <v>0</v>
      </c>
      <c r="BZ495" s="113">
        <f t="shared" si="164"/>
        <v>0</v>
      </c>
      <c r="CA495" s="113">
        <f t="shared" si="165"/>
        <v>0</v>
      </c>
      <c r="CB495" s="114">
        <f t="shared" si="166"/>
        <v>0</v>
      </c>
      <c r="CC495" s="759"/>
    </row>
    <row r="496" spans="1:81" s="115" customFormat="1" ht="14.25" customHeight="1" outlineLevel="3" x14ac:dyDescent="0.25">
      <c r="A496" s="99" t="b">
        <f t="array" ref="A496">A495</f>
        <v>1</v>
      </c>
      <c r="B496" s="100"/>
      <c r="C496" s="417" t="s">
        <v>140</v>
      </c>
      <c r="D496" s="417" t="s">
        <v>141</v>
      </c>
      <c r="E496" s="417" t="s">
        <v>176</v>
      </c>
      <c r="F496" s="417" t="s">
        <v>74</v>
      </c>
      <c r="G496" s="417" t="s">
        <v>73</v>
      </c>
      <c r="H496" s="417" t="s">
        <v>73</v>
      </c>
      <c r="I496" s="417" t="s">
        <v>73</v>
      </c>
      <c r="J496" s="417" t="s">
        <v>73</v>
      </c>
      <c r="K496" s="417" t="s">
        <v>73</v>
      </c>
      <c r="L496" s="417"/>
      <c r="M496" s="100" t="str">
        <f t="array" ref="M496">Y458</f>
        <v>1ВО::1.1</v>
      </c>
      <c r="N496" s="423"/>
      <c r="O496" s="100"/>
      <c r="P496" s="100"/>
      <c r="Q496" s="100"/>
      <c r="R496" s="100"/>
      <c r="S496" s="100"/>
      <c r="T496" s="100"/>
      <c r="U496" s="100"/>
      <c r="V496" s="100"/>
      <c r="W496" s="100"/>
      <c r="X496" s="100"/>
      <c r="Y496" s="100"/>
      <c r="Z496" s="100"/>
      <c r="AA496" s="100"/>
      <c r="AB496" s="418" t="str">
        <f>AB494&amp;".2"</f>
        <v>2.1.2</v>
      </c>
      <c r="AC496" s="425" t="s">
        <v>587</v>
      </c>
      <c r="AD496" s="420" t="s">
        <v>137</v>
      </c>
      <c r="AE496" s="106">
        <f t="shared" ref="AE496:AK496" si="167">AE497+AE501</f>
        <v>39009.82</v>
      </c>
      <c r="AF496" s="107">
        <f t="shared" si="167"/>
        <v>37611.42</v>
      </c>
      <c r="AG496" s="107">
        <f t="shared" si="167"/>
        <v>39611.031000000003</v>
      </c>
      <c r="AH496" s="108">
        <f t="shared" si="167"/>
        <v>37514.57</v>
      </c>
      <c r="AI496" s="110">
        <f t="shared" si="167"/>
        <v>43.262</v>
      </c>
      <c r="AJ496" s="107">
        <f t="shared" si="167"/>
        <v>123.72</v>
      </c>
      <c r="AK496" s="107">
        <f t="shared" si="167"/>
        <v>47.469000000000001</v>
      </c>
      <c r="AL496" s="109">
        <f>AL497+AL501</f>
        <v>123.72999999999999</v>
      </c>
      <c r="AM496" s="106"/>
      <c r="AN496" s="107"/>
      <c r="AO496" s="107"/>
      <c r="AP496" s="109"/>
      <c r="AQ496" s="106">
        <f t="shared" ref="AQ496:AX496" si="168">AQ497+AQ501</f>
        <v>202.97</v>
      </c>
      <c r="AR496" s="107">
        <f t="shared" si="168"/>
        <v>236.79</v>
      </c>
      <c r="AS496" s="107">
        <f t="shared" si="168"/>
        <v>199</v>
      </c>
      <c r="AT496" s="193">
        <f t="shared" si="168"/>
        <v>208.126</v>
      </c>
      <c r="AU496" s="106">
        <f t="shared" si="168"/>
        <v>502.16999999999996</v>
      </c>
      <c r="AV496" s="107">
        <f t="shared" si="168"/>
        <v>438.95</v>
      </c>
      <c r="AW496" s="107">
        <f t="shared" si="168"/>
        <v>482.28</v>
      </c>
      <c r="AX496" s="109">
        <f t="shared" si="168"/>
        <v>536</v>
      </c>
      <c r="AY496" s="106">
        <v>274.77999999999997</v>
      </c>
      <c r="AZ496" s="107">
        <v>319.74</v>
      </c>
      <c r="BA496" s="107">
        <v>250</v>
      </c>
      <c r="BB496" s="109">
        <v>319.70999999999998</v>
      </c>
      <c r="BC496" s="106">
        <f>BC497+BC501</f>
        <v>269.49</v>
      </c>
      <c r="BD496" s="107">
        <f>BD497+BD501</f>
        <v>313.95999999999998</v>
      </c>
      <c r="BE496" s="107">
        <f>BE497+BE501</f>
        <v>269.49</v>
      </c>
      <c r="BF496" s="109">
        <f>BF497</f>
        <v>269.08</v>
      </c>
      <c r="BG496" s="106">
        <f t="shared" ref="BG496:BN496" si="169">BG497+BG501</f>
        <v>2480.7410000000004</v>
      </c>
      <c r="BH496" s="107">
        <f t="shared" si="169"/>
        <v>2107.4699999999998</v>
      </c>
      <c r="BI496" s="107">
        <f t="shared" si="169"/>
        <v>2543.1699999999996</v>
      </c>
      <c r="BJ496" s="109">
        <f t="shared" si="169"/>
        <v>2107.4699999999998</v>
      </c>
      <c r="BK496" s="106">
        <f t="shared" si="169"/>
        <v>2636.1909999999998</v>
      </c>
      <c r="BL496" s="107">
        <f t="shared" si="169"/>
        <v>399.23599999999999</v>
      </c>
      <c r="BM496" s="107">
        <f t="shared" si="169"/>
        <v>2642.37</v>
      </c>
      <c r="BN496" s="109">
        <f t="shared" si="169"/>
        <v>2350</v>
      </c>
      <c r="BO496" s="134">
        <f t="shared" ref="BO496:BV496" si="170">BO497+BO501</f>
        <v>80.02</v>
      </c>
      <c r="BP496" s="132">
        <f t="shared" si="170"/>
        <v>89.339999999999989</v>
      </c>
      <c r="BQ496" s="132">
        <f t="shared" si="170"/>
        <v>81.542000000000002</v>
      </c>
      <c r="BR496" s="133">
        <f t="shared" si="170"/>
        <v>89.339999999999989</v>
      </c>
      <c r="BS496" s="134">
        <f t="shared" si="170"/>
        <v>243.79</v>
      </c>
      <c r="BT496" s="132">
        <f t="shared" si="170"/>
        <v>300.23</v>
      </c>
      <c r="BU496" s="132">
        <f t="shared" si="170"/>
        <v>252.55</v>
      </c>
      <c r="BV496" s="135">
        <f t="shared" si="170"/>
        <v>300.23</v>
      </c>
      <c r="BW496" s="111"/>
      <c r="BX496" s="100"/>
      <c r="BY496" s="112">
        <f t="shared" si="163"/>
        <v>45743.233999999997</v>
      </c>
      <c r="BZ496" s="113">
        <f t="shared" si="164"/>
        <v>41940.855999999992</v>
      </c>
      <c r="CA496" s="113">
        <f t="shared" si="165"/>
        <v>46378.902000000002</v>
      </c>
      <c r="CB496" s="114">
        <f t="shared" si="166"/>
        <v>43818.256000000001</v>
      </c>
      <c r="CC496" s="759"/>
    </row>
    <row r="497" spans="1:82" ht="23.25" customHeight="1" outlineLevel="3" x14ac:dyDescent="0.25">
      <c r="A497" s="10" t="b">
        <f t="array" ref="A497">A496</f>
        <v>1</v>
      </c>
      <c r="C497" s="116" t="s">
        <v>140</v>
      </c>
      <c r="D497" s="116" t="s">
        <v>141</v>
      </c>
      <c r="E497" s="116" t="s">
        <v>177</v>
      </c>
      <c r="F497" s="116" t="s">
        <v>74</v>
      </c>
      <c r="G497" s="116" t="s">
        <v>73</v>
      </c>
      <c r="H497" s="116" t="s">
        <v>73</v>
      </c>
      <c r="I497" s="116" t="s">
        <v>73</v>
      </c>
      <c r="J497" s="116" t="s">
        <v>73</v>
      </c>
      <c r="K497" s="116" t="s">
        <v>73</v>
      </c>
      <c r="L497" s="116"/>
      <c r="M497" s="5" t="str">
        <f t="array" ref="M497">Y458</f>
        <v>1ВО::1.1</v>
      </c>
      <c r="N497" s="116"/>
      <c r="AB497" s="403" t="str">
        <f>AB496&amp;".1"</f>
        <v>2.1.2.1</v>
      </c>
      <c r="AC497" s="414" t="s">
        <v>588</v>
      </c>
      <c r="AD497" s="422" t="s">
        <v>137</v>
      </c>
      <c r="AE497" s="66">
        <f>AE498+AE499+AE500</f>
        <v>38878.444000000003</v>
      </c>
      <c r="AF497" s="67">
        <f>AF498+AF499+AF500</f>
        <v>37514.57</v>
      </c>
      <c r="AG497" s="67">
        <f>AG498+AG499+AG500</f>
        <v>39475.131000000001</v>
      </c>
      <c r="AH497" s="68">
        <f>AH498+AH499+AH500</f>
        <v>37514.57</v>
      </c>
      <c r="AI497" s="146">
        <f>AI498+AI499+AI500</f>
        <v>43.262</v>
      </c>
      <c r="AJ497" s="67">
        <v>57.89</v>
      </c>
      <c r="AK497" s="67">
        <f>AK498+AK499+AK500</f>
        <v>47.469000000000001</v>
      </c>
      <c r="AL497" s="119">
        <f>AL498+AL499+AL500</f>
        <v>57.9</v>
      </c>
      <c r="AM497" s="66"/>
      <c r="AN497" s="67"/>
      <c r="AO497" s="67"/>
      <c r="AP497" s="119"/>
      <c r="AQ497" s="66">
        <f t="shared" ref="AQ497:BA497" si="171">AQ498+AQ499+AQ500</f>
        <v>202.97</v>
      </c>
      <c r="AR497" s="67">
        <f t="shared" si="171"/>
        <v>236.79</v>
      </c>
      <c r="AS497" s="67">
        <f t="shared" si="171"/>
        <v>199</v>
      </c>
      <c r="AT497" s="119">
        <f t="shared" si="171"/>
        <v>208.126</v>
      </c>
      <c r="AU497" s="66">
        <f t="shared" si="171"/>
        <v>502.16999999999996</v>
      </c>
      <c r="AV497" s="67">
        <f t="shared" si="171"/>
        <v>438.95</v>
      </c>
      <c r="AW497" s="67">
        <f t="shared" si="171"/>
        <v>482.28</v>
      </c>
      <c r="AX497" s="119">
        <f t="shared" si="171"/>
        <v>536</v>
      </c>
      <c r="AY497" s="66">
        <f t="shared" si="171"/>
        <v>274.77999999999997</v>
      </c>
      <c r="AZ497" s="67">
        <f t="shared" si="171"/>
        <v>319.74</v>
      </c>
      <c r="BA497" s="67">
        <f t="shared" si="171"/>
        <v>250</v>
      </c>
      <c r="BB497" s="138">
        <f>BB499+BB500+BB498</f>
        <v>319.71500000000003</v>
      </c>
      <c r="BC497" s="66">
        <f t="shared" ref="BC497:BN497" si="172">BC498+BC499+BC500</f>
        <v>269.49</v>
      </c>
      <c r="BD497" s="67">
        <f t="shared" si="172"/>
        <v>313.95999999999998</v>
      </c>
      <c r="BE497" s="67">
        <f t="shared" si="172"/>
        <v>269.49</v>
      </c>
      <c r="BF497" s="119">
        <f>BF498+BF499+BF500</f>
        <v>269.08</v>
      </c>
      <c r="BG497" s="66">
        <f t="shared" si="172"/>
        <v>2480.7410000000004</v>
      </c>
      <c r="BH497" s="67">
        <f t="shared" si="172"/>
        <v>2107.4699999999998</v>
      </c>
      <c r="BI497" s="67">
        <f t="shared" si="172"/>
        <v>2543.1699999999996</v>
      </c>
      <c r="BJ497" s="119">
        <f t="shared" si="172"/>
        <v>2107.4699999999998</v>
      </c>
      <c r="BK497" s="66">
        <f t="shared" si="172"/>
        <v>2636.1909999999998</v>
      </c>
      <c r="BL497" s="67">
        <f t="shared" si="172"/>
        <v>399.23599999999999</v>
      </c>
      <c r="BM497" s="67">
        <f t="shared" si="172"/>
        <v>2642.37</v>
      </c>
      <c r="BN497" s="119">
        <f t="shared" si="172"/>
        <v>2350</v>
      </c>
      <c r="BO497" s="123">
        <f t="shared" ref="BO497:BV497" si="173">BO498+BO499+BO500</f>
        <v>80.02</v>
      </c>
      <c r="BP497" s="121">
        <f t="shared" si="173"/>
        <v>89.339999999999989</v>
      </c>
      <c r="BQ497" s="121">
        <f t="shared" si="173"/>
        <v>81.542000000000002</v>
      </c>
      <c r="BR497" s="122">
        <f t="shared" si="173"/>
        <v>89.339999999999989</v>
      </c>
      <c r="BS497" s="123">
        <f t="shared" si="173"/>
        <v>243.79</v>
      </c>
      <c r="BT497" s="121">
        <f t="shared" si="173"/>
        <v>300.23</v>
      </c>
      <c r="BU497" s="121">
        <f t="shared" si="173"/>
        <v>252.55</v>
      </c>
      <c r="BV497" s="124">
        <f t="shared" si="173"/>
        <v>300.23</v>
      </c>
      <c r="BY497" s="125">
        <f t="shared" si="163"/>
        <v>45611.858</v>
      </c>
      <c r="BZ497" s="126">
        <f t="shared" si="164"/>
        <v>41778.175999999992</v>
      </c>
      <c r="CA497" s="126">
        <f t="shared" si="165"/>
        <v>46243.002</v>
      </c>
      <c r="CB497" s="127">
        <f t="shared" si="166"/>
        <v>43752.430999999997</v>
      </c>
    </row>
    <row r="498" spans="1:82" ht="23.25" customHeight="1" outlineLevel="3" x14ac:dyDescent="0.25">
      <c r="A498" s="10" t="b">
        <f t="array" ref="A498">A497</f>
        <v>1</v>
      </c>
      <c r="C498" s="116" t="s">
        <v>140</v>
      </c>
      <c r="D498" s="116" t="s">
        <v>141</v>
      </c>
      <c r="E498" s="116" t="s">
        <v>178</v>
      </c>
      <c r="F498" s="116" t="s">
        <v>74</v>
      </c>
      <c r="G498" s="116" t="s">
        <v>73</v>
      </c>
      <c r="H498" s="116" t="s">
        <v>73</v>
      </c>
      <c r="I498" s="116" t="s">
        <v>73</v>
      </c>
      <c r="J498" s="116" t="s">
        <v>73</v>
      </c>
      <c r="K498" s="116" t="s">
        <v>73</v>
      </c>
      <c r="L498" s="116"/>
      <c r="M498" s="5" t="str">
        <f t="array" ref="M498">Y458</f>
        <v>1ВО::1.1</v>
      </c>
      <c r="N498" s="116"/>
      <c r="AB498" s="403" t="str">
        <f>AB497&amp;".1"</f>
        <v>2.1.2.1.1</v>
      </c>
      <c r="AC498" s="426" t="s">
        <v>178</v>
      </c>
      <c r="AD498" s="422" t="s">
        <v>137</v>
      </c>
      <c r="AE498" s="66">
        <v>3055.7269999999999</v>
      </c>
      <c r="AF498" s="67">
        <v>2716.33</v>
      </c>
      <c r="AG498" s="67">
        <v>3349.377</v>
      </c>
      <c r="AH498" s="68">
        <v>2716.33</v>
      </c>
      <c r="AI498" s="146"/>
      <c r="AJ498" s="67"/>
      <c r="AK498" s="67"/>
      <c r="AL498" s="119"/>
      <c r="AM498" s="66"/>
      <c r="AN498" s="67"/>
      <c r="AO498" s="67"/>
      <c r="AP498" s="119"/>
      <c r="AQ498" s="66">
        <v>107.78</v>
      </c>
      <c r="AR498" s="67">
        <v>119.36</v>
      </c>
      <c r="AS498" s="67">
        <v>110</v>
      </c>
      <c r="AT498" s="119">
        <v>118.83</v>
      </c>
      <c r="AU498" s="66">
        <v>50.22</v>
      </c>
      <c r="AV498" s="67">
        <v>32.28</v>
      </c>
      <c r="AW498" s="67">
        <v>50.28</v>
      </c>
      <c r="AX498" s="119">
        <v>55.37</v>
      </c>
      <c r="AY498" s="66">
        <v>77.61</v>
      </c>
      <c r="AZ498" s="67">
        <v>85.37</v>
      </c>
      <c r="BA498" s="67">
        <v>70</v>
      </c>
      <c r="BB498" s="119">
        <v>85.34</v>
      </c>
      <c r="BC498" s="66">
        <v>39.450000000000003</v>
      </c>
      <c r="BD498" s="67">
        <v>67.959999999999994</v>
      </c>
      <c r="BE498" s="67">
        <v>39.450000000000003</v>
      </c>
      <c r="BF498" s="119">
        <v>41.05</v>
      </c>
      <c r="BG498" s="66">
        <v>65.119</v>
      </c>
      <c r="BH498" s="67">
        <v>39.880000000000003</v>
      </c>
      <c r="BI498" s="67">
        <v>71.41</v>
      </c>
      <c r="BJ498" s="119">
        <v>39.880000000000003</v>
      </c>
      <c r="BK498" s="66">
        <v>334.39400000000001</v>
      </c>
      <c r="BL498" s="67"/>
      <c r="BM498" s="67">
        <v>334.39400000000001</v>
      </c>
      <c r="BN498" s="119">
        <v>355</v>
      </c>
      <c r="BO498" s="123">
        <v>3.69</v>
      </c>
      <c r="BP498" s="121">
        <v>6.1459999999999999</v>
      </c>
      <c r="BQ498" s="121">
        <v>1.54</v>
      </c>
      <c r="BR498" s="122">
        <v>6.1459999999999999</v>
      </c>
      <c r="BS498" s="123">
        <v>4.9000000000000004</v>
      </c>
      <c r="BT498" s="121">
        <v>11.5</v>
      </c>
      <c r="BU498" s="121">
        <v>4.99</v>
      </c>
      <c r="BV498" s="124">
        <v>11.5</v>
      </c>
      <c r="BY498" s="125">
        <f t="shared" si="163"/>
        <v>3738.8900000000003</v>
      </c>
      <c r="BZ498" s="126">
        <f t="shared" si="164"/>
        <v>3078.8260000000005</v>
      </c>
      <c r="CA498" s="126">
        <f t="shared" si="165"/>
        <v>4031.4409999999998</v>
      </c>
      <c r="CB498" s="127">
        <f t="shared" si="166"/>
        <v>3429.4460000000004</v>
      </c>
    </row>
    <row r="499" spans="1:82" ht="14.25" customHeight="1" outlineLevel="3" x14ac:dyDescent="0.25">
      <c r="A499" s="10" t="b">
        <f t="array" ref="A499">A498</f>
        <v>1</v>
      </c>
      <c r="C499" s="116" t="s">
        <v>140</v>
      </c>
      <c r="D499" s="116" t="s">
        <v>141</v>
      </c>
      <c r="E499" s="116" t="s">
        <v>179</v>
      </c>
      <c r="F499" s="116" t="s">
        <v>74</v>
      </c>
      <c r="G499" s="116" t="s">
        <v>73</v>
      </c>
      <c r="H499" s="116" t="s">
        <v>73</v>
      </c>
      <c r="I499" s="116" t="s">
        <v>73</v>
      </c>
      <c r="J499" s="116" t="s">
        <v>73</v>
      </c>
      <c r="K499" s="116" t="s">
        <v>73</v>
      </c>
      <c r="L499" s="116"/>
      <c r="M499" s="5" t="str">
        <f t="array" ref="M499">Y458</f>
        <v>1ВО::1.1</v>
      </c>
      <c r="N499" s="116"/>
      <c r="AB499" s="403" t="str">
        <f>AB497&amp;".2"</f>
        <v>2.1.2.1.2</v>
      </c>
      <c r="AC499" s="426" t="s">
        <v>589</v>
      </c>
      <c r="AD499" s="422" t="s">
        <v>137</v>
      </c>
      <c r="AE499" s="66">
        <v>30745.971000000001</v>
      </c>
      <c r="AF499" s="67">
        <v>29958.87</v>
      </c>
      <c r="AG499" s="67">
        <v>30943.846000000001</v>
      </c>
      <c r="AH499" s="68">
        <v>29958.87</v>
      </c>
      <c r="AI499" s="146"/>
      <c r="AJ499" s="67"/>
      <c r="AK499" s="67"/>
      <c r="AL499" s="119"/>
      <c r="AM499" s="66"/>
      <c r="AN499" s="67"/>
      <c r="AO499" s="67"/>
      <c r="AP499" s="119"/>
      <c r="AQ499" s="66">
        <v>91.44</v>
      </c>
      <c r="AR499" s="67">
        <v>114.92</v>
      </c>
      <c r="AS499" s="67">
        <v>86</v>
      </c>
      <c r="AT499" s="119">
        <v>85.16</v>
      </c>
      <c r="AU499" s="66">
        <v>297.45</v>
      </c>
      <c r="AV499" s="67">
        <v>308.97000000000003</v>
      </c>
      <c r="AW499" s="67">
        <v>292</v>
      </c>
      <c r="AX499" s="119">
        <v>310.29000000000002</v>
      </c>
      <c r="AY499" s="66">
        <v>166.2</v>
      </c>
      <c r="AZ499" s="67">
        <v>201.12</v>
      </c>
      <c r="BA499" s="67">
        <v>153.85</v>
      </c>
      <c r="BB499" s="119">
        <v>201.12</v>
      </c>
      <c r="BC499" s="66">
        <v>213.02</v>
      </c>
      <c r="BD499" s="67">
        <v>246</v>
      </c>
      <c r="BE499" s="67">
        <v>213.02</v>
      </c>
      <c r="BF499" s="119">
        <v>211.57499999999999</v>
      </c>
      <c r="BG499" s="66">
        <v>2282.7930000000001</v>
      </c>
      <c r="BH499" s="67">
        <v>2008.11</v>
      </c>
      <c r="BI499" s="67">
        <v>2323.79</v>
      </c>
      <c r="BJ499" s="119">
        <v>2008.11</v>
      </c>
      <c r="BK499" s="66">
        <v>1252.9459999999999</v>
      </c>
      <c r="BL499" s="67"/>
      <c r="BM499" s="67">
        <v>1262.125</v>
      </c>
      <c r="BN499" s="119">
        <v>1685</v>
      </c>
      <c r="BO499" s="123">
        <v>72.39</v>
      </c>
      <c r="BP499" s="121">
        <v>76.590999999999994</v>
      </c>
      <c r="BQ499" s="121">
        <v>75.801000000000002</v>
      </c>
      <c r="BR499" s="122">
        <v>76.590999999999994</v>
      </c>
      <c r="BS499" s="123">
        <v>212.44</v>
      </c>
      <c r="BT499" s="121">
        <v>266.73</v>
      </c>
      <c r="BU499" s="121">
        <v>220.86</v>
      </c>
      <c r="BV499" s="124">
        <v>266.73</v>
      </c>
      <c r="BY499" s="125">
        <f t="shared" si="163"/>
        <v>35334.650000000009</v>
      </c>
      <c r="BZ499" s="126">
        <f t="shared" si="164"/>
        <v>33181.311000000002</v>
      </c>
      <c r="CA499" s="126">
        <f t="shared" si="165"/>
        <v>35571.292000000001</v>
      </c>
      <c r="CB499" s="127">
        <f t="shared" si="166"/>
        <v>34803.446000000004</v>
      </c>
    </row>
    <row r="500" spans="1:82" ht="14.25" customHeight="1" outlineLevel="3" x14ac:dyDescent="0.25">
      <c r="A500" s="10" t="b">
        <f t="array" ref="A500">A499</f>
        <v>1</v>
      </c>
      <c r="C500" s="116" t="s">
        <v>140</v>
      </c>
      <c r="D500" s="116" t="s">
        <v>141</v>
      </c>
      <c r="E500" s="116" t="s">
        <v>180</v>
      </c>
      <c r="F500" s="116" t="s">
        <v>74</v>
      </c>
      <c r="G500" s="116" t="s">
        <v>73</v>
      </c>
      <c r="H500" s="116" t="s">
        <v>73</v>
      </c>
      <c r="I500" s="116" t="s">
        <v>73</v>
      </c>
      <c r="J500" s="116" t="s">
        <v>73</v>
      </c>
      <c r="K500" s="116" t="s">
        <v>73</v>
      </c>
      <c r="L500" s="116"/>
      <c r="M500" s="5" t="str">
        <f t="array" ref="M500">Y458</f>
        <v>1ВО::1.1</v>
      </c>
      <c r="N500" s="116"/>
      <c r="AB500" s="403" t="str">
        <f>AB497&amp;".3"</f>
        <v>2.1.2.1.3</v>
      </c>
      <c r="AC500" s="426" t="s">
        <v>180</v>
      </c>
      <c r="AD500" s="422" t="s">
        <v>137</v>
      </c>
      <c r="AE500" s="66">
        <v>5076.7460000000001</v>
      </c>
      <c r="AF500" s="67">
        <v>4839.37</v>
      </c>
      <c r="AG500" s="67">
        <v>5181.9080000000004</v>
      </c>
      <c r="AH500" s="68">
        <v>4839.37</v>
      </c>
      <c r="AI500" s="146">
        <v>43.262</v>
      </c>
      <c r="AJ500" s="67">
        <v>57.89</v>
      </c>
      <c r="AK500" s="67">
        <v>47.469000000000001</v>
      </c>
      <c r="AL500" s="119">
        <v>57.9</v>
      </c>
      <c r="AM500" s="66"/>
      <c r="AN500" s="67"/>
      <c r="AO500" s="67"/>
      <c r="AP500" s="119"/>
      <c r="AQ500" s="66">
        <v>3.75</v>
      </c>
      <c r="AR500" s="67">
        <v>2.5099999999999998</v>
      </c>
      <c r="AS500" s="67">
        <v>3</v>
      </c>
      <c r="AT500" s="119">
        <v>4.1360000000000001</v>
      </c>
      <c r="AU500" s="66">
        <v>154.5</v>
      </c>
      <c r="AV500" s="67">
        <v>97.7</v>
      </c>
      <c r="AW500" s="67">
        <v>140</v>
      </c>
      <c r="AX500" s="119">
        <v>170.34</v>
      </c>
      <c r="AY500" s="66">
        <v>30.97</v>
      </c>
      <c r="AZ500" s="67">
        <v>33.25</v>
      </c>
      <c r="BA500" s="67">
        <v>26.15</v>
      </c>
      <c r="BB500" s="119">
        <v>33.255000000000003</v>
      </c>
      <c r="BC500" s="66">
        <v>17.02</v>
      </c>
      <c r="BD500" s="67">
        <v>0</v>
      </c>
      <c r="BE500" s="67">
        <v>17.02</v>
      </c>
      <c r="BF500" s="119">
        <v>16.454999999999998</v>
      </c>
      <c r="BG500" s="66">
        <v>132.82900000000001</v>
      </c>
      <c r="BH500" s="67">
        <v>59.48</v>
      </c>
      <c r="BI500" s="67">
        <v>147.97</v>
      </c>
      <c r="BJ500" s="119">
        <v>59.48</v>
      </c>
      <c r="BK500" s="66">
        <v>1048.8510000000001</v>
      </c>
      <c r="BL500" s="67">
        <v>399.23599999999999</v>
      </c>
      <c r="BM500" s="67">
        <v>1045.8510000000001</v>
      </c>
      <c r="BN500" s="119">
        <v>310</v>
      </c>
      <c r="BO500" s="123">
        <v>3.94</v>
      </c>
      <c r="BP500" s="121">
        <v>6.6029999999999998</v>
      </c>
      <c r="BQ500" s="121">
        <v>4.2009999999999996</v>
      </c>
      <c r="BR500" s="122">
        <v>6.6029999999999998</v>
      </c>
      <c r="BS500" s="123">
        <v>26.45</v>
      </c>
      <c r="BT500" s="121">
        <v>22</v>
      </c>
      <c r="BU500" s="121">
        <v>26.7</v>
      </c>
      <c r="BV500" s="124">
        <v>22</v>
      </c>
      <c r="BY500" s="125">
        <f t="shared" si="163"/>
        <v>6538.3179999999993</v>
      </c>
      <c r="BZ500" s="126">
        <f t="shared" si="164"/>
        <v>5518.0389999999998</v>
      </c>
      <c r="CA500" s="126">
        <f t="shared" si="165"/>
        <v>6640.2690000000002</v>
      </c>
      <c r="CB500" s="127">
        <f t="shared" si="166"/>
        <v>5519.5389999999998</v>
      </c>
    </row>
    <row r="501" spans="1:82" ht="14.25" customHeight="1" outlineLevel="3" x14ac:dyDescent="0.25">
      <c r="A501" s="10" t="b">
        <f t="array" ref="A501">A500</f>
        <v>1</v>
      </c>
      <c r="C501" s="116" t="s">
        <v>140</v>
      </c>
      <c r="D501" s="116" t="s">
        <v>141</v>
      </c>
      <c r="E501" s="116" t="s">
        <v>181</v>
      </c>
      <c r="F501" s="116" t="s">
        <v>74</v>
      </c>
      <c r="G501" s="116" t="s">
        <v>73</v>
      </c>
      <c r="H501" s="116" t="s">
        <v>73</v>
      </c>
      <c r="I501" s="116" t="s">
        <v>73</v>
      </c>
      <c r="J501" s="116" t="s">
        <v>73</v>
      </c>
      <c r="K501" s="116" t="s">
        <v>73</v>
      </c>
      <c r="L501" s="116"/>
      <c r="M501" s="5" t="str">
        <f t="array" ref="M501">Y458</f>
        <v>1ВО::1.1</v>
      </c>
      <c r="N501" s="116"/>
      <c r="AB501" s="403" t="str">
        <f>AB496&amp;".2"</f>
        <v>2.1.2.2</v>
      </c>
      <c r="AC501" s="414" t="s">
        <v>181</v>
      </c>
      <c r="AD501" s="422" t="s">
        <v>137</v>
      </c>
      <c r="AE501" s="66">
        <v>131.376</v>
      </c>
      <c r="AF501" s="67">
        <v>96.85</v>
      </c>
      <c r="AG501" s="67">
        <v>135.9</v>
      </c>
      <c r="AH501" s="68"/>
      <c r="AI501" s="146"/>
      <c r="AJ501" s="67">
        <v>65.83</v>
      </c>
      <c r="AK501" s="67"/>
      <c r="AL501" s="119">
        <v>65.83</v>
      </c>
      <c r="AM501" s="66"/>
      <c r="AN501" s="67"/>
      <c r="AO501" s="67"/>
      <c r="AP501" s="119"/>
      <c r="AQ501" s="66"/>
      <c r="AR501" s="67"/>
      <c r="AS501" s="67"/>
      <c r="AT501" s="119"/>
      <c r="AU501" s="66"/>
      <c r="AV501" s="67"/>
      <c r="AW501" s="67"/>
      <c r="AX501" s="119"/>
      <c r="AY501" s="66">
        <f>AY494</f>
        <v>274.77999999999997</v>
      </c>
      <c r="AZ501" s="67">
        <f>AZ494</f>
        <v>319.74</v>
      </c>
      <c r="BA501" s="67">
        <f>BA494</f>
        <v>250</v>
      </c>
      <c r="BB501" s="119">
        <f>BB494</f>
        <v>319.74</v>
      </c>
      <c r="BC501" s="66">
        <v>0</v>
      </c>
      <c r="BD501" s="67"/>
      <c r="BE501" s="67">
        <v>0</v>
      </c>
      <c r="BF501" s="119">
        <v>0</v>
      </c>
      <c r="BG501" s="66">
        <v>0</v>
      </c>
      <c r="BH501" s="67">
        <v>0</v>
      </c>
      <c r="BI501" s="67">
        <v>0</v>
      </c>
      <c r="BJ501" s="119">
        <v>0</v>
      </c>
      <c r="BK501" s="66"/>
      <c r="BL501" s="67"/>
      <c r="BM501" s="67"/>
      <c r="BN501" s="119"/>
      <c r="BO501" s="123"/>
      <c r="BP501" s="121"/>
      <c r="BQ501" s="121"/>
      <c r="BR501" s="122"/>
      <c r="BS501" s="123"/>
      <c r="BT501" s="121"/>
      <c r="BU501" s="121"/>
      <c r="BV501" s="124"/>
      <c r="BY501" s="125">
        <f t="shared" si="163"/>
        <v>406.15599999999995</v>
      </c>
      <c r="BZ501" s="126">
        <f t="shared" si="164"/>
        <v>482.42</v>
      </c>
      <c r="CA501" s="126">
        <f t="shared" si="165"/>
        <v>385.9</v>
      </c>
      <c r="CB501" s="127">
        <f t="shared" si="166"/>
        <v>385.57</v>
      </c>
    </row>
    <row r="502" spans="1:82" ht="14.25" customHeight="1" outlineLevel="3" x14ac:dyDescent="0.25">
      <c r="A502" s="10" t="b">
        <f t="array" ref="A502">A501</f>
        <v>1</v>
      </c>
      <c r="C502" s="116" t="s">
        <v>140</v>
      </c>
      <c r="D502" s="116" t="s">
        <v>141</v>
      </c>
      <c r="E502" s="116" t="s">
        <v>182</v>
      </c>
      <c r="F502" s="116" t="s">
        <v>74</v>
      </c>
      <c r="G502" s="116" t="s">
        <v>73</v>
      </c>
      <c r="H502" s="116" t="s">
        <v>73</v>
      </c>
      <c r="I502" s="116" t="s">
        <v>73</v>
      </c>
      <c r="J502" s="116" t="s">
        <v>73</v>
      </c>
      <c r="K502" s="116" t="s">
        <v>73</v>
      </c>
      <c r="L502" s="116"/>
      <c r="M502" s="5" t="str">
        <f t="array" ref="M502">Y458</f>
        <v>1ВО::1.1</v>
      </c>
      <c r="N502" s="116"/>
      <c r="AB502" s="403" t="str">
        <f>AB496&amp;".3"</f>
        <v>2.1.2.3</v>
      </c>
      <c r="AC502" s="413" t="s">
        <v>590</v>
      </c>
      <c r="AD502" s="422" t="s">
        <v>137</v>
      </c>
      <c r="AE502" s="66">
        <v>21088.756000000001</v>
      </c>
      <c r="AF502" s="67">
        <v>15931.075999999999</v>
      </c>
      <c r="AG502" s="67">
        <v>21038.28</v>
      </c>
      <c r="AH502" s="68">
        <v>15931.075999999999</v>
      </c>
      <c r="AI502" s="146">
        <v>24.335999999999999</v>
      </c>
      <c r="AJ502" s="67">
        <v>24.61</v>
      </c>
      <c r="AK502" s="67">
        <v>33.045000000000002</v>
      </c>
      <c r="AL502" s="119">
        <v>24.61</v>
      </c>
      <c r="AM502" s="66"/>
      <c r="AN502" s="67"/>
      <c r="AO502" s="67"/>
      <c r="AP502" s="119"/>
      <c r="AQ502" s="66"/>
      <c r="AR502" s="67"/>
      <c r="AS502" s="67"/>
      <c r="AT502" s="119"/>
      <c r="AU502" s="66"/>
      <c r="AV502" s="67"/>
      <c r="AW502" s="67"/>
      <c r="AX502" s="119"/>
      <c r="AY502" s="66"/>
      <c r="AZ502" s="67"/>
      <c r="BA502" s="67"/>
      <c r="BB502" s="119"/>
      <c r="BC502" s="66">
        <v>0</v>
      </c>
      <c r="BD502" s="67"/>
      <c r="BE502" s="67">
        <v>6.5000000000000002E-2</v>
      </c>
      <c r="BF502" s="119">
        <v>0</v>
      </c>
      <c r="BG502" s="66">
        <v>0</v>
      </c>
      <c r="BH502" s="67">
        <v>0</v>
      </c>
      <c r="BI502" s="67">
        <v>426.77</v>
      </c>
      <c r="BJ502" s="119">
        <v>0</v>
      </c>
      <c r="BK502" s="66">
        <v>47.612000000000002</v>
      </c>
      <c r="BL502" s="67">
        <v>45.877000000000002</v>
      </c>
      <c r="BM502" s="67">
        <v>46.189</v>
      </c>
      <c r="BN502" s="119"/>
      <c r="BO502" s="123"/>
      <c r="BP502" s="121"/>
      <c r="BQ502" s="121">
        <v>0.02</v>
      </c>
      <c r="BR502" s="122"/>
      <c r="BS502" s="123"/>
      <c r="BT502" s="121"/>
      <c r="BU502" s="121">
        <v>5.8000000000000003E-2</v>
      </c>
      <c r="BV502" s="124"/>
      <c r="BY502" s="125">
        <f t="shared" si="163"/>
        <v>21160.704000000002</v>
      </c>
      <c r="BZ502" s="126">
        <f t="shared" si="164"/>
        <v>16001.563</v>
      </c>
      <c r="CA502" s="126">
        <f t="shared" si="165"/>
        <v>21544.426999999996</v>
      </c>
      <c r="CB502" s="127">
        <f t="shared" si="166"/>
        <v>15955.686</v>
      </c>
    </row>
    <row r="503" spans="1:82" ht="14.25" customHeight="1" outlineLevel="3" x14ac:dyDescent="0.25">
      <c r="A503" s="10" t="b">
        <f t="array" ref="A503">A502</f>
        <v>1</v>
      </c>
      <c r="C503" s="116" t="s">
        <v>140</v>
      </c>
      <c r="D503" s="116" t="s">
        <v>141</v>
      </c>
      <c r="E503" s="116" t="s">
        <v>183</v>
      </c>
      <c r="F503" s="116" t="s">
        <v>74</v>
      </c>
      <c r="G503" s="116" t="s">
        <v>73</v>
      </c>
      <c r="H503" s="116" t="s">
        <v>73</v>
      </c>
      <c r="I503" s="116" t="s">
        <v>73</v>
      </c>
      <c r="J503" s="116" t="s">
        <v>73</v>
      </c>
      <c r="K503" s="116" t="s">
        <v>73</v>
      </c>
      <c r="L503" s="116"/>
      <c r="M503" s="5" t="str">
        <f t="array" ref="M503">Y458</f>
        <v>1ВО::1.1</v>
      </c>
      <c r="N503" s="116"/>
      <c r="AB503" s="403" t="str">
        <f>AB489&amp;".2"</f>
        <v>2.2</v>
      </c>
      <c r="AC503" s="305" t="s">
        <v>183</v>
      </c>
      <c r="AD503" s="422" t="s">
        <v>137</v>
      </c>
      <c r="AE503" s="66">
        <v>57218.796999999999</v>
      </c>
      <c r="AF503" s="67">
        <v>50643.701999999997</v>
      </c>
      <c r="AG503" s="67">
        <v>57711.123</v>
      </c>
      <c r="AH503" s="68">
        <v>50612.762000000002</v>
      </c>
      <c r="AI503" s="146">
        <v>218.95</v>
      </c>
      <c r="AJ503" s="67">
        <v>148.33000000000001</v>
      </c>
      <c r="AK503" s="67">
        <v>225.84200000000001</v>
      </c>
      <c r="AL503" s="119">
        <v>148.33000000000001</v>
      </c>
      <c r="AM503" s="66"/>
      <c r="AN503" s="67"/>
      <c r="AO503" s="67"/>
      <c r="AP503" s="119"/>
      <c r="AQ503" s="66">
        <f>AQ496</f>
        <v>202.97</v>
      </c>
      <c r="AR503" s="67">
        <v>217</v>
      </c>
      <c r="AS503" s="67">
        <v>199</v>
      </c>
      <c r="AT503" s="119">
        <v>208.13</v>
      </c>
      <c r="AU503" s="66">
        <v>502.17</v>
      </c>
      <c r="AV503" s="67"/>
      <c r="AW503" s="67">
        <v>482.28</v>
      </c>
      <c r="AX503" s="119">
        <v>536</v>
      </c>
      <c r="AY503" s="66">
        <f>AY501</f>
        <v>274.77999999999997</v>
      </c>
      <c r="AZ503" s="67">
        <f>AZ501</f>
        <v>319.74</v>
      </c>
      <c r="BA503" s="67">
        <f>BA501</f>
        <v>250</v>
      </c>
      <c r="BB503" s="119">
        <f>BB501</f>
        <v>319.74</v>
      </c>
      <c r="BC503" s="66">
        <f>BC496</f>
        <v>269.49</v>
      </c>
      <c r="BD503" s="67"/>
      <c r="BE503" s="67">
        <v>269.55500000000001</v>
      </c>
      <c r="BF503" s="119">
        <f>BF496</f>
        <v>269.08</v>
      </c>
      <c r="BG503" s="66">
        <v>2845.18</v>
      </c>
      <c r="BH503" s="67">
        <v>2107.4699999999998</v>
      </c>
      <c r="BI503" s="67">
        <v>2723.42</v>
      </c>
      <c r="BJ503" s="119">
        <v>2107.4699999999998</v>
      </c>
      <c r="BK503" s="66">
        <v>4295.6499999999996</v>
      </c>
      <c r="BL503" s="67">
        <v>2273.1999999999998</v>
      </c>
      <c r="BM503" s="67">
        <v>3113.3440000000001</v>
      </c>
      <c r="BN503" s="119">
        <f>2350</f>
        <v>2350</v>
      </c>
      <c r="BO503" s="123"/>
      <c r="BP503" s="121"/>
      <c r="BQ503" s="121"/>
      <c r="BR503" s="122">
        <v>89.34</v>
      </c>
      <c r="BS503" s="123">
        <v>243.79</v>
      </c>
      <c r="BT503" s="121">
        <v>300.23</v>
      </c>
      <c r="BU503" s="121">
        <v>252.608</v>
      </c>
      <c r="BV503" s="124">
        <v>300.23</v>
      </c>
      <c r="BY503" s="125">
        <f t="shared" si="163"/>
        <v>66071.776999999987</v>
      </c>
      <c r="BZ503" s="126">
        <f t="shared" si="164"/>
        <v>56009.671999999999</v>
      </c>
      <c r="CA503" s="126">
        <f t="shared" si="165"/>
        <v>65227.171999999991</v>
      </c>
      <c r="CB503" s="127">
        <f t="shared" si="166"/>
        <v>56941.082000000002</v>
      </c>
    </row>
    <row r="504" spans="1:82" ht="14.25" customHeight="1" outlineLevel="3" x14ac:dyDescent="0.25">
      <c r="A504" s="10" t="b">
        <f t="array" ref="A504">A503</f>
        <v>1</v>
      </c>
      <c r="C504" s="116" t="s">
        <v>140</v>
      </c>
      <c r="D504" s="116" t="s">
        <v>141</v>
      </c>
      <c r="E504" s="116" t="s">
        <v>184</v>
      </c>
      <c r="F504" s="116" t="s">
        <v>74</v>
      </c>
      <c r="G504" s="116" t="s">
        <v>73</v>
      </c>
      <c r="H504" s="116" t="s">
        <v>73</v>
      </c>
      <c r="I504" s="116" t="s">
        <v>73</v>
      </c>
      <c r="J504" s="116" t="s">
        <v>73</v>
      </c>
      <c r="K504" s="116" t="s">
        <v>73</v>
      </c>
      <c r="L504" s="116"/>
      <c r="M504" s="5" t="str">
        <f t="array" ref="M504">Y458</f>
        <v>1ВО::1.1</v>
      </c>
      <c r="N504" s="116"/>
      <c r="AB504" s="403" t="str">
        <f>AB503&amp;".1"</f>
        <v>2.2.1</v>
      </c>
      <c r="AC504" s="413" t="s">
        <v>591</v>
      </c>
      <c r="AD504" s="422" t="s">
        <v>137</v>
      </c>
      <c r="AE504" s="66">
        <v>57193.531000000003</v>
      </c>
      <c r="AF504" s="67">
        <v>50612.762000000002</v>
      </c>
      <c r="AG504" s="67">
        <v>57681.752</v>
      </c>
      <c r="AH504" s="68">
        <v>50612.762000000002</v>
      </c>
      <c r="AI504" s="146">
        <v>218.95</v>
      </c>
      <c r="AJ504" s="67">
        <v>148.33000000000001</v>
      </c>
      <c r="AK504" s="67">
        <v>225.84200000000001</v>
      </c>
      <c r="AL504" s="119">
        <v>148.33000000000001</v>
      </c>
      <c r="AM504" s="66"/>
      <c r="AN504" s="67"/>
      <c r="AO504" s="67"/>
      <c r="AP504" s="119"/>
      <c r="AQ504" s="66">
        <f>AQ503</f>
        <v>202.97</v>
      </c>
      <c r="AR504" s="67">
        <f>AR503</f>
        <v>217</v>
      </c>
      <c r="AS504" s="67">
        <v>199</v>
      </c>
      <c r="AT504" s="119">
        <v>208.13</v>
      </c>
      <c r="AU504" s="66"/>
      <c r="AV504" s="67"/>
      <c r="AW504" s="67"/>
      <c r="AX504" s="119"/>
      <c r="AY504" s="66">
        <f>AY503</f>
        <v>274.77999999999997</v>
      </c>
      <c r="AZ504" s="67">
        <f>AZ503</f>
        <v>319.74</v>
      </c>
      <c r="BA504" s="67">
        <f>BA503</f>
        <v>250</v>
      </c>
      <c r="BB504" s="119">
        <f>BB503</f>
        <v>319.74</v>
      </c>
      <c r="BC504" s="66">
        <v>0</v>
      </c>
      <c r="BD504" s="67"/>
      <c r="BE504" s="67">
        <v>0</v>
      </c>
      <c r="BF504" s="119">
        <v>0</v>
      </c>
      <c r="BG504" s="66">
        <v>2751.09</v>
      </c>
      <c r="BH504" s="67">
        <v>1971.38</v>
      </c>
      <c r="BI504" s="67">
        <v>2723.42</v>
      </c>
      <c r="BJ504" s="119">
        <v>1971.38</v>
      </c>
      <c r="BK504" s="66">
        <v>2680.654</v>
      </c>
      <c r="BL504" s="67">
        <v>1478.3309999999999</v>
      </c>
      <c r="BM504" s="67">
        <v>2685.5059999999999</v>
      </c>
      <c r="BN504" s="119">
        <v>2210</v>
      </c>
      <c r="BO504" s="123"/>
      <c r="BP504" s="121"/>
      <c r="BQ504" s="121"/>
      <c r="BR504" s="122"/>
      <c r="BS504" s="123"/>
      <c r="BT504" s="121"/>
      <c r="BU504" s="121"/>
      <c r="BV504" s="124"/>
      <c r="BY504" s="125">
        <f t="shared" si="163"/>
        <v>63321.974999999999</v>
      </c>
      <c r="BZ504" s="126">
        <f t="shared" si="164"/>
        <v>54747.542999999998</v>
      </c>
      <c r="CA504" s="126">
        <f t="shared" si="165"/>
        <v>63765.52</v>
      </c>
      <c r="CB504" s="127">
        <f t="shared" si="166"/>
        <v>55470.341999999997</v>
      </c>
    </row>
    <row r="505" spans="1:82" ht="14.25" customHeight="1" outlineLevel="3" x14ac:dyDescent="0.25">
      <c r="A505" s="10" t="b">
        <f t="array" ref="A505">A504</f>
        <v>1</v>
      </c>
      <c r="C505" s="116" t="s">
        <v>140</v>
      </c>
      <c r="D505" s="116" t="s">
        <v>141</v>
      </c>
      <c r="E505" s="116" t="s">
        <v>185</v>
      </c>
      <c r="F505" s="116" t="s">
        <v>74</v>
      </c>
      <c r="G505" s="116" t="s">
        <v>73</v>
      </c>
      <c r="H505" s="116" t="s">
        <v>73</v>
      </c>
      <c r="I505" s="116" t="s">
        <v>73</v>
      </c>
      <c r="J505" s="116" t="s">
        <v>73</v>
      </c>
      <c r="K505" s="116" t="s">
        <v>73</v>
      </c>
      <c r="L505" s="116"/>
      <c r="M505" s="5" t="str">
        <f t="array" ref="M505">Y458</f>
        <v>1ВО::1.1</v>
      </c>
      <c r="N505" s="116"/>
      <c r="AB505" s="403" t="str">
        <f>AB503&amp;".2"</f>
        <v>2.2.2</v>
      </c>
      <c r="AC505" s="413" t="s">
        <v>592</v>
      </c>
      <c r="AD505" s="422" t="s">
        <v>137</v>
      </c>
      <c r="AE505" s="66">
        <v>25.265999999999998</v>
      </c>
      <c r="AF505" s="67">
        <v>30.94</v>
      </c>
      <c r="AG505" s="67">
        <v>29.370999999999999</v>
      </c>
      <c r="AH505" s="68"/>
      <c r="AI505" s="146"/>
      <c r="AJ505" s="67"/>
      <c r="AK505" s="67"/>
      <c r="AL505" s="119"/>
      <c r="AM505" s="66"/>
      <c r="AN505" s="67"/>
      <c r="AO505" s="67"/>
      <c r="AP505" s="119"/>
      <c r="AQ505" s="66"/>
      <c r="AR505" s="67"/>
      <c r="AS505" s="67"/>
      <c r="AT505" s="119"/>
      <c r="AU505" s="66"/>
      <c r="AV505" s="67"/>
      <c r="AW505" s="67"/>
      <c r="AX505" s="119"/>
      <c r="AY505" s="66"/>
      <c r="AZ505" s="67"/>
      <c r="BA505" s="67"/>
      <c r="BB505" s="119"/>
      <c r="BC505" s="66">
        <v>0</v>
      </c>
      <c r="BD505" s="67"/>
      <c r="BE505" s="67">
        <v>0</v>
      </c>
      <c r="BF505" s="119">
        <v>0</v>
      </c>
      <c r="BG505" s="66">
        <v>94.09</v>
      </c>
      <c r="BH505" s="67">
        <v>0</v>
      </c>
      <c r="BI505" s="67">
        <v>0</v>
      </c>
      <c r="BJ505" s="119">
        <v>0</v>
      </c>
      <c r="BK505" s="66"/>
      <c r="BL505" s="67"/>
      <c r="BM505" s="67">
        <v>0</v>
      </c>
      <c r="BN505" s="119">
        <v>140</v>
      </c>
      <c r="BO505" s="123"/>
      <c r="BP505" s="121"/>
      <c r="BQ505" s="121"/>
      <c r="BR505" s="122"/>
      <c r="BS505" s="123"/>
      <c r="BT505" s="121"/>
      <c r="BU505" s="121"/>
      <c r="BV505" s="124"/>
      <c r="BY505" s="125">
        <f t="shared" si="163"/>
        <v>119.35599999999999</v>
      </c>
      <c r="BZ505" s="126">
        <f t="shared" si="164"/>
        <v>30.94</v>
      </c>
      <c r="CA505" s="126">
        <f t="shared" si="165"/>
        <v>29.370999999999999</v>
      </c>
      <c r="CB505" s="127">
        <f t="shared" si="166"/>
        <v>140</v>
      </c>
    </row>
    <row r="506" spans="1:82" ht="14.25" customHeight="1" outlineLevel="3" thickBot="1" x14ac:dyDescent="0.3">
      <c r="A506" s="10" t="b">
        <f t="array" ref="A506">A505</f>
        <v>1</v>
      </c>
      <c r="C506" s="154" t="s">
        <v>140</v>
      </c>
      <c r="D506" s="154" t="s">
        <v>141</v>
      </c>
      <c r="E506" s="154" t="s">
        <v>186</v>
      </c>
      <c r="F506" s="116" t="s">
        <v>74</v>
      </c>
      <c r="G506" s="154" t="s">
        <v>73</v>
      </c>
      <c r="H506" s="154" t="s">
        <v>73</v>
      </c>
      <c r="I506" s="154" t="s">
        <v>73</v>
      </c>
      <c r="J506" s="154" t="s">
        <v>73</v>
      </c>
      <c r="K506" s="154" t="s">
        <v>73</v>
      </c>
      <c r="L506" s="154"/>
      <c r="M506" s="5" t="str">
        <f t="array" ref="M506">Y458</f>
        <v>1ВО::1.1</v>
      </c>
      <c r="N506" s="116"/>
      <c r="AB506" s="403" t="str">
        <f>AB489&amp;".3"</f>
        <v>2.3</v>
      </c>
      <c r="AC506" s="305" t="s">
        <v>186</v>
      </c>
      <c r="AD506" s="422" t="s">
        <v>137</v>
      </c>
      <c r="AE506" s="66">
        <v>60174.777999999998</v>
      </c>
      <c r="AF506" s="67">
        <v>53511.555999999997</v>
      </c>
      <c r="AG506" s="67">
        <v>60721.131999999998</v>
      </c>
      <c r="AH506" s="68">
        <v>53511.555999999997</v>
      </c>
      <c r="AI506" s="146">
        <v>218.95</v>
      </c>
      <c r="AJ506" s="67">
        <v>148.33000000000001</v>
      </c>
      <c r="AK506" s="67">
        <v>225.84200000000001</v>
      </c>
      <c r="AL506" s="119">
        <v>148.33000000000001</v>
      </c>
      <c r="AM506" s="66"/>
      <c r="AN506" s="67"/>
      <c r="AO506" s="67"/>
      <c r="AP506" s="119"/>
      <c r="AQ506" s="66">
        <f>AQ504</f>
        <v>202.97</v>
      </c>
      <c r="AR506" s="67">
        <v>119.23</v>
      </c>
      <c r="AS506" s="67">
        <v>199</v>
      </c>
      <c r="AT506" s="119"/>
      <c r="AU506" s="66"/>
      <c r="AV506" s="67"/>
      <c r="AW506" s="67"/>
      <c r="AX506" s="119"/>
      <c r="AY506" s="66">
        <f>AY504</f>
        <v>274.77999999999997</v>
      </c>
      <c r="AZ506" s="67">
        <f>AZ504</f>
        <v>319.74</v>
      </c>
      <c r="BA506" s="67">
        <f>BA504</f>
        <v>250</v>
      </c>
      <c r="BB506" s="119"/>
      <c r="BC506" s="66">
        <v>0</v>
      </c>
      <c r="BD506" s="67"/>
      <c r="BE506" s="67">
        <v>0</v>
      </c>
      <c r="BF506" s="119">
        <v>0</v>
      </c>
      <c r="BG506" s="66">
        <v>2657</v>
      </c>
      <c r="BH506" s="67">
        <v>1971.38</v>
      </c>
      <c r="BI506" s="67">
        <v>2723.42</v>
      </c>
      <c r="BJ506" s="119">
        <v>1971.38</v>
      </c>
      <c r="BK506" s="66">
        <v>1191.194</v>
      </c>
      <c r="BL506" s="67">
        <v>1478.3309999999999</v>
      </c>
      <c r="BM506" s="67">
        <v>2385.232</v>
      </c>
      <c r="BN506" s="119">
        <f>BN504</f>
        <v>2210</v>
      </c>
      <c r="BO506" s="123"/>
      <c r="BP506" s="121"/>
      <c r="BQ506" s="121"/>
      <c r="BR506" s="122"/>
      <c r="BS506" s="123"/>
      <c r="BT506" s="121"/>
      <c r="BU506" s="121">
        <v>252.608</v>
      </c>
      <c r="BV506" s="124"/>
      <c r="BY506" s="125">
        <f t="shared" si="163"/>
        <v>64719.671999999999</v>
      </c>
      <c r="BZ506" s="126">
        <f t="shared" si="164"/>
        <v>57548.566999999995</v>
      </c>
      <c r="CA506" s="126">
        <f t="shared" si="165"/>
        <v>66757.233999999982</v>
      </c>
      <c r="CB506" s="127">
        <f t="shared" si="166"/>
        <v>57841.265999999996</v>
      </c>
    </row>
    <row r="507" spans="1:82" s="171" customFormat="1" ht="26.25" customHeight="1" x14ac:dyDescent="0.25">
      <c r="A507" s="166"/>
      <c r="B507" s="166"/>
      <c r="C507" s="167" t="s">
        <v>83</v>
      </c>
      <c r="D507" s="167" t="s">
        <v>84</v>
      </c>
      <c r="E507" s="167" t="s">
        <v>73</v>
      </c>
      <c r="F507" s="167" t="s">
        <v>74</v>
      </c>
      <c r="G507" s="167" t="s">
        <v>187</v>
      </c>
      <c r="H507" s="167" t="s">
        <v>73</v>
      </c>
      <c r="I507" s="167" t="s">
        <v>73</v>
      </c>
      <c r="J507" s="166"/>
      <c r="K507" s="168" t="s">
        <v>73</v>
      </c>
      <c r="L507" s="167" t="s">
        <v>133</v>
      </c>
      <c r="M507" s="166" t="str">
        <f t="array" ref="M507">Y458</f>
        <v>1ВО::1.1</v>
      </c>
      <c r="N507" s="166"/>
      <c r="O507" s="166"/>
      <c r="P507" s="166"/>
      <c r="Q507" s="166"/>
      <c r="R507" s="166"/>
      <c r="S507" s="166"/>
      <c r="T507" s="166"/>
      <c r="U507" s="166"/>
      <c r="V507" s="166"/>
      <c r="W507" s="166"/>
      <c r="X507" s="166"/>
      <c r="Y507" s="166"/>
      <c r="Z507" s="166"/>
      <c r="AA507" s="166"/>
      <c r="AB507" s="429">
        <f t="array" ref="AB507">IF($U458="Водоснабжение",AB472,AB489)+1</f>
        <v>3</v>
      </c>
      <c r="AC507" s="430" t="s">
        <v>187</v>
      </c>
      <c r="AD507" s="431" t="s">
        <v>111</v>
      </c>
      <c r="AE507" s="476">
        <f t="shared" ref="AE507:AO507" si="174">AE508+AE714+AE721+AE730</f>
        <v>1311006.5431379999</v>
      </c>
      <c r="AF507" s="433">
        <f t="shared" si="174"/>
        <v>1103501.4809999999</v>
      </c>
      <c r="AG507" s="433">
        <f t="shared" si="174"/>
        <v>1555308.101</v>
      </c>
      <c r="AH507" s="490">
        <f t="shared" si="174"/>
        <v>1320711.865772</v>
      </c>
      <c r="AI507" s="475">
        <f t="shared" si="174"/>
        <v>39392.546533999994</v>
      </c>
      <c r="AJ507" s="433">
        <f t="shared" si="174"/>
        <v>12048.095000000001</v>
      </c>
      <c r="AK507" s="433">
        <f t="shared" si="174"/>
        <v>33177.109735999999</v>
      </c>
      <c r="AL507" s="477">
        <f t="shared" si="174"/>
        <v>20770.700640999996</v>
      </c>
      <c r="AM507" s="476">
        <f t="shared" si="174"/>
        <v>0</v>
      </c>
      <c r="AN507" s="433">
        <f t="shared" si="174"/>
        <v>0</v>
      </c>
      <c r="AO507" s="433">
        <f t="shared" si="174"/>
        <v>0</v>
      </c>
      <c r="AP507" s="477">
        <f t="shared" ref="AP507" si="175">AP508+AP714+AP721+AP730</f>
        <v>0</v>
      </c>
      <c r="AQ507" s="476">
        <f t="shared" ref="AQ507:BV507" si="176">AQ508+AQ714+AQ721+AQ730</f>
        <v>18577.570000000003</v>
      </c>
      <c r="AR507" s="433">
        <f t="shared" si="176"/>
        <v>4480.51</v>
      </c>
      <c r="AS507" s="433">
        <f t="shared" si="176"/>
        <v>22426.359999999997</v>
      </c>
      <c r="AT507" s="477">
        <f t="shared" si="176"/>
        <v>19306.12945</v>
      </c>
      <c r="AU507" s="476">
        <f t="shared" si="176"/>
        <v>17474.441977080001</v>
      </c>
      <c r="AV507" s="433">
        <f t="shared" si="176"/>
        <v>3230.64003</v>
      </c>
      <c r="AW507" s="433">
        <f t="shared" si="176"/>
        <v>27240.790208000002</v>
      </c>
      <c r="AX507" s="477">
        <f t="shared" si="176"/>
        <v>22020.322822000006</v>
      </c>
      <c r="AY507" s="476">
        <f t="shared" si="176"/>
        <v>13173.109999999999</v>
      </c>
      <c r="AZ507" s="433">
        <f t="shared" si="176"/>
        <v>33782.65</v>
      </c>
      <c r="BA507" s="433">
        <f t="shared" si="176"/>
        <v>32004.46</v>
      </c>
      <c r="BB507" s="477">
        <f t="shared" si="176"/>
        <v>35071.437530131603</v>
      </c>
      <c r="BC507" s="476">
        <f t="shared" si="176"/>
        <v>31776.933135650001</v>
      </c>
      <c r="BD507" s="433">
        <f t="shared" si="176"/>
        <v>4942.0089226</v>
      </c>
      <c r="BE507" s="433">
        <f t="shared" si="176"/>
        <v>46772.987237000001</v>
      </c>
      <c r="BF507" s="477">
        <f t="shared" si="176"/>
        <v>41362.837787199998</v>
      </c>
      <c r="BG507" s="476">
        <f t="shared" si="176"/>
        <v>116763.590214</v>
      </c>
      <c r="BH507" s="433">
        <f t="shared" si="176"/>
        <v>103080.202234</v>
      </c>
      <c r="BI507" s="433">
        <f t="shared" si="176"/>
        <v>191178.28456</v>
      </c>
      <c r="BJ507" s="477">
        <f t="shared" si="176"/>
        <v>134783.86263355234</v>
      </c>
      <c r="BK507" s="476">
        <f t="shared" si="176"/>
        <v>141417.46606000001</v>
      </c>
      <c r="BL507" s="433">
        <f t="shared" si="176"/>
        <v>84550.8</v>
      </c>
      <c r="BM507" s="433">
        <f t="shared" si="176"/>
        <v>168947.4044</v>
      </c>
      <c r="BN507" s="477">
        <f>BN508+BN714+BN721+BN730</f>
        <v>98309.511740000016</v>
      </c>
      <c r="BO507" s="476">
        <f t="shared" si="176"/>
        <v>7592.1489999999994</v>
      </c>
      <c r="BP507" s="433">
        <f t="shared" si="176"/>
        <v>3779.11</v>
      </c>
      <c r="BQ507" s="433">
        <f t="shared" si="176"/>
        <v>10228.530000000002</v>
      </c>
      <c r="BR507" s="477">
        <f t="shared" si="176"/>
        <v>7706.6436079999994</v>
      </c>
      <c r="BS507" s="476">
        <f t="shared" si="176"/>
        <v>41187.152000000002</v>
      </c>
      <c r="BT507" s="433">
        <f t="shared" si="176"/>
        <v>23895.530000000006</v>
      </c>
      <c r="BU507" s="433">
        <f t="shared" si="176"/>
        <v>54894.993000000002</v>
      </c>
      <c r="BV507" s="490">
        <f t="shared" si="176"/>
        <v>24285.06</v>
      </c>
      <c r="BW507" s="170"/>
      <c r="BX507" s="166"/>
      <c r="BY507" s="436">
        <f t="shared" si="163"/>
        <v>1738361.50205873</v>
      </c>
      <c r="BZ507" s="437">
        <f t="shared" si="164"/>
        <v>1377291.0271865998</v>
      </c>
      <c r="CA507" s="437">
        <f t="shared" si="165"/>
        <v>2142179.0201409999</v>
      </c>
      <c r="CB507" s="438">
        <f t="shared" si="166"/>
        <v>1724328.3719838837</v>
      </c>
      <c r="CC507" s="760"/>
    </row>
    <row r="508" spans="1:82" s="171" customFormat="1" ht="27" customHeight="1" outlineLevel="1" x14ac:dyDescent="0.25">
      <c r="A508" s="166"/>
      <c r="B508" s="166"/>
      <c r="C508" s="167" t="s">
        <v>83</v>
      </c>
      <c r="D508" s="167" t="s">
        <v>84</v>
      </c>
      <c r="E508" s="167" t="s">
        <v>73</v>
      </c>
      <c r="F508" s="167" t="s">
        <v>74</v>
      </c>
      <c r="G508" s="167" t="s">
        <v>188</v>
      </c>
      <c r="H508" s="167" t="s">
        <v>73</v>
      </c>
      <c r="I508" s="167" t="s">
        <v>73</v>
      </c>
      <c r="J508" s="166"/>
      <c r="K508" s="168" t="s">
        <v>73</v>
      </c>
      <c r="L508" s="167" t="s">
        <v>133</v>
      </c>
      <c r="M508" s="166" t="str">
        <f t="array" ref="M508">Y458</f>
        <v>1ВО::1.1</v>
      </c>
      <c r="N508" s="166"/>
      <c r="O508" s="166"/>
      <c r="P508" s="166"/>
      <c r="Q508" s="166"/>
      <c r="R508" s="166"/>
      <c r="S508" s="166"/>
      <c r="T508" s="166"/>
      <c r="U508" s="166"/>
      <c r="V508" s="166"/>
      <c r="W508" s="166"/>
      <c r="X508" s="166"/>
      <c r="Y508" s="166"/>
      <c r="Z508" s="166"/>
      <c r="AA508" s="166"/>
      <c r="AB508" s="429" t="str">
        <f>AB507&amp;".1"</f>
        <v>3.1</v>
      </c>
      <c r="AC508" s="439" t="s">
        <v>188</v>
      </c>
      <c r="AD508" s="431" t="s">
        <v>111</v>
      </c>
      <c r="AE508" s="476">
        <f t="shared" ref="AE508:AO508" si="177">AE509+AE653+AE670</f>
        <v>1071054.5231379999</v>
      </c>
      <c r="AF508" s="433">
        <f t="shared" si="177"/>
        <v>1080986.3569999998</v>
      </c>
      <c r="AG508" s="433">
        <f t="shared" si="177"/>
        <v>1331194.2109999999</v>
      </c>
      <c r="AH508" s="490">
        <f t="shared" si="177"/>
        <v>1138538.7157719999</v>
      </c>
      <c r="AI508" s="475">
        <f t="shared" si="177"/>
        <v>18333.086533999998</v>
      </c>
      <c r="AJ508" s="433">
        <f t="shared" si="177"/>
        <v>12048.095000000001</v>
      </c>
      <c r="AK508" s="433">
        <f t="shared" si="177"/>
        <v>22027.379736000003</v>
      </c>
      <c r="AL508" s="477">
        <f t="shared" si="177"/>
        <v>20770.700640999996</v>
      </c>
      <c r="AM508" s="476">
        <f t="shared" si="177"/>
        <v>0</v>
      </c>
      <c r="AN508" s="433">
        <f t="shared" si="177"/>
        <v>0</v>
      </c>
      <c r="AO508" s="433">
        <f t="shared" si="177"/>
        <v>0</v>
      </c>
      <c r="AP508" s="477">
        <f t="shared" ref="AP508" si="178">AP509+AP653+AP670</f>
        <v>0</v>
      </c>
      <c r="AQ508" s="476">
        <f t="shared" ref="AQ508:BV508" si="179">AQ509+AQ653+AQ670</f>
        <v>18227.570000000003</v>
      </c>
      <c r="AR508" s="433">
        <f t="shared" si="179"/>
        <v>4480.51</v>
      </c>
      <c r="AS508" s="433">
        <f t="shared" si="179"/>
        <v>21664.859999999997</v>
      </c>
      <c r="AT508" s="477">
        <f t="shared" si="179"/>
        <v>19002.219450000001</v>
      </c>
      <c r="AU508" s="476">
        <f t="shared" si="179"/>
        <v>17268.231977080002</v>
      </c>
      <c r="AV508" s="433">
        <f t="shared" si="179"/>
        <v>3229.16003</v>
      </c>
      <c r="AW508" s="433">
        <f t="shared" si="179"/>
        <v>26799.190208000004</v>
      </c>
      <c r="AX508" s="477">
        <f t="shared" si="179"/>
        <v>21871.422822000004</v>
      </c>
      <c r="AY508" s="476">
        <f t="shared" si="179"/>
        <v>13118.88</v>
      </c>
      <c r="AZ508" s="433">
        <f t="shared" si="179"/>
        <v>33731.450000000004</v>
      </c>
      <c r="BA508" s="433">
        <f t="shared" si="179"/>
        <v>31852.75</v>
      </c>
      <c r="BB508" s="477">
        <f t="shared" si="179"/>
        <v>35071.437530131603</v>
      </c>
      <c r="BC508" s="476">
        <f t="shared" si="179"/>
        <v>31422.993135649998</v>
      </c>
      <c r="BD508" s="433">
        <f t="shared" si="179"/>
        <v>4942.0089226</v>
      </c>
      <c r="BE508" s="433">
        <f t="shared" si="179"/>
        <v>46287.837237</v>
      </c>
      <c r="BF508" s="477">
        <f t="shared" si="179"/>
        <v>41038.747787200002</v>
      </c>
      <c r="BG508" s="476">
        <f t="shared" si="179"/>
        <v>99491.435213999997</v>
      </c>
      <c r="BH508" s="433">
        <f t="shared" si="179"/>
        <v>103080.202234</v>
      </c>
      <c r="BI508" s="433">
        <f t="shared" si="179"/>
        <v>174692.67655999999</v>
      </c>
      <c r="BJ508" s="477">
        <f t="shared" si="179"/>
        <v>120806.86263355233</v>
      </c>
      <c r="BK508" s="476">
        <f t="shared" si="179"/>
        <v>94519.906059999994</v>
      </c>
      <c r="BL508" s="433">
        <f t="shared" si="179"/>
        <v>84550.8</v>
      </c>
      <c r="BM508" s="433">
        <f t="shared" si="179"/>
        <v>119321.4344</v>
      </c>
      <c r="BN508" s="477">
        <f t="shared" si="179"/>
        <v>98309.511740000016</v>
      </c>
      <c r="BO508" s="476">
        <f t="shared" si="179"/>
        <v>7572.6549999999997</v>
      </c>
      <c r="BP508" s="433">
        <f t="shared" si="179"/>
        <v>3779.11</v>
      </c>
      <c r="BQ508" s="433">
        <f t="shared" si="179"/>
        <v>10190.910000000002</v>
      </c>
      <c r="BR508" s="477">
        <f t="shared" si="179"/>
        <v>7706.6436079999994</v>
      </c>
      <c r="BS508" s="476">
        <f t="shared" si="179"/>
        <v>25265.538</v>
      </c>
      <c r="BT508" s="433">
        <f t="shared" si="179"/>
        <v>23895.530000000006</v>
      </c>
      <c r="BU508" s="433">
        <f t="shared" si="179"/>
        <v>38798.008000000002</v>
      </c>
      <c r="BV508" s="490">
        <f t="shared" si="179"/>
        <v>24019.25</v>
      </c>
      <c r="BW508" s="170"/>
      <c r="BX508" s="166"/>
      <c r="BY508" s="436">
        <f t="shared" si="163"/>
        <v>1396274.8190587298</v>
      </c>
      <c r="BZ508" s="437">
        <f t="shared" si="164"/>
        <v>1354723.2231865998</v>
      </c>
      <c r="CA508" s="437">
        <f t="shared" si="165"/>
        <v>1822829.2571409997</v>
      </c>
      <c r="CB508" s="438">
        <f t="shared" si="166"/>
        <v>1527135.5119838836</v>
      </c>
      <c r="CC508" s="760"/>
    </row>
    <row r="509" spans="1:82" s="171" customFormat="1" ht="22.5" customHeight="1" outlineLevel="2" x14ac:dyDescent="0.25">
      <c r="A509" s="166"/>
      <c r="B509" s="166"/>
      <c r="C509" s="167" t="s">
        <v>83</v>
      </c>
      <c r="D509" s="167" t="s">
        <v>84</v>
      </c>
      <c r="E509" s="167" t="s">
        <v>73</v>
      </c>
      <c r="F509" s="167" t="s">
        <v>74</v>
      </c>
      <c r="G509" s="167" t="s">
        <v>189</v>
      </c>
      <c r="H509" s="167" t="s">
        <v>73</v>
      </c>
      <c r="I509" s="167" t="s">
        <v>73</v>
      </c>
      <c r="J509" s="166"/>
      <c r="K509" s="168" t="s">
        <v>73</v>
      </c>
      <c r="L509" s="167" t="s">
        <v>133</v>
      </c>
      <c r="M509" s="166" t="str">
        <f t="array" ref="M509">Y458</f>
        <v>1ВО::1.1</v>
      </c>
      <c r="N509" s="166"/>
      <c r="O509" s="166"/>
      <c r="P509" s="166"/>
      <c r="Q509" s="166"/>
      <c r="R509" s="166"/>
      <c r="S509" s="166"/>
      <c r="T509" s="166"/>
      <c r="U509" s="166"/>
      <c r="V509" s="166"/>
      <c r="W509" s="166"/>
      <c r="X509" s="166"/>
      <c r="Y509" s="166"/>
      <c r="Z509" s="166"/>
      <c r="AA509" s="166"/>
      <c r="AB509" s="429" t="str">
        <f>AB508&amp;".1"</f>
        <v>3.1.1</v>
      </c>
      <c r="AC509" s="440" t="s">
        <v>190</v>
      </c>
      <c r="AD509" s="431" t="s">
        <v>111</v>
      </c>
      <c r="AE509" s="476">
        <f t="shared" ref="AE509:AO509" si="180">AE510+AE639+AE593+AE602</f>
        <v>783963.34213800007</v>
      </c>
      <c r="AF509" s="433">
        <f t="shared" si="180"/>
        <v>738752.39699999988</v>
      </c>
      <c r="AG509" s="433">
        <f t="shared" si="180"/>
        <v>924950.35999999987</v>
      </c>
      <c r="AH509" s="490">
        <f t="shared" si="180"/>
        <v>809719.98577199993</v>
      </c>
      <c r="AI509" s="475">
        <f t="shared" si="180"/>
        <v>12038.416573999997</v>
      </c>
      <c r="AJ509" s="433">
        <f t="shared" si="180"/>
        <v>4188.18</v>
      </c>
      <c r="AK509" s="433">
        <f t="shared" si="180"/>
        <v>14553.491236000002</v>
      </c>
      <c r="AL509" s="477">
        <f t="shared" si="180"/>
        <v>13625.972640999998</v>
      </c>
      <c r="AM509" s="476">
        <f t="shared" si="180"/>
        <v>0</v>
      </c>
      <c r="AN509" s="433">
        <f t="shared" si="180"/>
        <v>0</v>
      </c>
      <c r="AO509" s="433">
        <f t="shared" si="180"/>
        <v>0</v>
      </c>
      <c r="AP509" s="477">
        <f t="shared" ref="AP509" si="181">AP510+AP639+AP593+AP602</f>
        <v>0</v>
      </c>
      <c r="AQ509" s="476">
        <f t="shared" ref="AQ509:BV509" si="182">AQ510+AQ639+AQ593+AQ602</f>
        <v>16009.080000000002</v>
      </c>
      <c r="AR509" s="433">
        <f t="shared" si="182"/>
        <v>3423.18</v>
      </c>
      <c r="AS509" s="433">
        <f t="shared" si="182"/>
        <v>18734.289999999997</v>
      </c>
      <c r="AT509" s="477">
        <f t="shared" si="182"/>
        <v>18396.10599</v>
      </c>
      <c r="AU509" s="476">
        <f t="shared" si="182"/>
        <v>16615.764999999999</v>
      </c>
      <c r="AV509" s="433">
        <f t="shared" si="182"/>
        <v>3032.56</v>
      </c>
      <c r="AW509" s="433">
        <f t="shared" si="182"/>
        <v>25170.530000000002</v>
      </c>
      <c r="AX509" s="477">
        <f t="shared" si="182"/>
        <v>21663.803070000002</v>
      </c>
      <c r="AY509" s="476">
        <f t="shared" si="182"/>
        <v>12737.89</v>
      </c>
      <c r="AZ509" s="433">
        <f t="shared" si="182"/>
        <v>32840.19</v>
      </c>
      <c r="BA509" s="433">
        <f t="shared" si="182"/>
        <v>31336.32</v>
      </c>
      <c r="BB509" s="477">
        <f t="shared" si="182"/>
        <v>34169.888086131599</v>
      </c>
      <c r="BC509" s="476">
        <f t="shared" si="182"/>
        <v>30999.839167999999</v>
      </c>
      <c r="BD509" s="433">
        <f t="shared" si="182"/>
        <v>4607.2289226000003</v>
      </c>
      <c r="BE509" s="433">
        <f t="shared" si="182"/>
        <v>45436.784037000005</v>
      </c>
      <c r="BF509" s="477">
        <f t="shared" si="182"/>
        <v>40666.617791999997</v>
      </c>
      <c r="BG509" s="476">
        <f t="shared" si="182"/>
        <v>76662.515213999999</v>
      </c>
      <c r="BH509" s="433">
        <f t="shared" si="182"/>
        <v>79563.646234</v>
      </c>
      <c r="BI509" s="433">
        <f t="shared" si="182"/>
        <v>109296.40655999999</v>
      </c>
      <c r="BJ509" s="477">
        <f t="shared" si="182"/>
        <v>82785.162633552332</v>
      </c>
      <c r="BK509" s="476">
        <f t="shared" si="182"/>
        <v>62241.646059999999</v>
      </c>
      <c r="BL509" s="433">
        <f t="shared" si="182"/>
        <v>48538.14</v>
      </c>
      <c r="BM509" s="433">
        <f t="shared" si="182"/>
        <v>78490.594400000002</v>
      </c>
      <c r="BN509" s="477">
        <f>BN510+BN639+BN593+BN602</f>
        <v>60759.465740000007</v>
      </c>
      <c r="BO509" s="476">
        <f t="shared" si="182"/>
        <v>7475.5349999999999</v>
      </c>
      <c r="BP509" s="433">
        <f t="shared" si="182"/>
        <v>3779.11</v>
      </c>
      <c r="BQ509" s="433">
        <f t="shared" si="182"/>
        <v>10060.580000000002</v>
      </c>
      <c r="BR509" s="477">
        <f t="shared" si="182"/>
        <v>7706.6436079999994</v>
      </c>
      <c r="BS509" s="476">
        <f t="shared" si="182"/>
        <v>16552.007999999998</v>
      </c>
      <c r="BT509" s="433">
        <f t="shared" si="182"/>
        <v>16963.000000000004</v>
      </c>
      <c r="BU509" s="433">
        <f t="shared" si="182"/>
        <v>23953.387999999999</v>
      </c>
      <c r="BV509" s="490">
        <f t="shared" si="182"/>
        <v>17009.05</v>
      </c>
      <c r="BW509" s="170"/>
      <c r="BX509" s="166"/>
      <c r="BY509" s="436">
        <f t="shared" si="163"/>
        <v>1035296.0371540003</v>
      </c>
      <c r="BZ509" s="437">
        <f t="shared" si="164"/>
        <v>935687.63215660001</v>
      </c>
      <c r="CA509" s="437">
        <f t="shared" si="165"/>
        <v>1281982.7442330001</v>
      </c>
      <c r="CB509" s="438">
        <f t="shared" si="166"/>
        <v>1106502.6953326836</v>
      </c>
      <c r="CC509" s="760"/>
    </row>
    <row r="510" spans="1:82" s="171" customFormat="1" ht="24" customHeight="1" outlineLevel="3" x14ac:dyDescent="0.25">
      <c r="A510" s="166"/>
      <c r="B510" s="166"/>
      <c r="C510" s="167" t="s">
        <v>83</v>
      </c>
      <c r="D510" s="167" t="s">
        <v>84</v>
      </c>
      <c r="E510" s="167" t="s">
        <v>73</v>
      </c>
      <c r="F510" s="167" t="s">
        <v>74</v>
      </c>
      <c r="G510" s="167" t="s">
        <v>191</v>
      </c>
      <c r="H510" s="167" t="s">
        <v>73</v>
      </c>
      <c r="I510" s="167" t="s">
        <v>73</v>
      </c>
      <c r="J510" s="166"/>
      <c r="K510" s="168" t="s">
        <v>73</v>
      </c>
      <c r="L510" s="167" t="s">
        <v>192</v>
      </c>
      <c r="M510" s="166" t="str">
        <f t="array" ref="M510">Y458</f>
        <v>1ВО::1.1</v>
      </c>
      <c r="N510" s="166"/>
      <c r="O510" s="166"/>
      <c r="P510" s="166"/>
      <c r="Q510" s="166"/>
      <c r="R510" s="166"/>
      <c r="S510" s="166"/>
      <c r="T510" s="166"/>
      <c r="U510" s="166"/>
      <c r="V510" s="166"/>
      <c r="W510" s="166"/>
      <c r="X510" s="166"/>
      <c r="Y510" s="166"/>
      <c r="Z510" s="166"/>
      <c r="AA510" s="166"/>
      <c r="AB510" s="429" t="str">
        <f>AB509&amp;".1"</f>
        <v>3.1.1.1</v>
      </c>
      <c r="AC510" s="441" t="s">
        <v>193</v>
      </c>
      <c r="AD510" s="431" t="s">
        <v>111</v>
      </c>
      <c r="AE510" s="476">
        <f>AE511+AE515+AE516+AE522+AE523+AE531</f>
        <v>435524.31128000002</v>
      </c>
      <c r="AF510" s="433">
        <f>AF511+AF515+AF516+AF522+AF523+AF531</f>
        <v>463244.6</v>
      </c>
      <c r="AG510" s="433">
        <f>AG511+AG515+AG516+AG522+AG523+AG531</f>
        <v>585125.72</v>
      </c>
      <c r="AH510" s="490">
        <f>AH511+AH515+AH516+AH522+AH523+AH531</f>
        <v>470166.47009999998</v>
      </c>
      <c r="AI510" s="475">
        <f t="shared" ref="AI510:AO510" si="183">AI511+AI515+AI516+AI522+AI523+AI531</f>
        <v>11376.394639999999</v>
      </c>
      <c r="AJ510" s="433">
        <f t="shared" si="183"/>
        <v>3192.7300000000005</v>
      </c>
      <c r="AK510" s="433">
        <f t="shared" si="183"/>
        <v>13238.986700000001</v>
      </c>
      <c r="AL510" s="477">
        <f t="shared" si="183"/>
        <v>12722.464419999998</v>
      </c>
      <c r="AM510" s="476">
        <f t="shared" si="183"/>
        <v>0</v>
      </c>
      <c r="AN510" s="433">
        <f t="shared" si="183"/>
        <v>0</v>
      </c>
      <c r="AO510" s="433">
        <f t="shared" si="183"/>
        <v>0</v>
      </c>
      <c r="AP510" s="477">
        <f t="shared" ref="AP510" si="184">AP511+AP515+AP516+AP522+AP523+AP531</f>
        <v>0</v>
      </c>
      <c r="AQ510" s="476">
        <f t="shared" ref="AQ510:BV510" si="185">AQ511+AQ515+AQ516+AQ522+AQ523+AQ531</f>
        <v>5950.38</v>
      </c>
      <c r="AR510" s="433">
        <f t="shared" si="185"/>
        <v>1881.98</v>
      </c>
      <c r="AS510" s="433">
        <f t="shared" si="185"/>
        <v>8190.4599999999991</v>
      </c>
      <c r="AT510" s="477">
        <f t="shared" si="185"/>
        <v>6752.7688999999991</v>
      </c>
      <c r="AU510" s="476">
        <f t="shared" si="185"/>
        <v>6718.7350000000006</v>
      </c>
      <c r="AV510" s="433">
        <f t="shared" si="185"/>
        <v>1517.68</v>
      </c>
      <c r="AW510" s="433">
        <f t="shared" si="185"/>
        <v>10392.440000000002</v>
      </c>
      <c r="AX510" s="477">
        <f t="shared" si="185"/>
        <v>7595.5820119999998</v>
      </c>
      <c r="AY510" s="476">
        <f t="shared" si="185"/>
        <v>5612.33</v>
      </c>
      <c r="AZ510" s="433">
        <f t="shared" si="185"/>
        <v>5478.71</v>
      </c>
      <c r="BA510" s="433">
        <f t="shared" si="185"/>
        <v>10646.91</v>
      </c>
      <c r="BB510" s="477">
        <f t="shared" si="185"/>
        <v>5700.5448824015994</v>
      </c>
      <c r="BC510" s="476">
        <f t="shared" si="185"/>
        <v>15546.392759999999</v>
      </c>
      <c r="BD510" s="433">
        <f t="shared" si="185"/>
        <v>2918.2589226</v>
      </c>
      <c r="BE510" s="433">
        <f t="shared" si="185"/>
        <v>16851.256081</v>
      </c>
      <c r="BF510" s="477">
        <f t="shared" si="185"/>
        <v>14347.934919999998</v>
      </c>
      <c r="BG510" s="476">
        <f t="shared" si="185"/>
        <v>52623.043264</v>
      </c>
      <c r="BH510" s="433">
        <f t="shared" si="185"/>
        <v>30731.871739999999</v>
      </c>
      <c r="BI510" s="433">
        <f t="shared" si="185"/>
        <v>56424.502379999991</v>
      </c>
      <c r="BJ510" s="477">
        <f t="shared" si="185"/>
        <v>31976.677908035199</v>
      </c>
      <c r="BK510" s="476">
        <f t="shared" si="185"/>
        <v>45650.45</v>
      </c>
      <c r="BL510" s="433">
        <f t="shared" si="185"/>
        <v>32116.240000000005</v>
      </c>
      <c r="BM510" s="433">
        <f t="shared" si="185"/>
        <v>54257.37</v>
      </c>
      <c r="BN510" s="477">
        <f t="shared" si="185"/>
        <v>41681.037910000006</v>
      </c>
      <c r="BO510" s="476">
        <f t="shared" si="185"/>
        <v>5224.6880000000001</v>
      </c>
      <c r="BP510" s="433">
        <f t="shared" si="185"/>
        <v>3291.34</v>
      </c>
      <c r="BQ510" s="433">
        <f t="shared" si="185"/>
        <v>3819.0499999999997</v>
      </c>
      <c r="BR510" s="477">
        <f t="shared" si="185"/>
        <v>4761.0981999999995</v>
      </c>
      <c r="BS510" s="476">
        <f t="shared" si="185"/>
        <v>11483.74</v>
      </c>
      <c r="BT510" s="433">
        <f t="shared" si="185"/>
        <v>14465.12</v>
      </c>
      <c r="BU510" s="433">
        <f t="shared" si="185"/>
        <v>18383.808000000001</v>
      </c>
      <c r="BV510" s="490">
        <f t="shared" si="185"/>
        <v>11289.728689999998</v>
      </c>
      <c r="BW510" s="170"/>
      <c r="BX510" s="166"/>
      <c r="BY510" s="436">
        <f t="shared" si="163"/>
        <v>595710.46494400001</v>
      </c>
      <c r="BZ510" s="437">
        <f t="shared" si="164"/>
        <v>558838.53066259995</v>
      </c>
      <c r="CA510" s="437">
        <f t="shared" si="165"/>
        <v>777330.50316099986</v>
      </c>
      <c r="CB510" s="438">
        <f t="shared" si="166"/>
        <v>606994.30794243678</v>
      </c>
      <c r="CC510" s="760"/>
      <c r="CD510" s="1027"/>
    </row>
    <row r="511" spans="1:82" ht="16.5" customHeight="1" outlineLevel="4" x14ac:dyDescent="0.25">
      <c r="C511" s="10" t="s">
        <v>83</v>
      </c>
      <c r="D511" s="10" t="s">
        <v>84</v>
      </c>
      <c r="E511" s="10" t="s">
        <v>73</v>
      </c>
      <c r="F511" s="10" t="s">
        <v>74</v>
      </c>
      <c r="G511" s="10" t="s">
        <v>194</v>
      </c>
      <c r="H511" s="10" t="s">
        <v>73</v>
      </c>
      <c r="I511" s="10" t="s">
        <v>73</v>
      </c>
      <c r="K511" s="12" t="s">
        <v>73</v>
      </c>
      <c r="L511" s="10" t="s">
        <v>192</v>
      </c>
      <c r="M511" s="5" t="str">
        <f t="array" ref="M511">Y458</f>
        <v>1ВО::1.1</v>
      </c>
      <c r="AB511" s="403" t="str">
        <f>AB510&amp;".1"</f>
        <v>3.1.1.1.1</v>
      </c>
      <c r="AC511" s="442" t="s">
        <v>195</v>
      </c>
      <c r="AD511" s="32" t="s">
        <v>111</v>
      </c>
      <c r="AE511" s="72">
        <f t="shared" ref="AE511:AL511" si="186">AE512+AE513+AE514</f>
        <v>23370.521000000001</v>
      </c>
      <c r="AF511" s="73">
        <f t="shared" si="186"/>
        <v>5731.26</v>
      </c>
      <c r="AG511" s="73">
        <f t="shared" si="186"/>
        <v>25705.9</v>
      </c>
      <c r="AH511" s="74">
        <f>AH512+AH513+AH514</f>
        <v>18749.02</v>
      </c>
      <c r="AI511" s="179">
        <f t="shared" si="186"/>
        <v>449.99</v>
      </c>
      <c r="AJ511" s="73">
        <f t="shared" si="186"/>
        <v>0</v>
      </c>
      <c r="AK511" s="73">
        <f t="shared" si="186"/>
        <v>492.79</v>
      </c>
      <c r="AL511" s="138">
        <f t="shared" si="186"/>
        <v>430.87</v>
      </c>
      <c r="AM511" s="72"/>
      <c r="AN511" s="73"/>
      <c r="AO511" s="73"/>
      <c r="AP511" s="138"/>
      <c r="AQ511" s="72">
        <f>AQ512+AQ513+AQ514</f>
        <v>92.13</v>
      </c>
      <c r="AR511" s="73">
        <f>AR512+AR513+AR514</f>
        <v>112.55</v>
      </c>
      <c r="AS511" s="73">
        <f>AS512+AS513+AS514</f>
        <v>101.37</v>
      </c>
      <c r="AT511" s="138">
        <v>78.7</v>
      </c>
      <c r="AU511" s="72">
        <f>AU512+AU513+AU514</f>
        <v>481.07500000000005</v>
      </c>
      <c r="AV511" s="73">
        <f>AV512+AV513+AV514</f>
        <v>230.73</v>
      </c>
      <c r="AW511" s="73">
        <f>AW512+AW513+AW514</f>
        <v>529.36</v>
      </c>
      <c r="AX511" s="138">
        <v>340.17899999999997</v>
      </c>
      <c r="AY511" s="72">
        <f>AY512+AY513+AY514</f>
        <v>315.40999999999997</v>
      </c>
      <c r="AZ511" s="73">
        <f>AZ512+AZ513+AZ514</f>
        <v>0</v>
      </c>
      <c r="BA511" s="73">
        <f>BA512+BA513+BA514</f>
        <v>347.07</v>
      </c>
      <c r="BB511" s="138"/>
      <c r="BC511" s="72">
        <f>BC512+BC513+BC514</f>
        <v>815.38400000000001</v>
      </c>
      <c r="BD511" s="73">
        <f>BD512+BD513+BD514</f>
        <v>0</v>
      </c>
      <c r="BE511" s="73">
        <f>BE512+BE513+BE514</f>
        <v>766.06299999999999</v>
      </c>
      <c r="BF511" s="774">
        <f>BF513+BF514</f>
        <v>465.21</v>
      </c>
      <c r="BG511" s="72">
        <f>BG512+BG513+BG514</f>
        <v>2668.19</v>
      </c>
      <c r="BH511" s="73">
        <f>BH512+BH513+BH514</f>
        <v>325.74</v>
      </c>
      <c r="BI511" s="73">
        <f>BI512+BI513+BI514</f>
        <v>2929.6060000000002</v>
      </c>
      <c r="BJ511" s="138">
        <f>BJ513+BJ514</f>
        <v>339.70595520000001</v>
      </c>
      <c r="BK511" s="72">
        <f>BK512+BK513+BK514</f>
        <v>1876.44</v>
      </c>
      <c r="BL511" s="73">
        <f>BL512+BL513+BL514</f>
        <v>3334.76</v>
      </c>
      <c r="BM511" s="73">
        <f>BM512+BM513+BM514</f>
        <v>5347.76</v>
      </c>
      <c r="BN511" s="138">
        <f>BN512+BN513+BN514</f>
        <v>3623.9100000000003</v>
      </c>
      <c r="BO511" s="72">
        <f t="shared" ref="BO511:BU511" si="187">BO512+BO513+BO514</f>
        <v>327.98</v>
      </c>
      <c r="BP511" s="73">
        <f t="shared" si="187"/>
        <v>336.38</v>
      </c>
      <c r="BQ511" s="73">
        <f t="shared" si="187"/>
        <v>234.01999999999998</v>
      </c>
      <c r="BR511" s="138">
        <f t="shared" si="187"/>
        <v>56.225000000000001</v>
      </c>
      <c r="BS511" s="72">
        <f t="shared" si="187"/>
        <v>415.98500000000001</v>
      </c>
      <c r="BT511" s="73">
        <f t="shared" si="187"/>
        <v>181.82</v>
      </c>
      <c r="BU511" s="73">
        <f t="shared" si="187"/>
        <v>578.95000000000005</v>
      </c>
      <c r="BV511" s="74">
        <f>SUM(BV512:BV514)</f>
        <v>60.81</v>
      </c>
      <c r="BY511" s="125">
        <f t="shared" si="163"/>
        <v>30813.105</v>
      </c>
      <c r="BZ511" s="126">
        <f t="shared" si="164"/>
        <v>10253.24</v>
      </c>
      <c r="CA511" s="126">
        <f t="shared" si="165"/>
        <v>37032.888999999996</v>
      </c>
      <c r="CB511" s="127">
        <f t="shared" si="166"/>
        <v>24144.629955199998</v>
      </c>
      <c r="CD511" s="1025"/>
    </row>
    <row r="512" spans="1:82" ht="14.25" hidden="1" customHeight="1" outlineLevel="4" x14ac:dyDescent="0.25">
      <c r="C512" s="10" t="s">
        <v>83</v>
      </c>
      <c r="D512" s="10" t="s">
        <v>84</v>
      </c>
      <c r="E512" s="10" t="s">
        <v>73</v>
      </c>
      <c r="F512" s="10" t="s">
        <v>74</v>
      </c>
      <c r="G512" s="10" t="s">
        <v>196</v>
      </c>
      <c r="H512" s="10" t="s">
        <v>73</v>
      </c>
      <c r="I512" s="10" t="s">
        <v>73</v>
      </c>
      <c r="K512" s="12" t="s">
        <v>73</v>
      </c>
      <c r="L512" s="10" t="s">
        <v>192</v>
      </c>
      <c r="M512" s="5" t="str">
        <f t="array" ref="M512">Y458</f>
        <v>1ВО::1.1</v>
      </c>
      <c r="AB512" s="403" t="str">
        <f>AB511&amp;".1"</f>
        <v>3.1.1.1.1.1</v>
      </c>
      <c r="AC512" s="444" t="s">
        <v>196</v>
      </c>
      <c r="AD512" s="32" t="s">
        <v>111</v>
      </c>
      <c r="AE512" s="72"/>
      <c r="AF512" s="178"/>
      <c r="AG512" s="73"/>
      <c r="AH512" s="74"/>
      <c r="AI512" s="179"/>
      <c r="AJ512" s="178"/>
      <c r="AK512" s="73"/>
      <c r="AL512" s="138"/>
      <c r="AM512" s="72"/>
      <c r="AN512" s="178"/>
      <c r="AO512" s="73"/>
      <c r="AP512" s="138"/>
      <c r="AQ512" s="72"/>
      <c r="AR512" s="178"/>
      <c r="AS512" s="73"/>
      <c r="AT512" s="138"/>
      <c r="AU512" s="72"/>
      <c r="AV512" s="178"/>
      <c r="AW512" s="73"/>
      <c r="AX512" s="138"/>
      <c r="AY512" s="72"/>
      <c r="AZ512" s="178"/>
      <c r="BA512" s="73"/>
      <c r="BB512" s="138"/>
      <c r="BC512" s="72"/>
      <c r="BD512" s="178"/>
      <c r="BE512" s="73"/>
      <c r="BF512" s="774"/>
      <c r="BG512" s="72"/>
      <c r="BH512" s="178"/>
      <c r="BI512" s="73"/>
      <c r="BJ512" s="138"/>
      <c r="BK512" s="72"/>
      <c r="BL512" s="178"/>
      <c r="BM512" s="73"/>
      <c r="BN512" s="138"/>
      <c r="BO512" s="72"/>
      <c r="BP512" s="178"/>
      <c r="BQ512" s="73"/>
      <c r="BR512" s="138"/>
      <c r="BS512" s="72"/>
      <c r="BT512" s="178"/>
      <c r="BU512" s="73"/>
      <c r="BV512" s="74"/>
      <c r="BY512" s="125">
        <f t="shared" si="163"/>
        <v>0</v>
      </c>
      <c r="BZ512" s="126">
        <f t="shared" si="164"/>
        <v>0</v>
      </c>
      <c r="CA512" s="126">
        <f t="shared" si="165"/>
        <v>0</v>
      </c>
      <c r="CB512" s="127">
        <f t="shared" si="166"/>
        <v>0</v>
      </c>
    </row>
    <row r="513" spans="1:82" ht="14.25" customHeight="1" outlineLevel="4" x14ac:dyDescent="0.25">
      <c r="C513" s="10" t="s">
        <v>83</v>
      </c>
      <c r="D513" s="10" t="s">
        <v>84</v>
      </c>
      <c r="E513" s="10" t="s">
        <v>73</v>
      </c>
      <c r="F513" s="10" t="s">
        <v>74</v>
      </c>
      <c r="G513" s="10" t="s">
        <v>197</v>
      </c>
      <c r="H513" s="10" t="s">
        <v>73</v>
      </c>
      <c r="I513" s="10" t="s">
        <v>73</v>
      </c>
      <c r="K513" s="12" t="s">
        <v>73</v>
      </c>
      <c r="L513" s="10" t="s">
        <v>192</v>
      </c>
      <c r="M513" s="5" t="str">
        <f t="array" ref="M513">Y458</f>
        <v>1ВО::1.1</v>
      </c>
      <c r="AB513" s="403" t="str">
        <f>AB511&amp;".2"</f>
        <v>3.1.1.1.1.2</v>
      </c>
      <c r="AC513" s="444" t="s">
        <v>197</v>
      </c>
      <c r="AD513" s="32" t="s">
        <v>111</v>
      </c>
      <c r="AE513" s="95">
        <v>12094.290999999999</v>
      </c>
      <c r="AF513" s="178">
        <f>5393.55-18.66</f>
        <v>5374.89</v>
      </c>
      <c r="AG513" s="178">
        <v>13298.43</v>
      </c>
      <c r="AH513" s="96">
        <v>9705.2000000000007</v>
      </c>
      <c r="AI513" s="187">
        <v>9.99</v>
      </c>
      <c r="AJ513" s="178"/>
      <c r="AK513" s="178">
        <v>10.94</v>
      </c>
      <c r="AL513" s="181">
        <v>10.94</v>
      </c>
      <c r="AM513" s="95"/>
      <c r="AN513" s="178"/>
      <c r="AO513" s="178"/>
      <c r="AP513" s="181"/>
      <c r="AQ513" s="95">
        <v>71.52</v>
      </c>
      <c r="AR513" s="178">
        <v>30.95</v>
      </c>
      <c r="AS513" s="178">
        <v>78.69</v>
      </c>
      <c r="AT513" s="181">
        <v>78.7</v>
      </c>
      <c r="AU513" s="95">
        <v>309.12</v>
      </c>
      <c r="AV513" s="178">
        <v>78.09</v>
      </c>
      <c r="AW513" s="178">
        <v>340.17</v>
      </c>
      <c r="AX513" s="181">
        <v>340.17</v>
      </c>
      <c r="AY513" s="95">
        <v>302.27999999999997</v>
      </c>
      <c r="AZ513" s="178"/>
      <c r="BA513" s="178">
        <v>332.62</v>
      </c>
      <c r="BB513" s="181"/>
      <c r="BC513" s="95">
        <v>578.26599999999996</v>
      </c>
      <c r="BD513" s="178"/>
      <c r="BE513" s="178">
        <v>636.30799999999999</v>
      </c>
      <c r="BF513" s="210">
        <v>465.21</v>
      </c>
      <c r="BG513" s="95">
        <v>741.94</v>
      </c>
      <c r="BH513" s="178">
        <v>325.74</v>
      </c>
      <c r="BI513" s="178">
        <v>810.11900000000003</v>
      </c>
      <c r="BJ513" s="181">
        <f>BH513*1.04048+0.78</f>
        <v>339.70595520000001</v>
      </c>
      <c r="BK513" s="95">
        <v>891.97</v>
      </c>
      <c r="BL513" s="178">
        <v>3334.76</v>
      </c>
      <c r="BM513" s="178">
        <v>3556.36</v>
      </c>
      <c r="BN513" s="181">
        <v>3556.36</v>
      </c>
      <c r="BO513" s="185">
        <v>160.57</v>
      </c>
      <c r="BP513" s="183">
        <v>48.03</v>
      </c>
      <c r="BQ513" s="183">
        <v>100.97499999999999</v>
      </c>
      <c r="BR513" s="184">
        <v>56.225000000000001</v>
      </c>
      <c r="BS513" s="185">
        <v>206.185</v>
      </c>
      <c r="BT513" s="183">
        <v>90.4</v>
      </c>
      <c r="BU513" s="183">
        <v>348.1</v>
      </c>
      <c r="BV513" s="186">
        <v>60.81</v>
      </c>
      <c r="BY513" s="125">
        <f t="shared" si="163"/>
        <v>15366.132</v>
      </c>
      <c r="BZ513" s="126">
        <f t="shared" si="164"/>
        <v>9282.86</v>
      </c>
      <c r="CA513" s="126">
        <f t="shared" si="165"/>
        <v>19512.712</v>
      </c>
      <c r="CB513" s="127">
        <f t="shared" si="166"/>
        <v>14613.320955200001</v>
      </c>
      <c r="CD513" s="1025"/>
    </row>
    <row r="514" spans="1:82" ht="14.25" customHeight="1" outlineLevel="4" x14ac:dyDescent="0.25">
      <c r="C514" s="10" t="s">
        <v>83</v>
      </c>
      <c r="D514" s="10" t="s">
        <v>84</v>
      </c>
      <c r="E514" s="10" t="s">
        <v>73</v>
      </c>
      <c r="F514" s="10" t="s">
        <v>74</v>
      </c>
      <c r="G514" s="10" t="s">
        <v>198</v>
      </c>
      <c r="H514" s="10" t="s">
        <v>73</v>
      </c>
      <c r="I514" s="10" t="s">
        <v>73</v>
      </c>
      <c r="K514" s="12" t="s">
        <v>73</v>
      </c>
      <c r="L514" s="10" t="s">
        <v>192</v>
      </c>
      <c r="M514" s="5" t="str">
        <f t="array" ref="M514">Y458</f>
        <v>1ВО::1.1</v>
      </c>
      <c r="AB514" s="403" t="str">
        <f>AB511&amp;".3"</f>
        <v>3.1.1.1.1.3</v>
      </c>
      <c r="AC514" s="444" t="s">
        <v>198</v>
      </c>
      <c r="AD514" s="32" t="s">
        <v>111</v>
      </c>
      <c r="AE514" s="95">
        <v>11276.23</v>
      </c>
      <c r="AF514" s="178">
        <v>356.37</v>
      </c>
      <c r="AG514" s="178">
        <v>12407.47</v>
      </c>
      <c r="AH514" s="96">
        <v>9043.82</v>
      </c>
      <c r="AI514" s="187">
        <v>440</v>
      </c>
      <c r="AJ514" s="178"/>
      <c r="AK514" s="178">
        <v>481.85</v>
      </c>
      <c r="AL514" s="181">
        <v>419.93</v>
      </c>
      <c r="AM514" s="95"/>
      <c r="AN514" s="178"/>
      <c r="AO514" s="178"/>
      <c r="AP514" s="181"/>
      <c r="AQ514" s="95">
        <v>20.61</v>
      </c>
      <c r="AR514" s="178">
        <v>81.599999999999994</v>
      </c>
      <c r="AS514" s="178">
        <v>22.68</v>
      </c>
      <c r="AT514" s="181">
        <v>0</v>
      </c>
      <c r="AU514" s="95">
        <v>171.95500000000001</v>
      </c>
      <c r="AV514" s="178">
        <v>152.63999999999999</v>
      </c>
      <c r="AW514" s="178">
        <v>189.19</v>
      </c>
      <c r="AX514" s="181"/>
      <c r="AY514" s="95">
        <v>13.13</v>
      </c>
      <c r="AZ514" s="178"/>
      <c r="BA514" s="178">
        <v>14.45</v>
      </c>
      <c r="BB514" s="181"/>
      <c r="BC514" s="95">
        <v>237.11799999999999</v>
      </c>
      <c r="BD514" s="178"/>
      <c r="BE514" s="178">
        <v>129.755</v>
      </c>
      <c r="BF514" s="210">
        <v>0</v>
      </c>
      <c r="BG514" s="95">
        <v>1926.25</v>
      </c>
      <c r="BH514" s="178"/>
      <c r="BI514" s="178">
        <v>2119.4870000000001</v>
      </c>
      <c r="BJ514" s="181"/>
      <c r="BK514" s="95">
        <v>984.47</v>
      </c>
      <c r="BL514" s="178"/>
      <c r="BM514" s="178">
        <f>1536.46+254.94</f>
        <v>1791.4</v>
      </c>
      <c r="BN514" s="181">
        <v>67.55</v>
      </c>
      <c r="BO514" s="185">
        <v>167.41</v>
      </c>
      <c r="BP514" s="183">
        <v>288.35000000000002</v>
      </c>
      <c r="BQ514" s="183">
        <v>133.04499999999999</v>
      </c>
      <c r="BR514" s="184"/>
      <c r="BS514" s="185">
        <v>209.8</v>
      </c>
      <c r="BT514" s="183">
        <v>91.42</v>
      </c>
      <c r="BU514" s="183">
        <v>230.85</v>
      </c>
      <c r="BV514" s="186"/>
      <c r="BY514" s="125">
        <f t="shared" si="163"/>
        <v>15446.972999999998</v>
      </c>
      <c r="BZ514" s="126">
        <f t="shared" si="164"/>
        <v>970.38</v>
      </c>
      <c r="CA514" s="126">
        <f t="shared" si="165"/>
        <v>17520.177</v>
      </c>
      <c r="CB514" s="127">
        <f t="shared" si="166"/>
        <v>9531.2999999999993</v>
      </c>
    </row>
    <row r="515" spans="1:82" ht="30" customHeight="1" outlineLevel="4" x14ac:dyDescent="0.25">
      <c r="C515" s="10" t="s">
        <v>83</v>
      </c>
      <c r="D515" s="10" t="s">
        <v>84</v>
      </c>
      <c r="E515" s="10" t="s">
        <v>73</v>
      </c>
      <c r="F515" s="10" t="s">
        <v>74</v>
      </c>
      <c r="G515" s="10" t="s">
        <v>199</v>
      </c>
      <c r="H515" s="10" t="s">
        <v>73</v>
      </c>
      <c r="I515" s="10" t="s">
        <v>73</v>
      </c>
      <c r="K515" s="12" t="s">
        <v>73</v>
      </c>
      <c r="L515" s="10" t="s">
        <v>192</v>
      </c>
      <c r="M515" s="5" t="str">
        <f t="array" ref="M515">Y458</f>
        <v>1ВО::1.1</v>
      </c>
      <c r="AB515" s="403" t="str">
        <f>AB510&amp;".2"</f>
        <v>3.1.1.1.2</v>
      </c>
      <c r="AC515" s="442" t="s">
        <v>200</v>
      </c>
      <c r="AD515" s="32" t="s">
        <v>111</v>
      </c>
      <c r="AE515" s="95"/>
      <c r="AF515" s="178">
        <v>1027.3800000000001</v>
      </c>
      <c r="AG515" s="178">
        <v>1085.22</v>
      </c>
      <c r="AH515" s="96"/>
      <c r="AI515" s="187"/>
      <c r="AJ515" s="178"/>
      <c r="AK515" s="178"/>
      <c r="AL515" s="181"/>
      <c r="AM515" s="95"/>
      <c r="AN515" s="178"/>
      <c r="AO515" s="178"/>
      <c r="AP515" s="181"/>
      <c r="AQ515" s="95"/>
      <c r="AR515" s="178">
        <v>54.14</v>
      </c>
      <c r="AS515" s="178"/>
      <c r="AT515" s="181"/>
      <c r="AU515" s="95"/>
      <c r="AV515" s="178"/>
      <c r="AW515" s="178"/>
      <c r="AX515" s="181"/>
      <c r="AY515" s="95"/>
      <c r="AZ515" s="178"/>
      <c r="BA515" s="178"/>
      <c r="BB515" s="181"/>
      <c r="BC515" s="95"/>
      <c r="BD515" s="178"/>
      <c r="BE515" s="178"/>
      <c r="BF515" s="210"/>
      <c r="BG515" s="95"/>
      <c r="BH515" s="178"/>
      <c r="BI515" s="178"/>
      <c r="BJ515" s="181"/>
      <c r="BK515" s="95"/>
      <c r="BL515" s="178"/>
      <c r="BM515" s="178"/>
      <c r="BN515" s="181"/>
      <c r="BO515" s="95"/>
      <c r="BP515" s="178"/>
      <c r="BQ515" s="178"/>
      <c r="BR515" s="181"/>
      <c r="BS515" s="95"/>
      <c r="BT515" s="178"/>
      <c r="BU515" s="178"/>
      <c r="BV515" s="96"/>
      <c r="BY515" s="125">
        <f t="shared" si="163"/>
        <v>0</v>
      </c>
      <c r="BZ515" s="126">
        <f t="shared" si="164"/>
        <v>1081.5200000000002</v>
      </c>
      <c r="CA515" s="126">
        <f t="shared" si="165"/>
        <v>1085.22</v>
      </c>
      <c r="CB515" s="127">
        <f t="shared" si="166"/>
        <v>0</v>
      </c>
    </row>
    <row r="516" spans="1:82" ht="36" customHeight="1" outlineLevel="4" x14ac:dyDescent="0.25">
      <c r="C516" s="10" t="s">
        <v>83</v>
      </c>
      <c r="D516" s="10" t="s">
        <v>84</v>
      </c>
      <c r="E516" s="10" t="s">
        <v>73</v>
      </c>
      <c r="F516" s="10" t="s">
        <v>74</v>
      </c>
      <c r="G516" s="10" t="s">
        <v>201</v>
      </c>
      <c r="H516" s="10" t="s">
        <v>202</v>
      </c>
      <c r="I516" s="10" t="s">
        <v>73</v>
      </c>
      <c r="K516" s="12" t="s">
        <v>73</v>
      </c>
      <c r="L516" s="10" t="s">
        <v>192</v>
      </c>
      <c r="M516" s="5" t="str">
        <f t="array" ref="M516">Y458</f>
        <v>1ВО::1.1</v>
      </c>
      <c r="AB516" s="403" t="str">
        <f>AB510&amp;".3"</f>
        <v>3.1.1.1.3</v>
      </c>
      <c r="AC516" s="442" t="s">
        <v>203</v>
      </c>
      <c r="AD516" s="32" t="s">
        <v>111</v>
      </c>
      <c r="AE516" s="72">
        <f t="shared" ref="AE516:AL516" si="188">AE517+AE520</f>
        <v>324531.61828000005</v>
      </c>
      <c r="AF516" s="73">
        <f t="shared" si="188"/>
        <v>420816.72</v>
      </c>
      <c r="AG516" s="73">
        <f t="shared" si="188"/>
        <v>450934.6</v>
      </c>
      <c r="AH516" s="74">
        <f>AH517+AH520</f>
        <v>402360.38009999995</v>
      </c>
      <c r="AI516" s="179">
        <f t="shared" si="188"/>
        <v>9180.8186399999995</v>
      </c>
      <c r="AJ516" s="73">
        <f t="shared" si="188"/>
        <v>2774.7200000000003</v>
      </c>
      <c r="AK516" s="73">
        <f t="shared" si="188"/>
        <v>9929.9634000000005</v>
      </c>
      <c r="AL516" s="138">
        <f t="shared" si="188"/>
        <v>11569.204419999998</v>
      </c>
      <c r="AM516" s="72"/>
      <c r="AN516" s="73"/>
      <c r="AO516" s="73"/>
      <c r="AP516" s="138"/>
      <c r="AQ516" s="72">
        <f t="shared" ref="AQ516:BV516" si="189">AQ517+AQ520</f>
        <v>5221.8</v>
      </c>
      <c r="AR516" s="73">
        <f t="shared" si="189"/>
        <v>1715.29</v>
      </c>
      <c r="AS516" s="73">
        <f t="shared" si="189"/>
        <v>7278.95</v>
      </c>
      <c r="AT516" s="138">
        <f t="shared" si="189"/>
        <v>6580.2428999999993</v>
      </c>
      <c r="AU516" s="72">
        <f t="shared" si="189"/>
        <v>5664.1900000000005</v>
      </c>
      <c r="AV516" s="73">
        <f t="shared" si="189"/>
        <v>1286.95</v>
      </c>
      <c r="AW516" s="73">
        <f t="shared" si="189"/>
        <v>8826.69</v>
      </c>
      <c r="AX516" s="138">
        <f t="shared" si="189"/>
        <v>7118.8230119999998</v>
      </c>
      <c r="AY516" s="72">
        <f t="shared" si="189"/>
        <v>4736.22</v>
      </c>
      <c r="AZ516" s="73">
        <f t="shared" si="189"/>
        <v>5478.71</v>
      </c>
      <c r="BA516" s="73">
        <f t="shared" si="189"/>
        <v>9413.23</v>
      </c>
      <c r="BB516" s="138">
        <f t="shared" si="189"/>
        <v>5700.5448824015994</v>
      </c>
      <c r="BC516" s="72">
        <f t="shared" si="189"/>
        <v>10805.792759999998</v>
      </c>
      <c r="BD516" s="73">
        <f t="shared" si="189"/>
        <v>2918.2589226</v>
      </c>
      <c r="BE516" s="73">
        <f t="shared" si="189"/>
        <v>11598.171081</v>
      </c>
      <c r="BF516" s="774">
        <f t="shared" si="189"/>
        <v>13616.914919999999</v>
      </c>
      <c r="BG516" s="72">
        <f t="shared" si="189"/>
        <v>39742.029263999997</v>
      </c>
      <c r="BH516" s="73">
        <f t="shared" si="189"/>
        <v>27082.081739999998</v>
      </c>
      <c r="BI516" s="73">
        <f t="shared" si="189"/>
        <v>37814.233379999998</v>
      </c>
      <c r="BJ516" s="138">
        <f t="shared" si="189"/>
        <v>28178.364408835198</v>
      </c>
      <c r="BK516" s="72">
        <f t="shared" si="189"/>
        <v>30755.31</v>
      </c>
      <c r="BL516" s="73">
        <f t="shared" si="189"/>
        <v>28683.550000000003</v>
      </c>
      <c r="BM516" s="73">
        <f t="shared" si="189"/>
        <v>33840.68</v>
      </c>
      <c r="BN516" s="138">
        <f t="shared" si="189"/>
        <v>38008.90191</v>
      </c>
      <c r="BO516" s="142">
        <f t="shared" si="189"/>
        <v>3687.63</v>
      </c>
      <c r="BP516" s="140">
        <f t="shared" si="189"/>
        <v>2872.84</v>
      </c>
      <c r="BQ516" s="140">
        <f t="shared" si="189"/>
        <v>1649.33</v>
      </c>
      <c r="BR516" s="141">
        <f t="shared" si="189"/>
        <v>4646.9681999999993</v>
      </c>
      <c r="BS516" s="142">
        <f t="shared" si="189"/>
        <v>8728.15</v>
      </c>
      <c r="BT516" s="140">
        <f t="shared" si="189"/>
        <v>11815.03</v>
      </c>
      <c r="BU516" s="140">
        <f t="shared" si="189"/>
        <v>13678.778</v>
      </c>
      <c r="BV516" s="143">
        <f t="shared" si="189"/>
        <v>10998.768689999999</v>
      </c>
      <c r="BY516" s="125">
        <f t="shared" si="163"/>
        <v>443053.55894400005</v>
      </c>
      <c r="BZ516" s="126">
        <f t="shared" si="164"/>
        <v>505444.1506626</v>
      </c>
      <c r="CA516" s="126">
        <f t="shared" si="165"/>
        <v>584964.62586100004</v>
      </c>
      <c r="CB516" s="127">
        <f t="shared" si="166"/>
        <v>528779.1134432368</v>
      </c>
    </row>
    <row r="517" spans="1:82" ht="15.75" customHeight="1" outlineLevel="4" x14ac:dyDescent="0.25">
      <c r="C517" s="10" t="s">
        <v>83</v>
      </c>
      <c r="D517" s="10" t="s">
        <v>84</v>
      </c>
      <c r="E517" s="10" t="s">
        <v>73</v>
      </c>
      <c r="F517" s="10" t="s">
        <v>74</v>
      </c>
      <c r="G517" s="10" t="s">
        <v>204</v>
      </c>
      <c r="H517" s="10" t="s">
        <v>202</v>
      </c>
      <c r="I517" s="10" t="s">
        <v>73</v>
      </c>
      <c r="K517" s="12" t="s">
        <v>73</v>
      </c>
      <c r="L517" s="10" t="s">
        <v>192</v>
      </c>
      <c r="M517" s="5" t="str">
        <f t="array" ref="M517">Y458</f>
        <v>1ВО::1.1</v>
      </c>
      <c r="AB517" s="403" t="str">
        <f>AB516&amp;".1"</f>
        <v>3.1.1.1.3.1</v>
      </c>
      <c r="AC517" s="444" t="s">
        <v>205</v>
      </c>
      <c r="AD517" s="32" t="s">
        <v>111</v>
      </c>
      <c r="AE517" s="95">
        <f>252408.14-8207.56/2</f>
        <v>248304.36000000002</v>
      </c>
      <c r="AF517" s="178">
        <v>321975.74</v>
      </c>
      <c r="AG517" s="178">
        <v>346339.94</v>
      </c>
      <c r="AH517" s="96">
        <v>309032.55</v>
      </c>
      <c r="AI517" s="187">
        <v>7051.32</v>
      </c>
      <c r="AJ517" s="178">
        <v>2130.5700000000002</v>
      </c>
      <c r="AK517" s="178">
        <v>7626.7</v>
      </c>
      <c r="AL517" s="181">
        <v>8885.7099999999991</v>
      </c>
      <c r="AM517" s="95"/>
      <c r="AN517" s="178"/>
      <c r="AO517" s="178"/>
      <c r="AP517" s="181"/>
      <c r="AQ517" s="95">
        <v>4010.6</v>
      </c>
      <c r="AR517" s="178">
        <v>1317.42</v>
      </c>
      <c r="AS517" s="178">
        <v>5590.59</v>
      </c>
      <c r="AT517" s="181">
        <v>5053.95</v>
      </c>
      <c r="AU517" s="95">
        <v>4350.38</v>
      </c>
      <c r="AV517" s="178">
        <v>988.44</v>
      </c>
      <c r="AW517" s="178">
        <v>6779.33</v>
      </c>
      <c r="AX517" s="181">
        <v>5467.6059999999998</v>
      </c>
      <c r="AY517" s="95">
        <v>3637.65</v>
      </c>
      <c r="AZ517" s="178">
        <v>4207.92</v>
      </c>
      <c r="BA517" s="178">
        <v>7229.82</v>
      </c>
      <c r="BB517" s="181">
        <f>AZ517*1.04049</f>
        <v>4378.2986807999996</v>
      </c>
      <c r="BC517" s="95">
        <v>8299.3799999999992</v>
      </c>
      <c r="BD517" s="178">
        <v>2241.3663000000001</v>
      </c>
      <c r="BE517" s="178">
        <v>8907.9655000000002</v>
      </c>
      <c r="BF517" s="210">
        <v>10458.459999999999</v>
      </c>
      <c r="BG517" s="95">
        <v>30523.831999999999</v>
      </c>
      <c r="BH517" s="178">
        <v>20800.37</v>
      </c>
      <c r="BI517" s="178">
        <v>29043.19</v>
      </c>
      <c r="BJ517" s="181">
        <f>BH517*1.04048</f>
        <v>21642.368977599999</v>
      </c>
      <c r="BK517" s="95">
        <v>23621.59</v>
      </c>
      <c r="BL517" s="178">
        <v>22030.38</v>
      </c>
      <c r="BM517" s="178">
        <v>25991.31</v>
      </c>
      <c r="BN517" s="181">
        <v>29192.705000000002</v>
      </c>
      <c r="BO517" s="185">
        <v>2832.28</v>
      </c>
      <c r="BP517" s="183">
        <v>2206.48</v>
      </c>
      <c r="BQ517" s="183">
        <v>1266.77</v>
      </c>
      <c r="BR517" s="184">
        <v>3569.1</v>
      </c>
      <c r="BS517" s="185">
        <v>6703.65</v>
      </c>
      <c r="BT517" s="183">
        <v>9074.5300000000007</v>
      </c>
      <c r="BU517" s="183">
        <v>10505.974</v>
      </c>
      <c r="BV517" s="186">
        <v>8447.5949999999993</v>
      </c>
      <c r="BY517" s="125">
        <f t="shared" si="163"/>
        <v>339335.04200000013</v>
      </c>
      <c r="BZ517" s="126">
        <f t="shared" si="164"/>
        <v>386973.21629999997</v>
      </c>
      <c r="CA517" s="126">
        <f t="shared" si="165"/>
        <v>449281.58950000006</v>
      </c>
      <c r="CB517" s="127">
        <f t="shared" si="166"/>
        <v>406128.3436584</v>
      </c>
    </row>
    <row r="518" spans="1:82" s="115" customFormat="1" ht="15.75" customHeight="1" outlineLevel="4" x14ac:dyDescent="0.25">
      <c r="A518" s="100"/>
      <c r="B518" s="100"/>
      <c r="C518" s="99" t="s">
        <v>206</v>
      </c>
      <c r="D518" s="99" t="s">
        <v>207</v>
      </c>
      <c r="E518" s="99" t="s">
        <v>73</v>
      </c>
      <c r="F518" s="99" t="s">
        <v>74</v>
      </c>
      <c r="G518" s="99" t="s">
        <v>73</v>
      </c>
      <c r="H518" s="99" t="s">
        <v>202</v>
      </c>
      <c r="I518" s="99" t="s">
        <v>73</v>
      </c>
      <c r="J518" s="100"/>
      <c r="K518" s="102" t="s">
        <v>73</v>
      </c>
      <c r="L518" s="99" t="s">
        <v>192</v>
      </c>
      <c r="M518" s="100" t="str">
        <f t="array" ref="M518">Y458</f>
        <v>1ВО::1.1</v>
      </c>
      <c r="N518" s="100"/>
      <c r="O518" s="100"/>
      <c r="P518" s="100"/>
      <c r="Q518" s="100"/>
      <c r="R518" s="100"/>
      <c r="S518" s="100"/>
      <c r="T518" s="100"/>
      <c r="U518" s="100"/>
      <c r="V518" s="100"/>
      <c r="W518" s="100"/>
      <c r="X518" s="100"/>
      <c r="Y518" s="100"/>
      <c r="Z518" s="100"/>
      <c r="AA518" s="100"/>
      <c r="AB518" s="418" t="str">
        <f>AB517&amp;".1"</f>
        <v>3.1.1.1.3.1.1</v>
      </c>
      <c r="AC518" s="447" t="s">
        <v>208</v>
      </c>
      <c r="AD518" s="448" t="s">
        <v>209</v>
      </c>
      <c r="AE518" s="190">
        <f t="shared" ref="AE518:AL518" si="190">(AE517/AE519)/12*1000</f>
        <v>41869.749089437479</v>
      </c>
      <c r="AF518" s="191">
        <f t="shared" si="190"/>
        <v>50332.617368249914</v>
      </c>
      <c r="AG518" s="191">
        <f t="shared" si="190"/>
        <v>53756.12156205377</v>
      </c>
      <c r="AH518" s="192">
        <f t="shared" si="190"/>
        <v>47965.566213447571</v>
      </c>
      <c r="AI518" s="640">
        <f t="shared" si="190"/>
        <v>41034.217877094969</v>
      </c>
      <c r="AJ518" s="191">
        <f t="shared" si="190"/>
        <v>29890.151515151516</v>
      </c>
      <c r="AK518" s="191">
        <f t="shared" si="190"/>
        <v>44757.629107981222</v>
      </c>
      <c r="AL518" s="193">
        <f t="shared" si="190"/>
        <v>47014.338624338619</v>
      </c>
      <c r="AM518" s="190"/>
      <c r="AN518" s="191"/>
      <c r="AO518" s="191"/>
      <c r="AP518" s="193"/>
      <c r="AQ518" s="190">
        <f t="shared" ref="AQ518:BM518" si="191">(AQ517/AQ519)/12*1000</f>
        <v>38504.224270353305</v>
      </c>
      <c r="AR518" s="191">
        <f t="shared" si="191"/>
        <v>27446.250000000004</v>
      </c>
      <c r="AS518" s="191">
        <f t="shared" si="191"/>
        <v>40162.284482758623</v>
      </c>
      <c r="AT518" s="193">
        <f t="shared" si="191"/>
        <v>44100.785340314134</v>
      </c>
      <c r="AU518" s="190">
        <f t="shared" si="191"/>
        <v>50281.784558483596</v>
      </c>
      <c r="AV518" s="191">
        <f t="shared" si="191"/>
        <v>32948</v>
      </c>
      <c r="AW518" s="191">
        <f t="shared" si="191"/>
        <v>45195.53333333334</v>
      </c>
      <c r="AX518" s="193">
        <f t="shared" si="191"/>
        <v>57602.254530130638</v>
      </c>
      <c r="AY518" s="190">
        <f t="shared" si="191"/>
        <v>48814.412238325283</v>
      </c>
      <c r="AZ518" s="191">
        <f t="shared" si="191"/>
        <v>42504.242424242424</v>
      </c>
      <c r="BA518" s="191">
        <f t="shared" si="191"/>
        <v>44961.567164179105</v>
      </c>
      <c r="BB518" s="193">
        <f t="shared" si="191"/>
        <v>44225.239199999996</v>
      </c>
      <c r="BC518" s="190">
        <f t="shared" si="191"/>
        <v>51382.986627043087</v>
      </c>
      <c r="BD518" s="191">
        <f t="shared" si="191"/>
        <v>43948.358823529416</v>
      </c>
      <c r="BE518" s="191">
        <f t="shared" si="191"/>
        <v>44989.724747474756</v>
      </c>
      <c r="BF518" s="977">
        <f t="shared" si="191"/>
        <v>58847.963088003591</v>
      </c>
      <c r="BG518" s="190">
        <f t="shared" si="191"/>
        <v>53890.946327683618</v>
      </c>
      <c r="BH518" s="191">
        <f t="shared" si="191"/>
        <v>44297.576454553193</v>
      </c>
      <c r="BI518" s="191">
        <f t="shared" si="191"/>
        <v>55257.210806697112</v>
      </c>
      <c r="BJ518" s="193">
        <f t="shared" si="191"/>
        <v>46090.742349433502</v>
      </c>
      <c r="BK518" s="190">
        <f t="shared" si="191"/>
        <v>47720.383838383837</v>
      </c>
      <c r="BL518" s="191">
        <f t="shared" si="191"/>
        <v>45896.625</v>
      </c>
      <c r="BM518" s="191">
        <f t="shared" si="191"/>
        <v>54148.562500000007</v>
      </c>
      <c r="BN518" s="193">
        <f>(BN517/BN519)/12*1000-0.01</f>
        <v>54667.97689138577</v>
      </c>
      <c r="BO518" s="190">
        <f t="shared" ref="BO518:BV518" si="192">(BO517/BO519)/12*1000</f>
        <v>51309.420289855079</v>
      </c>
      <c r="BP518" s="191">
        <f t="shared" si="192"/>
        <v>36774.666666666672</v>
      </c>
      <c r="BQ518" s="191">
        <f t="shared" si="192"/>
        <v>46917.407407407409</v>
      </c>
      <c r="BR518" s="193">
        <f t="shared" si="192"/>
        <v>58779.644268774711</v>
      </c>
      <c r="BS518" s="190">
        <f t="shared" si="192"/>
        <v>45789.959016393448</v>
      </c>
      <c r="BT518" s="191">
        <f t="shared" si="192"/>
        <v>36443.895582329322</v>
      </c>
      <c r="BU518" s="191">
        <f t="shared" si="192"/>
        <v>42192.666666666664</v>
      </c>
      <c r="BV518" s="192">
        <f t="shared" si="192"/>
        <v>52456.501490312963</v>
      </c>
      <c r="BW518" s="111"/>
      <c r="BX518" s="100"/>
      <c r="BY518" s="112">
        <f>(BY517/BY519)/12*1000</f>
        <v>43549.381927011949</v>
      </c>
      <c r="BZ518" s="113">
        <f>(BZ517/BZ519)/12*1000</f>
        <v>48646.504789561011</v>
      </c>
      <c r="CA518" s="113">
        <f>(CA517/CA519)/12*1000</f>
        <v>52591.842194596633</v>
      </c>
      <c r="CB518" s="114">
        <f>(CB517/CB519)/12*1000</f>
        <v>48676.833273213684</v>
      </c>
      <c r="CC518" s="759"/>
    </row>
    <row r="519" spans="1:82" s="115" customFormat="1" ht="15.75" customHeight="1" outlineLevel="4" x14ac:dyDescent="0.25">
      <c r="A519" s="100"/>
      <c r="B519" s="100"/>
      <c r="C519" s="99" t="s">
        <v>210</v>
      </c>
      <c r="D519" s="99" t="s">
        <v>211</v>
      </c>
      <c r="E519" s="99" t="s">
        <v>73</v>
      </c>
      <c r="F519" s="99" t="s">
        <v>74</v>
      </c>
      <c r="G519" s="99" t="s">
        <v>73</v>
      </c>
      <c r="H519" s="99" t="s">
        <v>202</v>
      </c>
      <c r="I519" s="99" t="s">
        <v>73</v>
      </c>
      <c r="J519" s="100"/>
      <c r="K519" s="102" t="s">
        <v>73</v>
      </c>
      <c r="L519" s="99" t="s">
        <v>192</v>
      </c>
      <c r="M519" s="100" t="str">
        <f t="array" ref="M519">Y458</f>
        <v>1ВО::1.1</v>
      </c>
      <c r="N519" s="100"/>
      <c r="O519" s="100"/>
      <c r="P519" s="100"/>
      <c r="Q519" s="100"/>
      <c r="R519" s="100"/>
      <c r="S519" s="100"/>
      <c r="T519" s="100"/>
      <c r="U519" s="100"/>
      <c r="V519" s="100"/>
      <c r="W519" s="100"/>
      <c r="X519" s="100"/>
      <c r="Y519" s="100"/>
      <c r="Z519" s="100"/>
      <c r="AA519" s="100"/>
      <c r="AB519" s="418" t="str">
        <f>AB517&amp;".2"</f>
        <v>3.1.1.1.3.1.2</v>
      </c>
      <c r="AC519" s="447" t="s">
        <v>212</v>
      </c>
      <c r="AD519" s="448" t="s">
        <v>213</v>
      </c>
      <c r="AE519" s="199">
        <v>494.2</v>
      </c>
      <c r="AF519" s="200">
        <v>533.08000000000004</v>
      </c>
      <c r="AG519" s="200">
        <v>536.9</v>
      </c>
      <c r="AH519" s="201">
        <v>536.9</v>
      </c>
      <c r="AI519" s="933">
        <v>14.32</v>
      </c>
      <c r="AJ519" s="200">
        <v>5.94</v>
      </c>
      <c r="AK519" s="200">
        <v>14.2</v>
      </c>
      <c r="AL519" s="202">
        <v>15.75</v>
      </c>
      <c r="AM519" s="199"/>
      <c r="AN519" s="200"/>
      <c r="AO519" s="200"/>
      <c r="AP519" s="202"/>
      <c r="AQ519" s="199">
        <v>8.68</v>
      </c>
      <c r="AR519" s="200">
        <v>4</v>
      </c>
      <c r="AS519" s="200">
        <v>11.6</v>
      </c>
      <c r="AT519" s="202">
        <v>9.5500000000000007</v>
      </c>
      <c r="AU519" s="199">
        <v>7.21</v>
      </c>
      <c r="AV519" s="200">
        <v>2.5</v>
      </c>
      <c r="AW519" s="200">
        <v>12.5</v>
      </c>
      <c r="AX519" s="202">
        <v>7.91</v>
      </c>
      <c r="AY519" s="199">
        <v>6.21</v>
      </c>
      <c r="AZ519" s="200">
        <v>8.25</v>
      </c>
      <c r="BA519" s="200">
        <v>13.4</v>
      </c>
      <c r="BB519" s="202">
        <v>8.25</v>
      </c>
      <c r="BC519" s="199">
        <v>13.46</v>
      </c>
      <c r="BD519" s="200">
        <v>4.25</v>
      </c>
      <c r="BE519" s="200">
        <v>16.5</v>
      </c>
      <c r="BF519" s="978">
        <v>14.81</v>
      </c>
      <c r="BG519" s="199">
        <v>47.2</v>
      </c>
      <c r="BH519" s="200">
        <v>39.130000000000003</v>
      </c>
      <c r="BI519" s="200">
        <v>43.8</v>
      </c>
      <c r="BJ519" s="202">
        <v>39.130000000000003</v>
      </c>
      <c r="BK519" s="199">
        <v>41.25</v>
      </c>
      <c r="BL519" s="200">
        <v>40</v>
      </c>
      <c r="BM519" s="200">
        <v>40</v>
      </c>
      <c r="BN519" s="202">
        <v>44.5</v>
      </c>
      <c r="BO519" s="206">
        <v>4.5999999999999996</v>
      </c>
      <c r="BP519" s="204">
        <v>5</v>
      </c>
      <c r="BQ519" s="204">
        <v>2.25</v>
      </c>
      <c r="BR519" s="205">
        <v>5.0599999999999996</v>
      </c>
      <c r="BS519" s="206">
        <v>12.2</v>
      </c>
      <c r="BT519" s="204">
        <v>20.75</v>
      </c>
      <c r="BU519" s="204">
        <v>20.75</v>
      </c>
      <c r="BV519" s="207">
        <v>13.42</v>
      </c>
      <c r="BW519" s="111"/>
      <c r="BX519" s="100"/>
      <c r="BY519" s="112">
        <f t="shared" ref="BY519:CB520" si="193">AE519+AI519+AM519+AQ519+AU519+AY519+BC519+BG519+BK519+BO519+BS519</f>
        <v>649.33000000000015</v>
      </c>
      <c r="BZ519" s="113">
        <f t="shared" si="193"/>
        <v>662.90000000000009</v>
      </c>
      <c r="CA519" s="113">
        <f t="shared" si="193"/>
        <v>711.9</v>
      </c>
      <c r="CB519" s="114">
        <f t="shared" si="193"/>
        <v>695.27999999999975</v>
      </c>
      <c r="CC519" s="759"/>
    </row>
    <row r="520" spans="1:82" ht="30.75" customHeight="1" outlineLevel="4" x14ac:dyDescent="0.25">
      <c r="C520" s="10" t="s">
        <v>83</v>
      </c>
      <c r="D520" s="10" t="s">
        <v>84</v>
      </c>
      <c r="E520" s="10" t="s">
        <v>73</v>
      </c>
      <c r="F520" s="10" t="s">
        <v>74</v>
      </c>
      <c r="G520" s="10" t="s">
        <v>214</v>
      </c>
      <c r="H520" s="10" t="s">
        <v>202</v>
      </c>
      <c r="I520" s="10" t="s">
        <v>73</v>
      </c>
      <c r="K520" s="12" t="s">
        <v>73</v>
      </c>
      <c r="L520" s="10" t="s">
        <v>192</v>
      </c>
      <c r="M520" s="5" t="str">
        <f t="array" ref="M520">Y458</f>
        <v>1ВО::1.1</v>
      </c>
      <c r="AB520" s="403" t="str">
        <f>AB516&amp;".2"</f>
        <v>3.1.1.1.3.2</v>
      </c>
      <c r="AC520" s="444" t="s">
        <v>215</v>
      </c>
      <c r="AD520" s="32" t="s">
        <v>111</v>
      </c>
      <c r="AE520" s="95">
        <f>252408.14*0.302</f>
        <v>76227.258280000009</v>
      </c>
      <c r="AF520" s="178">
        <v>98840.98</v>
      </c>
      <c r="AG520" s="178">
        <v>104594.66</v>
      </c>
      <c r="AH520" s="96">
        <f>AH517/100*30.2</f>
        <v>93327.830099999992</v>
      </c>
      <c r="AI520" s="187">
        <f>AI517*0.302</f>
        <v>2129.4986399999998</v>
      </c>
      <c r="AJ520" s="178">
        <v>644.15</v>
      </c>
      <c r="AK520" s="178">
        <f>AK517*0.302</f>
        <v>2303.2633999999998</v>
      </c>
      <c r="AL520" s="181">
        <f>AL517*0.302+0.01</f>
        <v>2683.49442</v>
      </c>
      <c r="AM520" s="95"/>
      <c r="AN520" s="178"/>
      <c r="AO520" s="178"/>
      <c r="AP520" s="181"/>
      <c r="AQ520" s="95">
        <v>1211.2</v>
      </c>
      <c r="AR520" s="178">
        <v>397.87</v>
      </c>
      <c r="AS520" s="178">
        <v>1688.36</v>
      </c>
      <c r="AT520" s="181">
        <f>AT517*30.2%</f>
        <v>1526.2928999999999</v>
      </c>
      <c r="AU520" s="95">
        <v>1313.81</v>
      </c>
      <c r="AV520" s="178">
        <v>298.51</v>
      </c>
      <c r="AW520" s="178">
        <v>2047.36</v>
      </c>
      <c r="AX520" s="181">
        <f>AX517*30.2%</f>
        <v>1651.2170119999998</v>
      </c>
      <c r="AY520" s="95">
        <v>1098.57</v>
      </c>
      <c r="AZ520" s="178">
        <v>1270.79</v>
      </c>
      <c r="BA520" s="178">
        <v>2183.41</v>
      </c>
      <c r="BB520" s="181">
        <f t="shared" ref="BB520:BJ520" si="194">BB517*30.2%</f>
        <v>1322.2462016015998</v>
      </c>
      <c r="BC520" s="95">
        <f t="shared" si="194"/>
        <v>2506.4127599999997</v>
      </c>
      <c r="BD520" s="178">
        <f t="shared" si="194"/>
        <v>676.89262259999998</v>
      </c>
      <c r="BE520" s="178">
        <f t="shared" si="194"/>
        <v>2690.2055810000002</v>
      </c>
      <c r="BF520" s="210">
        <f t="shared" si="194"/>
        <v>3158.4549199999997</v>
      </c>
      <c r="BG520" s="95">
        <f t="shared" si="194"/>
        <v>9218.1972639999985</v>
      </c>
      <c r="BH520" s="178">
        <f t="shared" si="194"/>
        <v>6281.7117399999997</v>
      </c>
      <c r="BI520" s="178">
        <f t="shared" si="194"/>
        <v>8771.0433799999992</v>
      </c>
      <c r="BJ520" s="181">
        <f t="shared" si="194"/>
        <v>6535.9954312351992</v>
      </c>
      <c r="BK520" s="95">
        <v>7133.72</v>
      </c>
      <c r="BL520" s="178">
        <v>6653.17</v>
      </c>
      <c r="BM520" s="178">
        <v>7849.37</v>
      </c>
      <c r="BN520" s="181">
        <f>BN517*30.2%</f>
        <v>8816.1969100000006</v>
      </c>
      <c r="BO520" s="185">
        <v>855.35</v>
      </c>
      <c r="BP520" s="183">
        <v>666.36</v>
      </c>
      <c r="BQ520" s="183">
        <v>382.56</v>
      </c>
      <c r="BR520" s="184">
        <f>BR517*30.2%</f>
        <v>1077.8681999999999</v>
      </c>
      <c r="BS520" s="185">
        <v>2024.5</v>
      </c>
      <c r="BT520" s="183">
        <v>2740.5</v>
      </c>
      <c r="BU520" s="183">
        <v>3172.8040000000001</v>
      </c>
      <c r="BV520" s="186">
        <f>BV517*30.2%</f>
        <v>2551.1736899999996</v>
      </c>
      <c r="BY520" s="125">
        <f t="shared" si="193"/>
        <v>103718.51694400003</v>
      </c>
      <c r="BZ520" s="126">
        <f t="shared" si="193"/>
        <v>118470.93436259998</v>
      </c>
      <c r="CA520" s="126">
        <f t="shared" si="193"/>
        <v>135683.03636100001</v>
      </c>
      <c r="CB520" s="127">
        <f t="shared" si="193"/>
        <v>122650.76978483678</v>
      </c>
    </row>
    <row r="521" spans="1:82" ht="16.5" customHeight="1" outlineLevel="4" x14ac:dyDescent="0.25">
      <c r="C521" s="10" t="s">
        <v>216</v>
      </c>
      <c r="D521" s="10" t="s">
        <v>217</v>
      </c>
      <c r="E521" s="10" t="s">
        <v>73</v>
      </c>
      <c r="F521" s="10" t="s">
        <v>74</v>
      </c>
      <c r="G521" s="10" t="s">
        <v>73</v>
      </c>
      <c r="H521" s="10" t="s">
        <v>202</v>
      </c>
      <c r="I521" s="10" t="s">
        <v>73</v>
      </c>
      <c r="K521" s="12" t="s">
        <v>73</v>
      </c>
      <c r="L521" s="10" t="s">
        <v>192</v>
      </c>
      <c r="M521" s="5" t="str">
        <f t="array" ref="M521">Y458</f>
        <v>1ВО::1.1</v>
      </c>
      <c r="AB521" s="403" t="str">
        <f>AB520&amp;".1"</f>
        <v>3.1.1.1.3.2.1</v>
      </c>
      <c r="AC521" s="449" t="s">
        <v>218</v>
      </c>
      <c r="AD521" s="32" t="s">
        <v>119</v>
      </c>
      <c r="AE521" s="72">
        <v>30.2</v>
      </c>
      <c r="AF521" s="73">
        <v>30.2</v>
      </c>
      <c r="AG521" s="73">
        <v>30.2</v>
      </c>
      <c r="AH521" s="74">
        <v>30.2</v>
      </c>
      <c r="AI521" s="179">
        <f>AI520/AI517*100</f>
        <v>30.2</v>
      </c>
      <c r="AJ521" s="73">
        <v>30.2</v>
      </c>
      <c r="AK521" s="73">
        <f>AK520/AK517*100</f>
        <v>30.2</v>
      </c>
      <c r="AL521" s="138">
        <f>AL520/AL517*100</f>
        <v>30.200112540247208</v>
      </c>
      <c r="AM521" s="72"/>
      <c r="AN521" s="73"/>
      <c r="AO521" s="73"/>
      <c r="AP521" s="138"/>
      <c r="AQ521" s="72">
        <v>30.2</v>
      </c>
      <c r="AR521" s="73">
        <v>30.2</v>
      </c>
      <c r="AS521" s="73">
        <v>30.2</v>
      </c>
      <c r="AT521" s="138">
        <v>30.2</v>
      </c>
      <c r="AU521" s="72">
        <v>30.2</v>
      </c>
      <c r="AV521" s="73">
        <v>30.2</v>
      </c>
      <c r="AW521" s="73">
        <v>30.2</v>
      </c>
      <c r="AX521" s="138">
        <v>30.2</v>
      </c>
      <c r="AY521" s="72">
        <v>30.2</v>
      </c>
      <c r="AZ521" s="73">
        <v>30.2</v>
      </c>
      <c r="BA521" s="73">
        <v>30.2</v>
      </c>
      <c r="BB521" s="138">
        <v>30.2</v>
      </c>
      <c r="BC521" s="72">
        <v>30.2</v>
      </c>
      <c r="BD521" s="73">
        <v>30.2</v>
      </c>
      <c r="BE521" s="73">
        <v>30.2</v>
      </c>
      <c r="BF521" s="774">
        <v>30.2</v>
      </c>
      <c r="BG521" s="72">
        <v>30.2</v>
      </c>
      <c r="BH521" s="73">
        <v>30.2</v>
      </c>
      <c r="BI521" s="73">
        <v>30.2</v>
      </c>
      <c r="BJ521" s="138">
        <v>30.2</v>
      </c>
      <c r="BK521" s="72">
        <v>30.2</v>
      </c>
      <c r="BL521" s="73">
        <v>30.2</v>
      </c>
      <c r="BM521" s="73">
        <v>30.2</v>
      </c>
      <c r="BN521" s="138">
        <v>30.2</v>
      </c>
      <c r="BO521" s="142">
        <v>30.2</v>
      </c>
      <c r="BP521" s="140">
        <v>30.2</v>
      </c>
      <c r="BQ521" s="140">
        <v>30.2</v>
      </c>
      <c r="BR521" s="141">
        <v>30.2</v>
      </c>
      <c r="BS521" s="142">
        <v>30.2</v>
      </c>
      <c r="BT521" s="140">
        <v>30.2</v>
      </c>
      <c r="BU521" s="140">
        <v>30.2</v>
      </c>
      <c r="BV521" s="143">
        <v>30.2</v>
      </c>
      <c r="BY521" s="125">
        <v>30.2</v>
      </c>
      <c r="BZ521" s="126">
        <v>30.2</v>
      </c>
      <c r="CA521" s="126">
        <v>30.2</v>
      </c>
      <c r="CB521" s="127">
        <v>30.2</v>
      </c>
    </row>
    <row r="522" spans="1:82" ht="16.5" customHeight="1" outlineLevel="4" x14ac:dyDescent="0.25">
      <c r="C522" s="10" t="s">
        <v>83</v>
      </c>
      <c r="D522" s="10" t="s">
        <v>84</v>
      </c>
      <c r="E522" s="10" t="s">
        <v>73</v>
      </c>
      <c r="F522" s="10" t="s">
        <v>74</v>
      </c>
      <c r="G522" s="10" t="s">
        <v>219</v>
      </c>
      <c r="H522" s="10" t="s">
        <v>73</v>
      </c>
      <c r="I522" s="10" t="s">
        <v>73</v>
      </c>
      <c r="K522" s="12" t="s">
        <v>73</v>
      </c>
      <c r="L522" s="10" t="s">
        <v>192</v>
      </c>
      <c r="M522" s="5" t="str">
        <f t="array" ref="M522">Y458</f>
        <v>1ВО::1.1</v>
      </c>
      <c r="AB522" s="403" t="str">
        <f>AB510&amp;".4"</f>
        <v>3.1.1.1.4</v>
      </c>
      <c r="AC522" s="442" t="s">
        <v>220</v>
      </c>
      <c r="AD522" s="32" t="s">
        <v>111</v>
      </c>
      <c r="AE522" s="95">
        <v>31365.502</v>
      </c>
      <c r="AF522" s="178"/>
      <c r="AG522" s="178">
        <v>57201.49</v>
      </c>
      <c r="AH522" s="96"/>
      <c r="AI522" s="187">
        <v>141.82599999999999</v>
      </c>
      <c r="AJ522" s="178"/>
      <c r="AK522" s="178">
        <v>153.4033</v>
      </c>
      <c r="AL522" s="181"/>
      <c r="AM522" s="95"/>
      <c r="AN522" s="178"/>
      <c r="AO522" s="178"/>
      <c r="AP522" s="181"/>
      <c r="AQ522" s="95">
        <v>141.83000000000001</v>
      </c>
      <c r="AR522" s="178"/>
      <c r="AS522" s="178">
        <v>258.64999999999998</v>
      </c>
      <c r="AT522" s="181"/>
      <c r="AU522" s="95">
        <v>152.74</v>
      </c>
      <c r="AV522" s="178"/>
      <c r="AW522" s="178">
        <v>278.54000000000002</v>
      </c>
      <c r="AX522" s="181"/>
      <c r="AY522" s="95">
        <v>152.74</v>
      </c>
      <c r="AZ522" s="178"/>
      <c r="BA522" s="178">
        <v>278.54000000000002</v>
      </c>
      <c r="BB522" s="181"/>
      <c r="BC522" s="95">
        <v>120.01</v>
      </c>
      <c r="BD522" s="178"/>
      <c r="BE522" s="178">
        <v>218.86</v>
      </c>
      <c r="BF522" s="210"/>
      <c r="BG522" s="95">
        <v>2214.6799999999998</v>
      </c>
      <c r="BH522" s="178"/>
      <c r="BI522" s="178">
        <v>4038.92</v>
      </c>
      <c r="BJ522" s="181"/>
      <c r="BK522" s="95">
        <v>2072.85</v>
      </c>
      <c r="BL522" s="178"/>
      <c r="BM522" s="178">
        <v>2280.8000000000002</v>
      </c>
      <c r="BN522" s="181"/>
      <c r="BO522" s="450">
        <v>32.729999999999997</v>
      </c>
      <c r="BP522" s="49"/>
      <c r="BQ522" s="452">
        <v>59.685000000000002</v>
      </c>
      <c r="BR522" s="451"/>
      <c r="BS522" s="450">
        <v>120.01</v>
      </c>
      <c r="BT522" s="452">
        <v>134.01</v>
      </c>
      <c r="BU522" s="452">
        <v>218.86</v>
      </c>
      <c r="BV522" s="453"/>
      <c r="BY522" s="125">
        <f t="shared" ref="BY522:BY553" si="195">AE522+AI522+AM522+AQ522+AU522+AY522+BC522+BG522+BK522+BO522+BS522</f>
        <v>36514.918000000005</v>
      </c>
      <c r="BZ522" s="126">
        <f t="shared" ref="BZ522:BZ553" si="196">AF522+AJ522+AN522+AR522+AV522+AZ522+BD522+BH522+BL522+BP522+BT522</f>
        <v>134.01</v>
      </c>
      <c r="CA522" s="126">
        <f t="shared" ref="CA522:CB553" si="197">AG522+AK522+AO522+AS522+AW522+BA522+BE522+BI522+BM522+BQ522+BU522</f>
        <v>64987.748299999999</v>
      </c>
      <c r="CB522" s="127">
        <f t="shared" ref="CB522:CB530" si="198">AH522+AL522+AP522+AT522+AX522+BB522+BF522+BJ522+BN522+BR522+BV522</f>
        <v>0</v>
      </c>
    </row>
    <row r="523" spans="1:82" ht="18" customHeight="1" outlineLevel="4" x14ac:dyDescent="0.25">
      <c r="C523" s="10" t="s">
        <v>83</v>
      </c>
      <c r="D523" s="10" t="s">
        <v>84</v>
      </c>
      <c r="E523" s="10" t="s">
        <v>73</v>
      </c>
      <c r="F523" s="10" t="s">
        <v>74</v>
      </c>
      <c r="G523" s="10" t="s">
        <v>221</v>
      </c>
      <c r="H523" s="10" t="s">
        <v>73</v>
      </c>
      <c r="I523" s="10" t="s">
        <v>73</v>
      </c>
      <c r="K523" s="12" t="s">
        <v>73</v>
      </c>
      <c r="L523" s="10" t="s">
        <v>192</v>
      </c>
      <c r="M523" s="5" t="str">
        <f t="array" ref="M523">Y458</f>
        <v>1ВО::1.1</v>
      </c>
      <c r="AB523" s="403" t="str">
        <f>AB510&amp;".5"</f>
        <v>3.1.1.1.5</v>
      </c>
      <c r="AC523" s="442" t="s">
        <v>222</v>
      </c>
      <c r="AD523" s="32" t="s">
        <v>111</v>
      </c>
      <c r="AE523" s="72"/>
      <c r="AF523" s="178"/>
      <c r="AG523" s="178"/>
      <c r="AH523" s="96"/>
      <c r="AI523" s="179"/>
      <c r="AJ523" s="178"/>
      <c r="AK523" s="178"/>
      <c r="AL523" s="181"/>
      <c r="AM523" s="72"/>
      <c r="AN523" s="178"/>
      <c r="AO523" s="178"/>
      <c r="AP523" s="181"/>
      <c r="AQ523" s="72"/>
      <c r="AR523" s="178"/>
      <c r="AS523" s="178"/>
      <c r="AT523" s="181"/>
      <c r="AU523" s="72"/>
      <c r="AV523" s="178"/>
      <c r="AW523" s="178"/>
      <c r="AX523" s="181"/>
      <c r="AY523" s="72"/>
      <c r="AZ523" s="178"/>
      <c r="BA523" s="178"/>
      <c r="BB523" s="181"/>
      <c r="BC523" s="72"/>
      <c r="BD523" s="178"/>
      <c r="BE523" s="178"/>
      <c r="BF523" s="210"/>
      <c r="BG523" s="72"/>
      <c r="BH523" s="178"/>
      <c r="BI523" s="178"/>
      <c r="BJ523" s="181"/>
      <c r="BK523" s="72"/>
      <c r="BL523" s="178"/>
      <c r="BM523" s="178"/>
      <c r="BN523" s="181"/>
      <c r="BO523" s="72"/>
      <c r="BP523" s="178"/>
      <c r="BQ523" s="178"/>
      <c r="BR523" s="181"/>
      <c r="BS523" s="72"/>
      <c r="BT523" s="178"/>
      <c r="BU523" s="178"/>
      <c r="BV523" s="96"/>
      <c r="BY523" s="125">
        <f t="shared" si="195"/>
        <v>0</v>
      </c>
      <c r="BZ523" s="126">
        <f t="shared" si="196"/>
        <v>0</v>
      </c>
      <c r="CA523" s="126">
        <f t="shared" si="197"/>
        <v>0</v>
      </c>
      <c r="CB523" s="127">
        <f t="shared" si="198"/>
        <v>0</v>
      </c>
    </row>
    <row r="524" spans="1:82" ht="24" customHeight="1" outlineLevel="4" x14ac:dyDescent="0.25">
      <c r="A524" s="5" t="b">
        <f>[5]ИТОГ!$AC$55="нет"</f>
        <v>1</v>
      </c>
      <c r="C524" s="10" t="s">
        <v>83</v>
      </c>
      <c r="D524" s="10" t="s">
        <v>84</v>
      </c>
      <c r="E524" s="10" t="s">
        <v>73</v>
      </c>
      <c r="F524" s="10" t="s">
        <v>74</v>
      </c>
      <c r="G524" s="10" t="s">
        <v>201</v>
      </c>
      <c r="H524" s="10" t="s">
        <v>223</v>
      </c>
      <c r="I524" s="10" t="s">
        <v>73</v>
      </c>
      <c r="K524" s="12" t="s">
        <v>73</v>
      </c>
      <c r="L524" s="10" t="s">
        <v>224</v>
      </c>
      <c r="M524" s="5" t="str">
        <f t="array" ref="M524">Y458</f>
        <v>1ВО::1.1</v>
      </c>
      <c r="AB524" s="403" t="str">
        <f>AB523&amp;".1"</f>
        <v>3.1.1.1.5.1</v>
      </c>
      <c r="AC524" s="444" t="s">
        <v>225</v>
      </c>
      <c r="AD524" s="32" t="s">
        <v>111</v>
      </c>
      <c r="AE524" s="72"/>
      <c r="AF524" s="73"/>
      <c r="AG524" s="73"/>
      <c r="AH524" s="74"/>
      <c r="AI524" s="179"/>
      <c r="AJ524" s="73"/>
      <c r="AK524" s="73"/>
      <c r="AL524" s="138"/>
      <c r="AM524" s="72"/>
      <c r="AN524" s="73"/>
      <c r="AO524" s="73"/>
      <c r="AP524" s="138"/>
      <c r="AQ524" s="72"/>
      <c r="AR524" s="73"/>
      <c r="AS524" s="73"/>
      <c r="AT524" s="138"/>
      <c r="AU524" s="72"/>
      <c r="AV524" s="73"/>
      <c r="AW524" s="73"/>
      <c r="AX524" s="138"/>
      <c r="AY524" s="72"/>
      <c r="AZ524" s="73"/>
      <c r="BA524" s="73"/>
      <c r="BB524" s="138"/>
      <c r="BC524" s="72"/>
      <c r="BD524" s="73"/>
      <c r="BE524" s="73"/>
      <c r="BF524" s="774"/>
      <c r="BG524" s="72"/>
      <c r="BH524" s="73"/>
      <c r="BI524" s="73"/>
      <c r="BJ524" s="138"/>
      <c r="BK524" s="72"/>
      <c r="BL524" s="73"/>
      <c r="BM524" s="73"/>
      <c r="BN524" s="138"/>
      <c r="BO524" s="72"/>
      <c r="BP524" s="73"/>
      <c r="BQ524" s="73"/>
      <c r="BR524" s="138"/>
      <c r="BS524" s="72"/>
      <c r="BT524" s="73"/>
      <c r="BU524" s="73"/>
      <c r="BV524" s="74"/>
      <c r="BY524" s="125">
        <f t="shared" si="195"/>
        <v>0</v>
      </c>
      <c r="BZ524" s="126">
        <f t="shared" si="196"/>
        <v>0</v>
      </c>
      <c r="CA524" s="126">
        <f t="shared" si="197"/>
        <v>0</v>
      </c>
      <c r="CB524" s="127">
        <f t="shared" si="198"/>
        <v>0</v>
      </c>
    </row>
    <row r="525" spans="1:82" ht="14.25" customHeight="1" outlineLevel="4" x14ac:dyDescent="0.25">
      <c r="A525" s="5" t="b">
        <f t="array" ref="A525">A524</f>
        <v>1</v>
      </c>
      <c r="C525" s="10" t="s">
        <v>83</v>
      </c>
      <c r="D525" s="10" t="s">
        <v>84</v>
      </c>
      <c r="E525" s="10" t="s">
        <v>73</v>
      </c>
      <c r="F525" s="10" t="s">
        <v>74</v>
      </c>
      <c r="G525" s="10" t="s">
        <v>204</v>
      </c>
      <c r="H525" s="10" t="s">
        <v>223</v>
      </c>
      <c r="I525" s="10" t="s">
        <v>73</v>
      </c>
      <c r="K525" s="12" t="s">
        <v>73</v>
      </c>
      <c r="L525" s="10" t="s">
        <v>224</v>
      </c>
      <c r="M525" s="5" t="str">
        <f t="array" ref="M525">Y458</f>
        <v>1ВО::1.1</v>
      </c>
      <c r="AB525" s="403" t="str">
        <f>AB524&amp;".1"</f>
        <v>3.1.1.1.5.1.1</v>
      </c>
      <c r="AC525" s="454" t="s">
        <v>226</v>
      </c>
      <c r="AD525" s="32" t="s">
        <v>111</v>
      </c>
      <c r="AE525" s="72"/>
      <c r="AF525" s="178"/>
      <c r="AG525" s="178"/>
      <c r="AH525" s="96"/>
      <c r="AI525" s="179"/>
      <c r="AJ525" s="178"/>
      <c r="AK525" s="178"/>
      <c r="AL525" s="181"/>
      <c r="AM525" s="72"/>
      <c r="AN525" s="178"/>
      <c r="AO525" s="178"/>
      <c r="AP525" s="181"/>
      <c r="AQ525" s="72"/>
      <c r="AR525" s="178"/>
      <c r="AS525" s="178"/>
      <c r="AT525" s="181"/>
      <c r="AU525" s="72"/>
      <c r="AV525" s="178"/>
      <c r="AW525" s="178"/>
      <c r="AX525" s="181"/>
      <c r="AY525" s="72"/>
      <c r="AZ525" s="178"/>
      <c r="BA525" s="178"/>
      <c r="BB525" s="181"/>
      <c r="BC525" s="72"/>
      <c r="BD525" s="178"/>
      <c r="BE525" s="178"/>
      <c r="BF525" s="210"/>
      <c r="BG525" s="72"/>
      <c r="BH525" s="178"/>
      <c r="BI525" s="178"/>
      <c r="BJ525" s="181"/>
      <c r="BK525" s="72"/>
      <c r="BL525" s="178"/>
      <c r="BM525" s="178"/>
      <c r="BN525" s="181"/>
      <c r="BO525" s="72"/>
      <c r="BP525" s="178"/>
      <c r="BQ525" s="178"/>
      <c r="BR525" s="181"/>
      <c r="BS525" s="72"/>
      <c r="BT525" s="178"/>
      <c r="BU525" s="178"/>
      <c r="BV525" s="96"/>
      <c r="BY525" s="125">
        <f t="shared" si="195"/>
        <v>0</v>
      </c>
      <c r="BZ525" s="126">
        <f t="shared" si="196"/>
        <v>0</v>
      </c>
      <c r="CA525" s="126">
        <f t="shared" si="197"/>
        <v>0</v>
      </c>
      <c r="CB525" s="127">
        <f t="shared" si="198"/>
        <v>0</v>
      </c>
    </row>
    <row r="526" spans="1:82" ht="14.25" customHeight="1" outlineLevel="4" x14ac:dyDescent="0.25">
      <c r="A526" s="5" t="b">
        <f t="array" ref="A526">A525</f>
        <v>1</v>
      </c>
      <c r="C526" s="10" t="s">
        <v>206</v>
      </c>
      <c r="D526" s="10" t="s">
        <v>207</v>
      </c>
      <c r="E526" s="10" t="s">
        <v>73</v>
      </c>
      <c r="F526" s="10" t="s">
        <v>74</v>
      </c>
      <c r="G526" s="10" t="s">
        <v>73</v>
      </c>
      <c r="H526" s="10" t="s">
        <v>223</v>
      </c>
      <c r="I526" s="10" t="s">
        <v>73</v>
      </c>
      <c r="K526" s="12" t="s">
        <v>73</v>
      </c>
      <c r="L526" s="10" t="s">
        <v>224</v>
      </c>
      <c r="M526" s="5" t="str">
        <f t="array" ref="M526">Y458</f>
        <v>1ВО::1.1</v>
      </c>
      <c r="AB526" s="403" t="str">
        <f>AB525&amp;".1"</f>
        <v>3.1.1.1.5.1.1.1</v>
      </c>
      <c r="AC526" s="449" t="s">
        <v>208</v>
      </c>
      <c r="AD526" s="32" t="s">
        <v>209</v>
      </c>
      <c r="AE526" s="72"/>
      <c r="AF526" s="73"/>
      <c r="AG526" s="73"/>
      <c r="AH526" s="74"/>
      <c r="AI526" s="179"/>
      <c r="AJ526" s="73"/>
      <c r="AK526" s="73"/>
      <c r="AL526" s="138"/>
      <c r="AM526" s="72"/>
      <c r="AN526" s="73"/>
      <c r="AO526" s="73"/>
      <c r="AP526" s="138"/>
      <c r="AQ526" s="72"/>
      <c r="AR526" s="73"/>
      <c r="AS526" s="73"/>
      <c r="AT526" s="138"/>
      <c r="AU526" s="72"/>
      <c r="AV526" s="73"/>
      <c r="AW526" s="73"/>
      <c r="AX526" s="138"/>
      <c r="AY526" s="72"/>
      <c r="AZ526" s="73"/>
      <c r="BA526" s="73"/>
      <c r="BB526" s="138"/>
      <c r="BC526" s="72"/>
      <c r="BD526" s="73"/>
      <c r="BE526" s="73"/>
      <c r="BF526" s="774"/>
      <c r="BG526" s="72"/>
      <c r="BH526" s="73"/>
      <c r="BI526" s="73"/>
      <c r="BJ526" s="138"/>
      <c r="BK526" s="72"/>
      <c r="BL526" s="73"/>
      <c r="BM526" s="73"/>
      <c r="BN526" s="138"/>
      <c r="BO526" s="72"/>
      <c r="BP526" s="73"/>
      <c r="BQ526" s="73"/>
      <c r="BR526" s="138"/>
      <c r="BS526" s="72"/>
      <c r="BT526" s="73"/>
      <c r="BU526" s="73"/>
      <c r="BV526" s="74"/>
      <c r="BY526" s="125">
        <f t="shared" si="195"/>
        <v>0</v>
      </c>
      <c r="BZ526" s="126">
        <f t="shared" si="196"/>
        <v>0</v>
      </c>
      <c r="CA526" s="126">
        <f t="shared" si="197"/>
        <v>0</v>
      </c>
      <c r="CB526" s="127">
        <f t="shared" si="198"/>
        <v>0</v>
      </c>
    </row>
    <row r="527" spans="1:82" ht="14.25" customHeight="1" outlineLevel="4" x14ac:dyDescent="0.25">
      <c r="A527" s="5" t="b">
        <f t="array" ref="A527">A526</f>
        <v>1</v>
      </c>
      <c r="C527" s="10" t="s">
        <v>210</v>
      </c>
      <c r="D527" s="10" t="s">
        <v>211</v>
      </c>
      <c r="E527" s="10" t="s">
        <v>73</v>
      </c>
      <c r="F527" s="10" t="s">
        <v>74</v>
      </c>
      <c r="G527" s="10" t="s">
        <v>73</v>
      </c>
      <c r="H527" s="10" t="s">
        <v>223</v>
      </c>
      <c r="I527" s="10" t="s">
        <v>73</v>
      </c>
      <c r="K527" s="12" t="s">
        <v>73</v>
      </c>
      <c r="L527" s="10" t="s">
        <v>224</v>
      </c>
      <c r="M527" s="5" t="str">
        <f t="array" ref="M527">Y458</f>
        <v>1ВО::1.1</v>
      </c>
      <c r="AB527" s="403" t="str">
        <f>AB525&amp;".2"</f>
        <v>3.1.1.1.5.1.1.2</v>
      </c>
      <c r="AC527" s="449" t="s">
        <v>212</v>
      </c>
      <c r="AD527" s="32" t="s">
        <v>213</v>
      </c>
      <c r="AE527" s="72"/>
      <c r="AF527" s="178"/>
      <c r="AG527" s="178"/>
      <c r="AH527" s="96"/>
      <c r="AI527" s="179"/>
      <c r="AJ527" s="178"/>
      <c r="AK527" s="178"/>
      <c r="AL527" s="181"/>
      <c r="AM527" s="72"/>
      <c r="AN527" s="178"/>
      <c r="AO527" s="178"/>
      <c r="AP527" s="181"/>
      <c r="AQ527" s="72"/>
      <c r="AR527" s="178"/>
      <c r="AS527" s="178"/>
      <c r="AT527" s="181"/>
      <c r="AU527" s="72"/>
      <c r="AV527" s="178"/>
      <c r="AW527" s="178"/>
      <c r="AX527" s="181"/>
      <c r="AY527" s="72"/>
      <c r="AZ527" s="178"/>
      <c r="BA527" s="178"/>
      <c r="BB527" s="181"/>
      <c r="BC527" s="72"/>
      <c r="BD527" s="178"/>
      <c r="BE527" s="178"/>
      <c r="BF527" s="210"/>
      <c r="BG527" s="72"/>
      <c r="BH527" s="178"/>
      <c r="BI527" s="178"/>
      <c r="BJ527" s="181"/>
      <c r="BK527" s="72"/>
      <c r="BL527" s="178"/>
      <c r="BM527" s="178"/>
      <c r="BN527" s="181"/>
      <c r="BO527" s="72"/>
      <c r="BP527" s="178"/>
      <c r="BQ527" s="178"/>
      <c r="BR527" s="181"/>
      <c r="BS527" s="72"/>
      <c r="BT527" s="178"/>
      <c r="BU527" s="178"/>
      <c r="BV527" s="96"/>
      <c r="BY527" s="125">
        <f t="shared" si="195"/>
        <v>0</v>
      </c>
      <c r="BZ527" s="126">
        <f t="shared" si="196"/>
        <v>0</v>
      </c>
      <c r="CA527" s="126">
        <f t="shared" si="197"/>
        <v>0</v>
      </c>
      <c r="CB527" s="127">
        <f t="shared" si="198"/>
        <v>0</v>
      </c>
    </row>
    <row r="528" spans="1:82" ht="14.25" customHeight="1" outlineLevel="4" x14ac:dyDescent="0.25">
      <c r="A528" s="5" t="b">
        <f t="array" ref="A528">A527</f>
        <v>1</v>
      </c>
      <c r="C528" s="10" t="s">
        <v>83</v>
      </c>
      <c r="D528" s="10" t="s">
        <v>84</v>
      </c>
      <c r="E528" s="10" t="s">
        <v>73</v>
      </c>
      <c r="F528" s="10" t="s">
        <v>74</v>
      </c>
      <c r="G528" s="10" t="s">
        <v>214</v>
      </c>
      <c r="H528" s="10" t="s">
        <v>223</v>
      </c>
      <c r="I528" s="10" t="s">
        <v>73</v>
      </c>
      <c r="K528" s="12" t="s">
        <v>73</v>
      </c>
      <c r="L528" s="10" t="s">
        <v>224</v>
      </c>
      <c r="M528" s="5" t="str">
        <f t="array" ref="M528">Y458</f>
        <v>1ВО::1.1</v>
      </c>
      <c r="AB528" s="403" t="str">
        <f>AB524&amp;".2"</f>
        <v>3.1.1.1.5.1.2</v>
      </c>
      <c r="AC528" s="454" t="s">
        <v>227</v>
      </c>
      <c r="AD528" s="32" t="s">
        <v>111</v>
      </c>
      <c r="AE528" s="72"/>
      <c r="AF528" s="178"/>
      <c r="AG528" s="178"/>
      <c r="AH528" s="96"/>
      <c r="AI528" s="179"/>
      <c r="AJ528" s="178"/>
      <c r="AK528" s="178"/>
      <c r="AL528" s="181"/>
      <c r="AM528" s="72"/>
      <c r="AN528" s="178"/>
      <c r="AO528" s="178"/>
      <c r="AP528" s="181"/>
      <c r="AQ528" s="72"/>
      <c r="AR528" s="178"/>
      <c r="AS528" s="178"/>
      <c r="AT528" s="181"/>
      <c r="AU528" s="72"/>
      <c r="AV528" s="178"/>
      <c r="AW528" s="178"/>
      <c r="AX528" s="181"/>
      <c r="AY528" s="72"/>
      <c r="AZ528" s="178"/>
      <c r="BA528" s="178"/>
      <c r="BB528" s="181"/>
      <c r="BC528" s="72"/>
      <c r="BD528" s="178"/>
      <c r="BE528" s="178"/>
      <c r="BF528" s="210"/>
      <c r="BG528" s="72"/>
      <c r="BH528" s="178"/>
      <c r="BI528" s="178"/>
      <c r="BJ528" s="181"/>
      <c r="BK528" s="72"/>
      <c r="BL528" s="178"/>
      <c r="BM528" s="178"/>
      <c r="BN528" s="181"/>
      <c r="BO528" s="72"/>
      <c r="BP528" s="178"/>
      <c r="BQ528" s="178"/>
      <c r="BR528" s="181"/>
      <c r="BS528" s="72"/>
      <c r="BT528" s="178"/>
      <c r="BU528" s="178"/>
      <c r="BV528" s="96"/>
      <c r="BY528" s="125">
        <f t="shared" si="195"/>
        <v>0</v>
      </c>
      <c r="BZ528" s="126">
        <f t="shared" si="196"/>
        <v>0</v>
      </c>
      <c r="CA528" s="126">
        <f t="shared" si="197"/>
        <v>0</v>
      </c>
      <c r="CB528" s="127">
        <f t="shared" si="198"/>
        <v>0</v>
      </c>
    </row>
    <row r="529" spans="1:86" ht="14.25" customHeight="1" outlineLevel="4" x14ac:dyDescent="0.25">
      <c r="A529" s="5" t="b">
        <f t="array" ref="A529">A528</f>
        <v>1</v>
      </c>
      <c r="C529" s="10" t="s">
        <v>216</v>
      </c>
      <c r="D529" s="10" t="s">
        <v>217</v>
      </c>
      <c r="E529" s="10" t="s">
        <v>73</v>
      </c>
      <c r="F529" s="10" t="s">
        <v>74</v>
      </c>
      <c r="G529" s="10" t="s">
        <v>73</v>
      </c>
      <c r="H529" s="10" t="s">
        <v>223</v>
      </c>
      <c r="I529" s="10" t="s">
        <v>73</v>
      </c>
      <c r="K529" s="12" t="s">
        <v>73</v>
      </c>
      <c r="L529" s="10" t="s">
        <v>224</v>
      </c>
      <c r="M529" s="5" t="str">
        <f t="array" ref="M529">Y458</f>
        <v>1ВО::1.1</v>
      </c>
      <c r="AB529" s="403" t="str">
        <f>AB528&amp;".1"</f>
        <v>3.1.1.1.5.1.2.1</v>
      </c>
      <c r="AC529" s="449" t="s">
        <v>218</v>
      </c>
      <c r="AD529" s="32" t="s">
        <v>119</v>
      </c>
      <c r="AE529" s="72"/>
      <c r="AF529" s="73"/>
      <c r="AG529" s="73"/>
      <c r="AH529" s="74"/>
      <c r="AI529" s="179"/>
      <c r="AJ529" s="73"/>
      <c r="AK529" s="73"/>
      <c r="AL529" s="138"/>
      <c r="AM529" s="72"/>
      <c r="AN529" s="73"/>
      <c r="AO529" s="73"/>
      <c r="AP529" s="138"/>
      <c r="AQ529" s="72"/>
      <c r="AR529" s="73"/>
      <c r="AS529" s="73"/>
      <c r="AT529" s="138"/>
      <c r="AU529" s="72"/>
      <c r="AV529" s="73"/>
      <c r="AW529" s="73"/>
      <c r="AX529" s="138"/>
      <c r="AY529" s="72"/>
      <c r="AZ529" s="73"/>
      <c r="BA529" s="73"/>
      <c r="BB529" s="138"/>
      <c r="BC529" s="72"/>
      <c r="BD529" s="73"/>
      <c r="BE529" s="73"/>
      <c r="BF529" s="774"/>
      <c r="BG529" s="72"/>
      <c r="BH529" s="73"/>
      <c r="BI529" s="73"/>
      <c r="BJ529" s="138"/>
      <c r="BK529" s="72"/>
      <c r="BL529" s="73"/>
      <c r="BM529" s="73"/>
      <c r="BN529" s="138"/>
      <c r="BO529" s="72"/>
      <c r="BP529" s="73"/>
      <c r="BQ529" s="73"/>
      <c r="BR529" s="138"/>
      <c r="BS529" s="72"/>
      <c r="BT529" s="73"/>
      <c r="BU529" s="73"/>
      <c r="BV529" s="74"/>
      <c r="BY529" s="125">
        <f t="shared" si="195"/>
        <v>0</v>
      </c>
      <c r="BZ529" s="126">
        <f t="shared" si="196"/>
        <v>0</v>
      </c>
      <c r="CA529" s="126">
        <f t="shared" si="197"/>
        <v>0</v>
      </c>
      <c r="CB529" s="127">
        <f t="shared" si="198"/>
        <v>0</v>
      </c>
    </row>
    <row r="530" spans="1:86" ht="15" customHeight="1" outlineLevel="4" x14ac:dyDescent="0.25">
      <c r="A530" s="5" t="b">
        <f t="array" ref="A530">A529</f>
        <v>1</v>
      </c>
      <c r="C530" s="79" t="s">
        <v>83</v>
      </c>
      <c r="D530" s="79" t="s">
        <v>84</v>
      </c>
      <c r="E530" s="79" t="s">
        <v>73</v>
      </c>
      <c r="F530" s="10" t="s">
        <v>74</v>
      </c>
      <c r="G530" s="79" t="s">
        <v>228</v>
      </c>
      <c r="H530" s="79" t="s">
        <v>73</v>
      </c>
      <c r="I530" s="79" t="s">
        <v>73</v>
      </c>
      <c r="J530" s="79"/>
      <c r="K530" s="213" t="s">
        <v>73</v>
      </c>
      <c r="L530" s="79" t="s">
        <v>192</v>
      </c>
      <c r="M530" s="5" t="str">
        <f t="array" ref="M530">Y458</f>
        <v>1ВО::1.1</v>
      </c>
      <c r="AB530" s="403" t="str">
        <f>AB523&amp;".2"</f>
        <v>3.1.1.1.5.2</v>
      </c>
      <c r="AC530" s="444" t="s">
        <v>229</v>
      </c>
      <c r="AD530" s="32" t="s">
        <v>111</v>
      </c>
      <c r="AE530" s="72"/>
      <c r="AF530" s="73"/>
      <c r="AG530" s="73"/>
      <c r="AH530" s="74"/>
      <c r="AI530" s="179"/>
      <c r="AJ530" s="73"/>
      <c r="AK530" s="73"/>
      <c r="AL530" s="138"/>
      <c r="AM530" s="72"/>
      <c r="AN530" s="73"/>
      <c r="AO530" s="73"/>
      <c r="AP530" s="138"/>
      <c r="AQ530" s="72"/>
      <c r="AR530" s="73"/>
      <c r="AS530" s="73"/>
      <c r="AT530" s="138"/>
      <c r="AU530" s="72"/>
      <c r="AV530" s="73"/>
      <c r="AW530" s="73"/>
      <c r="AX530" s="138"/>
      <c r="AY530" s="72"/>
      <c r="AZ530" s="73"/>
      <c r="BA530" s="73"/>
      <c r="BB530" s="138"/>
      <c r="BC530" s="72"/>
      <c r="BD530" s="73"/>
      <c r="BE530" s="73"/>
      <c r="BF530" s="774"/>
      <c r="BG530" s="72"/>
      <c r="BH530" s="73"/>
      <c r="BI530" s="73"/>
      <c r="BJ530" s="138"/>
      <c r="BK530" s="72"/>
      <c r="BL530" s="73"/>
      <c r="BM530" s="73"/>
      <c r="BN530" s="138"/>
      <c r="BO530" s="72"/>
      <c r="BP530" s="73"/>
      <c r="BQ530" s="73"/>
      <c r="BR530" s="138"/>
      <c r="BS530" s="72"/>
      <c r="BT530" s="73"/>
      <c r="BU530" s="73"/>
      <c r="BV530" s="74"/>
      <c r="BY530" s="125">
        <f t="shared" si="195"/>
        <v>0</v>
      </c>
      <c r="BZ530" s="126">
        <f t="shared" si="196"/>
        <v>0</v>
      </c>
      <c r="CA530" s="126">
        <f t="shared" si="197"/>
        <v>0</v>
      </c>
      <c r="CB530" s="127">
        <f t="shared" si="198"/>
        <v>0</v>
      </c>
    </row>
    <row r="531" spans="1:86" s="1024" customFormat="1" ht="26.25" customHeight="1" outlineLevel="4" x14ac:dyDescent="0.25">
      <c r="A531" s="1019"/>
      <c r="B531" s="1019"/>
      <c r="C531" s="1020" t="s">
        <v>83</v>
      </c>
      <c r="D531" s="1020" t="s">
        <v>84</v>
      </c>
      <c r="E531" s="1020" t="s">
        <v>73</v>
      </c>
      <c r="F531" s="1020" t="s">
        <v>74</v>
      </c>
      <c r="G531" s="1020" t="s">
        <v>230</v>
      </c>
      <c r="H531" s="1020" t="s">
        <v>73</v>
      </c>
      <c r="I531" s="1020" t="s">
        <v>73</v>
      </c>
      <c r="J531" s="1019"/>
      <c r="K531" s="1022" t="s">
        <v>73</v>
      </c>
      <c r="L531" s="1020" t="s">
        <v>192</v>
      </c>
      <c r="M531" s="1019" t="str">
        <f t="array" ref="M531">Y458</f>
        <v>1ВО::1.1</v>
      </c>
      <c r="N531" s="1019"/>
      <c r="O531" s="1019"/>
      <c r="P531" s="1019"/>
      <c r="Q531" s="1019"/>
      <c r="R531" s="1019"/>
      <c r="S531" s="1019"/>
      <c r="T531" s="1019"/>
      <c r="U531" s="1019"/>
      <c r="V531" s="1019"/>
      <c r="W531" s="1019"/>
      <c r="X531" s="1019"/>
      <c r="Y531" s="1019"/>
      <c r="Z531" s="1019"/>
      <c r="AA531" s="1019"/>
      <c r="AB531" s="403" t="str">
        <f>AB510&amp;".6"</f>
        <v>3.1.1.1.6</v>
      </c>
      <c r="AC531" s="442" t="s">
        <v>231</v>
      </c>
      <c r="AD531" s="32" t="s">
        <v>111</v>
      </c>
      <c r="AE531" s="72">
        <f t="shared" ref="AE531:AK531" si="199">AE532+AE533+AE534+AE535+AE536+AE537+AE561+AE538</f>
        <v>56256.67</v>
      </c>
      <c r="AF531" s="73">
        <f t="shared" si="199"/>
        <v>35669.24</v>
      </c>
      <c r="AG531" s="73">
        <f t="shared" si="199"/>
        <v>50198.510000000009</v>
      </c>
      <c r="AH531" s="74">
        <f t="shared" si="199"/>
        <v>49057.070000000007</v>
      </c>
      <c r="AI531" s="179">
        <f t="shared" si="199"/>
        <v>1603.7599999999998</v>
      </c>
      <c r="AJ531" s="73">
        <f t="shared" si="199"/>
        <v>418.01</v>
      </c>
      <c r="AK531" s="73">
        <f t="shared" si="199"/>
        <v>2662.8299999999995</v>
      </c>
      <c r="AL531" s="138">
        <v>722.39</v>
      </c>
      <c r="AM531" s="72">
        <f t="shared" ref="AM531:BI531" si="200">AM532+AM533+AM534+AM535+AM536+AM537+AM561+AM538</f>
        <v>0</v>
      </c>
      <c r="AN531" s="73">
        <f t="shared" si="200"/>
        <v>0</v>
      </c>
      <c r="AO531" s="73">
        <f t="shared" si="200"/>
        <v>0</v>
      </c>
      <c r="AP531" s="138">
        <f t="shared" si="200"/>
        <v>0</v>
      </c>
      <c r="AQ531" s="72">
        <f t="shared" si="200"/>
        <v>494.62</v>
      </c>
      <c r="AR531" s="73">
        <f t="shared" si="200"/>
        <v>0</v>
      </c>
      <c r="AS531" s="73">
        <f t="shared" si="200"/>
        <v>551.49000000000012</v>
      </c>
      <c r="AT531" s="138">
        <f t="shared" si="200"/>
        <v>93.825999999999993</v>
      </c>
      <c r="AU531" s="72">
        <f t="shared" si="200"/>
        <v>420.73</v>
      </c>
      <c r="AV531" s="73">
        <f t="shared" si="200"/>
        <v>0</v>
      </c>
      <c r="AW531" s="73">
        <f t="shared" si="200"/>
        <v>757.85</v>
      </c>
      <c r="AX531" s="138">
        <f t="shared" si="200"/>
        <v>136.57999999999998</v>
      </c>
      <c r="AY531" s="72">
        <f t="shared" si="200"/>
        <v>407.96</v>
      </c>
      <c r="AZ531" s="73">
        <f t="shared" si="200"/>
        <v>0</v>
      </c>
      <c r="BA531" s="73">
        <f t="shared" si="200"/>
        <v>608.07000000000005</v>
      </c>
      <c r="BB531" s="138">
        <f t="shared" si="200"/>
        <v>0</v>
      </c>
      <c r="BC531" s="72">
        <f t="shared" si="200"/>
        <v>3805.2060000000001</v>
      </c>
      <c r="BD531" s="73">
        <f t="shared" si="200"/>
        <v>0</v>
      </c>
      <c r="BE531" s="73">
        <f t="shared" si="200"/>
        <v>4268.1619999999994</v>
      </c>
      <c r="BF531" s="138">
        <f t="shared" si="200"/>
        <v>265.81</v>
      </c>
      <c r="BG531" s="72">
        <f t="shared" si="200"/>
        <v>7998.1440000000002</v>
      </c>
      <c r="BH531" s="73">
        <f t="shared" si="200"/>
        <v>3324.05</v>
      </c>
      <c r="BI531" s="73">
        <f t="shared" si="200"/>
        <v>11641.742999999999</v>
      </c>
      <c r="BJ531" s="138">
        <f>SUM(BJ532:BJ538)+BJ561</f>
        <v>3458.6075440000004</v>
      </c>
      <c r="BK531" s="72">
        <f>BK532+BK533+BK534+BK535+BK536+BK537+BK561+BK538</f>
        <v>10945.85</v>
      </c>
      <c r="BL531" s="73">
        <f>BL532+BL533+BL534+BL535+BL536+BL537+BL561+BL538</f>
        <v>97.93</v>
      </c>
      <c r="BM531" s="73">
        <f>BM532+BM533+BM534+BM535+BM536+BM537+BM561+BM538</f>
        <v>12788.129999999997</v>
      </c>
      <c r="BN531" s="138">
        <v>48.225999999999999</v>
      </c>
      <c r="BO531" s="72">
        <f t="shared" ref="BO531:BU531" si="201">BO532+BO533+BO534+BO535+BO536+BO537+BO561+BO538</f>
        <v>1176.3479999999997</v>
      </c>
      <c r="BP531" s="73">
        <f t="shared" si="201"/>
        <v>82.12</v>
      </c>
      <c r="BQ531" s="73">
        <f t="shared" si="201"/>
        <v>1876.0149999999999</v>
      </c>
      <c r="BR531" s="138">
        <f t="shared" si="201"/>
        <v>57.905000000000001</v>
      </c>
      <c r="BS531" s="72">
        <f t="shared" si="201"/>
        <v>2219.5949999999998</v>
      </c>
      <c r="BT531" s="73">
        <f t="shared" si="201"/>
        <v>2334.2600000000002</v>
      </c>
      <c r="BU531" s="73">
        <f t="shared" si="201"/>
        <v>3907.22</v>
      </c>
      <c r="BV531" s="74">
        <f>SUM(BV532:BV538)+BV561</f>
        <v>230.15</v>
      </c>
      <c r="BW531" s="6"/>
      <c r="BX531" s="1019"/>
      <c r="BY531" s="125">
        <f t="shared" si="195"/>
        <v>85328.883000000002</v>
      </c>
      <c r="BZ531" s="126">
        <f t="shared" si="196"/>
        <v>41925.610000000008</v>
      </c>
      <c r="CA531" s="126">
        <f t="shared" si="197"/>
        <v>89260.02</v>
      </c>
      <c r="CB531" s="127">
        <f>AH531+AL531+AP531+AT531+AX531+BB531+BF531+BJ531+BN531+BR531+BV531</f>
        <v>54070.564544000008</v>
      </c>
      <c r="CC531" s="1023"/>
    </row>
    <row r="532" spans="1:86" ht="18" customHeight="1" outlineLevel="4" x14ac:dyDescent="0.25">
      <c r="C532" s="10" t="s">
        <v>83</v>
      </c>
      <c r="D532" s="10" t="s">
        <v>84</v>
      </c>
      <c r="E532" s="10" t="s">
        <v>73</v>
      </c>
      <c r="F532" s="10" t="s">
        <v>74</v>
      </c>
      <c r="G532" s="10" t="s">
        <v>232</v>
      </c>
      <c r="H532" s="10" t="s">
        <v>73</v>
      </c>
      <c r="I532" s="10" t="s">
        <v>73</v>
      </c>
      <c r="K532" s="12" t="s">
        <v>73</v>
      </c>
      <c r="L532" s="10" t="s">
        <v>192</v>
      </c>
      <c r="M532" s="5" t="str">
        <f t="array" ref="M532">Y458</f>
        <v>1ВО::1.1</v>
      </c>
      <c r="AB532" s="403" t="str">
        <f>AB531&amp;".1"</f>
        <v>3.1.1.1.6.1</v>
      </c>
      <c r="AC532" s="444" t="s">
        <v>233</v>
      </c>
      <c r="AD532" s="32" t="s">
        <v>111</v>
      </c>
      <c r="AE532" s="95"/>
      <c r="AF532" s="178"/>
      <c r="AG532" s="178"/>
      <c r="AH532" s="96"/>
      <c r="AI532" s="187"/>
      <c r="AJ532" s="178"/>
      <c r="AK532" s="178"/>
      <c r="AL532" s="181"/>
      <c r="AM532" s="95"/>
      <c r="AN532" s="178"/>
      <c r="AO532" s="178"/>
      <c r="AP532" s="181"/>
      <c r="AQ532" s="95"/>
      <c r="AR532" s="178"/>
      <c r="AS532" s="178"/>
      <c r="AT532" s="181"/>
      <c r="AU532" s="95"/>
      <c r="AV532" s="178"/>
      <c r="AW532" s="178"/>
      <c r="AX532" s="181"/>
      <c r="AY532" s="95"/>
      <c r="AZ532" s="178"/>
      <c r="BA532" s="178"/>
      <c r="BB532" s="181"/>
      <c r="BC532" s="95"/>
      <c r="BD532" s="178"/>
      <c r="BE532" s="178"/>
      <c r="BF532" s="210"/>
      <c r="BG532" s="95"/>
      <c r="BH532" s="178"/>
      <c r="BI532" s="178"/>
      <c r="BJ532" s="181"/>
      <c r="BK532" s="95"/>
      <c r="BL532" s="178"/>
      <c r="BM532" s="178"/>
      <c r="BN532" s="181"/>
      <c r="BO532" s="95"/>
      <c r="BP532" s="178"/>
      <c r="BQ532" s="178"/>
      <c r="BR532" s="181"/>
      <c r="BS532" s="95"/>
      <c r="BT532" s="178"/>
      <c r="BU532" s="178"/>
      <c r="BV532" s="96"/>
      <c r="BY532" s="125">
        <f t="shared" si="195"/>
        <v>0</v>
      </c>
      <c r="BZ532" s="126">
        <f t="shared" si="196"/>
        <v>0</v>
      </c>
      <c r="CA532" s="126">
        <f t="shared" si="197"/>
        <v>0</v>
      </c>
      <c r="CB532" s="127">
        <f t="shared" si="197"/>
        <v>0</v>
      </c>
    </row>
    <row r="533" spans="1:86" ht="42" customHeight="1" outlineLevel="4" x14ac:dyDescent="0.25">
      <c r="C533" s="10" t="s">
        <v>83</v>
      </c>
      <c r="D533" s="10" t="s">
        <v>84</v>
      </c>
      <c r="E533" s="10" t="s">
        <v>73</v>
      </c>
      <c r="F533" s="10" t="s">
        <v>74</v>
      </c>
      <c r="G533" s="10" t="s">
        <v>234</v>
      </c>
      <c r="H533" s="10" t="s">
        <v>73</v>
      </c>
      <c r="I533" s="10" t="s">
        <v>73</v>
      </c>
      <c r="K533" s="12" t="s">
        <v>73</v>
      </c>
      <c r="L533" s="10" t="s">
        <v>192</v>
      </c>
      <c r="M533" s="5" t="str">
        <f t="array" ref="M533">Y458</f>
        <v>1ВО::1.1</v>
      </c>
      <c r="AB533" s="403" t="str">
        <f>AB531&amp;".2"</f>
        <v>3.1.1.1.6.2</v>
      </c>
      <c r="AC533" s="444" t="s">
        <v>235</v>
      </c>
      <c r="AD533" s="32" t="s">
        <v>111</v>
      </c>
      <c r="AE533" s="95"/>
      <c r="AF533" s="178"/>
      <c r="AG533" s="178"/>
      <c r="AH533" s="96"/>
      <c r="AI533" s="187"/>
      <c r="AJ533" s="178"/>
      <c r="AK533" s="178"/>
      <c r="AL533" s="181"/>
      <c r="AM533" s="95"/>
      <c r="AN533" s="178"/>
      <c r="AO533" s="178"/>
      <c r="AP533" s="181"/>
      <c r="AQ533" s="95"/>
      <c r="AR533" s="178"/>
      <c r="AS533" s="178"/>
      <c r="AT533" s="181"/>
      <c r="AU533" s="95"/>
      <c r="AV533" s="178"/>
      <c r="AW533" s="178"/>
      <c r="AX533" s="181"/>
      <c r="AY533" s="95"/>
      <c r="AZ533" s="178"/>
      <c r="BA533" s="178"/>
      <c r="BB533" s="181"/>
      <c r="BC533" s="95"/>
      <c r="BD533" s="178"/>
      <c r="BE533" s="178"/>
      <c r="BF533" s="210"/>
      <c r="BG533" s="95"/>
      <c r="BH533" s="178"/>
      <c r="BI533" s="178"/>
      <c r="BJ533" s="181"/>
      <c r="BK533" s="95"/>
      <c r="BL533" s="178"/>
      <c r="BM533" s="178"/>
      <c r="BN533" s="181"/>
      <c r="BO533" s="95"/>
      <c r="BP533" s="178"/>
      <c r="BQ533" s="178"/>
      <c r="BR533" s="181"/>
      <c r="BS533" s="95"/>
      <c r="BT533" s="178"/>
      <c r="BU533" s="178"/>
      <c r="BV533" s="96"/>
      <c r="BY533" s="125">
        <f t="shared" si="195"/>
        <v>0</v>
      </c>
      <c r="BZ533" s="126">
        <f t="shared" si="196"/>
        <v>0</v>
      </c>
      <c r="CA533" s="126">
        <f t="shared" si="197"/>
        <v>0</v>
      </c>
      <c r="CB533" s="127">
        <f t="shared" si="197"/>
        <v>0</v>
      </c>
    </row>
    <row r="534" spans="1:86" ht="54" customHeight="1" outlineLevel="4" x14ac:dyDescent="0.25">
      <c r="C534" s="10" t="s">
        <v>83</v>
      </c>
      <c r="D534" s="10" t="s">
        <v>84</v>
      </c>
      <c r="E534" s="10" t="s">
        <v>73</v>
      </c>
      <c r="F534" s="10" t="s">
        <v>74</v>
      </c>
      <c r="G534" s="10" t="s">
        <v>236</v>
      </c>
      <c r="H534" s="10" t="s">
        <v>73</v>
      </c>
      <c r="I534" s="10" t="s">
        <v>73</v>
      </c>
      <c r="K534" s="12" t="s">
        <v>73</v>
      </c>
      <c r="L534" s="10" t="s">
        <v>192</v>
      </c>
      <c r="M534" s="5" t="str">
        <f t="array" ref="M534">Y458</f>
        <v>1ВО::1.1</v>
      </c>
      <c r="AB534" s="403" t="str">
        <f>AB531&amp;".3"</f>
        <v>3.1.1.1.6.3</v>
      </c>
      <c r="AC534" s="444" t="s">
        <v>237</v>
      </c>
      <c r="AD534" s="32" t="s">
        <v>111</v>
      </c>
      <c r="AE534" s="95"/>
      <c r="AF534" s="178"/>
      <c r="AG534" s="178"/>
      <c r="AH534" s="96"/>
      <c r="AI534" s="187"/>
      <c r="AJ534" s="178"/>
      <c r="AK534" s="178"/>
      <c r="AL534" s="181"/>
      <c r="AM534" s="95"/>
      <c r="AN534" s="178"/>
      <c r="AO534" s="178"/>
      <c r="AP534" s="181"/>
      <c r="AQ534" s="95"/>
      <c r="AR534" s="178"/>
      <c r="AS534" s="178"/>
      <c r="AT534" s="181"/>
      <c r="AU534" s="95"/>
      <c r="AV534" s="178"/>
      <c r="AW534" s="178"/>
      <c r="AX534" s="181"/>
      <c r="AY534" s="95"/>
      <c r="AZ534" s="178"/>
      <c r="BA534" s="178"/>
      <c r="BB534" s="181"/>
      <c r="BC534" s="95"/>
      <c r="BD534" s="178"/>
      <c r="BE534" s="178"/>
      <c r="BF534" s="210"/>
      <c r="BG534" s="95"/>
      <c r="BH534" s="178"/>
      <c r="BI534" s="178"/>
      <c r="BJ534" s="181"/>
      <c r="BK534" s="95"/>
      <c r="BL534" s="178"/>
      <c r="BM534" s="178"/>
      <c r="BN534" s="181"/>
      <c r="BO534" s="185"/>
      <c r="BP534" s="183"/>
      <c r="BQ534" s="183"/>
      <c r="BR534" s="184"/>
      <c r="BS534" s="185"/>
      <c r="BT534" s="183"/>
      <c r="BU534" s="183"/>
      <c r="BV534" s="186"/>
      <c r="BY534" s="125">
        <f t="shared" si="195"/>
        <v>0</v>
      </c>
      <c r="BZ534" s="126">
        <f t="shared" si="196"/>
        <v>0</v>
      </c>
      <c r="CA534" s="126">
        <f t="shared" si="197"/>
        <v>0</v>
      </c>
      <c r="CB534" s="127">
        <f t="shared" si="197"/>
        <v>0</v>
      </c>
    </row>
    <row r="535" spans="1:86" ht="46.5" customHeight="1" outlineLevel="4" x14ac:dyDescent="0.25">
      <c r="C535" s="10" t="s">
        <v>83</v>
      </c>
      <c r="D535" s="10" t="s">
        <v>84</v>
      </c>
      <c r="E535" s="10" t="s">
        <v>73</v>
      </c>
      <c r="F535" s="10" t="s">
        <v>74</v>
      </c>
      <c r="G535" s="10" t="s">
        <v>238</v>
      </c>
      <c r="H535" s="10" t="s">
        <v>73</v>
      </c>
      <c r="I535" s="10" t="s">
        <v>73</v>
      </c>
      <c r="K535" s="12" t="s">
        <v>73</v>
      </c>
      <c r="L535" s="10" t="s">
        <v>192</v>
      </c>
      <c r="M535" s="5" t="str">
        <f t="array" ref="M535">Y458</f>
        <v>1ВО::1.1</v>
      </c>
      <c r="AB535" s="403" t="str">
        <f>AB531&amp;".4"</f>
        <v>3.1.1.1.6.4</v>
      </c>
      <c r="AC535" s="444" t="s">
        <v>239</v>
      </c>
      <c r="AD535" s="32" t="s">
        <v>111</v>
      </c>
      <c r="AE535" s="95"/>
      <c r="AF535" s="178"/>
      <c r="AG535" s="178"/>
      <c r="AH535" s="96"/>
      <c r="AI535" s="187"/>
      <c r="AJ535" s="178"/>
      <c r="AK535" s="178"/>
      <c r="AL535" s="181"/>
      <c r="AM535" s="95"/>
      <c r="AN535" s="178"/>
      <c r="AO535" s="178"/>
      <c r="AP535" s="181"/>
      <c r="AQ535" s="95"/>
      <c r="AR535" s="178"/>
      <c r="AS535" s="178"/>
      <c r="AT535" s="181"/>
      <c r="AU535" s="95"/>
      <c r="AV535" s="178"/>
      <c r="AW535" s="178"/>
      <c r="AX535" s="181"/>
      <c r="AY535" s="95"/>
      <c r="AZ535" s="178"/>
      <c r="BA535" s="178"/>
      <c r="BB535" s="181"/>
      <c r="BC535" s="95"/>
      <c r="BD535" s="178"/>
      <c r="BE535" s="178"/>
      <c r="BF535" s="210"/>
      <c r="BG535" s="95"/>
      <c r="BH535" s="178"/>
      <c r="BI535" s="178"/>
      <c r="BJ535" s="181"/>
      <c r="BK535" s="95"/>
      <c r="BL535" s="178"/>
      <c r="BM535" s="178"/>
      <c r="BN535" s="181"/>
      <c r="BO535" s="185"/>
      <c r="BP535" s="183"/>
      <c r="BQ535" s="183"/>
      <c r="BR535" s="184"/>
      <c r="BS535" s="185"/>
      <c r="BT535" s="183"/>
      <c r="BU535" s="183"/>
      <c r="BV535" s="186"/>
      <c r="BY535" s="125">
        <f t="shared" si="195"/>
        <v>0</v>
      </c>
      <c r="BZ535" s="126">
        <f t="shared" si="196"/>
        <v>0</v>
      </c>
      <c r="CA535" s="126">
        <f t="shared" si="197"/>
        <v>0</v>
      </c>
      <c r="CB535" s="127">
        <f t="shared" si="197"/>
        <v>0</v>
      </c>
    </row>
    <row r="536" spans="1:86" s="211" customFormat="1" ht="111.75" customHeight="1" outlineLevel="4" x14ac:dyDescent="0.25">
      <c r="A536" s="6"/>
      <c r="B536" s="6"/>
      <c r="C536" s="116" t="s">
        <v>83</v>
      </c>
      <c r="D536" s="116" t="s">
        <v>84</v>
      </c>
      <c r="E536" s="116" t="s">
        <v>73</v>
      </c>
      <c r="F536" s="116" t="s">
        <v>74</v>
      </c>
      <c r="G536" s="116" t="s">
        <v>240</v>
      </c>
      <c r="H536" s="116" t="s">
        <v>73</v>
      </c>
      <c r="I536" s="116" t="s">
        <v>73</v>
      </c>
      <c r="J536" s="6"/>
      <c r="K536" s="209" t="s">
        <v>73</v>
      </c>
      <c r="L536" s="116" t="s">
        <v>192</v>
      </c>
      <c r="M536" s="6" t="str">
        <f t="array" ref="M536">Y458</f>
        <v>1ВО::1.1</v>
      </c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403" t="str">
        <f>AB531&amp;".5"</f>
        <v>3.1.1.1.6.5</v>
      </c>
      <c r="AC536" s="444" t="s">
        <v>241</v>
      </c>
      <c r="AD536" s="32" t="s">
        <v>111</v>
      </c>
      <c r="AE536" s="95">
        <v>995.18</v>
      </c>
      <c r="AF536" s="178">
        <v>1556.59</v>
      </c>
      <c r="AG536" s="178">
        <v>1095.02</v>
      </c>
      <c r="AH536" s="96"/>
      <c r="AI536" s="187"/>
      <c r="AJ536" s="178"/>
      <c r="AK536" s="178"/>
      <c r="AL536" s="181"/>
      <c r="AM536" s="95"/>
      <c r="AN536" s="178"/>
      <c r="AO536" s="178"/>
      <c r="AP536" s="181"/>
      <c r="AQ536" s="95"/>
      <c r="AR536" s="178"/>
      <c r="AS536" s="178">
        <v>19.72</v>
      </c>
      <c r="AT536" s="181"/>
      <c r="AU536" s="95"/>
      <c r="AV536" s="178"/>
      <c r="AW536" s="178"/>
      <c r="AX536" s="181"/>
      <c r="AY536" s="95"/>
      <c r="AZ536" s="178"/>
      <c r="BA536" s="178"/>
      <c r="BB536" s="181"/>
      <c r="BC536" s="95"/>
      <c r="BD536" s="178"/>
      <c r="BE536" s="178"/>
      <c r="BF536" s="210"/>
      <c r="BG536" s="95">
        <v>46.71</v>
      </c>
      <c r="BH536" s="178"/>
      <c r="BI536" s="178">
        <v>51.39</v>
      </c>
      <c r="BJ536" s="181"/>
      <c r="BK536" s="95">
        <v>115.92</v>
      </c>
      <c r="BL536" s="178">
        <v>44.3</v>
      </c>
      <c r="BM536" s="178">
        <v>127.55</v>
      </c>
      <c r="BN536" s="181"/>
      <c r="BO536" s="185"/>
      <c r="BP536" s="183"/>
      <c r="BQ536" s="183"/>
      <c r="BR536" s="184"/>
      <c r="BS536" s="185">
        <v>124.625</v>
      </c>
      <c r="BT536" s="183"/>
      <c r="BU536" s="183">
        <v>137.13999999999999</v>
      </c>
      <c r="BV536" s="186"/>
      <c r="BW536" s="6"/>
      <c r="BX536" s="6"/>
      <c r="BY536" s="125">
        <f t="shared" si="195"/>
        <v>1282.4349999999999</v>
      </c>
      <c r="BZ536" s="126">
        <f t="shared" si="196"/>
        <v>1600.8899999999999</v>
      </c>
      <c r="CA536" s="126">
        <f t="shared" si="197"/>
        <v>1430.8200000000002</v>
      </c>
      <c r="CB536" s="127">
        <f t="shared" si="197"/>
        <v>0</v>
      </c>
      <c r="CC536" s="766"/>
    </row>
    <row r="537" spans="1:86" ht="27.75" customHeight="1" outlineLevel="4" x14ac:dyDescent="0.25">
      <c r="C537" s="10" t="s">
        <v>83</v>
      </c>
      <c r="D537" s="10" t="s">
        <v>84</v>
      </c>
      <c r="E537" s="10" t="s">
        <v>73</v>
      </c>
      <c r="F537" s="10" t="s">
        <v>74</v>
      </c>
      <c r="G537" s="10" t="s">
        <v>242</v>
      </c>
      <c r="H537" s="10" t="s">
        <v>73</v>
      </c>
      <c r="I537" s="10" t="s">
        <v>73</v>
      </c>
      <c r="K537" s="12" t="s">
        <v>73</v>
      </c>
      <c r="L537" s="10" t="s">
        <v>192</v>
      </c>
      <c r="M537" s="5" t="str">
        <f t="array" ref="M537">Y458</f>
        <v>1ВО::1.1</v>
      </c>
      <c r="AB537" s="403" t="str">
        <f>AB531&amp;".6"</f>
        <v>3.1.1.1.6.6</v>
      </c>
      <c r="AC537" s="444" t="s">
        <v>243</v>
      </c>
      <c r="AD537" s="32" t="s">
        <v>111</v>
      </c>
      <c r="AE537" s="95"/>
      <c r="AF537" s="178"/>
      <c r="AG537" s="178"/>
      <c r="AH537" s="96"/>
      <c r="AI537" s="187"/>
      <c r="AJ537" s="178"/>
      <c r="AK537" s="178"/>
      <c r="AL537" s="181"/>
      <c r="AM537" s="95"/>
      <c r="AN537" s="178"/>
      <c r="AO537" s="178"/>
      <c r="AP537" s="181"/>
      <c r="AQ537" s="95"/>
      <c r="AR537" s="178"/>
      <c r="AS537" s="178"/>
      <c r="AT537" s="181"/>
      <c r="AU537" s="95"/>
      <c r="AV537" s="178"/>
      <c r="AW537" s="178"/>
      <c r="AX537" s="181"/>
      <c r="AY537" s="95"/>
      <c r="AZ537" s="178"/>
      <c r="BA537" s="178"/>
      <c r="BB537" s="181"/>
      <c r="BC537" s="95"/>
      <c r="BD537" s="178"/>
      <c r="BE537" s="178"/>
      <c r="BF537" s="210"/>
      <c r="BG537" s="95"/>
      <c r="BH537" s="178"/>
      <c r="BI537" s="178"/>
      <c r="BJ537" s="181"/>
      <c r="BK537" s="95"/>
      <c r="BL537" s="178"/>
      <c r="BM537" s="178"/>
      <c r="BN537" s="181"/>
      <c r="BO537" s="95"/>
      <c r="BP537" s="178"/>
      <c r="BQ537" s="178"/>
      <c r="BR537" s="181"/>
      <c r="BS537" s="95"/>
      <c r="BT537" s="178"/>
      <c r="BU537" s="178"/>
      <c r="BV537" s="96"/>
      <c r="BY537" s="125">
        <f t="shared" si="195"/>
        <v>0</v>
      </c>
      <c r="BZ537" s="126">
        <f t="shared" si="196"/>
        <v>0</v>
      </c>
      <c r="CA537" s="126">
        <f t="shared" si="197"/>
        <v>0</v>
      </c>
      <c r="CB537" s="127">
        <f t="shared" si="197"/>
        <v>0</v>
      </c>
    </row>
    <row r="538" spans="1:86" s="455" customFormat="1" ht="21.75" customHeight="1" outlineLevel="4" x14ac:dyDescent="0.25">
      <c r="A538" s="6"/>
      <c r="B538" s="6"/>
      <c r="C538" s="116" t="s">
        <v>83</v>
      </c>
      <c r="D538" s="116" t="s">
        <v>84</v>
      </c>
      <c r="E538" s="116" t="s">
        <v>73</v>
      </c>
      <c r="F538" s="116" t="s">
        <v>74</v>
      </c>
      <c r="G538" s="116" t="s">
        <v>244</v>
      </c>
      <c r="H538" s="116" t="s">
        <v>73</v>
      </c>
      <c r="I538" s="116" t="s">
        <v>73</v>
      </c>
      <c r="J538" s="6"/>
      <c r="K538" s="209" t="s">
        <v>73</v>
      </c>
      <c r="L538" s="116" t="s">
        <v>192</v>
      </c>
      <c r="M538" s="6" t="str">
        <f t="array" ref="M538">Y458</f>
        <v>1ВО::1.1</v>
      </c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403" t="str">
        <f>AB531&amp;".7"</f>
        <v>3.1.1.1.6.7</v>
      </c>
      <c r="AC538" s="444" t="s">
        <v>245</v>
      </c>
      <c r="AD538" s="32" t="s">
        <v>111</v>
      </c>
      <c r="AE538" s="72">
        <f t="shared" ref="AE538:AK538" si="202">SUM(AE539:AE560)</f>
        <v>20156.28</v>
      </c>
      <c r="AF538" s="178">
        <f t="shared" si="202"/>
        <v>9588.7699999999986</v>
      </c>
      <c r="AG538" s="178">
        <f t="shared" si="202"/>
        <v>23198.970000000005</v>
      </c>
      <c r="AH538" s="96">
        <f>SUM(AH539:AH560)</f>
        <v>0</v>
      </c>
      <c r="AI538" s="179">
        <f t="shared" si="202"/>
        <v>0</v>
      </c>
      <c r="AJ538" s="178">
        <f t="shared" si="202"/>
        <v>0</v>
      </c>
      <c r="AK538" s="178">
        <f t="shared" si="202"/>
        <v>0</v>
      </c>
      <c r="AL538" s="181">
        <v>0</v>
      </c>
      <c r="AM538" s="72">
        <f t="shared" ref="AM538:BF538" si="203">SUM(AM539:AM560)</f>
        <v>0</v>
      </c>
      <c r="AN538" s="178">
        <f t="shared" si="203"/>
        <v>0</v>
      </c>
      <c r="AO538" s="178">
        <f t="shared" si="203"/>
        <v>0</v>
      </c>
      <c r="AP538" s="181">
        <f t="shared" si="203"/>
        <v>0</v>
      </c>
      <c r="AQ538" s="72">
        <f t="shared" si="203"/>
        <v>0</v>
      </c>
      <c r="AR538" s="178">
        <f t="shared" si="203"/>
        <v>0</v>
      </c>
      <c r="AS538" s="178">
        <f t="shared" si="203"/>
        <v>0</v>
      </c>
      <c r="AT538" s="181">
        <f t="shared" si="203"/>
        <v>0</v>
      </c>
      <c r="AU538" s="72">
        <f t="shared" si="203"/>
        <v>0</v>
      </c>
      <c r="AV538" s="178">
        <f t="shared" si="203"/>
        <v>0</v>
      </c>
      <c r="AW538" s="178">
        <f t="shared" si="203"/>
        <v>0</v>
      </c>
      <c r="AX538" s="181">
        <f t="shared" si="203"/>
        <v>0</v>
      </c>
      <c r="AY538" s="72">
        <f t="shared" si="203"/>
        <v>0</v>
      </c>
      <c r="AZ538" s="178">
        <f t="shared" si="203"/>
        <v>0</v>
      </c>
      <c r="BA538" s="178">
        <f t="shared" si="203"/>
        <v>0</v>
      </c>
      <c r="BB538" s="181">
        <f t="shared" si="203"/>
        <v>0</v>
      </c>
      <c r="BC538" s="72">
        <f t="shared" si="203"/>
        <v>0</v>
      </c>
      <c r="BD538" s="178">
        <f t="shared" si="203"/>
        <v>0</v>
      </c>
      <c r="BE538" s="178">
        <f t="shared" si="203"/>
        <v>0</v>
      </c>
      <c r="BF538" s="181">
        <f t="shared" si="203"/>
        <v>0</v>
      </c>
      <c r="BG538" s="72">
        <f t="shared" ref="BG538:BN538" si="204">SUM(BG539:BG560)</f>
        <v>0</v>
      </c>
      <c r="BH538" s="178">
        <f t="shared" si="204"/>
        <v>2398.59</v>
      </c>
      <c r="BI538" s="178">
        <f t="shared" si="204"/>
        <v>0</v>
      </c>
      <c r="BJ538" s="181">
        <f t="shared" si="204"/>
        <v>2495.6849232000004</v>
      </c>
      <c r="BK538" s="72">
        <f t="shared" si="204"/>
        <v>0</v>
      </c>
      <c r="BL538" s="178">
        <f t="shared" si="204"/>
        <v>0</v>
      </c>
      <c r="BM538" s="178">
        <f t="shared" si="204"/>
        <v>0</v>
      </c>
      <c r="BN538" s="181">
        <f t="shared" si="204"/>
        <v>48.23</v>
      </c>
      <c r="BO538" s="72">
        <f t="shared" ref="BO538:BV538" si="205">SUM(BO539:BO560)</f>
        <v>0</v>
      </c>
      <c r="BP538" s="178">
        <f t="shared" si="205"/>
        <v>0</v>
      </c>
      <c r="BQ538" s="178">
        <f t="shared" si="205"/>
        <v>0</v>
      </c>
      <c r="BR538" s="181">
        <f t="shared" si="205"/>
        <v>0</v>
      </c>
      <c r="BS538" s="72">
        <f t="shared" si="205"/>
        <v>0</v>
      </c>
      <c r="BT538" s="178">
        <f t="shared" si="205"/>
        <v>0</v>
      </c>
      <c r="BU538" s="178">
        <f t="shared" si="205"/>
        <v>0</v>
      </c>
      <c r="BV538" s="96">
        <f t="shared" si="205"/>
        <v>0</v>
      </c>
      <c r="BW538" s="6"/>
      <c r="BX538" s="6"/>
      <c r="BY538" s="125">
        <f t="shared" si="195"/>
        <v>20156.28</v>
      </c>
      <c r="BZ538" s="126">
        <f t="shared" si="196"/>
        <v>11987.359999999999</v>
      </c>
      <c r="CA538" s="126">
        <f t="shared" si="197"/>
        <v>23198.970000000005</v>
      </c>
      <c r="CB538" s="127">
        <f t="shared" si="197"/>
        <v>2543.9149232000004</v>
      </c>
      <c r="CC538" s="766"/>
      <c r="CD538" s="1042"/>
      <c r="CE538" s="1042"/>
      <c r="CF538" s="1042"/>
      <c r="CG538" s="1042"/>
      <c r="CH538" s="1042"/>
    </row>
    <row r="539" spans="1:86" s="230" customFormat="1" ht="17.25" customHeight="1" outlineLevel="5" x14ac:dyDescent="0.25">
      <c r="A539" s="215"/>
      <c r="B539" s="215"/>
      <c r="C539" s="216"/>
      <c r="D539" s="216"/>
      <c r="E539" s="216"/>
      <c r="F539" s="216"/>
      <c r="G539" s="216"/>
      <c r="H539" s="216"/>
      <c r="I539" s="216"/>
      <c r="J539" s="215"/>
      <c r="K539" s="217"/>
      <c r="L539" s="216"/>
      <c r="M539" s="215"/>
      <c r="N539" s="215"/>
      <c r="O539" s="215"/>
      <c r="P539" s="215"/>
      <c r="Q539" s="215"/>
      <c r="R539" s="215"/>
      <c r="S539" s="215"/>
      <c r="T539" s="215"/>
      <c r="U539" s="215"/>
      <c r="V539" s="215"/>
      <c r="W539" s="215"/>
      <c r="X539" s="215"/>
      <c r="Y539" s="215"/>
      <c r="Z539" s="215"/>
      <c r="AA539" s="215"/>
      <c r="AB539" s="456"/>
      <c r="AC539" s="219" t="s">
        <v>593</v>
      </c>
      <c r="AD539" s="457" t="s">
        <v>111</v>
      </c>
      <c r="AE539" s="224">
        <v>36.619999999999997</v>
      </c>
      <c r="AF539" s="458">
        <v>38</v>
      </c>
      <c r="AG539" s="225">
        <v>40.29</v>
      </c>
      <c r="AH539" s="226"/>
      <c r="AI539" s="228"/>
      <c r="AJ539" s="458"/>
      <c r="AK539" s="225"/>
      <c r="AL539" s="227"/>
      <c r="AM539" s="224"/>
      <c r="AN539" s="458"/>
      <c r="AO539" s="225"/>
      <c r="AP539" s="227"/>
      <c r="AQ539" s="224"/>
      <c r="AR539" s="458"/>
      <c r="AS539" s="225"/>
      <c r="AT539" s="227"/>
      <c r="AU539" s="224"/>
      <c r="AV539" s="458"/>
      <c r="AW539" s="225"/>
      <c r="AX539" s="227"/>
      <c r="AY539" s="224"/>
      <c r="AZ539" s="458"/>
      <c r="BA539" s="225"/>
      <c r="BB539" s="227"/>
      <c r="BC539" s="224"/>
      <c r="BD539" s="458"/>
      <c r="BE539" s="225"/>
      <c r="BF539" s="236"/>
      <c r="BG539" s="224"/>
      <c r="BH539" s="458"/>
      <c r="BI539" s="225"/>
      <c r="BJ539" s="227"/>
      <c r="BK539" s="224"/>
      <c r="BL539" s="458"/>
      <c r="BM539" s="225"/>
      <c r="BN539" s="227">
        <v>48.23</v>
      </c>
      <c r="BO539" s="224"/>
      <c r="BP539" s="458"/>
      <c r="BQ539" s="225"/>
      <c r="BR539" s="227"/>
      <c r="BS539" s="224"/>
      <c r="BT539" s="458"/>
      <c r="BU539" s="225"/>
      <c r="BV539" s="226"/>
      <c r="BW539" s="229"/>
      <c r="BX539" s="215"/>
      <c r="BY539" s="125">
        <f t="shared" si="195"/>
        <v>36.619999999999997</v>
      </c>
      <c r="BZ539" s="126">
        <f t="shared" si="196"/>
        <v>38</v>
      </c>
      <c r="CA539" s="126">
        <f t="shared" si="197"/>
        <v>40.29</v>
      </c>
      <c r="CB539" s="127">
        <f t="shared" si="197"/>
        <v>48.23</v>
      </c>
      <c r="CC539" s="768"/>
    </row>
    <row r="540" spans="1:86" s="230" customFormat="1" ht="17.25" customHeight="1" outlineLevel="5" x14ac:dyDescent="0.25">
      <c r="A540" s="215"/>
      <c r="B540" s="215"/>
      <c r="C540" s="216"/>
      <c r="D540" s="216"/>
      <c r="E540" s="216"/>
      <c r="F540" s="216"/>
      <c r="G540" s="216"/>
      <c r="H540" s="216"/>
      <c r="I540" s="216"/>
      <c r="J540" s="215"/>
      <c r="K540" s="217"/>
      <c r="L540" s="216"/>
      <c r="M540" s="215"/>
      <c r="N540" s="215"/>
      <c r="O540" s="215"/>
      <c r="P540" s="215"/>
      <c r="Q540" s="215"/>
      <c r="R540" s="215"/>
      <c r="S540" s="215"/>
      <c r="T540" s="215"/>
      <c r="U540" s="215"/>
      <c r="V540" s="215"/>
      <c r="W540" s="215"/>
      <c r="X540" s="215"/>
      <c r="Y540" s="215"/>
      <c r="Z540" s="215"/>
      <c r="AA540" s="215"/>
      <c r="AB540" s="456"/>
      <c r="AC540" s="219" t="s">
        <v>277</v>
      </c>
      <c r="AD540" s="457" t="s">
        <v>111</v>
      </c>
      <c r="AE540" s="224">
        <v>302.8</v>
      </c>
      <c r="AF540" s="458">
        <v>303</v>
      </c>
      <c r="AG540" s="225">
        <v>814.15</v>
      </c>
      <c r="AH540" s="226"/>
      <c r="AI540" s="228"/>
      <c r="AJ540" s="458"/>
      <c r="AK540" s="225"/>
      <c r="AL540" s="227"/>
      <c r="AM540" s="224"/>
      <c r="AN540" s="458"/>
      <c r="AO540" s="225"/>
      <c r="AP540" s="227"/>
      <c r="AQ540" s="224"/>
      <c r="AR540" s="458"/>
      <c r="AS540" s="225"/>
      <c r="AT540" s="227"/>
      <c r="AU540" s="224"/>
      <c r="AV540" s="458"/>
      <c r="AW540" s="225"/>
      <c r="AX540" s="227"/>
      <c r="AY540" s="224"/>
      <c r="AZ540" s="458"/>
      <c r="BA540" s="225"/>
      <c r="BB540" s="227"/>
      <c r="BC540" s="224"/>
      <c r="BD540" s="458"/>
      <c r="BE540" s="225"/>
      <c r="BF540" s="236"/>
      <c r="BG540" s="224"/>
      <c r="BH540" s="458"/>
      <c r="BI540" s="225"/>
      <c r="BJ540" s="227"/>
      <c r="BK540" s="224"/>
      <c r="BL540" s="458"/>
      <c r="BM540" s="225"/>
      <c r="BN540" s="227"/>
      <c r="BO540" s="224"/>
      <c r="BP540" s="458"/>
      <c r="BQ540" s="225"/>
      <c r="BR540" s="227"/>
      <c r="BS540" s="224"/>
      <c r="BT540" s="458"/>
      <c r="BU540" s="225"/>
      <c r="BV540" s="226"/>
      <c r="BW540" s="229"/>
      <c r="BX540" s="215"/>
      <c r="BY540" s="125">
        <f t="shared" si="195"/>
        <v>302.8</v>
      </c>
      <c r="BZ540" s="126">
        <f t="shared" si="196"/>
        <v>303</v>
      </c>
      <c r="CA540" s="126">
        <f t="shared" si="197"/>
        <v>814.15</v>
      </c>
      <c r="CB540" s="127">
        <f t="shared" si="197"/>
        <v>0</v>
      </c>
      <c r="CC540" s="768"/>
      <c r="CG540" s="1041"/>
    </row>
    <row r="541" spans="1:86" s="230" customFormat="1" ht="17.25" customHeight="1" outlineLevel="5" x14ac:dyDescent="0.25">
      <c r="A541" s="215"/>
      <c r="B541" s="215"/>
      <c r="C541" s="216"/>
      <c r="D541" s="216"/>
      <c r="E541" s="216"/>
      <c r="F541" s="216"/>
      <c r="G541" s="216"/>
      <c r="H541" s="216"/>
      <c r="I541" s="216"/>
      <c r="J541" s="215"/>
      <c r="K541" s="217"/>
      <c r="L541" s="216"/>
      <c r="M541" s="215"/>
      <c r="N541" s="215"/>
      <c r="O541" s="215"/>
      <c r="P541" s="215"/>
      <c r="Q541" s="215"/>
      <c r="R541" s="215"/>
      <c r="S541" s="215"/>
      <c r="T541" s="215"/>
      <c r="U541" s="215"/>
      <c r="V541" s="215"/>
      <c r="W541" s="215"/>
      <c r="X541" s="215"/>
      <c r="Y541" s="215"/>
      <c r="Z541" s="215"/>
      <c r="AA541" s="215"/>
      <c r="AB541" s="456"/>
      <c r="AC541" s="219" t="s">
        <v>273</v>
      </c>
      <c r="AD541" s="457" t="s">
        <v>111</v>
      </c>
      <c r="AE541" s="224">
        <v>66.010000000000005</v>
      </c>
      <c r="AF541" s="458">
        <v>68</v>
      </c>
      <c r="AG541" s="225">
        <v>72.63</v>
      </c>
      <c r="AH541" s="226"/>
      <c r="AI541" s="228"/>
      <c r="AJ541" s="458"/>
      <c r="AK541" s="225"/>
      <c r="AL541" s="227"/>
      <c r="AM541" s="224"/>
      <c r="AN541" s="458"/>
      <c r="AO541" s="225"/>
      <c r="AP541" s="227"/>
      <c r="AQ541" s="224"/>
      <c r="AR541" s="458"/>
      <c r="AS541" s="225"/>
      <c r="AT541" s="227"/>
      <c r="AU541" s="224"/>
      <c r="AV541" s="458"/>
      <c r="AW541" s="225"/>
      <c r="AX541" s="227"/>
      <c r="AY541" s="224"/>
      <c r="AZ541" s="458"/>
      <c r="BA541" s="225"/>
      <c r="BB541" s="227"/>
      <c r="BC541" s="224"/>
      <c r="BD541" s="458"/>
      <c r="BE541" s="225"/>
      <c r="BF541" s="236"/>
      <c r="BG541" s="224"/>
      <c r="BH541" s="458"/>
      <c r="BI541" s="225"/>
      <c r="BJ541" s="227"/>
      <c r="BK541" s="224"/>
      <c r="BL541" s="458"/>
      <c r="BM541" s="225"/>
      <c r="BN541" s="227"/>
      <c r="BO541" s="224"/>
      <c r="BP541" s="458"/>
      <c r="BQ541" s="225"/>
      <c r="BR541" s="227"/>
      <c r="BS541" s="224"/>
      <c r="BT541" s="458"/>
      <c r="BU541" s="225"/>
      <c r="BV541" s="226"/>
      <c r="BW541" s="229"/>
      <c r="BX541" s="215"/>
      <c r="BY541" s="125">
        <f t="shared" si="195"/>
        <v>66.010000000000005</v>
      </c>
      <c r="BZ541" s="126">
        <f t="shared" si="196"/>
        <v>68</v>
      </c>
      <c r="CA541" s="126">
        <f t="shared" si="197"/>
        <v>72.63</v>
      </c>
      <c r="CB541" s="127">
        <f t="shared" si="197"/>
        <v>0</v>
      </c>
      <c r="CC541" s="768"/>
    </row>
    <row r="542" spans="1:86" s="230" customFormat="1" ht="17.25" customHeight="1" outlineLevel="5" x14ac:dyDescent="0.25">
      <c r="A542" s="215"/>
      <c r="B542" s="215"/>
      <c r="C542" s="216"/>
      <c r="D542" s="216"/>
      <c r="E542" s="216"/>
      <c r="F542" s="216"/>
      <c r="G542" s="216"/>
      <c r="H542" s="216"/>
      <c r="I542" s="216"/>
      <c r="J542" s="215"/>
      <c r="K542" s="217"/>
      <c r="L542" s="216"/>
      <c r="M542" s="215"/>
      <c r="N542" s="215"/>
      <c r="O542" s="215"/>
      <c r="P542" s="215"/>
      <c r="Q542" s="215"/>
      <c r="R542" s="215"/>
      <c r="S542" s="215"/>
      <c r="T542" s="215"/>
      <c r="U542" s="215"/>
      <c r="V542" s="215"/>
      <c r="W542" s="215"/>
      <c r="X542" s="215"/>
      <c r="Y542" s="215"/>
      <c r="Z542" s="215"/>
      <c r="AA542" s="215"/>
      <c r="AB542" s="456"/>
      <c r="AC542" s="219" t="s">
        <v>594</v>
      </c>
      <c r="AD542" s="457" t="s">
        <v>111</v>
      </c>
      <c r="AE542" s="224">
        <v>2732.04</v>
      </c>
      <c r="AF542" s="458">
        <v>1200</v>
      </c>
      <c r="AG542" s="225">
        <v>3006.07</v>
      </c>
      <c r="AH542" s="226"/>
      <c r="AI542" s="228"/>
      <c r="AJ542" s="458"/>
      <c r="AK542" s="225"/>
      <c r="AL542" s="227"/>
      <c r="AM542" s="224"/>
      <c r="AN542" s="458"/>
      <c r="AO542" s="225"/>
      <c r="AP542" s="227"/>
      <c r="AQ542" s="224"/>
      <c r="AR542" s="458"/>
      <c r="AS542" s="225"/>
      <c r="AT542" s="227"/>
      <c r="AU542" s="224"/>
      <c r="AV542" s="458"/>
      <c r="AW542" s="225"/>
      <c r="AX542" s="227"/>
      <c r="AY542" s="224"/>
      <c r="AZ542" s="458"/>
      <c r="BA542" s="225"/>
      <c r="BB542" s="227"/>
      <c r="BC542" s="224"/>
      <c r="BD542" s="458"/>
      <c r="BE542" s="225"/>
      <c r="BF542" s="236"/>
      <c r="BG542" s="224"/>
      <c r="BH542" s="458"/>
      <c r="BI542" s="225"/>
      <c r="BJ542" s="227"/>
      <c r="BK542" s="224"/>
      <c r="BL542" s="458"/>
      <c r="BM542" s="225"/>
      <c r="BN542" s="227"/>
      <c r="BO542" s="224"/>
      <c r="BP542" s="458"/>
      <c r="BQ542" s="225"/>
      <c r="BR542" s="227"/>
      <c r="BS542" s="224"/>
      <c r="BT542" s="458"/>
      <c r="BU542" s="225"/>
      <c r="BV542" s="226"/>
      <c r="BW542" s="229"/>
      <c r="BX542" s="215"/>
      <c r="BY542" s="125">
        <f t="shared" si="195"/>
        <v>2732.04</v>
      </c>
      <c r="BZ542" s="126">
        <f t="shared" si="196"/>
        <v>1200</v>
      </c>
      <c r="CA542" s="126">
        <f t="shared" si="197"/>
        <v>3006.07</v>
      </c>
      <c r="CB542" s="127">
        <f t="shared" si="197"/>
        <v>0</v>
      </c>
      <c r="CC542" s="768"/>
    </row>
    <row r="543" spans="1:86" s="230" customFormat="1" ht="17.25" customHeight="1" outlineLevel="5" x14ac:dyDescent="0.25">
      <c r="A543" s="215"/>
      <c r="B543" s="215"/>
      <c r="C543" s="216"/>
      <c r="D543" s="216"/>
      <c r="E543" s="216"/>
      <c r="F543" s="216"/>
      <c r="G543" s="216"/>
      <c r="H543" s="216"/>
      <c r="I543" s="216"/>
      <c r="J543" s="215"/>
      <c r="K543" s="217"/>
      <c r="L543" s="216"/>
      <c r="M543" s="215"/>
      <c r="N543" s="215"/>
      <c r="O543" s="215"/>
      <c r="P543" s="215"/>
      <c r="Q543" s="215"/>
      <c r="R543" s="215"/>
      <c r="S543" s="215"/>
      <c r="T543" s="215"/>
      <c r="U543" s="215"/>
      <c r="V543" s="215"/>
      <c r="W543" s="215"/>
      <c r="X543" s="215"/>
      <c r="Y543" s="215"/>
      <c r="Z543" s="215"/>
      <c r="AA543" s="215"/>
      <c r="AB543" s="456"/>
      <c r="AC543" s="219" t="s">
        <v>595</v>
      </c>
      <c r="AD543" s="457" t="s">
        <v>111</v>
      </c>
      <c r="AE543" s="224">
        <v>1795.34</v>
      </c>
      <c r="AF543" s="458">
        <v>1205</v>
      </c>
      <c r="AG543" s="225">
        <v>1975.45</v>
      </c>
      <c r="AH543" s="226"/>
      <c r="AI543" s="228"/>
      <c r="AJ543" s="458"/>
      <c r="AK543" s="225"/>
      <c r="AL543" s="227"/>
      <c r="AM543" s="224"/>
      <c r="AN543" s="458"/>
      <c r="AO543" s="225"/>
      <c r="AP543" s="227"/>
      <c r="AQ543" s="224"/>
      <c r="AR543" s="458"/>
      <c r="AS543" s="225"/>
      <c r="AT543" s="227"/>
      <c r="AU543" s="224"/>
      <c r="AV543" s="458"/>
      <c r="AW543" s="225"/>
      <c r="AX543" s="227"/>
      <c r="AY543" s="224"/>
      <c r="AZ543" s="458"/>
      <c r="BA543" s="225"/>
      <c r="BB543" s="227"/>
      <c r="BC543" s="224"/>
      <c r="BD543" s="458"/>
      <c r="BE543" s="225"/>
      <c r="BF543" s="236"/>
      <c r="BG543" s="224"/>
      <c r="BH543" s="458"/>
      <c r="BI543" s="225"/>
      <c r="BJ543" s="227"/>
      <c r="BK543" s="224"/>
      <c r="BL543" s="458"/>
      <c r="BM543" s="225"/>
      <c r="BN543" s="227"/>
      <c r="BO543" s="224"/>
      <c r="BP543" s="458"/>
      <c r="BQ543" s="225"/>
      <c r="BR543" s="227"/>
      <c r="BS543" s="224"/>
      <c r="BT543" s="458"/>
      <c r="BU543" s="225"/>
      <c r="BV543" s="226"/>
      <c r="BW543" s="229"/>
      <c r="BX543" s="215"/>
      <c r="BY543" s="125">
        <f t="shared" si="195"/>
        <v>1795.34</v>
      </c>
      <c r="BZ543" s="126">
        <f t="shared" si="196"/>
        <v>1205</v>
      </c>
      <c r="CA543" s="126">
        <f t="shared" si="197"/>
        <v>1975.45</v>
      </c>
      <c r="CB543" s="127">
        <f t="shared" si="197"/>
        <v>0</v>
      </c>
      <c r="CC543" s="768"/>
    </row>
    <row r="544" spans="1:86" s="230" customFormat="1" ht="17.25" customHeight="1" outlineLevel="5" x14ac:dyDescent="0.25">
      <c r="A544" s="215"/>
      <c r="B544" s="215"/>
      <c r="C544" s="216"/>
      <c r="D544" s="216"/>
      <c r="E544" s="216"/>
      <c r="F544" s="216"/>
      <c r="G544" s="216"/>
      <c r="H544" s="216"/>
      <c r="I544" s="216"/>
      <c r="J544" s="215"/>
      <c r="K544" s="217"/>
      <c r="L544" s="216"/>
      <c r="M544" s="215"/>
      <c r="N544" s="215"/>
      <c r="O544" s="215"/>
      <c r="P544" s="215"/>
      <c r="Q544" s="215"/>
      <c r="R544" s="215"/>
      <c r="S544" s="215"/>
      <c r="T544" s="215"/>
      <c r="U544" s="215"/>
      <c r="V544" s="215"/>
      <c r="W544" s="215"/>
      <c r="X544" s="215"/>
      <c r="Y544" s="215"/>
      <c r="Z544" s="215"/>
      <c r="AA544" s="215"/>
      <c r="AB544" s="456"/>
      <c r="AC544" s="219" t="s">
        <v>596</v>
      </c>
      <c r="AD544" s="457" t="s">
        <v>111</v>
      </c>
      <c r="AE544" s="224">
        <v>716.76</v>
      </c>
      <c r="AF544" s="458">
        <v>720</v>
      </c>
      <c r="AG544" s="225">
        <v>888.28</v>
      </c>
      <c r="AH544" s="226"/>
      <c r="AI544" s="228"/>
      <c r="AJ544" s="458"/>
      <c r="AK544" s="225"/>
      <c r="AL544" s="227"/>
      <c r="AM544" s="224"/>
      <c r="AN544" s="458"/>
      <c r="AO544" s="225"/>
      <c r="AP544" s="227"/>
      <c r="AQ544" s="224"/>
      <c r="AR544" s="458"/>
      <c r="AS544" s="225"/>
      <c r="AT544" s="227"/>
      <c r="AU544" s="224"/>
      <c r="AV544" s="458"/>
      <c r="AW544" s="225"/>
      <c r="AX544" s="227"/>
      <c r="AY544" s="224"/>
      <c r="AZ544" s="458"/>
      <c r="BA544" s="225"/>
      <c r="BB544" s="227"/>
      <c r="BC544" s="224"/>
      <c r="BD544" s="458"/>
      <c r="BE544" s="225"/>
      <c r="BF544" s="236"/>
      <c r="BG544" s="224"/>
      <c r="BH544" s="458"/>
      <c r="BI544" s="225"/>
      <c r="BJ544" s="227"/>
      <c r="BK544" s="224"/>
      <c r="BL544" s="458"/>
      <c r="BM544" s="225"/>
      <c r="BN544" s="227"/>
      <c r="BO544" s="224"/>
      <c r="BP544" s="458"/>
      <c r="BQ544" s="225"/>
      <c r="BR544" s="227"/>
      <c r="BS544" s="224"/>
      <c r="BT544" s="458"/>
      <c r="BU544" s="225"/>
      <c r="BV544" s="226"/>
      <c r="BW544" s="229"/>
      <c r="BX544" s="215"/>
      <c r="BY544" s="125">
        <f t="shared" si="195"/>
        <v>716.76</v>
      </c>
      <c r="BZ544" s="126">
        <f t="shared" si="196"/>
        <v>720</v>
      </c>
      <c r="CA544" s="126">
        <f t="shared" si="197"/>
        <v>888.28</v>
      </c>
      <c r="CB544" s="127">
        <f t="shared" si="197"/>
        <v>0</v>
      </c>
      <c r="CC544" s="768"/>
    </row>
    <row r="545" spans="1:81" s="230" customFormat="1" ht="17.25" customHeight="1" outlineLevel="5" x14ac:dyDescent="0.25">
      <c r="A545" s="215"/>
      <c r="B545" s="215"/>
      <c r="C545" s="216"/>
      <c r="D545" s="216"/>
      <c r="E545" s="216"/>
      <c r="F545" s="216"/>
      <c r="G545" s="216"/>
      <c r="H545" s="216"/>
      <c r="I545" s="216"/>
      <c r="J545" s="215"/>
      <c r="K545" s="217"/>
      <c r="L545" s="216"/>
      <c r="M545" s="215"/>
      <c r="N545" s="215"/>
      <c r="O545" s="215"/>
      <c r="P545" s="215"/>
      <c r="Q545" s="215"/>
      <c r="R545" s="215"/>
      <c r="S545" s="215"/>
      <c r="T545" s="215"/>
      <c r="U545" s="215"/>
      <c r="V545" s="215"/>
      <c r="W545" s="215"/>
      <c r="X545" s="215"/>
      <c r="Y545" s="215"/>
      <c r="Z545" s="215"/>
      <c r="AA545" s="215"/>
      <c r="AB545" s="456"/>
      <c r="AC545" s="219" t="s">
        <v>255</v>
      </c>
      <c r="AD545" s="457" t="s">
        <v>111</v>
      </c>
      <c r="AE545" s="224">
        <v>2898.82</v>
      </c>
      <c r="AF545" s="458">
        <v>1350</v>
      </c>
      <c r="AG545" s="225">
        <v>4035.81</v>
      </c>
      <c r="AH545" s="226"/>
      <c r="AI545" s="228"/>
      <c r="AJ545" s="458"/>
      <c r="AK545" s="225"/>
      <c r="AL545" s="227"/>
      <c r="AM545" s="224"/>
      <c r="AN545" s="458"/>
      <c r="AO545" s="225"/>
      <c r="AP545" s="227"/>
      <c r="AQ545" s="224"/>
      <c r="AR545" s="458"/>
      <c r="AS545" s="225"/>
      <c r="AT545" s="227"/>
      <c r="AU545" s="224"/>
      <c r="AV545" s="458"/>
      <c r="AW545" s="225"/>
      <c r="AX545" s="227"/>
      <c r="AY545" s="224"/>
      <c r="AZ545" s="458"/>
      <c r="BA545" s="225"/>
      <c r="BB545" s="227"/>
      <c r="BC545" s="224"/>
      <c r="BD545" s="458"/>
      <c r="BE545" s="225"/>
      <c r="BF545" s="236"/>
      <c r="BG545" s="224"/>
      <c r="BH545" s="458"/>
      <c r="BI545" s="225"/>
      <c r="BJ545" s="227"/>
      <c r="BK545" s="224"/>
      <c r="BL545" s="458"/>
      <c r="BM545" s="225"/>
      <c r="BN545" s="227"/>
      <c r="BO545" s="224"/>
      <c r="BP545" s="458"/>
      <c r="BQ545" s="225"/>
      <c r="BR545" s="227"/>
      <c r="BS545" s="224"/>
      <c r="BT545" s="458"/>
      <c r="BU545" s="225"/>
      <c r="BV545" s="226"/>
      <c r="BW545" s="229"/>
      <c r="BX545" s="215"/>
      <c r="BY545" s="125">
        <f t="shared" si="195"/>
        <v>2898.82</v>
      </c>
      <c r="BZ545" s="126">
        <f t="shared" si="196"/>
        <v>1350</v>
      </c>
      <c r="CA545" s="126">
        <f t="shared" si="197"/>
        <v>4035.81</v>
      </c>
      <c r="CB545" s="127">
        <f t="shared" si="197"/>
        <v>0</v>
      </c>
      <c r="CC545" s="768"/>
    </row>
    <row r="546" spans="1:81" s="230" customFormat="1" ht="17.25" customHeight="1" outlineLevel="5" x14ac:dyDescent="0.25">
      <c r="A546" s="215"/>
      <c r="B546" s="215"/>
      <c r="C546" s="216"/>
      <c r="D546" s="216"/>
      <c r="E546" s="216"/>
      <c r="F546" s="216"/>
      <c r="G546" s="216"/>
      <c r="H546" s="216"/>
      <c r="I546" s="216"/>
      <c r="J546" s="215"/>
      <c r="K546" s="217"/>
      <c r="L546" s="216"/>
      <c r="M546" s="215"/>
      <c r="N546" s="215"/>
      <c r="O546" s="215"/>
      <c r="P546" s="215"/>
      <c r="Q546" s="215"/>
      <c r="R546" s="215"/>
      <c r="S546" s="215"/>
      <c r="T546" s="215"/>
      <c r="U546" s="215"/>
      <c r="V546" s="215"/>
      <c r="W546" s="215"/>
      <c r="X546" s="215"/>
      <c r="Y546" s="215"/>
      <c r="Z546" s="215"/>
      <c r="AA546" s="215"/>
      <c r="AB546" s="456"/>
      <c r="AC546" s="219" t="s">
        <v>597</v>
      </c>
      <c r="AD546" s="457" t="s">
        <v>111</v>
      </c>
      <c r="AE546" s="224">
        <v>539.27</v>
      </c>
      <c r="AF546" s="458">
        <v>100</v>
      </c>
      <c r="AG546" s="225">
        <v>293.37</v>
      </c>
      <c r="AH546" s="226"/>
      <c r="AI546" s="228"/>
      <c r="AJ546" s="458"/>
      <c r="AK546" s="225"/>
      <c r="AL546" s="227"/>
      <c r="AM546" s="224"/>
      <c r="AN546" s="458"/>
      <c r="AO546" s="225"/>
      <c r="AP546" s="227"/>
      <c r="AQ546" s="224"/>
      <c r="AR546" s="458"/>
      <c r="AS546" s="225"/>
      <c r="AT546" s="227"/>
      <c r="AU546" s="224"/>
      <c r="AV546" s="458"/>
      <c r="AW546" s="225"/>
      <c r="AX546" s="227"/>
      <c r="AY546" s="224"/>
      <c r="AZ546" s="458"/>
      <c r="BA546" s="225"/>
      <c r="BB546" s="227"/>
      <c r="BC546" s="224"/>
      <c r="BD546" s="458"/>
      <c r="BE546" s="225"/>
      <c r="BF546" s="236"/>
      <c r="BG546" s="224"/>
      <c r="BH546" s="458"/>
      <c r="BI546" s="225"/>
      <c r="BJ546" s="227"/>
      <c r="BK546" s="224"/>
      <c r="BL546" s="458"/>
      <c r="BM546" s="225"/>
      <c r="BN546" s="227"/>
      <c r="BO546" s="224"/>
      <c r="BP546" s="458"/>
      <c r="BQ546" s="225"/>
      <c r="BR546" s="227"/>
      <c r="BS546" s="224"/>
      <c r="BT546" s="458"/>
      <c r="BU546" s="225"/>
      <c r="BV546" s="226"/>
      <c r="BW546" s="229"/>
      <c r="BX546" s="215"/>
      <c r="BY546" s="125">
        <f t="shared" si="195"/>
        <v>539.27</v>
      </c>
      <c r="BZ546" s="126">
        <f t="shared" si="196"/>
        <v>100</v>
      </c>
      <c r="CA546" s="126">
        <f t="shared" si="197"/>
        <v>293.37</v>
      </c>
      <c r="CB546" s="127">
        <f t="shared" si="197"/>
        <v>0</v>
      </c>
      <c r="CC546" s="768"/>
    </row>
    <row r="547" spans="1:81" s="230" customFormat="1" ht="17.25" customHeight="1" outlineLevel="5" x14ac:dyDescent="0.25">
      <c r="A547" s="215"/>
      <c r="B547" s="215"/>
      <c r="C547" s="216"/>
      <c r="D547" s="216"/>
      <c r="E547" s="216"/>
      <c r="F547" s="216"/>
      <c r="G547" s="216"/>
      <c r="H547" s="216"/>
      <c r="I547" s="216"/>
      <c r="J547" s="215"/>
      <c r="K547" s="217"/>
      <c r="L547" s="216"/>
      <c r="M547" s="215"/>
      <c r="N547" s="215"/>
      <c r="O547" s="215"/>
      <c r="P547" s="215"/>
      <c r="Q547" s="215"/>
      <c r="R547" s="215"/>
      <c r="S547" s="215"/>
      <c r="T547" s="215"/>
      <c r="U547" s="215"/>
      <c r="V547" s="215"/>
      <c r="W547" s="215"/>
      <c r="X547" s="215"/>
      <c r="Y547" s="215"/>
      <c r="Z547" s="215"/>
      <c r="AA547" s="215"/>
      <c r="AB547" s="456"/>
      <c r="AC547" s="219" t="s">
        <v>598</v>
      </c>
      <c r="AD547" s="457" t="s">
        <v>111</v>
      </c>
      <c r="AE547" s="224">
        <v>145.03</v>
      </c>
      <c r="AF547" s="458">
        <v>145.03</v>
      </c>
      <c r="AG547" s="225">
        <v>159.58000000000001</v>
      </c>
      <c r="AH547" s="226"/>
      <c r="AI547" s="228"/>
      <c r="AJ547" s="458"/>
      <c r="AK547" s="225"/>
      <c r="AL547" s="227"/>
      <c r="AM547" s="224"/>
      <c r="AN547" s="458"/>
      <c r="AO547" s="225"/>
      <c r="AP547" s="227"/>
      <c r="AQ547" s="224"/>
      <c r="AR547" s="458"/>
      <c r="AS547" s="225"/>
      <c r="AT547" s="227"/>
      <c r="AU547" s="224"/>
      <c r="AV547" s="458"/>
      <c r="AW547" s="225"/>
      <c r="AX547" s="227"/>
      <c r="AY547" s="224"/>
      <c r="AZ547" s="458"/>
      <c r="BA547" s="225"/>
      <c r="BB547" s="227"/>
      <c r="BC547" s="224"/>
      <c r="BD547" s="458"/>
      <c r="BE547" s="225"/>
      <c r="BF547" s="236"/>
      <c r="BG547" s="224"/>
      <c r="BH547" s="458"/>
      <c r="BI547" s="225"/>
      <c r="BJ547" s="227"/>
      <c r="BK547" s="224"/>
      <c r="BL547" s="458"/>
      <c r="BM547" s="225"/>
      <c r="BN547" s="227"/>
      <c r="BO547" s="224"/>
      <c r="BP547" s="458"/>
      <c r="BQ547" s="225"/>
      <c r="BR547" s="227"/>
      <c r="BS547" s="224"/>
      <c r="BT547" s="458"/>
      <c r="BU547" s="225"/>
      <c r="BV547" s="226"/>
      <c r="BW547" s="229"/>
      <c r="BX547" s="215"/>
      <c r="BY547" s="125">
        <f t="shared" si="195"/>
        <v>145.03</v>
      </c>
      <c r="BZ547" s="126">
        <f t="shared" si="196"/>
        <v>145.03</v>
      </c>
      <c r="CA547" s="126">
        <f t="shared" si="197"/>
        <v>159.58000000000001</v>
      </c>
      <c r="CB547" s="127">
        <f t="shared" si="197"/>
        <v>0</v>
      </c>
      <c r="CC547" s="768"/>
    </row>
    <row r="548" spans="1:81" s="230" customFormat="1" ht="17.25" customHeight="1" outlineLevel="5" x14ac:dyDescent="0.25">
      <c r="A548" s="215"/>
      <c r="B548" s="215"/>
      <c r="C548" s="216"/>
      <c r="D548" s="216"/>
      <c r="E548" s="216"/>
      <c r="F548" s="216"/>
      <c r="G548" s="216"/>
      <c r="H548" s="216"/>
      <c r="I548" s="216"/>
      <c r="J548" s="215"/>
      <c r="K548" s="217"/>
      <c r="L548" s="216"/>
      <c r="M548" s="215"/>
      <c r="N548" s="215"/>
      <c r="O548" s="215"/>
      <c r="P548" s="215"/>
      <c r="Q548" s="215"/>
      <c r="R548" s="215"/>
      <c r="S548" s="215"/>
      <c r="T548" s="215"/>
      <c r="U548" s="215"/>
      <c r="V548" s="215"/>
      <c r="W548" s="215"/>
      <c r="X548" s="215"/>
      <c r="Y548" s="215"/>
      <c r="Z548" s="215"/>
      <c r="AA548" s="215"/>
      <c r="AB548" s="456"/>
      <c r="AC548" s="219" t="s">
        <v>599</v>
      </c>
      <c r="AD548" s="457" t="s">
        <v>111</v>
      </c>
      <c r="AE548" s="224">
        <v>7715.85</v>
      </c>
      <c r="AF548" s="458">
        <v>1475.32</v>
      </c>
      <c r="AG548" s="225">
        <v>8412.56</v>
      </c>
      <c r="AH548" s="226"/>
      <c r="AI548" s="228"/>
      <c r="AJ548" s="458"/>
      <c r="AK548" s="225"/>
      <c r="AL548" s="227"/>
      <c r="AM548" s="224"/>
      <c r="AN548" s="458"/>
      <c r="AO548" s="225"/>
      <c r="AP548" s="227"/>
      <c r="AQ548" s="224"/>
      <c r="AR548" s="458"/>
      <c r="AS548" s="225"/>
      <c r="AT548" s="227"/>
      <c r="AU548" s="224"/>
      <c r="AV548" s="458"/>
      <c r="AW548" s="225"/>
      <c r="AX548" s="227"/>
      <c r="AY548" s="224"/>
      <c r="AZ548" s="458"/>
      <c r="BA548" s="225"/>
      <c r="BB548" s="227"/>
      <c r="BC548" s="224"/>
      <c r="BD548" s="458"/>
      <c r="BE548" s="225"/>
      <c r="BF548" s="236"/>
      <c r="BG548" s="224"/>
      <c r="BH548" s="458"/>
      <c r="BI548" s="225"/>
      <c r="BJ548" s="227"/>
      <c r="BK548" s="224"/>
      <c r="BL548" s="458"/>
      <c r="BM548" s="225"/>
      <c r="BN548" s="227"/>
      <c r="BO548" s="224"/>
      <c r="BP548" s="458"/>
      <c r="BQ548" s="225"/>
      <c r="BR548" s="227"/>
      <c r="BS548" s="224"/>
      <c r="BT548" s="458"/>
      <c r="BU548" s="225"/>
      <c r="BV548" s="226"/>
      <c r="BW548" s="229"/>
      <c r="BX548" s="215"/>
      <c r="BY548" s="125">
        <f t="shared" si="195"/>
        <v>7715.85</v>
      </c>
      <c r="BZ548" s="126">
        <f t="shared" si="196"/>
        <v>1475.32</v>
      </c>
      <c r="CA548" s="126">
        <f t="shared" si="197"/>
        <v>8412.56</v>
      </c>
      <c r="CB548" s="127">
        <f t="shared" si="197"/>
        <v>0</v>
      </c>
      <c r="CC548" s="768"/>
    </row>
    <row r="549" spans="1:81" s="230" customFormat="1" ht="17.25" customHeight="1" outlineLevel="5" x14ac:dyDescent="0.25">
      <c r="A549" s="215"/>
      <c r="B549" s="215"/>
      <c r="C549" s="216"/>
      <c r="D549" s="216"/>
      <c r="E549" s="216"/>
      <c r="F549" s="216"/>
      <c r="G549" s="216"/>
      <c r="H549" s="216"/>
      <c r="I549" s="216"/>
      <c r="J549" s="215"/>
      <c r="K549" s="217"/>
      <c r="L549" s="216"/>
      <c r="M549" s="215"/>
      <c r="N549" s="215"/>
      <c r="O549" s="215"/>
      <c r="P549" s="215"/>
      <c r="Q549" s="215"/>
      <c r="R549" s="215"/>
      <c r="S549" s="215"/>
      <c r="T549" s="215"/>
      <c r="U549" s="215"/>
      <c r="V549" s="215"/>
      <c r="W549" s="215"/>
      <c r="X549" s="215"/>
      <c r="Y549" s="215"/>
      <c r="Z549" s="215"/>
      <c r="AA549" s="215"/>
      <c r="AB549" s="456"/>
      <c r="AC549" s="219" t="s">
        <v>600</v>
      </c>
      <c r="AD549" s="457" t="s">
        <v>111</v>
      </c>
      <c r="AE549" s="224">
        <v>723.32</v>
      </c>
      <c r="AF549" s="458">
        <v>500</v>
      </c>
      <c r="AG549" s="225">
        <v>795.88</v>
      </c>
      <c r="AH549" s="226"/>
      <c r="AI549" s="228"/>
      <c r="AJ549" s="458"/>
      <c r="AK549" s="225"/>
      <c r="AL549" s="227"/>
      <c r="AM549" s="224"/>
      <c r="AN549" s="458"/>
      <c r="AO549" s="225"/>
      <c r="AP549" s="227"/>
      <c r="AQ549" s="224"/>
      <c r="AR549" s="458"/>
      <c r="AS549" s="225"/>
      <c r="AT549" s="227"/>
      <c r="AU549" s="224"/>
      <c r="AV549" s="458"/>
      <c r="AW549" s="225"/>
      <c r="AX549" s="227"/>
      <c r="AY549" s="224"/>
      <c r="AZ549" s="458"/>
      <c r="BA549" s="225"/>
      <c r="BB549" s="227"/>
      <c r="BC549" s="224"/>
      <c r="BD549" s="458"/>
      <c r="BE549" s="225"/>
      <c r="BF549" s="236"/>
      <c r="BG549" s="224"/>
      <c r="BH549" s="458">
        <v>2398.59</v>
      </c>
      <c r="BI549" s="225"/>
      <c r="BJ549" s="227">
        <f>BH549*1.04048</f>
        <v>2495.6849232000004</v>
      </c>
      <c r="BK549" s="224"/>
      <c r="BL549" s="458"/>
      <c r="BM549" s="225"/>
      <c r="BN549" s="227"/>
      <c r="BO549" s="224"/>
      <c r="BP549" s="458"/>
      <c r="BQ549" s="225"/>
      <c r="BR549" s="227"/>
      <c r="BS549" s="224"/>
      <c r="BT549" s="458"/>
      <c r="BU549" s="225"/>
      <c r="BV549" s="226"/>
      <c r="BW549" s="229"/>
      <c r="BX549" s="215"/>
      <c r="BY549" s="125">
        <f t="shared" si="195"/>
        <v>723.32</v>
      </c>
      <c r="BZ549" s="126">
        <f t="shared" si="196"/>
        <v>2898.59</v>
      </c>
      <c r="CA549" s="126">
        <f t="shared" si="197"/>
        <v>795.88</v>
      </c>
      <c r="CB549" s="127">
        <f t="shared" si="197"/>
        <v>2495.6849232000004</v>
      </c>
      <c r="CC549" s="768"/>
    </row>
    <row r="550" spans="1:81" s="230" customFormat="1" ht="17.25" customHeight="1" outlineLevel="5" x14ac:dyDescent="0.25">
      <c r="A550" s="215"/>
      <c r="B550" s="215"/>
      <c r="C550" s="216"/>
      <c r="D550" s="216"/>
      <c r="E550" s="216"/>
      <c r="F550" s="216"/>
      <c r="G550" s="216"/>
      <c r="H550" s="216"/>
      <c r="I550" s="216"/>
      <c r="J550" s="215"/>
      <c r="K550" s="217"/>
      <c r="L550" s="216"/>
      <c r="M550" s="215"/>
      <c r="N550" s="215"/>
      <c r="O550" s="215"/>
      <c r="P550" s="215"/>
      <c r="Q550" s="215"/>
      <c r="R550" s="215"/>
      <c r="S550" s="215"/>
      <c r="T550" s="215"/>
      <c r="U550" s="215"/>
      <c r="V550" s="215"/>
      <c r="W550" s="215"/>
      <c r="X550" s="215"/>
      <c r="Y550" s="215"/>
      <c r="Z550" s="215"/>
      <c r="AA550" s="215"/>
      <c r="AB550" s="456"/>
      <c r="AC550" s="219" t="s">
        <v>601</v>
      </c>
      <c r="AD550" s="457" t="s">
        <v>111</v>
      </c>
      <c r="AE550" s="224">
        <v>19.2</v>
      </c>
      <c r="AF550" s="458">
        <v>19.2</v>
      </c>
      <c r="AG550" s="225">
        <v>19.97</v>
      </c>
      <c r="AH550" s="226"/>
      <c r="AI550" s="228"/>
      <c r="AJ550" s="458"/>
      <c r="AK550" s="225"/>
      <c r="AL550" s="227"/>
      <c r="AM550" s="224"/>
      <c r="AN550" s="458"/>
      <c r="AO550" s="225"/>
      <c r="AP550" s="227"/>
      <c r="AQ550" s="224"/>
      <c r="AR550" s="458"/>
      <c r="AS550" s="225"/>
      <c r="AT550" s="227"/>
      <c r="AU550" s="224"/>
      <c r="AV550" s="458"/>
      <c r="AW550" s="225"/>
      <c r="AX550" s="227"/>
      <c r="AY550" s="224"/>
      <c r="AZ550" s="458"/>
      <c r="BA550" s="225"/>
      <c r="BB550" s="227"/>
      <c r="BC550" s="224"/>
      <c r="BD550" s="458"/>
      <c r="BE550" s="225"/>
      <c r="BF550" s="236"/>
      <c r="BG550" s="224"/>
      <c r="BH550" s="458"/>
      <c r="BI550" s="225"/>
      <c r="BJ550" s="227"/>
      <c r="BK550" s="224"/>
      <c r="BL550" s="458"/>
      <c r="BM550" s="225"/>
      <c r="BN550" s="227"/>
      <c r="BO550" s="224"/>
      <c r="BP550" s="458"/>
      <c r="BQ550" s="225"/>
      <c r="BR550" s="227"/>
      <c r="BS550" s="224"/>
      <c r="BT550" s="458"/>
      <c r="BU550" s="225"/>
      <c r="BV550" s="226"/>
      <c r="BW550" s="229"/>
      <c r="BX550" s="215"/>
      <c r="BY550" s="125">
        <f t="shared" si="195"/>
        <v>19.2</v>
      </c>
      <c r="BZ550" s="126">
        <f t="shared" si="196"/>
        <v>19.2</v>
      </c>
      <c r="CA550" s="126">
        <f t="shared" si="197"/>
        <v>19.97</v>
      </c>
      <c r="CB550" s="127">
        <f t="shared" si="197"/>
        <v>0</v>
      </c>
      <c r="CC550" s="768"/>
    </row>
    <row r="551" spans="1:81" s="230" customFormat="1" ht="17.25" customHeight="1" outlineLevel="5" x14ac:dyDescent="0.25">
      <c r="A551" s="215"/>
      <c r="B551" s="215"/>
      <c r="C551" s="216"/>
      <c r="D551" s="216"/>
      <c r="E551" s="216"/>
      <c r="F551" s="216"/>
      <c r="G551" s="216"/>
      <c r="H551" s="216"/>
      <c r="I551" s="216"/>
      <c r="J551" s="215"/>
      <c r="K551" s="217"/>
      <c r="L551" s="216"/>
      <c r="M551" s="215"/>
      <c r="N551" s="215"/>
      <c r="O551" s="215"/>
      <c r="P551" s="215"/>
      <c r="Q551" s="215"/>
      <c r="R551" s="215"/>
      <c r="S551" s="215"/>
      <c r="T551" s="215"/>
      <c r="U551" s="215"/>
      <c r="V551" s="215"/>
      <c r="W551" s="215"/>
      <c r="X551" s="215"/>
      <c r="Y551" s="215"/>
      <c r="Z551" s="215"/>
      <c r="AA551" s="215"/>
      <c r="AB551" s="456"/>
      <c r="AC551" s="219" t="s">
        <v>602</v>
      </c>
      <c r="AD551" s="457" t="s">
        <v>111</v>
      </c>
      <c r="AE551" s="224">
        <v>244.58</v>
      </c>
      <c r="AF551" s="458">
        <v>244.58</v>
      </c>
      <c r="AG551" s="225">
        <v>264.08999999999997</v>
      </c>
      <c r="AH551" s="226"/>
      <c r="AI551" s="228"/>
      <c r="AJ551" s="458"/>
      <c r="AK551" s="225"/>
      <c r="AL551" s="227"/>
      <c r="AM551" s="224"/>
      <c r="AN551" s="458"/>
      <c r="AO551" s="225"/>
      <c r="AP551" s="227"/>
      <c r="AQ551" s="224"/>
      <c r="AR551" s="458"/>
      <c r="AS551" s="225"/>
      <c r="AT551" s="227"/>
      <c r="AU551" s="224"/>
      <c r="AV551" s="458"/>
      <c r="AW551" s="225"/>
      <c r="AX551" s="227"/>
      <c r="AY551" s="224"/>
      <c r="AZ551" s="458"/>
      <c r="BA551" s="225"/>
      <c r="BB551" s="227"/>
      <c r="BC551" s="224"/>
      <c r="BD551" s="458"/>
      <c r="BE551" s="225"/>
      <c r="BF551" s="236"/>
      <c r="BG551" s="224"/>
      <c r="BH551" s="458"/>
      <c r="BI551" s="225"/>
      <c r="BJ551" s="227"/>
      <c r="BK551" s="224"/>
      <c r="BL551" s="458"/>
      <c r="BM551" s="225"/>
      <c r="BN551" s="227"/>
      <c r="BO551" s="224"/>
      <c r="BP551" s="458"/>
      <c r="BQ551" s="225"/>
      <c r="BR551" s="227"/>
      <c r="BS551" s="224"/>
      <c r="BT551" s="458"/>
      <c r="BU551" s="225"/>
      <c r="BV551" s="226"/>
      <c r="BW551" s="229"/>
      <c r="BX551" s="215"/>
      <c r="BY551" s="125">
        <f t="shared" si="195"/>
        <v>244.58</v>
      </c>
      <c r="BZ551" s="126">
        <f t="shared" si="196"/>
        <v>244.58</v>
      </c>
      <c r="CA551" s="126">
        <f t="shared" si="197"/>
        <v>264.08999999999997</v>
      </c>
      <c r="CB551" s="127">
        <f t="shared" si="197"/>
        <v>0</v>
      </c>
      <c r="CC551" s="768"/>
    </row>
    <row r="552" spans="1:81" s="230" customFormat="1" ht="17.25" customHeight="1" outlineLevel="5" x14ac:dyDescent="0.25">
      <c r="A552" s="215"/>
      <c r="B552" s="215"/>
      <c r="C552" s="216"/>
      <c r="D552" s="216"/>
      <c r="E552" s="216"/>
      <c r="F552" s="216"/>
      <c r="G552" s="216"/>
      <c r="H552" s="216"/>
      <c r="I552" s="216"/>
      <c r="J552" s="215"/>
      <c r="K552" s="217"/>
      <c r="L552" s="216"/>
      <c r="M552" s="215"/>
      <c r="N552" s="215"/>
      <c r="O552" s="215"/>
      <c r="P552" s="215"/>
      <c r="Q552" s="215"/>
      <c r="R552" s="215"/>
      <c r="S552" s="215"/>
      <c r="T552" s="215"/>
      <c r="U552" s="215"/>
      <c r="V552" s="215"/>
      <c r="W552" s="215"/>
      <c r="X552" s="215"/>
      <c r="Y552" s="215"/>
      <c r="Z552" s="215"/>
      <c r="AA552" s="215"/>
      <c r="AB552" s="456"/>
      <c r="AC552" s="219" t="s">
        <v>372</v>
      </c>
      <c r="AD552" s="457" t="s">
        <v>111</v>
      </c>
      <c r="AE552" s="224">
        <v>80.37</v>
      </c>
      <c r="AF552" s="458">
        <v>80.37</v>
      </c>
      <c r="AG552" s="225">
        <v>88.44</v>
      </c>
      <c r="AH552" s="226"/>
      <c r="AI552" s="228"/>
      <c r="AJ552" s="458"/>
      <c r="AK552" s="225"/>
      <c r="AL552" s="227"/>
      <c r="AM552" s="224"/>
      <c r="AN552" s="458"/>
      <c r="AO552" s="225"/>
      <c r="AP552" s="227"/>
      <c r="AQ552" s="224"/>
      <c r="AR552" s="458"/>
      <c r="AS552" s="225"/>
      <c r="AT552" s="227"/>
      <c r="AU552" s="224"/>
      <c r="AV552" s="458"/>
      <c r="AW552" s="225"/>
      <c r="AX552" s="227"/>
      <c r="AY552" s="224"/>
      <c r="AZ552" s="458"/>
      <c r="BA552" s="225"/>
      <c r="BB552" s="227"/>
      <c r="BC552" s="224"/>
      <c r="BD552" s="458"/>
      <c r="BE552" s="225"/>
      <c r="BF552" s="236"/>
      <c r="BG552" s="224"/>
      <c r="BH552" s="458"/>
      <c r="BI552" s="225"/>
      <c r="BJ552" s="227"/>
      <c r="BK552" s="224"/>
      <c r="BL552" s="458"/>
      <c r="BM552" s="225"/>
      <c r="BN552" s="227"/>
      <c r="BO552" s="224"/>
      <c r="BP552" s="458"/>
      <c r="BQ552" s="225"/>
      <c r="BR552" s="227"/>
      <c r="BS552" s="224"/>
      <c r="BT552" s="458"/>
      <c r="BU552" s="225"/>
      <c r="BV552" s="226"/>
      <c r="BW552" s="229"/>
      <c r="BX552" s="215"/>
      <c r="BY552" s="125">
        <f t="shared" si="195"/>
        <v>80.37</v>
      </c>
      <c r="BZ552" s="126">
        <f t="shared" si="196"/>
        <v>80.37</v>
      </c>
      <c r="CA552" s="126">
        <f t="shared" si="197"/>
        <v>88.44</v>
      </c>
      <c r="CB552" s="127">
        <f t="shared" si="197"/>
        <v>0</v>
      </c>
      <c r="CC552" s="768"/>
    </row>
    <row r="553" spans="1:81" s="230" customFormat="1" ht="17.25" customHeight="1" outlineLevel="5" x14ac:dyDescent="0.25">
      <c r="A553" s="215"/>
      <c r="B553" s="215"/>
      <c r="C553" s="216"/>
      <c r="D553" s="216"/>
      <c r="E553" s="216"/>
      <c r="F553" s="216"/>
      <c r="G553" s="216"/>
      <c r="H553" s="216"/>
      <c r="I553" s="216"/>
      <c r="J553" s="215"/>
      <c r="K553" s="217"/>
      <c r="L553" s="216"/>
      <c r="M553" s="215"/>
      <c r="N553" s="215"/>
      <c r="O553" s="215"/>
      <c r="P553" s="215"/>
      <c r="Q553" s="215"/>
      <c r="R553" s="215"/>
      <c r="S553" s="215"/>
      <c r="T553" s="215"/>
      <c r="U553" s="215"/>
      <c r="V553" s="215"/>
      <c r="W553" s="215"/>
      <c r="X553" s="215"/>
      <c r="Y553" s="215"/>
      <c r="Z553" s="215"/>
      <c r="AA553" s="215"/>
      <c r="AB553" s="456"/>
      <c r="AC553" s="219" t="s">
        <v>603</v>
      </c>
      <c r="AD553" s="457" t="s">
        <v>111</v>
      </c>
      <c r="AE553" s="224">
        <v>103.85</v>
      </c>
      <c r="AF553" s="458">
        <v>103.85</v>
      </c>
      <c r="AG553" s="225">
        <v>114.27</v>
      </c>
      <c r="AH553" s="226"/>
      <c r="AI553" s="228"/>
      <c r="AJ553" s="458"/>
      <c r="AK553" s="225"/>
      <c r="AL553" s="227"/>
      <c r="AM553" s="224"/>
      <c r="AN553" s="458"/>
      <c r="AO553" s="225"/>
      <c r="AP553" s="227"/>
      <c r="AQ553" s="224"/>
      <c r="AR553" s="458"/>
      <c r="AS553" s="225"/>
      <c r="AT553" s="227"/>
      <c r="AU553" s="224"/>
      <c r="AV553" s="458"/>
      <c r="AW553" s="225"/>
      <c r="AX553" s="227"/>
      <c r="AY553" s="224"/>
      <c r="AZ553" s="458"/>
      <c r="BA553" s="225"/>
      <c r="BB553" s="227"/>
      <c r="BC553" s="224"/>
      <c r="BD553" s="458"/>
      <c r="BE553" s="225"/>
      <c r="BF553" s="236"/>
      <c r="BG553" s="224"/>
      <c r="BH553" s="458"/>
      <c r="BI553" s="225"/>
      <c r="BJ553" s="227"/>
      <c r="BK553" s="224"/>
      <c r="BL553" s="458"/>
      <c r="BM553" s="225"/>
      <c r="BN553" s="227"/>
      <c r="BO553" s="224"/>
      <c r="BP553" s="458"/>
      <c r="BQ553" s="225"/>
      <c r="BR553" s="227"/>
      <c r="BS553" s="224"/>
      <c r="BT553" s="458"/>
      <c r="BU553" s="225"/>
      <c r="BV553" s="226"/>
      <c r="BW553" s="229"/>
      <c r="BX553" s="215"/>
      <c r="BY553" s="125">
        <f t="shared" si="195"/>
        <v>103.85</v>
      </c>
      <c r="BZ553" s="126">
        <f t="shared" si="196"/>
        <v>103.85</v>
      </c>
      <c r="CA553" s="126">
        <f t="shared" si="197"/>
        <v>114.27</v>
      </c>
      <c r="CB553" s="127">
        <f t="shared" si="197"/>
        <v>0</v>
      </c>
      <c r="CC553" s="768"/>
    </row>
    <row r="554" spans="1:81" s="230" customFormat="1" ht="17.25" customHeight="1" outlineLevel="5" x14ac:dyDescent="0.25">
      <c r="A554" s="215"/>
      <c r="B554" s="215"/>
      <c r="C554" s="216"/>
      <c r="D554" s="216"/>
      <c r="E554" s="216"/>
      <c r="F554" s="216"/>
      <c r="G554" s="216"/>
      <c r="H554" s="216"/>
      <c r="I554" s="216"/>
      <c r="J554" s="215"/>
      <c r="K554" s="217"/>
      <c r="L554" s="216"/>
      <c r="M554" s="215"/>
      <c r="N554" s="215"/>
      <c r="O554" s="215"/>
      <c r="P554" s="215"/>
      <c r="Q554" s="215"/>
      <c r="R554" s="215"/>
      <c r="S554" s="215"/>
      <c r="T554" s="215"/>
      <c r="U554" s="215"/>
      <c r="V554" s="215"/>
      <c r="W554" s="215"/>
      <c r="X554" s="215"/>
      <c r="Y554" s="215"/>
      <c r="Z554" s="215"/>
      <c r="AA554" s="215"/>
      <c r="AB554" s="456"/>
      <c r="AC554" s="219" t="s">
        <v>303</v>
      </c>
      <c r="AD554" s="457" t="s">
        <v>111</v>
      </c>
      <c r="AE554" s="224">
        <v>90.49</v>
      </c>
      <c r="AF554" s="458">
        <v>90.49</v>
      </c>
      <c r="AG554" s="225">
        <v>99.56</v>
      </c>
      <c r="AH554" s="226"/>
      <c r="AI554" s="228"/>
      <c r="AJ554" s="458"/>
      <c r="AK554" s="225"/>
      <c r="AL554" s="227"/>
      <c r="AM554" s="224"/>
      <c r="AN554" s="458"/>
      <c r="AO554" s="225"/>
      <c r="AP554" s="227"/>
      <c r="AQ554" s="224"/>
      <c r="AR554" s="458"/>
      <c r="AS554" s="225"/>
      <c r="AT554" s="227"/>
      <c r="AU554" s="224"/>
      <c r="AV554" s="458"/>
      <c r="AW554" s="225"/>
      <c r="AX554" s="227"/>
      <c r="AY554" s="224"/>
      <c r="AZ554" s="458"/>
      <c r="BA554" s="225"/>
      <c r="BB554" s="227"/>
      <c r="BC554" s="224"/>
      <c r="BD554" s="458"/>
      <c r="BE554" s="225"/>
      <c r="BF554" s="236"/>
      <c r="BG554" s="224"/>
      <c r="BH554" s="458"/>
      <c r="BI554" s="225"/>
      <c r="BJ554" s="227"/>
      <c r="BK554" s="224"/>
      <c r="BL554" s="458"/>
      <c r="BM554" s="225"/>
      <c r="BN554" s="227"/>
      <c r="BO554" s="224"/>
      <c r="BP554" s="458"/>
      <c r="BQ554" s="225"/>
      <c r="BR554" s="227"/>
      <c r="BS554" s="224"/>
      <c r="BT554" s="458"/>
      <c r="BU554" s="225"/>
      <c r="BV554" s="226"/>
      <c r="BW554" s="229"/>
      <c r="BX554" s="215"/>
      <c r="BY554" s="125">
        <f t="shared" ref="BY554:BY585" si="206">AE554+AI554+AM554+AQ554+AU554+AY554+BC554+BG554+BK554+BO554+BS554</f>
        <v>90.49</v>
      </c>
      <c r="BZ554" s="126">
        <f t="shared" ref="BZ554:BZ585" si="207">AF554+AJ554+AN554+AR554+AV554+AZ554+BD554+BH554+BL554+BP554+BT554</f>
        <v>90.49</v>
      </c>
      <c r="CA554" s="126">
        <f t="shared" ref="CA554:CB585" si="208">AG554+AK554+AO554+AS554+AW554+BA554+BE554+BI554+BM554+BQ554+BU554</f>
        <v>99.56</v>
      </c>
      <c r="CB554" s="127">
        <f t="shared" si="208"/>
        <v>0</v>
      </c>
      <c r="CC554" s="768"/>
    </row>
    <row r="555" spans="1:81" s="230" customFormat="1" ht="17.25" customHeight="1" outlineLevel="5" x14ac:dyDescent="0.25">
      <c r="A555" s="215"/>
      <c r="B555" s="215"/>
      <c r="C555" s="216"/>
      <c r="D555" s="216"/>
      <c r="E555" s="216"/>
      <c r="F555" s="216"/>
      <c r="G555" s="216"/>
      <c r="H555" s="216"/>
      <c r="I555" s="216"/>
      <c r="J555" s="215"/>
      <c r="K555" s="217"/>
      <c r="L555" s="216"/>
      <c r="M555" s="215"/>
      <c r="N555" s="215"/>
      <c r="O555" s="215"/>
      <c r="P555" s="215"/>
      <c r="Q555" s="215"/>
      <c r="R555" s="215"/>
      <c r="S555" s="215"/>
      <c r="T555" s="215"/>
      <c r="U555" s="215"/>
      <c r="V555" s="215"/>
      <c r="W555" s="215"/>
      <c r="X555" s="215"/>
      <c r="Y555" s="215"/>
      <c r="Z555" s="215"/>
      <c r="AA555" s="215"/>
      <c r="AB555" s="456"/>
      <c r="AC555" s="219" t="s">
        <v>604</v>
      </c>
      <c r="AD555" s="457" t="s">
        <v>111</v>
      </c>
      <c r="AE555" s="224">
        <v>48.11</v>
      </c>
      <c r="AF555" s="458">
        <v>48.11</v>
      </c>
      <c r="AG555" s="225">
        <v>30.36</v>
      </c>
      <c r="AH555" s="226"/>
      <c r="AI555" s="228"/>
      <c r="AJ555" s="458"/>
      <c r="AK555" s="225"/>
      <c r="AL555" s="227"/>
      <c r="AM555" s="224"/>
      <c r="AN555" s="458"/>
      <c r="AO555" s="225"/>
      <c r="AP555" s="227"/>
      <c r="AQ555" s="224"/>
      <c r="AR555" s="458"/>
      <c r="AS555" s="225"/>
      <c r="AT555" s="227"/>
      <c r="AU555" s="224"/>
      <c r="AV555" s="458"/>
      <c r="AW555" s="225"/>
      <c r="AX555" s="227"/>
      <c r="AY555" s="224"/>
      <c r="AZ555" s="458"/>
      <c r="BA555" s="225"/>
      <c r="BB555" s="227"/>
      <c r="BC555" s="224"/>
      <c r="BD555" s="458"/>
      <c r="BE555" s="225"/>
      <c r="BF555" s="236"/>
      <c r="BG555" s="224"/>
      <c r="BH555" s="458"/>
      <c r="BI555" s="225"/>
      <c r="BJ555" s="227"/>
      <c r="BK555" s="224"/>
      <c r="BL555" s="458"/>
      <c r="BM555" s="225"/>
      <c r="BN555" s="227"/>
      <c r="BO555" s="224"/>
      <c r="BP555" s="458"/>
      <c r="BQ555" s="225"/>
      <c r="BR555" s="227"/>
      <c r="BS555" s="224"/>
      <c r="BT555" s="458"/>
      <c r="BU555" s="225"/>
      <c r="BV555" s="226"/>
      <c r="BW555" s="229"/>
      <c r="BX555" s="215"/>
      <c r="BY555" s="125">
        <f t="shared" si="206"/>
        <v>48.11</v>
      </c>
      <c r="BZ555" s="126">
        <f t="shared" si="207"/>
        <v>48.11</v>
      </c>
      <c r="CA555" s="126">
        <f t="shared" si="208"/>
        <v>30.36</v>
      </c>
      <c r="CB555" s="127">
        <f t="shared" si="208"/>
        <v>0</v>
      </c>
      <c r="CC555" s="768"/>
    </row>
    <row r="556" spans="1:81" s="230" customFormat="1" ht="17.25" customHeight="1" outlineLevel="5" x14ac:dyDescent="0.25">
      <c r="A556" s="215"/>
      <c r="B556" s="215"/>
      <c r="C556" s="216"/>
      <c r="D556" s="216"/>
      <c r="E556" s="216"/>
      <c r="F556" s="216"/>
      <c r="G556" s="216"/>
      <c r="H556" s="216"/>
      <c r="I556" s="216"/>
      <c r="J556" s="215"/>
      <c r="K556" s="217"/>
      <c r="L556" s="216"/>
      <c r="M556" s="215"/>
      <c r="N556" s="215"/>
      <c r="O556" s="215"/>
      <c r="P556" s="215"/>
      <c r="Q556" s="215"/>
      <c r="R556" s="215"/>
      <c r="S556" s="215"/>
      <c r="T556" s="215"/>
      <c r="U556" s="215"/>
      <c r="V556" s="215"/>
      <c r="W556" s="215"/>
      <c r="X556" s="215"/>
      <c r="Y556" s="215"/>
      <c r="Z556" s="215"/>
      <c r="AA556" s="215"/>
      <c r="AB556" s="456"/>
      <c r="AC556" s="219" t="s">
        <v>605</v>
      </c>
      <c r="AD556" s="457" t="s">
        <v>111</v>
      </c>
      <c r="AE556" s="224">
        <v>9.67</v>
      </c>
      <c r="AF556" s="458">
        <v>9.67</v>
      </c>
      <c r="AG556" s="225">
        <v>10.64</v>
      </c>
      <c r="AH556" s="226"/>
      <c r="AI556" s="228"/>
      <c r="AJ556" s="458"/>
      <c r="AK556" s="225"/>
      <c r="AL556" s="227"/>
      <c r="AM556" s="224"/>
      <c r="AN556" s="458"/>
      <c r="AO556" s="225"/>
      <c r="AP556" s="227"/>
      <c r="AQ556" s="224"/>
      <c r="AR556" s="458"/>
      <c r="AS556" s="225"/>
      <c r="AT556" s="227"/>
      <c r="AU556" s="224"/>
      <c r="AV556" s="458"/>
      <c r="AW556" s="225"/>
      <c r="AX556" s="227"/>
      <c r="AY556" s="224"/>
      <c r="AZ556" s="458"/>
      <c r="BA556" s="225"/>
      <c r="BB556" s="227"/>
      <c r="BC556" s="224"/>
      <c r="BD556" s="458"/>
      <c r="BE556" s="225"/>
      <c r="BF556" s="236"/>
      <c r="BG556" s="224"/>
      <c r="BH556" s="458"/>
      <c r="BI556" s="225"/>
      <c r="BJ556" s="227"/>
      <c r="BK556" s="224"/>
      <c r="BL556" s="458"/>
      <c r="BM556" s="225"/>
      <c r="BN556" s="227"/>
      <c r="BO556" s="224"/>
      <c r="BP556" s="458"/>
      <c r="BQ556" s="225"/>
      <c r="BR556" s="227"/>
      <c r="BS556" s="224"/>
      <c r="BT556" s="458"/>
      <c r="BU556" s="225"/>
      <c r="BV556" s="226"/>
      <c r="BW556" s="229"/>
      <c r="BX556" s="215"/>
      <c r="BY556" s="125">
        <f t="shared" si="206"/>
        <v>9.67</v>
      </c>
      <c r="BZ556" s="126">
        <f t="shared" si="207"/>
        <v>9.67</v>
      </c>
      <c r="CA556" s="126">
        <f t="shared" si="208"/>
        <v>10.64</v>
      </c>
      <c r="CB556" s="127">
        <f t="shared" si="208"/>
        <v>0</v>
      </c>
      <c r="CC556" s="768"/>
    </row>
    <row r="557" spans="1:81" s="230" customFormat="1" ht="17.25" customHeight="1" outlineLevel="5" x14ac:dyDescent="0.25">
      <c r="A557" s="215"/>
      <c r="B557" s="215"/>
      <c r="C557" s="216"/>
      <c r="D557" s="216"/>
      <c r="E557" s="216"/>
      <c r="F557" s="216"/>
      <c r="G557" s="216"/>
      <c r="H557" s="216"/>
      <c r="I557" s="216"/>
      <c r="J557" s="215"/>
      <c r="K557" s="217"/>
      <c r="L557" s="216"/>
      <c r="M557" s="215"/>
      <c r="N557" s="215"/>
      <c r="O557" s="215"/>
      <c r="P557" s="215"/>
      <c r="Q557" s="215"/>
      <c r="R557" s="215"/>
      <c r="S557" s="215"/>
      <c r="T557" s="215"/>
      <c r="U557" s="215"/>
      <c r="V557" s="215"/>
      <c r="W557" s="215"/>
      <c r="X557" s="215"/>
      <c r="Y557" s="215"/>
      <c r="Z557" s="215"/>
      <c r="AA557" s="215"/>
      <c r="AB557" s="456"/>
      <c r="AC557" s="219" t="s">
        <v>606</v>
      </c>
      <c r="AD557" s="457" t="s">
        <v>111</v>
      </c>
      <c r="AE557" s="224">
        <v>18.940000000000001</v>
      </c>
      <c r="AF557" s="458">
        <v>18.940000000000001</v>
      </c>
      <c r="AG557" s="225">
        <v>20.84</v>
      </c>
      <c r="AH557" s="226"/>
      <c r="AI557" s="228"/>
      <c r="AJ557" s="458"/>
      <c r="AK557" s="225"/>
      <c r="AL557" s="227"/>
      <c r="AM557" s="224"/>
      <c r="AN557" s="458"/>
      <c r="AO557" s="225"/>
      <c r="AP557" s="227"/>
      <c r="AQ557" s="224"/>
      <c r="AR557" s="458"/>
      <c r="AS557" s="225"/>
      <c r="AT557" s="227"/>
      <c r="AU557" s="224"/>
      <c r="AV557" s="458"/>
      <c r="AW557" s="225"/>
      <c r="AX557" s="227"/>
      <c r="AY557" s="224"/>
      <c r="AZ557" s="458"/>
      <c r="BA557" s="225"/>
      <c r="BB557" s="227"/>
      <c r="BC557" s="224"/>
      <c r="BD557" s="458"/>
      <c r="BE557" s="225"/>
      <c r="BF557" s="236"/>
      <c r="BG557" s="224"/>
      <c r="BH557" s="458"/>
      <c r="BI557" s="225"/>
      <c r="BJ557" s="227"/>
      <c r="BK557" s="224"/>
      <c r="BL557" s="458"/>
      <c r="BM557" s="225"/>
      <c r="BN557" s="227"/>
      <c r="BO557" s="224"/>
      <c r="BP557" s="458"/>
      <c r="BQ557" s="225"/>
      <c r="BR557" s="227"/>
      <c r="BS557" s="224"/>
      <c r="BT557" s="458"/>
      <c r="BU557" s="225"/>
      <c r="BV557" s="226"/>
      <c r="BW557" s="229"/>
      <c r="BX557" s="215"/>
      <c r="BY557" s="125">
        <f t="shared" si="206"/>
        <v>18.940000000000001</v>
      </c>
      <c r="BZ557" s="126">
        <f t="shared" si="207"/>
        <v>18.940000000000001</v>
      </c>
      <c r="CA557" s="126">
        <f t="shared" si="208"/>
        <v>20.84</v>
      </c>
      <c r="CB557" s="127">
        <f t="shared" si="208"/>
        <v>0</v>
      </c>
      <c r="CC557" s="768"/>
    </row>
    <row r="558" spans="1:81" s="230" customFormat="1" ht="17.25" customHeight="1" outlineLevel="5" x14ac:dyDescent="0.25">
      <c r="A558" s="215"/>
      <c r="B558" s="215"/>
      <c r="C558" s="216"/>
      <c r="D558" s="216"/>
      <c r="E558" s="216"/>
      <c r="F558" s="216"/>
      <c r="G558" s="216"/>
      <c r="H558" s="216"/>
      <c r="I558" s="216"/>
      <c r="J558" s="215"/>
      <c r="K558" s="217"/>
      <c r="L558" s="216"/>
      <c r="M558" s="215"/>
      <c r="N558" s="215"/>
      <c r="O558" s="215"/>
      <c r="P558" s="215"/>
      <c r="Q558" s="215"/>
      <c r="R558" s="215"/>
      <c r="S558" s="215"/>
      <c r="T558" s="215"/>
      <c r="U558" s="215"/>
      <c r="V558" s="215"/>
      <c r="W558" s="215"/>
      <c r="X558" s="215"/>
      <c r="Y558" s="215"/>
      <c r="Z558" s="215"/>
      <c r="AA558" s="215"/>
      <c r="AB558" s="456"/>
      <c r="AC558" s="219" t="s">
        <v>607</v>
      </c>
      <c r="AD558" s="457" t="s">
        <v>111</v>
      </c>
      <c r="AE558" s="224">
        <v>131.88999999999999</v>
      </c>
      <c r="AF558" s="458">
        <v>131.88999999999999</v>
      </c>
      <c r="AG558" s="225">
        <v>145.12</v>
      </c>
      <c r="AH558" s="226"/>
      <c r="AI558" s="228"/>
      <c r="AJ558" s="458"/>
      <c r="AK558" s="225"/>
      <c r="AL558" s="227"/>
      <c r="AM558" s="224"/>
      <c r="AN558" s="458"/>
      <c r="AO558" s="225"/>
      <c r="AP558" s="227"/>
      <c r="AQ558" s="224"/>
      <c r="AR558" s="458"/>
      <c r="AS558" s="225"/>
      <c r="AT558" s="227"/>
      <c r="AU558" s="224"/>
      <c r="AV558" s="458"/>
      <c r="AW558" s="225"/>
      <c r="AX558" s="227"/>
      <c r="AY558" s="224"/>
      <c r="AZ558" s="458"/>
      <c r="BA558" s="225"/>
      <c r="BB558" s="227"/>
      <c r="BC558" s="224"/>
      <c r="BD558" s="458"/>
      <c r="BE558" s="225"/>
      <c r="BF558" s="236"/>
      <c r="BG558" s="224"/>
      <c r="BH558" s="458"/>
      <c r="BI558" s="225"/>
      <c r="BJ558" s="227"/>
      <c r="BK558" s="224"/>
      <c r="BL558" s="458"/>
      <c r="BM558" s="225"/>
      <c r="BN558" s="227"/>
      <c r="BO558" s="224"/>
      <c r="BP558" s="458"/>
      <c r="BQ558" s="225"/>
      <c r="BR558" s="227"/>
      <c r="BS558" s="224"/>
      <c r="BT558" s="458"/>
      <c r="BU558" s="225"/>
      <c r="BV558" s="226"/>
      <c r="BW558" s="229"/>
      <c r="BX558" s="215"/>
      <c r="BY558" s="125">
        <f t="shared" si="206"/>
        <v>131.88999999999999</v>
      </c>
      <c r="BZ558" s="126">
        <f t="shared" si="207"/>
        <v>131.88999999999999</v>
      </c>
      <c r="CA558" s="126">
        <f t="shared" si="208"/>
        <v>145.12</v>
      </c>
      <c r="CB558" s="127">
        <f t="shared" si="208"/>
        <v>0</v>
      </c>
      <c r="CC558" s="768"/>
    </row>
    <row r="559" spans="1:81" s="230" customFormat="1" ht="17.25" customHeight="1" outlineLevel="5" x14ac:dyDescent="0.25">
      <c r="A559" s="215"/>
      <c r="B559" s="215"/>
      <c r="C559" s="216"/>
      <c r="D559" s="216"/>
      <c r="E559" s="216"/>
      <c r="F559" s="216"/>
      <c r="G559" s="216"/>
      <c r="H559" s="216"/>
      <c r="I559" s="216"/>
      <c r="J559" s="215"/>
      <c r="K559" s="217"/>
      <c r="L559" s="216"/>
      <c r="M559" s="215"/>
      <c r="N559" s="215"/>
      <c r="O559" s="215"/>
      <c r="P559" s="215"/>
      <c r="Q559" s="215"/>
      <c r="R559" s="215"/>
      <c r="S559" s="215"/>
      <c r="T559" s="215"/>
      <c r="U559" s="215"/>
      <c r="V559" s="215"/>
      <c r="W559" s="215"/>
      <c r="X559" s="215"/>
      <c r="Y559" s="215"/>
      <c r="Z559" s="215"/>
      <c r="AA559" s="215"/>
      <c r="AB559" s="456"/>
      <c r="AC559" s="219" t="s">
        <v>608</v>
      </c>
      <c r="AD559" s="457" t="s">
        <v>111</v>
      </c>
      <c r="AE559" s="224">
        <v>539.54999999999995</v>
      </c>
      <c r="AF559" s="458">
        <v>539.54999999999995</v>
      </c>
      <c r="AG559" s="225">
        <v>593.67999999999995</v>
      </c>
      <c r="AH559" s="226"/>
      <c r="AI559" s="228"/>
      <c r="AJ559" s="458"/>
      <c r="AK559" s="225"/>
      <c r="AL559" s="227"/>
      <c r="AM559" s="224"/>
      <c r="AN559" s="458"/>
      <c r="AO559" s="225"/>
      <c r="AP559" s="227"/>
      <c r="AQ559" s="224"/>
      <c r="AR559" s="458"/>
      <c r="AS559" s="225"/>
      <c r="AT559" s="227"/>
      <c r="AU559" s="224"/>
      <c r="AV559" s="458"/>
      <c r="AW559" s="225"/>
      <c r="AX559" s="227"/>
      <c r="AY559" s="224"/>
      <c r="AZ559" s="458"/>
      <c r="BA559" s="225"/>
      <c r="BB559" s="227"/>
      <c r="BC559" s="224"/>
      <c r="BD559" s="458"/>
      <c r="BE559" s="225"/>
      <c r="BF559" s="236"/>
      <c r="BG559" s="224"/>
      <c r="BH559" s="458"/>
      <c r="BI559" s="225"/>
      <c r="BJ559" s="227"/>
      <c r="BK559" s="235"/>
      <c r="BL559" s="225"/>
      <c r="BM559" s="225"/>
      <c r="BN559" s="227"/>
      <c r="BO559" s="245"/>
      <c r="BP559" s="238"/>
      <c r="BQ559" s="238"/>
      <c r="BR559" s="239"/>
      <c r="BS559" s="245"/>
      <c r="BT559" s="238"/>
      <c r="BU559" s="238"/>
      <c r="BV559" s="241"/>
      <c r="BW559" s="229"/>
      <c r="BX559" s="215"/>
      <c r="BY559" s="125">
        <f t="shared" si="206"/>
        <v>539.54999999999995</v>
      </c>
      <c r="BZ559" s="126">
        <f t="shared" si="207"/>
        <v>539.54999999999995</v>
      </c>
      <c r="CA559" s="126">
        <f t="shared" si="208"/>
        <v>593.67999999999995</v>
      </c>
      <c r="CB559" s="127">
        <f t="shared" si="208"/>
        <v>0</v>
      </c>
      <c r="CC559" s="768"/>
    </row>
    <row r="560" spans="1:81" s="230" customFormat="1" ht="17.25" customHeight="1" outlineLevel="5" x14ac:dyDescent="0.25">
      <c r="A560" s="215"/>
      <c r="B560" s="215"/>
      <c r="C560" s="216"/>
      <c r="D560" s="216"/>
      <c r="E560" s="216"/>
      <c r="F560" s="216"/>
      <c r="G560" s="216"/>
      <c r="H560" s="216"/>
      <c r="I560" s="216"/>
      <c r="J560" s="215"/>
      <c r="K560" s="217"/>
      <c r="L560" s="216"/>
      <c r="M560" s="215"/>
      <c r="N560" s="215"/>
      <c r="O560" s="215"/>
      <c r="P560" s="215"/>
      <c r="Q560" s="215"/>
      <c r="R560" s="215"/>
      <c r="S560" s="215"/>
      <c r="T560" s="215"/>
      <c r="U560" s="215"/>
      <c r="V560" s="215"/>
      <c r="W560" s="215"/>
      <c r="X560" s="215"/>
      <c r="Y560" s="215"/>
      <c r="Z560" s="215"/>
      <c r="AA560" s="215"/>
      <c r="AB560" s="456"/>
      <c r="AC560" s="219" t="s">
        <v>609</v>
      </c>
      <c r="AD560" s="457" t="s">
        <v>111</v>
      </c>
      <c r="AE560" s="224">
        <v>1197.77</v>
      </c>
      <c r="AF560" s="458">
        <v>1197.77</v>
      </c>
      <c r="AG560" s="225">
        <v>1317.93</v>
      </c>
      <c r="AH560" s="226"/>
      <c r="AI560" s="228"/>
      <c r="AJ560" s="458"/>
      <c r="AK560" s="225"/>
      <c r="AL560" s="227"/>
      <c r="AM560" s="224"/>
      <c r="AN560" s="458"/>
      <c r="AO560" s="225"/>
      <c r="AP560" s="227"/>
      <c r="AQ560" s="224"/>
      <c r="AR560" s="458"/>
      <c r="AS560" s="225"/>
      <c r="AT560" s="227"/>
      <c r="AU560" s="224"/>
      <c r="AV560" s="458"/>
      <c r="AW560" s="225"/>
      <c r="AX560" s="227"/>
      <c r="AY560" s="224"/>
      <c r="AZ560" s="458"/>
      <c r="BA560" s="225"/>
      <c r="BB560" s="227"/>
      <c r="BC560" s="224"/>
      <c r="BD560" s="458"/>
      <c r="BE560" s="225"/>
      <c r="BF560" s="236"/>
      <c r="BG560" s="224"/>
      <c r="BH560" s="458"/>
      <c r="BI560" s="225"/>
      <c r="BJ560" s="227"/>
      <c r="BK560" s="224"/>
      <c r="BL560" s="458"/>
      <c r="BM560" s="225"/>
      <c r="BN560" s="227"/>
      <c r="BO560" s="224"/>
      <c r="BP560" s="458"/>
      <c r="BQ560" s="225"/>
      <c r="BR560" s="227"/>
      <c r="BS560" s="224"/>
      <c r="BT560" s="458"/>
      <c r="BU560" s="225"/>
      <c r="BV560" s="226"/>
      <c r="BW560" s="229"/>
      <c r="BX560" s="215"/>
      <c r="BY560" s="125">
        <f t="shared" si="206"/>
        <v>1197.77</v>
      </c>
      <c r="BZ560" s="126">
        <f t="shared" si="207"/>
        <v>1197.77</v>
      </c>
      <c r="CA560" s="126">
        <f t="shared" si="208"/>
        <v>1317.93</v>
      </c>
      <c r="CB560" s="127">
        <f t="shared" si="208"/>
        <v>0</v>
      </c>
      <c r="CC560" s="768"/>
    </row>
    <row r="561" spans="1:81" s="455" customFormat="1" ht="15.75" customHeight="1" outlineLevel="4" x14ac:dyDescent="0.25">
      <c r="A561" s="116" t="b">
        <f>SETTING_OTHER_STRAIGHT="да"</f>
        <v>1</v>
      </c>
      <c r="B561" s="6"/>
      <c r="C561" s="116" t="s">
        <v>83</v>
      </c>
      <c r="D561" s="116" t="s">
        <v>84</v>
      </c>
      <c r="E561" s="116" t="s">
        <v>73</v>
      </c>
      <c r="F561" s="116" t="s">
        <v>74</v>
      </c>
      <c r="G561" s="116" t="str">
        <f>IF('[4]Общие настройки'!$M$13="Oracle","Прочие прямые расходы","Другие производственные расходы")</f>
        <v>Другие производственные расходы</v>
      </c>
      <c r="H561" s="116" t="s">
        <v>73</v>
      </c>
      <c r="I561" s="116" t="s">
        <v>73</v>
      </c>
      <c r="J561" s="6"/>
      <c r="K561" s="209" t="s">
        <v>73</v>
      </c>
      <c r="L561" s="116" t="s">
        <v>192</v>
      </c>
      <c r="M561" s="6" t="str">
        <f t="array" ref="M561">Y458</f>
        <v>1ВО::1.1</v>
      </c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403" t="str">
        <f>AB531&amp;".8"</f>
        <v>3.1.1.1.6.8</v>
      </c>
      <c r="AC561" s="459" t="s">
        <v>266</v>
      </c>
      <c r="AD561" s="32" t="s">
        <v>111</v>
      </c>
      <c r="AE561" s="72">
        <f t="shared" ref="AE561:AL561" si="209">SUM(AE562:AE592)</f>
        <v>35105.21</v>
      </c>
      <c r="AF561" s="178">
        <f t="shared" si="209"/>
        <v>24523.879999999997</v>
      </c>
      <c r="AG561" s="178">
        <f t="shared" si="209"/>
        <v>25904.520000000004</v>
      </c>
      <c r="AH561" s="96">
        <f>SUM(AH562:AH592)</f>
        <v>49057.070000000007</v>
      </c>
      <c r="AI561" s="179">
        <f t="shared" si="209"/>
        <v>1603.7599999999998</v>
      </c>
      <c r="AJ561" s="178">
        <f t="shared" si="209"/>
        <v>418.01</v>
      </c>
      <c r="AK561" s="178">
        <f t="shared" si="209"/>
        <v>2662.8299999999995</v>
      </c>
      <c r="AL561" s="181">
        <f t="shared" si="209"/>
        <v>722.38999999999987</v>
      </c>
      <c r="AM561" s="72">
        <f t="shared" ref="AM561:BB561" si="210">SUM(AM562:AM592)</f>
        <v>0</v>
      </c>
      <c r="AN561" s="178">
        <f t="shared" si="210"/>
        <v>0</v>
      </c>
      <c r="AO561" s="178">
        <f t="shared" si="210"/>
        <v>0</v>
      </c>
      <c r="AP561" s="181">
        <f t="shared" si="210"/>
        <v>0</v>
      </c>
      <c r="AQ561" s="72">
        <f t="shared" si="210"/>
        <v>494.62</v>
      </c>
      <c r="AR561" s="178">
        <f t="shared" si="210"/>
        <v>0</v>
      </c>
      <c r="AS561" s="178">
        <f t="shared" si="210"/>
        <v>531.7700000000001</v>
      </c>
      <c r="AT561" s="1031">
        <f t="shared" si="210"/>
        <v>93.825999999999993</v>
      </c>
      <c r="AU561" s="72">
        <f t="shared" si="210"/>
        <v>420.73</v>
      </c>
      <c r="AV561" s="178">
        <f t="shared" si="210"/>
        <v>0</v>
      </c>
      <c r="AW561" s="178">
        <f t="shared" si="210"/>
        <v>757.85</v>
      </c>
      <c r="AX561" s="181">
        <f t="shared" si="210"/>
        <v>136.57999999999998</v>
      </c>
      <c r="AY561" s="72">
        <f t="shared" si="210"/>
        <v>407.96</v>
      </c>
      <c r="AZ561" s="178">
        <f t="shared" si="210"/>
        <v>0</v>
      </c>
      <c r="BA561" s="178">
        <f t="shared" si="210"/>
        <v>608.07000000000005</v>
      </c>
      <c r="BB561" s="181">
        <f t="shared" si="210"/>
        <v>0</v>
      </c>
      <c r="BC561" s="72">
        <f t="shared" ref="BC561:BM561" si="211">SUM(BC562:BC592)</f>
        <v>3805.2060000000001</v>
      </c>
      <c r="BD561" s="178">
        <f t="shared" si="211"/>
        <v>0</v>
      </c>
      <c r="BE561" s="178">
        <f t="shared" si="211"/>
        <v>4268.1619999999994</v>
      </c>
      <c r="BF561" s="210">
        <f t="shared" si="211"/>
        <v>265.81</v>
      </c>
      <c r="BG561" s="72">
        <f t="shared" si="211"/>
        <v>7951.4340000000002</v>
      </c>
      <c r="BH561" s="178">
        <f t="shared" si="211"/>
        <v>925.46</v>
      </c>
      <c r="BI561" s="178">
        <f t="shared" si="211"/>
        <v>11590.352999999999</v>
      </c>
      <c r="BJ561" s="181">
        <f t="shared" si="211"/>
        <v>962.9226208</v>
      </c>
      <c r="BK561" s="72">
        <f t="shared" si="211"/>
        <v>10829.93</v>
      </c>
      <c r="BL561" s="178">
        <f t="shared" si="211"/>
        <v>53.63</v>
      </c>
      <c r="BM561" s="178">
        <f t="shared" si="211"/>
        <v>12660.579999999998</v>
      </c>
      <c r="BN561" s="181">
        <v>0</v>
      </c>
      <c r="BO561" s="72">
        <f t="shared" ref="BO561:BV561" si="212">SUM(BO562:BO592)</f>
        <v>1176.3479999999997</v>
      </c>
      <c r="BP561" s="178">
        <f t="shared" si="212"/>
        <v>82.12</v>
      </c>
      <c r="BQ561" s="178">
        <f t="shared" si="212"/>
        <v>1876.0149999999999</v>
      </c>
      <c r="BR561" s="181">
        <f t="shared" si="212"/>
        <v>57.905000000000001</v>
      </c>
      <c r="BS561" s="72">
        <f t="shared" si="212"/>
        <v>2094.9699999999998</v>
      </c>
      <c r="BT561" s="178">
        <f t="shared" si="212"/>
        <v>2334.2600000000002</v>
      </c>
      <c r="BU561" s="178">
        <f t="shared" si="212"/>
        <v>3770.08</v>
      </c>
      <c r="BV561" s="96">
        <f t="shared" si="212"/>
        <v>230.15</v>
      </c>
      <c r="BW561" s="6"/>
      <c r="BX561" s="6"/>
      <c r="BY561" s="125">
        <f t="shared" si="206"/>
        <v>63890.168000000005</v>
      </c>
      <c r="BZ561" s="126">
        <f t="shared" si="207"/>
        <v>28337.359999999993</v>
      </c>
      <c r="CA561" s="126">
        <f t="shared" si="208"/>
        <v>64630.229999999996</v>
      </c>
      <c r="CB561" s="127">
        <f t="shared" si="208"/>
        <v>51526.653620800011</v>
      </c>
      <c r="CC561" s="766"/>
    </row>
    <row r="562" spans="1:81" s="230" customFormat="1" ht="14.85" customHeight="1" outlineLevel="5" x14ac:dyDescent="0.25">
      <c r="A562" s="216"/>
      <c r="B562" s="215"/>
      <c r="C562" s="216"/>
      <c r="D562" s="216"/>
      <c r="E562" s="216"/>
      <c r="F562" s="216"/>
      <c r="G562" s="216"/>
      <c r="H562" s="216"/>
      <c r="I562" s="216"/>
      <c r="J562" s="215"/>
      <c r="K562" s="217"/>
      <c r="L562" s="216"/>
      <c r="M562" s="215"/>
      <c r="N562" s="215"/>
      <c r="O562" s="215"/>
      <c r="P562" s="215"/>
      <c r="Q562" s="215"/>
      <c r="R562" s="215"/>
      <c r="S562" s="215"/>
      <c r="T562" s="215"/>
      <c r="U562" s="215"/>
      <c r="V562" s="215"/>
      <c r="W562" s="215"/>
      <c r="X562" s="215"/>
      <c r="Y562" s="215"/>
      <c r="Z562" s="215"/>
      <c r="AA562" s="215"/>
      <c r="AB562" s="456"/>
      <c r="AC562" s="219" t="s">
        <v>268</v>
      </c>
      <c r="AD562" s="457" t="s">
        <v>111</v>
      </c>
      <c r="AE562" s="460">
        <v>4104.9399999999996</v>
      </c>
      <c r="AF562" s="292">
        <v>10404.469999999999</v>
      </c>
      <c r="AG562" s="292">
        <v>4516.75</v>
      </c>
      <c r="AH562" s="1074">
        <f>4520+4516.75</f>
        <v>9036.75</v>
      </c>
      <c r="AI562" s="1065">
        <v>41.19</v>
      </c>
      <c r="AJ562" s="292"/>
      <c r="AK562" s="292">
        <v>42.84</v>
      </c>
      <c r="AL562" s="462">
        <v>43</v>
      </c>
      <c r="AM562" s="460"/>
      <c r="AN562" s="292"/>
      <c r="AO562" s="292"/>
      <c r="AP562" s="462"/>
      <c r="AQ562" s="460">
        <v>30.76</v>
      </c>
      <c r="AR562" s="292"/>
      <c r="AS562" s="292">
        <v>127.88</v>
      </c>
      <c r="AT562" s="462">
        <v>93.825999999999993</v>
      </c>
      <c r="AU562" s="460">
        <v>11.15</v>
      </c>
      <c r="AV562" s="292"/>
      <c r="AW562" s="292">
        <v>12.27</v>
      </c>
      <c r="AX562" s="1076">
        <v>50</v>
      </c>
      <c r="AY562" s="460">
        <v>57.17</v>
      </c>
      <c r="AZ562" s="292"/>
      <c r="BA562" s="292">
        <v>62.9</v>
      </c>
      <c r="BB562" s="1076"/>
      <c r="BC562" s="463">
        <v>4.4640000000000004</v>
      </c>
      <c r="BD562" s="292"/>
      <c r="BE562" s="458">
        <v>150.30099999999999</v>
      </c>
      <c r="BF562" s="982"/>
      <c r="BG562" s="460">
        <v>588.08000000000004</v>
      </c>
      <c r="BH562" s="292">
        <v>825.78</v>
      </c>
      <c r="BI562" s="458">
        <v>825.77800000000002</v>
      </c>
      <c r="BJ562" s="464">
        <f>BH562*1.04048</f>
        <v>859.2075744</v>
      </c>
      <c r="BK562" s="460">
        <v>11.95</v>
      </c>
      <c r="BL562" s="292"/>
      <c r="BM562" s="292">
        <v>117.22</v>
      </c>
      <c r="BN562" s="462"/>
      <c r="BO562" s="465">
        <v>79.39</v>
      </c>
      <c r="BP562" s="292"/>
      <c r="BQ562" s="292">
        <v>120.7</v>
      </c>
      <c r="BR562" s="470">
        <v>57.905000000000001</v>
      </c>
      <c r="BS562" s="465">
        <v>207.2</v>
      </c>
      <c r="BT562" s="466">
        <v>187.54</v>
      </c>
      <c r="BU562" s="466">
        <v>500.52</v>
      </c>
      <c r="BV562" s="467">
        <v>56.71</v>
      </c>
      <c r="BW562" s="229"/>
      <c r="BX562" s="215"/>
      <c r="BY562" s="125">
        <f t="shared" si="206"/>
        <v>5136.293999999999</v>
      </c>
      <c r="BZ562" s="126">
        <f t="shared" si="207"/>
        <v>11417.79</v>
      </c>
      <c r="CA562" s="126">
        <f t="shared" si="208"/>
        <v>6477.1590000000015</v>
      </c>
      <c r="CB562" s="127">
        <f t="shared" si="208"/>
        <v>10197.398574399998</v>
      </c>
      <c r="CC562" s="768"/>
    </row>
    <row r="563" spans="1:81" s="230" customFormat="1" ht="14.85" customHeight="1" outlineLevel="5" x14ac:dyDescent="0.25">
      <c r="A563" s="216"/>
      <c r="B563" s="215"/>
      <c r="C563" s="216"/>
      <c r="D563" s="216"/>
      <c r="E563" s="216"/>
      <c r="F563" s="216"/>
      <c r="G563" s="216"/>
      <c r="H563" s="216"/>
      <c r="I563" s="216"/>
      <c r="J563" s="215"/>
      <c r="K563" s="217"/>
      <c r="L563" s="216"/>
      <c r="M563" s="215"/>
      <c r="N563" s="215"/>
      <c r="O563" s="215"/>
      <c r="P563" s="215"/>
      <c r="Q563" s="215"/>
      <c r="R563" s="215"/>
      <c r="S563" s="215"/>
      <c r="T563" s="215"/>
      <c r="U563" s="215"/>
      <c r="V563" s="215"/>
      <c r="W563" s="215"/>
      <c r="X563" s="215"/>
      <c r="Y563" s="215"/>
      <c r="Z563" s="215"/>
      <c r="AA563" s="215"/>
      <c r="AB563" s="456"/>
      <c r="AC563" s="219" t="s">
        <v>769</v>
      </c>
      <c r="AD563" s="457" t="s">
        <v>111</v>
      </c>
      <c r="AE563" s="460">
        <v>4866.04</v>
      </c>
      <c r="AF563" s="292">
        <v>4484.1899999999996</v>
      </c>
      <c r="AG563" s="292">
        <v>5687.97</v>
      </c>
      <c r="AH563" s="1075">
        <f>1814.22+5687.97</f>
        <v>7502.1900000000005</v>
      </c>
      <c r="AI563" s="1065"/>
      <c r="AJ563" s="292"/>
      <c r="AK563" s="292"/>
      <c r="AL563" s="462"/>
      <c r="AM563" s="460"/>
      <c r="AN563" s="292"/>
      <c r="AO563" s="292"/>
      <c r="AP563" s="462"/>
      <c r="AQ563" s="460">
        <v>70.56</v>
      </c>
      <c r="AR563" s="292"/>
      <c r="AS563" s="292">
        <v>78.81</v>
      </c>
      <c r="AT563" s="462"/>
      <c r="AU563" s="460">
        <v>93.63</v>
      </c>
      <c r="AV563" s="292"/>
      <c r="AW563" s="292">
        <f>114.12+269.5</f>
        <v>383.62</v>
      </c>
      <c r="AX563" s="462">
        <v>86.58</v>
      </c>
      <c r="AY563" s="460">
        <v>136.34</v>
      </c>
      <c r="AZ563" s="292"/>
      <c r="BA563" s="292">
        <v>206.6</v>
      </c>
      <c r="BB563" s="1076"/>
      <c r="BC563" s="468">
        <f>69.292+315.13</f>
        <v>384.42200000000003</v>
      </c>
      <c r="BD563" s="469"/>
      <c r="BE563" s="469">
        <f>108.12+563.5</f>
        <v>671.62</v>
      </c>
      <c r="BF563" s="769">
        <v>107.87</v>
      </c>
      <c r="BG563" s="468">
        <v>157.685</v>
      </c>
      <c r="BH563" s="469"/>
      <c r="BI563" s="469">
        <v>324.28899999999999</v>
      </c>
      <c r="BJ563" s="470"/>
      <c r="BK563" s="460">
        <v>271.25</v>
      </c>
      <c r="BL563" s="292"/>
      <c r="BM563" s="292">
        <v>426.46</v>
      </c>
      <c r="BN563" s="462"/>
      <c r="BO563" s="465">
        <v>2.73</v>
      </c>
      <c r="BP563" s="292"/>
      <c r="BQ563" s="292">
        <v>41.25</v>
      </c>
      <c r="BR563" s="462"/>
      <c r="BS563" s="465">
        <v>6.59</v>
      </c>
      <c r="BT563" s="466"/>
      <c r="BU563" s="466">
        <v>133.69999999999999</v>
      </c>
      <c r="BV563" s="467"/>
      <c r="BW563" s="229"/>
      <c r="BX563" s="215"/>
      <c r="BY563" s="125">
        <f t="shared" si="206"/>
        <v>5989.2470000000003</v>
      </c>
      <c r="BZ563" s="126">
        <f t="shared" si="207"/>
        <v>4484.1899999999996</v>
      </c>
      <c r="CA563" s="126">
        <f t="shared" si="208"/>
        <v>7954.3190000000004</v>
      </c>
      <c r="CB563" s="127">
        <f t="shared" si="208"/>
        <v>7696.64</v>
      </c>
      <c r="CC563" s="768"/>
    </row>
    <row r="564" spans="1:81" s="230" customFormat="1" ht="14.85" customHeight="1" outlineLevel="5" x14ac:dyDescent="0.25">
      <c r="A564" s="216"/>
      <c r="B564" s="215"/>
      <c r="C564" s="216"/>
      <c r="D564" s="216"/>
      <c r="E564" s="216"/>
      <c r="F564" s="216"/>
      <c r="G564" s="216"/>
      <c r="H564" s="216"/>
      <c r="I564" s="216"/>
      <c r="J564" s="215"/>
      <c r="K564" s="217"/>
      <c r="L564" s="216"/>
      <c r="M564" s="215"/>
      <c r="N564" s="215"/>
      <c r="O564" s="215"/>
      <c r="P564" s="215"/>
      <c r="Q564" s="215"/>
      <c r="R564" s="215"/>
      <c r="S564" s="215"/>
      <c r="T564" s="215"/>
      <c r="U564" s="215"/>
      <c r="V564" s="215"/>
      <c r="W564" s="215"/>
      <c r="X564" s="215"/>
      <c r="Y564" s="215"/>
      <c r="Z564" s="215"/>
      <c r="AA564" s="215"/>
      <c r="AB564" s="456"/>
      <c r="AC564" s="219" t="s">
        <v>611</v>
      </c>
      <c r="AD564" s="457" t="s">
        <v>111</v>
      </c>
      <c r="AE564" s="460">
        <v>9936.92</v>
      </c>
      <c r="AF564" s="292">
        <v>8619.9</v>
      </c>
      <c r="AG564" s="292">
        <v>10933</v>
      </c>
      <c r="AH564" s="1074">
        <v>10933</v>
      </c>
      <c r="AI564" s="1065"/>
      <c r="AJ564" s="292"/>
      <c r="AK564" s="292"/>
      <c r="AL564" s="462"/>
      <c r="AM564" s="460"/>
      <c r="AN564" s="292"/>
      <c r="AO564" s="292"/>
      <c r="AP564" s="462"/>
      <c r="AQ564" s="460"/>
      <c r="AR564" s="292"/>
      <c r="AS564" s="292"/>
      <c r="AT564" s="462"/>
      <c r="AU564" s="460"/>
      <c r="AV564" s="292"/>
      <c r="AW564" s="292"/>
      <c r="AX564" s="462"/>
      <c r="AY564" s="460"/>
      <c r="AZ564" s="292"/>
      <c r="BA564" s="292"/>
      <c r="BB564" s="1076"/>
      <c r="BC564" s="468"/>
      <c r="BD564" s="469"/>
      <c r="BE564" s="469"/>
      <c r="BF564" s="769"/>
      <c r="BG564" s="468"/>
      <c r="BH564" s="469"/>
      <c r="BI564" s="469"/>
      <c r="BJ564" s="470"/>
      <c r="BK564" s="460">
        <v>23.42</v>
      </c>
      <c r="BL564" s="292"/>
      <c r="BM564" s="292"/>
      <c r="BN564" s="462"/>
      <c r="BO564" s="460"/>
      <c r="BP564" s="292"/>
      <c r="BQ564" s="292"/>
      <c r="BR564" s="462"/>
      <c r="BS564" s="460"/>
      <c r="BT564" s="292"/>
      <c r="BU564" s="292"/>
      <c r="BV564" s="461"/>
      <c r="BW564" s="229"/>
      <c r="BX564" s="215"/>
      <c r="BY564" s="125">
        <f t="shared" si="206"/>
        <v>9960.34</v>
      </c>
      <c r="BZ564" s="126">
        <f t="shared" si="207"/>
        <v>8619.9</v>
      </c>
      <c r="CA564" s="126">
        <f t="shared" si="208"/>
        <v>10933</v>
      </c>
      <c r="CB564" s="127">
        <f t="shared" si="208"/>
        <v>10933</v>
      </c>
      <c r="CC564" s="768"/>
    </row>
    <row r="565" spans="1:81" s="230" customFormat="1" ht="14.85" customHeight="1" outlineLevel="5" x14ac:dyDescent="0.25">
      <c r="A565" s="216"/>
      <c r="B565" s="215"/>
      <c r="C565" s="216"/>
      <c r="D565" s="216"/>
      <c r="E565" s="216"/>
      <c r="F565" s="216"/>
      <c r="G565" s="216"/>
      <c r="H565" s="216"/>
      <c r="I565" s="216"/>
      <c r="J565" s="215"/>
      <c r="K565" s="217"/>
      <c r="L565" s="216"/>
      <c r="M565" s="215"/>
      <c r="N565" s="215"/>
      <c r="O565" s="215"/>
      <c r="P565" s="215"/>
      <c r="Q565" s="215"/>
      <c r="R565" s="215"/>
      <c r="S565" s="215"/>
      <c r="T565" s="215"/>
      <c r="U565" s="215"/>
      <c r="V565" s="215"/>
      <c r="W565" s="215"/>
      <c r="X565" s="215"/>
      <c r="Y565" s="215"/>
      <c r="Z565" s="215"/>
      <c r="AA565" s="215"/>
      <c r="AB565" s="456"/>
      <c r="AC565" s="219" t="s">
        <v>612</v>
      </c>
      <c r="AD565" s="457" t="s">
        <v>111</v>
      </c>
      <c r="AE565" s="460">
        <v>481.21</v>
      </c>
      <c r="AF565" s="292">
        <v>924</v>
      </c>
      <c r="AG565" s="292">
        <v>703.38</v>
      </c>
      <c r="AH565" s="1074">
        <v>703.38</v>
      </c>
      <c r="AI565" s="1065">
        <v>13.81</v>
      </c>
      <c r="AJ565" s="292"/>
      <c r="AK565" s="292">
        <v>14.37</v>
      </c>
      <c r="AL565" s="462">
        <v>14.37</v>
      </c>
      <c r="AM565" s="460"/>
      <c r="AN565" s="292"/>
      <c r="AO565" s="292"/>
      <c r="AP565" s="462"/>
      <c r="AQ565" s="460"/>
      <c r="AR565" s="292"/>
      <c r="AS565" s="292"/>
      <c r="AT565" s="462"/>
      <c r="AU565" s="460"/>
      <c r="AV565" s="292"/>
      <c r="AW565" s="292"/>
      <c r="AX565" s="462"/>
      <c r="AY565" s="460"/>
      <c r="AZ565" s="292"/>
      <c r="BA565" s="292"/>
      <c r="BB565" s="1076"/>
      <c r="BC565" s="468"/>
      <c r="BD565" s="469"/>
      <c r="BE565" s="469"/>
      <c r="BF565" s="769"/>
      <c r="BG565" s="468"/>
      <c r="BH565" s="469"/>
      <c r="BI565" s="469"/>
      <c r="BJ565" s="470"/>
      <c r="BK565" s="460"/>
      <c r="BL565" s="292"/>
      <c r="BM565" s="292"/>
      <c r="BN565" s="462"/>
      <c r="BO565" s="460"/>
      <c r="BP565" s="292"/>
      <c r="BQ565" s="292"/>
      <c r="BR565" s="462"/>
      <c r="BS565" s="460"/>
      <c r="BT565" s="292"/>
      <c r="BU565" s="292"/>
      <c r="BV565" s="461"/>
      <c r="BW565" s="229"/>
      <c r="BX565" s="215"/>
      <c r="BY565" s="125">
        <f t="shared" si="206"/>
        <v>495.02</v>
      </c>
      <c r="BZ565" s="126">
        <f t="shared" si="207"/>
        <v>924</v>
      </c>
      <c r="CA565" s="126">
        <f t="shared" si="208"/>
        <v>717.75</v>
      </c>
      <c r="CB565" s="127">
        <f t="shared" si="208"/>
        <v>717.75</v>
      </c>
      <c r="CC565" s="768"/>
    </row>
    <row r="566" spans="1:81" s="230" customFormat="1" ht="14.85" customHeight="1" outlineLevel="5" x14ac:dyDescent="0.25">
      <c r="A566" s="216"/>
      <c r="B566" s="215"/>
      <c r="C566" s="216"/>
      <c r="D566" s="216"/>
      <c r="E566" s="216"/>
      <c r="F566" s="216"/>
      <c r="G566" s="216"/>
      <c r="H566" s="216"/>
      <c r="I566" s="216"/>
      <c r="J566" s="215"/>
      <c r="K566" s="217"/>
      <c r="L566" s="216"/>
      <c r="M566" s="215"/>
      <c r="N566" s="215"/>
      <c r="O566" s="215"/>
      <c r="P566" s="215"/>
      <c r="Q566" s="215"/>
      <c r="R566" s="215"/>
      <c r="S566" s="215"/>
      <c r="T566" s="215"/>
      <c r="U566" s="215"/>
      <c r="V566" s="215"/>
      <c r="W566" s="215"/>
      <c r="X566" s="215"/>
      <c r="Y566" s="215"/>
      <c r="Z566" s="215"/>
      <c r="AA566" s="215"/>
      <c r="AB566" s="456"/>
      <c r="AC566" s="219" t="s">
        <v>613</v>
      </c>
      <c r="AD566" s="457" t="s">
        <v>111</v>
      </c>
      <c r="AE566" s="224"/>
      <c r="AF566" s="292">
        <v>91.32</v>
      </c>
      <c r="AG566" s="292">
        <v>4063.42</v>
      </c>
      <c r="AH566" s="1074">
        <v>4063.42</v>
      </c>
      <c r="AI566" s="228">
        <v>11.7</v>
      </c>
      <c r="AJ566" s="292"/>
      <c r="AK566" s="292">
        <v>12.17</v>
      </c>
      <c r="AL566" s="462">
        <v>12.17</v>
      </c>
      <c r="AM566" s="224"/>
      <c r="AN566" s="292"/>
      <c r="AO566" s="292"/>
      <c r="AP566" s="462"/>
      <c r="AQ566" s="224"/>
      <c r="AR566" s="292"/>
      <c r="AS566" s="292"/>
      <c r="AT566" s="462"/>
      <c r="AU566" s="224">
        <f>22.46+6.33</f>
        <v>28.79</v>
      </c>
      <c r="AV566" s="292"/>
      <c r="AW566" s="292">
        <f>24.71+6.96</f>
        <v>31.67</v>
      </c>
      <c r="AX566" s="462"/>
      <c r="AY566" s="224"/>
      <c r="AZ566" s="292"/>
      <c r="BA566" s="292"/>
      <c r="BB566" s="1076"/>
      <c r="BC566" s="468"/>
      <c r="BD566" s="469"/>
      <c r="BE566" s="469"/>
      <c r="BF566" s="769"/>
      <c r="BG566" s="468"/>
      <c r="BH566" s="469"/>
      <c r="BI566" s="469"/>
      <c r="BJ566" s="470"/>
      <c r="BK566" s="224">
        <v>81.02</v>
      </c>
      <c r="BL566" s="225"/>
      <c r="BM566" s="458">
        <v>89.15</v>
      </c>
      <c r="BN566" s="464"/>
      <c r="BO566" s="224"/>
      <c r="BP566" s="292"/>
      <c r="BQ566" s="292"/>
      <c r="BR566" s="462"/>
      <c r="BS566" s="224"/>
      <c r="BT566" s="292"/>
      <c r="BU566" s="292"/>
      <c r="BV566" s="461"/>
      <c r="BW566" s="229"/>
      <c r="BX566" s="215"/>
      <c r="BY566" s="125">
        <f t="shared" si="206"/>
        <v>121.50999999999999</v>
      </c>
      <c r="BZ566" s="126">
        <f t="shared" si="207"/>
        <v>91.32</v>
      </c>
      <c r="CA566" s="126">
        <f t="shared" si="208"/>
        <v>4196.41</v>
      </c>
      <c r="CB566" s="127">
        <f t="shared" si="208"/>
        <v>4075.59</v>
      </c>
      <c r="CC566" s="768"/>
    </row>
    <row r="567" spans="1:81" s="230" customFormat="1" ht="14.85" customHeight="1" outlineLevel="5" x14ac:dyDescent="0.25">
      <c r="A567" s="216"/>
      <c r="B567" s="215"/>
      <c r="C567" s="216"/>
      <c r="D567" s="216"/>
      <c r="E567" s="216"/>
      <c r="F567" s="216"/>
      <c r="G567" s="216"/>
      <c r="H567" s="216"/>
      <c r="I567" s="216"/>
      <c r="J567" s="215"/>
      <c r="K567" s="217"/>
      <c r="L567" s="216"/>
      <c r="M567" s="215"/>
      <c r="N567" s="215"/>
      <c r="O567" s="215"/>
      <c r="P567" s="215"/>
      <c r="Q567" s="215"/>
      <c r="R567" s="215"/>
      <c r="S567" s="215"/>
      <c r="T567" s="215"/>
      <c r="U567" s="215"/>
      <c r="V567" s="215"/>
      <c r="W567" s="215"/>
      <c r="X567" s="215"/>
      <c r="Y567" s="215"/>
      <c r="Z567" s="215"/>
      <c r="AA567" s="215"/>
      <c r="AB567" s="456"/>
      <c r="AC567" s="219" t="s">
        <v>599</v>
      </c>
      <c r="AD567" s="457" t="s">
        <v>111</v>
      </c>
      <c r="AE567" s="224"/>
      <c r="AF567" s="292"/>
      <c r="AG567" s="292"/>
      <c r="AH567" s="461"/>
      <c r="AI567" s="228">
        <v>11.8</v>
      </c>
      <c r="AJ567" s="292"/>
      <c r="AK567" s="292">
        <v>12.27</v>
      </c>
      <c r="AL567" s="462">
        <v>12.27</v>
      </c>
      <c r="AM567" s="224"/>
      <c r="AN567" s="292"/>
      <c r="AO567" s="292"/>
      <c r="AP567" s="462"/>
      <c r="AQ567" s="224">
        <v>0.9</v>
      </c>
      <c r="AR567" s="292"/>
      <c r="AS567" s="292">
        <f>49.28+1.14</f>
        <v>50.42</v>
      </c>
      <c r="AT567" s="462"/>
      <c r="AU567" s="224"/>
      <c r="AV567" s="292"/>
      <c r="AW567" s="292"/>
      <c r="AX567" s="462"/>
      <c r="AY567" s="224">
        <f>7.23</f>
        <v>7.23</v>
      </c>
      <c r="AZ567" s="292"/>
      <c r="BA567" s="292">
        <v>7.96</v>
      </c>
      <c r="BB567" s="1076"/>
      <c r="BC567" s="224">
        <v>22.908000000000001</v>
      </c>
      <c r="BD567" s="292"/>
      <c r="BE567" s="458">
        <v>28.837</v>
      </c>
      <c r="BF567" s="982">
        <v>16.05</v>
      </c>
      <c r="BG567" s="224">
        <f>2.987+217.84+19.913</f>
        <v>240.74</v>
      </c>
      <c r="BH567" s="292"/>
      <c r="BI567" s="458">
        <f>21.7+71.941+289.871</f>
        <v>383.512</v>
      </c>
      <c r="BJ567" s="464"/>
      <c r="BK567" s="224">
        <f>21.7+21.7</f>
        <v>43.4</v>
      </c>
      <c r="BL567" s="292"/>
      <c r="BM567" s="292">
        <f>89.78+89.78</f>
        <v>179.56</v>
      </c>
      <c r="BN567" s="462"/>
      <c r="BO567" s="465"/>
      <c r="BP567" s="292"/>
      <c r="BQ567" s="292"/>
      <c r="BR567" s="462"/>
      <c r="BS567" s="465">
        <f>17.39+53.19</f>
        <v>70.58</v>
      </c>
      <c r="BT567" s="466">
        <v>68.569999999999993</v>
      </c>
      <c r="BU567" s="466">
        <v>91.42</v>
      </c>
      <c r="BV567" s="467"/>
      <c r="BW567" s="229"/>
      <c r="BX567" s="215"/>
      <c r="BY567" s="125">
        <f t="shared" si="206"/>
        <v>397.55799999999999</v>
      </c>
      <c r="BZ567" s="126">
        <f t="shared" si="207"/>
        <v>68.569999999999993</v>
      </c>
      <c r="CA567" s="126">
        <f t="shared" si="208"/>
        <v>753.97899999999993</v>
      </c>
      <c r="CB567" s="127">
        <f t="shared" si="208"/>
        <v>28.32</v>
      </c>
      <c r="CC567" s="768"/>
    </row>
    <row r="568" spans="1:81" s="230" customFormat="1" ht="14.85" customHeight="1" outlineLevel="5" x14ac:dyDescent="0.25">
      <c r="A568" s="216"/>
      <c r="B568" s="215"/>
      <c r="C568" s="216"/>
      <c r="D568" s="216"/>
      <c r="E568" s="216"/>
      <c r="F568" s="216"/>
      <c r="G568" s="216"/>
      <c r="H568" s="216"/>
      <c r="I568" s="216"/>
      <c r="J568" s="215"/>
      <c r="K568" s="217"/>
      <c r="L568" s="216"/>
      <c r="M568" s="215"/>
      <c r="N568" s="215"/>
      <c r="O568" s="215"/>
      <c r="P568" s="215"/>
      <c r="Q568" s="215"/>
      <c r="R568" s="215"/>
      <c r="S568" s="215"/>
      <c r="T568" s="215"/>
      <c r="U568" s="215"/>
      <c r="V568" s="215"/>
      <c r="W568" s="215"/>
      <c r="X568" s="215"/>
      <c r="Y568" s="215"/>
      <c r="Z568" s="215"/>
      <c r="AA568" s="215"/>
      <c r="AB568" s="456"/>
      <c r="AC568" s="219" t="s">
        <v>277</v>
      </c>
      <c r="AD568" s="457" t="s">
        <v>111</v>
      </c>
      <c r="AE568" s="224"/>
      <c r="AF568" s="292"/>
      <c r="AG568" s="292"/>
      <c r="AH568" s="461"/>
      <c r="AI568" s="228">
        <v>9.34</v>
      </c>
      <c r="AJ568" s="292"/>
      <c r="AK568" s="292">
        <v>9.7100000000000009</v>
      </c>
      <c r="AL568" s="462">
        <v>9.7100000000000009</v>
      </c>
      <c r="AM568" s="224"/>
      <c r="AN568" s="292"/>
      <c r="AO568" s="292"/>
      <c r="AP568" s="462"/>
      <c r="AQ568" s="224">
        <v>5.07</v>
      </c>
      <c r="AR568" s="292"/>
      <c r="AS568" s="292">
        <v>42.22</v>
      </c>
      <c r="AT568" s="462"/>
      <c r="AU568" s="224">
        <v>1.1000000000000001</v>
      </c>
      <c r="AV568" s="292"/>
      <c r="AW568" s="292">
        <v>1.21</v>
      </c>
      <c r="AX568" s="462"/>
      <c r="AY568" s="224"/>
      <c r="AZ568" s="292"/>
      <c r="BA568" s="292"/>
      <c r="BB568" s="1076"/>
      <c r="BC568" s="224">
        <v>2.7839999999999998</v>
      </c>
      <c r="BD568" s="292"/>
      <c r="BE568" s="458">
        <v>2.839</v>
      </c>
      <c r="BF568" s="982"/>
      <c r="BG568" s="224">
        <v>10.691000000000001</v>
      </c>
      <c r="BH568" s="292"/>
      <c r="BI568" s="458">
        <v>14.010999999999999</v>
      </c>
      <c r="BJ568" s="464"/>
      <c r="BK568" s="224">
        <v>35.57</v>
      </c>
      <c r="BL568" s="292"/>
      <c r="BM568" s="292">
        <v>34.57</v>
      </c>
      <c r="BN568" s="462"/>
      <c r="BO568" s="465"/>
      <c r="BP568" s="292"/>
      <c r="BQ568" s="292"/>
      <c r="BR568" s="462"/>
      <c r="BS568" s="465">
        <v>30.14</v>
      </c>
      <c r="BT568" s="466">
        <v>29.21</v>
      </c>
      <c r="BU568" s="466">
        <v>34.270000000000003</v>
      </c>
      <c r="BV568" s="467"/>
      <c r="BW568" s="229"/>
      <c r="BX568" s="215"/>
      <c r="BY568" s="125">
        <f t="shared" si="206"/>
        <v>94.695000000000007</v>
      </c>
      <c r="BZ568" s="126">
        <f t="shared" si="207"/>
        <v>29.21</v>
      </c>
      <c r="CA568" s="126">
        <f t="shared" si="208"/>
        <v>138.83000000000001</v>
      </c>
      <c r="CB568" s="127">
        <f t="shared" si="208"/>
        <v>9.7100000000000009</v>
      </c>
      <c r="CC568" s="768"/>
    </row>
    <row r="569" spans="1:81" s="230" customFormat="1" ht="14.85" customHeight="1" outlineLevel="5" x14ac:dyDescent="0.25">
      <c r="A569" s="216"/>
      <c r="B569" s="215"/>
      <c r="C569" s="216"/>
      <c r="D569" s="216"/>
      <c r="E569" s="216"/>
      <c r="F569" s="216"/>
      <c r="G569" s="216"/>
      <c r="H569" s="216"/>
      <c r="I569" s="216"/>
      <c r="J569" s="215"/>
      <c r="K569" s="217"/>
      <c r="L569" s="216"/>
      <c r="M569" s="215"/>
      <c r="N569" s="215"/>
      <c r="O569" s="215"/>
      <c r="P569" s="215"/>
      <c r="Q569" s="215"/>
      <c r="R569" s="215"/>
      <c r="S569" s="215"/>
      <c r="T569" s="215"/>
      <c r="U569" s="215"/>
      <c r="V569" s="215"/>
      <c r="W569" s="215"/>
      <c r="X569" s="215"/>
      <c r="Y569" s="215"/>
      <c r="Z569" s="215"/>
      <c r="AA569" s="215"/>
      <c r="AB569" s="456"/>
      <c r="AC569" s="471" t="s">
        <v>614</v>
      </c>
      <c r="AD569" s="457" t="s">
        <v>111</v>
      </c>
      <c r="AE569" s="224"/>
      <c r="AF569" s="292"/>
      <c r="AG569" s="292"/>
      <c r="AH569" s="461"/>
      <c r="AI569" s="228"/>
      <c r="AJ569" s="292"/>
      <c r="AK569" s="292"/>
      <c r="AL569" s="462"/>
      <c r="AM569" s="224"/>
      <c r="AN569" s="292"/>
      <c r="AO569" s="292"/>
      <c r="AP569" s="462"/>
      <c r="AQ569" s="224">
        <v>19.260000000000002</v>
      </c>
      <c r="AR569" s="292"/>
      <c r="AS569" s="292">
        <v>21.19</v>
      </c>
      <c r="AT569" s="462"/>
      <c r="AU569" s="224"/>
      <c r="AV569" s="292"/>
      <c r="AW569" s="292"/>
      <c r="AX569" s="462"/>
      <c r="AY569" s="224">
        <v>15.46</v>
      </c>
      <c r="AZ569" s="292"/>
      <c r="BA569" s="292"/>
      <c r="BB569" s="1076"/>
      <c r="BC569" s="224">
        <v>9.6300000000000008</v>
      </c>
      <c r="BD569" s="292"/>
      <c r="BE569" s="458">
        <v>10.596</v>
      </c>
      <c r="BF569" s="982"/>
      <c r="BG569" s="224">
        <v>19.260000000000002</v>
      </c>
      <c r="BH569" s="292"/>
      <c r="BI569" s="458">
        <v>21.192</v>
      </c>
      <c r="BJ569" s="464"/>
      <c r="BK569" s="224"/>
      <c r="BL569" s="292"/>
      <c r="BM569" s="292"/>
      <c r="BN569" s="462"/>
      <c r="BO569" s="224"/>
      <c r="BP569" s="292"/>
      <c r="BQ569" s="292"/>
      <c r="BR569" s="462"/>
      <c r="BS569" s="224"/>
      <c r="BT569" s="292"/>
      <c r="BU569" s="292"/>
      <c r="BV569" s="461"/>
      <c r="BW569" s="229"/>
      <c r="BX569" s="215"/>
      <c r="BY569" s="125">
        <f t="shared" si="206"/>
        <v>63.61</v>
      </c>
      <c r="BZ569" s="126">
        <f t="shared" si="207"/>
        <v>0</v>
      </c>
      <c r="CA569" s="126">
        <f t="shared" si="208"/>
        <v>52.978000000000002</v>
      </c>
      <c r="CB569" s="127">
        <f t="shared" si="208"/>
        <v>0</v>
      </c>
      <c r="CC569" s="768"/>
    </row>
    <row r="570" spans="1:81" s="230" customFormat="1" ht="14.85" customHeight="1" outlineLevel="5" x14ac:dyDescent="0.25">
      <c r="A570" s="216"/>
      <c r="B570" s="215"/>
      <c r="C570" s="216"/>
      <c r="D570" s="216"/>
      <c r="E570" s="216"/>
      <c r="F570" s="216"/>
      <c r="G570" s="216"/>
      <c r="H570" s="216"/>
      <c r="I570" s="216"/>
      <c r="J570" s="215"/>
      <c r="K570" s="217"/>
      <c r="L570" s="216"/>
      <c r="M570" s="215"/>
      <c r="N570" s="215"/>
      <c r="O570" s="215"/>
      <c r="P570" s="215"/>
      <c r="Q570" s="215"/>
      <c r="R570" s="215"/>
      <c r="S570" s="215"/>
      <c r="T570" s="215"/>
      <c r="U570" s="215"/>
      <c r="V570" s="215"/>
      <c r="W570" s="215"/>
      <c r="X570" s="215"/>
      <c r="Y570" s="215"/>
      <c r="Z570" s="215"/>
      <c r="AA570" s="215"/>
      <c r="AB570" s="456"/>
      <c r="AC570" s="471" t="s">
        <v>615</v>
      </c>
      <c r="AD570" s="457" t="s">
        <v>111</v>
      </c>
      <c r="AE570" s="224"/>
      <c r="AF570" s="292"/>
      <c r="AG570" s="292"/>
      <c r="AH570" s="461"/>
      <c r="AI570" s="228"/>
      <c r="AJ570" s="292"/>
      <c r="AK570" s="292"/>
      <c r="AL570" s="462"/>
      <c r="AM570" s="224"/>
      <c r="AN570" s="292"/>
      <c r="AO570" s="292"/>
      <c r="AP570" s="462"/>
      <c r="AQ570" s="224">
        <v>15.15</v>
      </c>
      <c r="AR570" s="292"/>
      <c r="AS570" s="292">
        <v>32.35</v>
      </c>
      <c r="AT570" s="462"/>
      <c r="AU570" s="224">
        <v>25.09</v>
      </c>
      <c r="AV570" s="292"/>
      <c r="AW570" s="292">
        <v>42.16</v>
      </c>
      <c r="AX570" s="462"/>
      <c r="AY570" s="224">
        <v>28.99</v>
      </c>
      <c r="AZ570" s="292"/>
      <c r="BA570" s="292">
        <v>92.75</v>
      </c>
      <c r="BB570" s="1076"/>
      <c r="BC570" s="224">
        <v>192.523</v>
      </c>
      <c r="BD570" s="292"/>
      <c r="BE570" s="458">
        <v>281.85899999999998</v>
      </c>
      <c r="BF570" s="982"/>
      <c r="BG570" s="224"/>
      <c r="BH570" s="292"/>
      <c r="BI570" s="458"/>
      <c r="BJ570" s="464"/>
      <c r="BK570" s="224">
        <f>3.4+60.2</f>
        <v>63.6</v>
      </c>
      <c r="BL570" s="292"/>
      <c r="BM570" s="292">
        <v>104.53</v>
      </c>
      <c r="BN570" s="462"/>
      <c r="BO570" s="465">
        <v>14.35</v>
      </c>
      <c r="BP570" s="292"/>
      <c r="BQ570" s="292">
        <v>67.180000000000007</v>
      </c>
      <c r="BR570" s="462"/>
      <c r="BS570" s="465">
        <v>15.35</v>
      </c>
      <c r="BT570" s="466">
        <v>78.16</v>
      </c>
      <c r="BU570" s="466">
        <v>87.58</v>
      </c>
      <c r="BV570" s="467"/>
      <c r="BW570" s="229"/>
      <c r="BX570" s="215"/>
      <c r="BY570" s="125">
        <f t="shared" si="206"/>
        <v>355.05300000000005</v>
      </c>
      <c r="BZ570" s="126">
        <f t="shared" si="207"/>
        <v>78.16</v>
      </c>
      <c r="CA570" s="126">
        <f t="shared" si="208"/>
        <v>708.40899999999999</v>
      </c>
      <c r="CB570" s="127">
        <f t="shared" si="208"/>
        <v>0</v>
      </c>
      <c r="CC570" s="768"/>
    </row>
    <row r="571" spans="1:81" s="230" customFormat="1" ht="14.85" customHeight="1" outlineLevel="5" x14ac:dyDescent="0.25">
      <c r="A571" s="216"/>
      <c r="B571" s="215"/>
      <c r="C571" s="216"/>
      <c r="D571" s="216"/>
      <c r="E571" s="216"/>
      <c r="F571" s="216"/>
      <c r="G571" s="216"/>
      <c r="H571" s="216"/>
      <c r="I571" s="216"/>
      <c r="J571" s="215"/>
      <c r="K571" s="217"/>
      <c r="L571" s="216"/>
      <c r="M571" s="215"/>
      <c r="N571" s="215"/>
      <c r="O571" s="215"/>
      <c r="P571" s="215"/>
      <c r="Q571" s="215"/>
      <c r="R571" s="215"/>
      <c r="S571" s="215"/>
      <c r="T571" s="215"/>
      <c r="U571" s="215"/>
      <c r="V571" s="215"/>
      <c r="W571" s="215"/>
      <c r="X571" s="215"/>
      <c r="Y571" s="215"/>
      <c r="Z571" s="215"/>
      <c r="AA571" s="215"/>
      <c r="AB571" s="456"/>
      <c r="AC571" s="471" t="s">
        <v>298</v>
      </c>
      <c r="AD571" s="457" t="s">
        <v>111</v>
      </c>
      <c r="AE571" s="224"/>
      <c r="AF571" s="292"/>
      <c r="AG571" s="292"/>
      <c r="AH571" s="461"/>
      <c r="AI571" s="228">
        <f>58.49</f>
        <v>58.49</v>
      </c>
      <c r="AJ571" s="292"/>
      <c r="AK571" s="292">
        <v>60.83</v>
      </c>
      <c r="AL571" s="462">
        <v>60.83</v>
      </c>
      <c r="AM571" s="224"/>
      <c r="AN571" s="292"/>
      <c r="AO571" s="292"/>
      <c r="AP571" s="462"/>
      <c r="AQ571" s="224"/>
      <c r="AR571" s="292"/>
      <c r="AS571" s="292"/>
      <c r="AT571" s="462"/>
      <c r="AU571" s="224"/>
      <c r="AV571" s="292"/>
      <c r="AW571" s="292"/>
      <c r="AX571" s="462"/>
      <c r="AY571" s="224"/>
      <c r="AZ571" s="292"/>
      <c r="BA571" s="292"/>
      <c r="BB571" s="1076"/>
      <c r="BC571" s="468"/>
      <c r="BD571" s="469"/>
      <c r="BE571" s="469"/>
      <c r="BF571" s="769"/>
      <c r="BG571" s="468"/>
      <c r="BH571" s="469"/>
      <c r="BI571" s="469"/>
      <c r="BJ571" s="470"/>
      <c r="BK571" s="224"/>
      <c r="BL571" s="292"/>
      <c r="BM571" s="292"/>
      <c r="BN571" s="462"/>
      <c r="BO571" s="224"/>
      <c r="BP571" s="292"/>
      <c r="BQ571" s="292"/>
      <c r="BR571" s="462"/>
      <c r="BS571" s="224"/>
      <c r="BT571" s="292"/>
      <c r="BU571" s="292"/>
      <c r="BV571" s="461"/>
      <c r="BW571" s="229"/>
      <c r="BX571" s="215"/>
      <c r="BY571" s="125">
        <f t="shared" si="206"/>
        <v>58.49</v>
      </c>
      <c r="BZ571" s="126">
        <f t="shared" si="207"/>
        <v>0</v>
      </c>
      <c r="CA571" s="126">
        <f t="shared" si="208"/>
        <v>60.83</v>
      </c>
      <c r="CB571" s="127">
        <f t="shared" si="208"/>
        <v>60.83</v>
      </c>
      <c r="CC571" s="768"/>
    </row>
    <row r="572" spans="1:81" s="230" customFormat="1" ht="14.85" customHeight="1" outlineLevel="5" x14ac:dyDescent="0.25">
      <c r="A572" s="216"/>
      <c r="B572" s="215"/>
      <c r="C572" s="216"/>
      <c r="D572" s="216"/>
      <c r="E572" s="216"/>
      <c r="F572" s="216"/>
      <c r="G572" s="216"/>
      <c r="H572" s="216"/>
      <c r="I572" s="216"/>
      <c r="J572" s="215"/>
      <c r="K572" s="217"/>
      <c r="L572" s="216"/>
      <c r="M572" s="215"/>
      <c r="N572" s="215"/>
      <c r="O572" s="215"/>
      <c r="P572" s="215"/>
      <c r="Q572" s="215"/>
      <c r="R572" s="215"/>
      <c r="S572" s="215"/>
      <c r="T572" s="215"/>
      <c r="U572" s="215"/>
      <c r="V572" s="215"/>
      <c r="W572" s="215"/>
      <c r="X572" s="215"/>
      <c r="Y572" s="215"/>
      <c r="Z572" s="215"/>
      <c r="AA572" s="215"/>
      <c r="AB572" s="456"/>
      <c r="AC572" s="472" t="s">
        <v>616</v>
      </c>
      <c r="AD572" s="457" t="s">
        <v>111</v>
      </c>
      <c r="AE572" s="224"/>
      <c r="AF572" s="292"/>
      <c r="AG572" s="292"/>
      <c r="AH572" s="461"/>
      <c r="AI572" s="228">
        <v>3.08</v>
      </c>
      <c r="AJ572" s="292"/>
      <c r="AK572" s="292">
        <v>3.2</v>
      </c>
      <c r="AL572" s="462">
        <v>3.2</v>
      </c>
      <c r="AM572" s="224"/>
      <c r="AN572" s="292"/>
      <c r="AO572" s="292"/>
      <c r="AP572" s="462"/>
      <c r="AQ572" s="224"/>
      <c r="AR572" s="292"/>
      <c r="AS572" s="292">
        <v>0.79</v>
      </c>
      <c r="AT572" s="462"/>
      <c r="AU572" s="224"/>
      <c r="AV572" s="292"/>
      <c r="AW572" s="292">
        <v>0.52</v>
      </c>
      <c r="AX572" s="462"/>
      <c r="AY572" s="224"/>
      <c r="AZ572" s="292"/>
      <c r="BA572" s="292">
        <v>1.34</v>
      </c>
      <c r="BB572" s="1076"/>
      <c r="BC572" s="224">
        <v>1.49</v>
      </c>
      <c r="BD572" s="292"/>
      <c r="BE572" s="458">
        <v>1.639</v>
      </c>
      <c r="BF572" s="982"/>
      <c r="BG572" s="224">
        <v>19.5</v>
      </c>
      <c r="BH572" s="292"/>
      <c r="BI572" s="458"/>
      <c r="BJ572" s="464"/>
      <c r="BK572" s="224">
        <v>10.199999999999999</v>
      </c>
      <c r="BL572" s="292"/>
      <c r="BM572" s="292">
        <v>48.28</v>
      </c>
      <c r="BN572" s="462"/>
      <c r="BO572" s="224"/>
      <c r="BP572" s="292"/>
      <c r="BQ572" s="292">
        <v>1.44</v>
      </c>
      <c r="BR572" s="462"/>
      <c r="BS572" s="465">
        <v>6.15</v>
      </c>
      <c r="BT572" s="466"/>
      <c r="BU572" s="466">
        <v>14.77</v>
      </c>
      <c r="BV572" s="467"/>
      <c r="BW572" s="229"/>
      <c r="BX572" s="215"/>
      <c r="BY572" s="125">
        <f t="shared" si="206"/>
        <v>40.419999999999995</v>
      </c>
      <c r="BZ572" s="126">
        <f t="shared" si="207"/>
        <v>0</v>
      </c>
      <c r="CA572" s="126">
        <f t="shared" si="208"/>
        <v>71.978999999999999</v>
      </c>
      <c r="CB572" s="127">
        <f t="shared" si="208"/>
        <v>3.2</v>
      </c>
      <c r="CC572" s="768"/>
    </row>
    <row r="573" spans="1:81" s="230" customFormat="1" ht="14.85" customHeight="1" outlineLevel="5" x14ac:dyDescent="0.25">
      <c r="A573" s="216"/>
      <c r="B573" s="215"/>
      <c r="C573" s="216"/>
      <c r="D573" s="216"/>
      <c r="E573" s="216"/>
      <c r="F573" s="216"/>
      <c r="G573" s="216"/>
      <c r="H573" s="216"/>
      <c r="I573" s="216"/>
      <c r="J573" s="215"/>
      <c r="K573" s="217"/>
      <c r="L573" s="216"/>
      <c r="M573" s="215"/>
      <c r="N573" s="215"/>
      <c r="O573" s="215"/>
      <c r="P573" s="215"/>
      <c r="Q573" s="215"/>
      <c r="R573" s="215"/>
      <c r="S573" s="215"/>
      <c r="T573" s="215"/>
      <c r="U573" s="215"/>
      <c r="V573" s="215"/>
      <c r="W573" s="215"/>
      <c r="X573" s="215"/>
      <c r="Y573" s="215"/>
      <c r="Z573" s="215"/>
      <c r="AA573" s="215"/>
      <c r="AB573" s="456"/>
      <c r="AC573" s="472" t="s">
        <v>617</v>
      </c>
      <c r="AD573" s="457" t="s">
        <v>111</v>
      </c>
      <c r="AE573" s="224"/>
      <c r="AF573" s="292"/>
      <c r="AG573" s="292"/>
      <c r="AH573" s="461"/>
      <c r="AI573" s="228"/>
      <c r="AJ573" s="292"/>
      <c r="AK573" s="292"/>
      <c r="AL573" s="462"/>
      <c r="AM573" s="224"/>
      <c r="AN573" s="292"/>
      <c r="AO573" s="292"/>
      <c r="AP573" s="462"/>
      <c r="AQ573" s="224"/>
      <c r="AR573" s="292"/>
      <c r="AS573" s="292"/>
      <c r="AT573" s="462"/>
      <c r="AU573" s="224"/>
      <c r="AV573" s="292"/>
      <c r="AW573" s="292"/>
      <c r="AX573" s="462"/>
      <c r="AY573" s="224"/>
      <c r="AZ573" s="292"/>
      <c r="BA573" s="292"/>
      <c r="BB573" s="1076"/>
      <c r="BC573" s="468"/>
      <c r="BD573" s="469"/>
      <c r="BE573" s="469"/>
      <c r="BF573" s="769"/>
      <c r="BG573" s="468"/>
      <c r="BH573" s="469"/>
      <c r="BI573" s="469"/>
      <c r="BJ573" s="470"/>
      <c r="BK573" s="224"/>
      <c r="BL573" s="292"/>
      <c r="BM573" s="292"/>
      <c r="BN573" s="462"/>
      <c r="BO573" s="224"/>
      <c r="BP573" s="292"/>
      <c r="BQ573" s="292"/>
      <c r="BR573" s="462"/>
      <c r="BS573" s="224"/>
      <c r="BT573" s="292"/>
      <c r="BU573" s="292"/>
      <c r="BV573" s="461"/>
      <c r="BW573" s="229"/>
      <c r="BX573" s="215"/>
      <c r="BY573" s="125">
        <f t="shared" si="206"/>
        <v>0</v>
      </c>
      <c r="BZ573" s="126">
        <f t="shared" si="207"/>
        <v>0</v>
      </c>
      <c r="CA573" s="126">
        <f t="shared" si="208"/>
        <v>0</v>
      </c>
      <c r="CB573" s="127">
        <f t="shared" si="208"/>
        <v>0</v>
      </c>
      <c r="CC573" s="768"/>
    </row>
    <row r="574" spans="1:81" s="230" customFormat="1" ht="14.85" customHeight="1" outlineLevel="5" x14ac:dyDescent="0.25">
      <c r="A574" s="216"/>
      <c r="B574" s="215"/>
      <c r="C574" s="216"/>
      <c r="D574" s="216"/>
      <c r="E574" s="216"/>
      <c r="F574" s="216"/>
      <c r="G574" s="216"/>
      <c r="H574" s="216"/>
      <c r="I574" s="216"/>
      <c r="J574" s="215"/>
      <c r="K574" s="217"/>
      <c r="L574" s="216"/>
      <c r="M574" s="215"/>
      <c r="N574" s="215"/>
      <c r="O574" s="215"/>
      <c r="P574" s="215"/>
      <c r="Q574" s="215"/>
      <c r="R574" s="215"/>
      <c r="S574" s="215"/>
      <c r="T574" s="215"/>
      <c r="U574" s="215"/>
      <c r="V574" s="215"/>
      <c r="W574" s="215"/>
      <c r="X574" s="215"/>
      <c r="Y574" s="215"/>
      <c r="Z574" s="215"/>
      <c r="AA574" s="215"/>
      <c r="AB574" s="456"/>
      <c r="AC574" s="472" t="s">
        <v>618</v>
      </c>
      <c r="AD574" s="457" t="s">
        <v>111</v>
      </c>
      <c r="AE574" s="224"/>
      <c r="AF574" s="292"/>
      <c r="AG574" s="292"/>
      <c r="AH574" s="461"/>
      <c r="AI574" s="228"/>
      <c r="AJ574" s="292"/>
      <c r="AK574" s="292"/>
      <c r="AL574" s="462"/>
      <c r="AM574" s="224"/>
      <c r="AN574" s="292"/>
      <c r="AO574" s="292"/>
      <c r="AP574" s="462"/>
      <c r="AQ574" s="224">
        <v>119.96</v>
      </c>
      <c r="AR574" s="292"/>
      <c r="AS574" s="292">
        <v>131.99</v>
      </c>
      <c r="AT574" s="462"/>
      <c r="AU574" s="224">
        <v>18.39</v>
      </c>
      <c r="AV574" s="292"/>
      <c r="AW574" s="292">
        <v>20.23</v>
      </c>
      <c r="AX574" s="462"/>
      <c r="AY574" s="224">
        <v>11.6</v>
      </c>
      <c r="AZ574" s="292"/>
      <c r="BA574" s="292">
        <v>12.76</v>
      </c>
      <c r="BB574" s="1076"/>
      <c r="BC574" s="224">
        <v>18.387</v>
      </c>
      <c r="BD574" s="292"/>
      <c r="BE574" s="458">
        <v>20.231999999999999</v>
      </c>
      <c r="BF574" s="982"/>
      <c r="BG574" s="224">
        <v>373.50700000000001</v>
      </c>
      <c r="BH574" s="292"/>
      <c r="BI574" s="458">
        <v>410.98099999999999</v>
      </c>
      <c r="BJ574" s="464"/>
      <c r="BK574" s="224">
        <f>7.21+173.98</f>
        <v>181.19</v>
      </c>
      <c r="BL574" s="292"/>
      <c r="BM574" s="292">
        <v>194.34</v>
      </c>
      <c r="BN574" s="462"/>
      <c r="BO574" s="224"/>
      <c r="BP574" s="292"/>
      <c r="BQ574" s="292"/>
      <c r="BR574" s="462"/>
      <c r="BS574" s="224"/>
      <c r="BT574" s="292"/>
      <c r="BU574" s="292"/>
      <c r="BV574" s="461"/>
      <c r="BW574" s="229"/>
      <c r="BX574" s="215"/>
      <c r="BY574" s="125">
        <f t="shared" si="206"/>
        <v>723.03400000000011</v>
      </c>
      <c r="BZ574" s="126">
        <f t="shared" si="207"/>
        <v>0</v>
      </c>
      <c r="CA574" s="126">
        <f t="shared" si="208"/>
        <v>790.53300000000002</v>
      </c>
      <c r="CB574" s="127">
        <f t="shared" si="208"/>
        <v>0</v>
      </c>
      <c r="CC574" s="768"/>
    </row>
    <row r="575" spans="1:81" s="246" customFormat="1" ht="14.85" customHeight="1" outlineLevel="5" x14ac:dyDescent="0.25">
      <c r="A575" s="242"/>
      <c r="B575" s="229"/>
      <c r="C575" s="242"/>
      <c r="D575" s="242"/>
      <c r="E575" s="242"/>
      <c r="F575" s="242"/>
      <c r="G575" s="242"/>
      <c r="H575" s="242"/>
      <c r="I575" s="242"/>
      <c r="J575" s="229"/>
      <c r="K575" s="243"/>
      <c r="L575" s="242"/>
      <c r="M575" s="229"/>
      <c r="N575" s="229"/>
      <c r="O575" s="229"/>
      <c r="P575" s="229"/>
      <c r="Q575" s="229"/>
      <c r="R575" s="229"/>
      <c r="S575" s="229"/>
      <c r="T575" s="229"/>
      <c r="U575" s="229"/>
      <c r="V575" s="229"/>
      <c r="W575" s="229"/>
      <c r="X575" s="229"/>
      <c r="Y575" s="229"/>
      <c r="Z575" s="229"/>
      <c r="AA575" s="229"/>
      <c r="AB575" s="456"/>
      <c r="AC575" s="472" t="s">
        <v>619</v>
      </c>
      <c r="AD575" s="457" t="s">
        <v>111</v>
      </c>
      <c r="AE575" s="235">
        <v>15716.1</v>
      </c>
      <c r="AF575" s="292"/>
      <c r="AG575" s="292"/>
      <c r="AH575" s="461">
        <v>16818.330000000002</v>
      </c>
      <c r="AI575" s="228">
        <v>59.16</v>
      </c>
      <c r="AJ575" s="292"/>
      <c r="AK575" s="292">
        <v>61.53</v>
      </c>
      <c r="AL575" s="462">
        <v>61.53</v>
      </c>
      <c r="AM575" s="224"/>
      <c r="AN575" s="292"/>
      <c r="AO575" s="292"/>
      <c r="AP575" s="462"/>
      <c r="AQ575" s="224">
        <v>4.13</v>
      </c>
      <c r="AR575" s="292"/>
      <c r="AS575" s="292">
        <v>4.55</v>
      </c>
      <c r="AT575" s="462"/>
      <c r="AU575" s="224">
        <v>157.55000000000001</v>
      </c>
      <c r="AV575" s="292"/>
      <c r="AW575" s="292">
        <v>173.36</v>
      </c>
      <c r="AX575" s="462"/>
      <c r="AY575" s="224">
        <v>2.08</v>
      </c>
      <c r="AZ575" s="292"/>
      <c r="BA575" s="292">
        <f>2.29+17.01+11.5</f>
        <v>30.8</v>
      </c>
      <c r="BB575" s="1076"/>
      <c r="BC575" s="224">
        <f>25.925+209.928</f>
        <v>235.85300000000001</v>
      </c>
      <c r="BD575" s="292"/>
      <c r="BE575" s="458">
        <f>28.525+230.988</f>
        <v>259.51299999999998</v>
      </c>
      <c r="BF575" s="982"/>
      <c r="BG575" s="224">
        <f>38.55+194.309</f>
        <v>232.85899999999998</v>
      </c>
      <c r="BH575" s="292"/>
      <c r="BI575" s="458">
        <f>42.417+213.803</f>
        <v>256.22000000000003</v>
      </c>
      <c r="BJ575" s="464"/>
      <c r="BK575" s="224">
        <f>196.97+38.56</f>
        <v>235.53</v>
      </c>
      <c r="BL575" s="292"/>
      <c r="BM575" s="292">
        <f>688.19+42.43</f>
        <v>730.62</v>
      </c>
      <c r="BN575" s="462"/>
      <c r="BO575" s="245">
        <v>408.27</v>
      </c>
      <c r="BP575" s="238">
        <v>82.12</v>
      </c>
      <c r="BQ575" s="238">
        <v>449.23</v>
      </c>
      <c r="BR575" s="239"/>
      <c r="BS575" s="245">
        <v>197.48</v>
      </c>
      <c r="BT575" s="238">
        <v>107.57</v>
      </c>
      <c r="BU575" s="238">
        <v>217.28</v>
      </c>
      <c r="BV575" s="241"/>
      <c r="BW575" s="229"/>
      <c r="BX575" s="229"/>
      <c r="BY575" s="125">
        <f t="shared" si="206"/>
        <v>17249.011999999995</v>
      </c>
      <c r="BZ575" s="126">
        <f t="shared" si="207"/>
        <v>189.69</v>
      </c>
      <c r="CA575" s="126">
        <f t="shared" si="208"/>
        <v>2183.1030000000001</v>
      </c>
      <c r="CB575" s="127">
        <f t="shared" si="208"/>
        <v>16879.86</v>
      </c>
      <c r="CC575" s="771"/>
    </row>
    <row r="576" spans="1:81" s="230" customFormat="1" ht="14.85" customHeight="1" outlineLevel="5" x14ac:dyDescent="0.25">
      <c r="A576" s="216"/>
      <c r="B576" s="215"/>
      <c r="C576" s="216"/>
      <c r="D576" s="216"/>
      <c r="E576" s="216"/>
      <c r="F576" s="216"/>
      <c r="G576" s="216"/>
      <c r="H576" s="216"/>
      <c r="I576" s="216"/>
      <c r="J576" s="215"/>
      <c r="K576" s="217"/>
      <c r="L576" s="216"/>
      <c r="M576" s="215"/>
      <c r="N576" s="215"/>
      <c r="O576" s="215"/>
      <c r="P576" s="215"/>
      <c r="Q576" s="215"/>
      <c r="R576" s="215"/>
      <c r="S576" s="215"/>
      <c r="T576" s="215"/>
      <c r="U576" s="215"/>
      <c r="V576" s="215"/>
      <c r="W576" s="215"/>
      <c r="X576" s="215"/>
      <c r="Y576" s="215"/>
      <c r="Z576" s="215"/>
      <c r="AA576" s="215"/>
      <c r="AB576" s="456"/>
      <c r="AC576" s="472" t="s">
        <v>620</v>
      </c>
      <c r="AD576" s="457" t="s">
        <v>111</v>
      </c>
      <c r="AE576" s="224"/>
      <c r="AF576" s="292"/>
      <c r="AG576" s="292"/>
      <c r="AH576" s="461"/>
      <c r="AI576" s="228"/>
      <c r="AJ576" s="292"/>
      <c r="AK576" s="292"/>
      <c r="AL576" s="462"/>
      <c r="AM576" s="224"/>
      <c r="AN576" s="292"/>
      <c r="AO576" s="292"/>
      <c r="AP576" s="462"/>
      <c r="AQ576" s="224">
        <v>1.02</v>
      </c>
      <c r="AR576" s="292"/>
      <c r="AS576" s="292">
        <v>1.1200000000000001</v>
      </c>
      <c r="AT576" s="462"/>
      <c r="AU576" s="224">
        <v>39.6</v>
      </c>
      <c r="AV576" s="292"/>
      <c r="AW576" s="292">
        <v>43.57</v>
      </c>
      <c r="AX576" s="462"/>
      <c r="AY576" s="224"/>
      <c r="AZ576" s="292"/>
      <c r="BA576" s="292"/>
      <c r="BB576" s="1076"/>
      <c r="BC576" s="224">
        <v>2.0379999999999998</v>
      </c>
      <c r="BD576" s="292"/>
      <c r="BE576" s="458">
        <v>2.242</v>
      </c>
      <c r="BF576" s="982"/>
      <c r="BG576" s="224">
        <v>32.917000000000002</v>
      </c>
      <c r="BH576" s="292"/>
      <c r="BI576" s="458">
        <v>36.219000000000001</v>
      </c>
      <c r="BJ576" s="464"/>
      <c r="BK576" s="224">
        <f>9.25+1.03</f>
        <v>10.28</v>
      </c>
      <c r="BL576" s="292"/>
      <c r="BM576" s="292"/>
      <c r="BN576" s="462"/>
      <c r="BO576" s="224"/>
      <c r="BP576" s="292"/>
      <c r="BQ576" s="292"/>
      <c r="BR576" s="462"/>
      <c r="BS576" s="224"/>
      <c r="BT576" s="292"/>
      <c r="BU576" s="292"/>
      <c r="BV576" s="461"/>
      <c r="BW576" s="229"/>
      <c r="BX576" s="215"/>
      <c r="BY576" s="125">
        <f t="shared" si="206"/>
        <v>85.855000000000004</v>
      </c>
      <c r="BZ576" s="126">
        <f t="shared" si="207"/>
        <v>0</v>
      </c>
      <c r="CA576" s="126">
        <f t="shared" si="208"/>
        <v>83.150999999999996</v>
      </c>
      <c r="CB576" s="127">
        <f t="shared" si="208"/>
        <v>0</v>
      </c>
      <c r="CC576" s="768"/>
    </row>
    <row r="577" spans="1:81" s="230" customFormat="1" ht="14.85" customHeight="1" outlineLevel="5" x14ac:dyDescent="0.25">
      <c r="A577" s="216"/>
      <c r="B577" s="215"/>
      <c r="C577" s="216"/>
      <c r="D577" s="216"/>
      <c r="E577" s="216"/>
      <c r="F577" s="216"/>
      <c r="G577" s="216"/>
      <c r="H577" s="216"/>
      <c r="I577" s="216"/>
      <c r="J577" s="215"/>
      <c r="K577" s="217"/>
      <c r="L577" s="216"/>
      <c r="M577" s="215"/>
      <c r="N577" s="215"/>
      <c r="O577" s="215"/>
      <c r="P577" s="215"/>
      <c r="Q577" s="215"/>
      <c r="R577" s="215"/>
      <c r="S577" s="215"/>
      <c r="T577" s="215"/>
      <c r="U577" s="215"/>
      <c r="V577" s="215"/>
      <c r="W577" s="215"/>
      <c r="X577" s="215"/>
      <c r="Y577" s="215"/>
      <c r="Z577" s="215"/>
      <c r="AA577" s="215"/>
      <c r="AB577" s="456"/>
      <c r="AC577" s="472" t="s">
        <v>621</v>
      </c>
      <c r="AD577" s="457" t="s">
        <v>111</v>
      </c>
      <c r="AE577" s="224"/>
      <c r="AF577" s="292"/>
      <c r="AG577" s="292"/>
      <c r="AH577" s="461"/>
      <c r="AI577" s="228">
        <v>5.23</v>
      </c>
      <c r="AJ577" s="292"/>
      <c r="AK577" s="292">
        <v>5.46</v>
      </c>
      <c r="AL577" s="462"/>
      <c r="AM577" s="224"/>
      <c r="AN577" s="292"/>
      <c r="AO577" s="292"/>
      <c r="AP577" s="462"/>
      <c r="AQ577" s="224">
        <v>4.0599999999999996</v>
      </c>
      <c r="AR577" s="292"/>
      <c r="AS577" s="292">
        <v>4.47</v>
      </c>
      <c r="AT577" s="462"/>
      <c r="AU577" s="224"/>
      <c r="AV577" s="292"/>
      <c r="AW577" s="292"/>
      <c r="AX577" s="462"/>
      <c r="AY577" s="224">
        <v>77.5</v>
      </c>
      <c r="AZ577" s="292"/>
      <c r="BA577" s="292">
        <v>85.27</v>
      </c>
      <c r="BB577" s="1076"/>
      <c r="BC577" s="224">
        <v>337.78699999999998</v>
      </c>
      <c r="BD577" s="292"/>
      <c r="BE577" s="458">
        <v>371.673</v>
      </c>
      <c r="BF577" s="982"/>
      <c r="BG577" s="224">
        <v>505.91399999999999</v>
      </c>
      <c r="BH577" s="292"/>
      <c r="BI577" s="458">
        <v>556.66800000000001</v>
      </c>
      <c r="BJ577" s="464"/>
      <c r="BK577" s="224">
        <f>4.23+7239.85</f>
        <v>7244.08</v>
      </c>
      <c r="BL577" s="292"/>
      <c r="BM577" s="292">
        <v>8560.7800000000007</v>
      </c>
      <c r="BN577" s="462"/>
      <c r="BO577" s="224"/>
      <c r="BP577" s="292"/>
      <c r="BQ577" s="292"/>
      <c r="BR577" s="462"/>
      <c r="BS577" s="465">
        <v>16.2</v>
      </c>
      <c r="BT577" s="466">
        <v>48.63</v>
      </c>
      <c r="BU577" s="466">
        <v>64.8</v>
      </c>
      <c r="BV577" s="467"/>
      <c r="BW577" s="229"/>
      <c r="BX577" s="215"/>
      <c r="BY577" s="125">
        <f t="shared" si="206"/>
        <v>8190.7709999999997</v>
      </c>
      <c r="BZ577" s="126">
        <f t="shared" si="207"/>
        <v>48.63</v>
      </c>
      <c r="CA577" s="126">
        <f t="shared" si="208"/>
        <v>9649.1209999999992</v>
      </c>
      <c r="CB577" s="127">
        <f t="shared" si="208"/>
        <v>0</v>
      </c>
      <c r="CC577" s="768"/>
    </row>
    <row r="578" spans="1:81" s="230" customFormat="1" ht="14.85" customHeight="1" outlineLevel="5" x14ac:dyDescent="0.25">
      <c r="A578" s="216"/>
      <c r="B578" s="215"/>
      <c r="C578" s="216"/>
      <c r="D578" s="216"/>
      <c r="E578" s="216"/>
      <c r="F578" s="216"/>
      <c r="G578" s="216"/>
      <c r="H578" s="216"/>
      <c r="I578" s="216"/>
      <c r="J578" s="215"/>
      <c r="K578" s="217"/>
      <c r="L578" s="216"/>
      <c r="M578" s="215"/>
      <c r="N578" s="215"/>
      <c r="O578" s="215"/>
      <c r="P578" s="215"/>
      <c r="Q578" s="215"/>
      <c r="R578" s="215"/>
      <c r="S578" s="215"/>
      <c r="T578" s="215"/>
      <c r="U578" s="215"/>
      <c r="V578" s="215"/>
      <c r="W578" s="215"/>
      <c r="X578" s="215"/>
      <c r="Y578" s="215"/>
      <c r="Z578" s="215"/>
      <c r="AA578" s="215"/>
      <c r="AB578" s="456"/>
      <c r="AC578" s="472" t="s">
        <v>622</v>
      </c>
      <c r="AD578" s="457" t="s">
        <v>111</v>
      </c>
      <c r="AE578" s="224"/>
      <c r="AF578" s="292"/>
      <c r="AG578" s="292"/>
      <c r="AH578" s="461"/>
      <c r="AI578" s="228">
        <v>1317.6</v>
      </c>
      <c r="AJ578" s="225">
        <v>418.01</v>
      </c>
      <c r="AK578" s="225">
        <v>2365.1999999999998</v>
      </c>
      <c r="AL578" s="227">
        <f>AL531-AL562-AL565-AL566-AL567-AL568-AL571-AL572-AL575</f>
        <v>505.30999999999995</v>
      </c>
      <c r="AM578" s="224"/>
      <c r="AN578" s="292"/>
      <c r="AO578" s="292"/>
      <c r="AP578" s="462"/>
      <c r="AQ578" s="224">
        <v>216</v>
      </c>
      <c r="AR578" s="292"/>
      <c r="AS578" s="292">
        <v>27.46</v>
      </c>
      <c r="AT578" s="462"/>
      <c r="AU578" s="224">
        <v>27.5</v>
      </c>
      <c r="AV578" s="292"/>
      <c r="AW578" s="292">
        <v>30.26</v>
      </c>
      <c r="AX578" s="462"/>
      <c r="AY578" s="224"/>
      <c r="AZ578" s="292"/>
      <c r="BA578" s="292">
        <v>32.4</v>
      </c>
      <c r="BB578" s="1076"/>
      <c r="BC578" s="224">
        <v>684</v>
      </c>
      <c r="BD578" s="292"/>
      <c r="BE578" s="458">
        <v>26.207999999999998</v>
      </c>
      <c r="BF578" s="982"/>
      <c r="BG578" s="224"/>
      <c r="BH578" s="292"/>
      <c r="BI578" s="458"/>
      <c r="BJ578" s="464"/>
      <c r="BK578" s="224">
        <f>169.32+2027.56</f>
        <v>2196.88</v>
      </c>
      <c r="BL578" s="292">
        <v>53.63</v>
      </c>
      <c r="BM578" s="292">
        <v>2095.4499999999998</v>
      </c>
      <c r="BN578" s="462"/>
      <c r="BO578" s="465">
        <v>658.8</v>
      </c>
      <c r="BP578" s="292"/>
      <c r="BQ578" s="292">
        <v>1182.5999999999999</v>
      </c>
      <c r="BR578" s="462"/>
      <c r="BS578" s="465">
        <v>1360.1</v>
      </c>
      <c r="BT578" s="466">
        <v>1573.36</v>
      </c>
      <c r="BU578" s="466">
        <v>2412</v>
      </c>
      <c r="BV578" s="467">
        <v>173.44</v>
      </c>
      <c r="BW578" s="229"/>
      <c r="BX578" s="215"/>
      <c r="BY578" s="125">
        <f t="shared" si="206"/>
        <v>6460.8799999999992</v>
      </c>
      <c r="BZ578" s="126">
        <f t="shared" si="207"/>
        <v>2045</v>
      </c>
      <c r="CA578" s="126">
        <f t="shared" si="208"/>
        <v>8171.5779999999995</v>
      </c>
      <c r="CB578" s="127">
        <f t="shared" si="208"/>
        <v>678.75</v>
      </c>
      <c r="CC578" s="768"/>
    </row>
    <row r="579" spans="1:81" s="230" customFormat="1" ht="14.85" customHeight="1" outlineLevel="5" x14ac:dyDescent="0.25">
      <c r="A579" s="216"/>
      <c r="B579" s="215"/>
      <c r="C579" s="216"/>
      <c r="D579" s="216"/>
      <c r="E579" s="216"/>
      <c r="F579" s="216"/>
      <c r="G579" s="216"/>
      <c r="H579" s="216"/>
      <c r="I579" s="216"/>
      <c r="J579" s="215"/>
      <c r="K579" s="217"/>
      <c r="L579" s="216"/>
      <c r="M579" s="215"/>
      <c r="N579" s="215"/>
      <c r="O579" s="215"/>
      <c r="P579" s="215"/>
      <c r="Q579" s="215"/>
      <c r="R579" s="215"/>
      <c r="S579" s="215"/>
      <c r="T579" s="215"/>
      <c r="U579" s="215"/>
      <c r="V579" s="215"/>
      <c r="W579" s="215"/>
      <c r="X579" s="215"/>
      <c r="Y579" s="215"/>
      <c r="Z579" s="215"/>
      <c r="AA579" s="215"/>
      <c r="AB579" s="456"/>
      <c r="AC579" s="472" t="s">
        <v>623</v>
      </c>
      <c r="AD579" s="457" t="s">
        <v>111</v>
      </c>
      <c r="AE579" s="224"/>
      <c r="AF579" s="292"/>
      <c r="AG579" s="292"/>
      <c r="AH579" s="461"/>
      <c r="AI579" s="228"/>
      <c r="AJ579" s="292"/>
      <c r="AK579" s="292"/>
      <c r="AL579" s="462"/>
      <c r="AM579" s="224"/>
      <c r="AN579" s="292"/>
      <c r="AO579" s="292"/>
      <c r="AP579" s="462"/>
      <c r="AQ579" s="224">
        <v>7.75</v>
      </c>
      <c r="AR579" s="292"/>
      <c r="AS579" s="292">
        <v>8.52</v>
      </c>
      <c r="AT579" s="462"/>
      <c r="AU579" s="224">
        <v>3.61</v>
      </c>
      <c r="AV579" s="292"/>
      <c r="AW579" s="292">
        <v>3.97</v>
      </c>
      <c r="AX579" s="462"/>
      <c r="AY579" s="224"/>
      <c r="AZ579" s="292"/>
      <c r="BA579" s="292"/>
      <c r="BB579" s="1076"/>
      <c r="BC579" s="468"/>
      <c r="BD579" s="469"/>
      <c r="BE579" s="469"/>
      <c r="BF579" s="769"/>
      <c r="BG579" s="468"/>
      <c r="BH579" s="469"/>
      <c r="BI579" s="469"/>
      <c r="BJ579" s="470"/>
      <c r="BK579" s="224">
        <v>18.75</v>
      </c>
      <c r="BL579" s="292"/>
      <c r="BM579" s="292"/>
      <c r="BN579" s="462"/>
      <c r="BO579" s="224"/>
      <c r="BP579" s="292"/>
      <c r="BQ579" s="292"/>
      <c r="BR579" s="462"/>
      <c r="BS579" s="224"/>
      <c r="BT579" s="292"/>
      <c r="BU579" s="292"/>
      <c r="BV579" s="461"/>
      <c r="BW579" s="229"/>
      <c r="BX579" s="215"/>
      <c r="BY579" s="125">
        <f t="shared" si="206"/>
        <v>30.11</v>
      </c>
      <c r="BZ579" s="126">
        <f t="shared" si="207"/>
        <v>0</v>
      </c>
      <c r="CA579" s="126">
        <f t="shared" si="208"/>
        <v>12.49</v>
      </c>
      <c r="CB579" s="127">
        <f t="shared" si="208"/>
        <v>0</v>
      </c>
      <c r="CC579" s="768"/>
    </row>
    <row r="580" spans="1:81" s="230" customFormat="1" ht="14.85" customHeight="1" outlineLevel="5" x14ac:dyDescent="0.25">
      <c r="A580" s="216"/>
      <c r="B580" s="215"/>
      <c r="C580" s="216"/>
      <c r="D580" s="216"/>
      <c r="E580" s="216"/>
      <c r="F580" s="216"/>
      <c r="G580" s="216"/>
      <c r="H580" s="216"/>
      <c r="I580" s="216"/>
      <c r="J580" s="215"/>
      <c r="K580" s="217"/>
      <c r="L580" s="216"/>
      <c r="M580" s="215"/>
      <c r="N580" s="215"/>
      <c r="O580" s="215"/>
      <c r="P580" s="215"/>
      <c r="Q580" s="215"/>
      <c r="R580" s="215"/>
      <c r="S580" s="215"/>
      <c r="T580" s="215"/>
      <c r="U580" s="215"/>
      <c r="V580" s="215"/>
      <c r="W580" s="215"/>
      <c r="X580" s="215"/>
      <c r="Y580" s="215"/>
      <c r="Z580" s="215"/>
      <c r="AA580" s="215"/>
      <c r="AB580" s="456"/>
      <c r="AC580" s="472" t="s">
        <v>624</v>
      </c>
      <c r="AD580" s="457" t="s">
        <v>111</v>
      </c>
      <c r="AE580" s="224"/>
      <c r="AF580" s="292"/>
      <c r="AG580" s="292"/>
      <c r="AH580" s="461"/>
      <c r="AI580" s="228"/>
      <c r="AJ580" s="292"/>
      <c r="AK580" s="292"/>
      <c r="AL580" s="462"/>
      <c r="AM580" s="224"/>
      <c r="AN580" s="292"/>
      <c r="AO580" s="292"/>
      <c r="AP580" s="462"/>
      <c r="AQ580" s="224"/>
      <c r="AR580" s="292"/>
      <c r="AS580" s="292"/>
      <c r="AT580" s="462"/>
      <c r="AU580" s="224">
        <v>12.32</v>
      </c>
      <c r="AV580" s="292"/>
      <c r="AW580" s="292">
        <v>13.55</v>
      </c>
      <c r="AX580" s="462"/>
      <c r="AY580" s="224"/>
      <c r="AZ580" s="292"/>
      <c r="BA580" s="292"/>
      <c r="BB580" s="1076"/>
      <c r="BC580" s="468"/>
      <c r="BD580" s="469"/>
      <c r="BE580" s="469"/>
      <c r="BF580" s="769"/>
      <c r="BG580" s="224">
        <v>5.8330000000000002</v>
      </c>
      <c r="BH580" s="292"/>
      <c r="BI580" s="458">
        <v>5.83</v>
      </c>
      <c r="BJ580" s="464"/>
      <c r="BK580" s="224">
        <v>0.83</v>
      </c>
      <c r="BL580" s="292"/>
      <c r="BM580" s="292">
        <v>5.05</v>
      </c>
      <c r="BN580" s="462"/>
      <c r="BO580" s="224"/>
      <c r="BP580" s="292"/>
      <c r="BQ580" s="292"/>
      <c r="BR580" s="462"/>
      <c r="BS580" s="224"/>
      <c r="BT580" s="292"/>
      <c r="BU580" s="292"/>
      <c r="BV580" s="461"/>
      <c r="BW580" s="229"/>
      <c r="BX580" s="215"/>
      <c r="BY580" s="125">
        <f t="shared" si="206"/>
        <v>18.982999999999997</v>
      </c>
      <c r="BZ580" s="126">
        <f t="shared" si="207"/>
        <v>0</v>
      </c>
      <c r="CA580" s="126">
        <f t="shared" si="208"/>
        <v>24.430000000000003</v>
      </c>
      <c r="CB580" s="127">
        <f t="shared" si="208"/>
        <v>0</v>
      </c>
      <c r="CC580" s="768"/>
    </row>
    <row r="581" spans="1:81" s="230" customFormat="1" ht="14.85" customHeight="1" outlineLevel="5" x14ac:dyDescent="0.25">
      <c r="A581" s="216"/>
      <c r="B581" s="215"/>
      <c r="C581" s="216"/>
      <c r="D581" s="216"/>
      <c r="E581" s="216"/>
      <c r="F581" s="216"/>
      <c r="G581" s="216"/>
      <c r="H581" s="216"/>
      <c r="I581" s="216"/>
      <c r="J581" s="215"/>
      <c r="K581" s="217"/>
      <c r="L581" s="216"/>
      <c r="M581" s="215"/>
      <c r="N581" s="215"/>
      <c r="O581" s="215"/>
      <c r="P581" s="215"/>
      <c r="Q581" s="215"/>
      <c r="R581" s="215"/>
      <c r="S581" s="215"/>
      <c r="T581" s="215"/>
      <c r="U581" s="215"/>
      <c r="V581" s="215"/>
      <c r="W581" s="215"/>
      <c r="X581" s="215"/>
      <c r="Y581" s="215"/>
      <c r="Z581" s="215"/>
      <c r="AA581" s="215"/>
      <c r="AB581" s="456"/>
      <c r="AC581" s="472" t="s">
        <v>625</v>
      </c>
      <c r="AD581" s="457" t="s">
        <v>111</v>
      </c>
      <c r="AE581" s="224"/>
      <c r="AF581" s="292"/>
      <c r="AG581" s="292"/>
      <c r="AH581" s="461"/>
      <c r="AI581" s="228"/>
      <c r="AJ581" s="292"/>
      <c r="AK581" s="292"/>
      <c r="AL581" s="462"/>
      <c r="AM581" s="224"/>
      <c r="AN581" s="292"/>
      <c r="AO581" s="292"/>
      <c r="AP581" s="462"/>
      <c r="AQ581" s="224"/>
      <c r="AR581" s="292"/>
      <c r="AS581" s="292"/>
      <c r="AT581" s="462"/>
      <c r="AU581" s="224">
        <v>2</v>
      </c>
      <c r="AV581" s="292"/>
      <c r="AW581" s="292">
        <v>1.46</v>
      </c>
      <c r="AX581" s="462"/>
      <c r="AY581" s="224">
        <f>7.07+57.6</f>
        <v>64.67</v>
      </c>
      <c r="AZ581" s="292"/>
      <c r="BA581" s="292">
        <f>1.72+63.38</f>
        <v>65.100000000000009</v>
      </c>
      <c r="BB581" s="1076"/>
      <c r="BC581" s="224">
        <v>3.2</v>
      </c>
      <c r="BD581" s="292"/>
      <c r="BE581" s="458">
        <v>3.6680000000000001</v>
      </c>
      <c r="BF581" s="982"/>
      <c r="BG581" s="224">
        <v>23.332999999999998</v>
      </c>
      <c r="BH581" s="292"/>
      <c r="BI581" s="458">
        <v>8.8019999999999996</v>
      </c>
      <c r="BJ581" s="464"/>
      <c r="BK581" s="224">
        <f>314.94+3.98</f>
        <v>318.92</v>
      </c>
      <c r="BL581" s="292"/>
      <c r="BM581" s="469">
        <f>7+4.11</f>
        <v>11.11</v>
      </c>
      <c r="BN581" s="470"/>
      <c r="BO581" s="465">
        <v>0.8</v>
      </c>
      <c r="BP581" s="292"/>
      <c r="BQ581" s="292">
        <v>0.88</v>
      </c>
      <c r="BR581" s="462"/>
      <c r="BS581" s="465">
        <v>4.4000000000000004</v>
      </c>
      <c r="BT581" s="466">
        <v>1.66</v>
      </c>
      <c r="BU581" s="466">
        <v>2.64</v>
      </c>
      <c r="BV581" s="467"/>
      <c r="BW581" s="229"/>
      <c r="BX581" s="215"/>
      <c r="BY581" s="125">
        <f t="shared" si="206"/>
        <v>417.32300000000004</v>
      </c>
      <c r="BZ581" s="126">
        <f t="shared" si="207"/>
        <v>1.66</v>
      </c>
      <c r="CA581" s="126">
        <f t="shared" si="208"/>
        <v>93.66</v>
      </c>
      <c r="CB581" s="127">
        <f t="shared" si="208"/>
        <v>0</v>
      </c>
      <c r="CC581" s="768"/>
    </row>
    <row r="582" spans="1:81" s="230" customFormat="1" ht="14.85" customHeight="1" outlineLevel="5" x14ac:dyDescent="0.25">
      <c r="A582" s="216"/>
      <c r="B582" s="215"/>
      <c r="C582" s="216"/>
      <c r="D582" s="216"/>
      <c r="E582" s="216"/>
      <c r="F582" s="216"/>
      <c r="G582" s="216"/>
      <c r="H582" s="216"/>
      <c r="I582" s="216"/>
      <c r="J582" s="215"/>
      <c r="K582" s="217"/>
      <c r="L582" s="216"/>
      <c r="M582" s="215"/>
      <c r="N582" s="215"/>
      <c r="O582" s="215"/>
      <c r="P582" s="215"/>
      <c r="Q582" s="215"/>
      <c r="R582" s="215"/>
      <c r="S582" s="215"/>
      <c r="T582" s="215"/>
      <c r="U582" s="215"/>
      <c r="V582" s="215"/>
      <c r="W582" s="215"/>
      <c r="X582" s="215"/>
      <c r="Y582" s="215"/>
      <c r="Z582" s="215"/>
      <c r="AA582" s="215"/>
      <c r="AB582" s="456"/>
      <c r="AC582" s="472" t="s">
        <v>724</v>
      </c>
      <c r="AD582" s="457" t="s">
        <v>111</v>
      </c>
      <c r="AE582" s="224"/>
      <c r="AF582" s="292"/>
      <c r="AG582" s="292"/>
      <c r="AH582" s="461"/>
      <c r="AI582" s="228"/>
      <c r="AJ582" s="292"/>
      <c r="AK582" s="292"/>
      <c r="AL582" s="462"/>
      <c r="AM582" s="224"/>
      <c r="AN582" s="292"/>
      <c r="AO582" s="292"/>
      <c r="AP582" s="462"/>
      <c r="AQ582" s="224"/>
      <c r="AR582" s="292"/>
      <c r="AS582" s="292"/>
      <c r="AT582" s="462"/>
      <c r="AU582" s="224"/>
      <c r="AV582" s="292"/>
      <c r="AW582" s="292"/>
      <c r="AX582" s="462"/>
      <c r="AY582" s="224">
        <v>5.83</v>
      </c>
      <c r="AZ582" s="292"/>
      <c r="BA582" s="292">
        <v>6.41</v>
      </c>
      <c r="BB582" s="1076"/>
      <c r="BC582" s="224">
        <f>45.39+87.6</f>
        <v>132.99</v>
      </c>
      <c r="BD582" s="292"/>
      <c r="BE582" s="458">
        <f>49.944+96.388</f>
        <v>146.33199999999999</v>
      </c>
      <c r="BF582" s="982">
        <f>45.5+96.39</f>
        <v>141.88999999999999</v>
      </c>
      <c r="BG582" s="468"/>
      <c r="BH582" s="469"/>
      <c r="BI582" s="469"/>
      <c r="BJ582" s="470"/>
      <c r="BK582" s="224"/>
      <c r="BL582" s="292"/>
      <c r="BM582" s="292"/>
      <c r="BN582" s="462"/>
      <c r="BO582" s="224"/>
      <c r="BP582" s="292"/>
      <c r="BQ582" s="292"/>
      <c r="BR582" s="462"/>
      <c r="BS582" s="224"/>
      <c r="BT582" s="292"/>
      <c r="BU582" s="292"/>
      <c r="BV582" s="461"/>
      <c r="BW582" s="229"/>
      <c r="BX582" s="215"/>
      <c r="BY582" s="125">
        <f t="shared" si="206"/>
        <v>138.82000000000002</v>
      </c>
      <c r="BZ582" s="126">
        <f t="shared" si="207"/>
        <v>0</v>
      </c>
      <c r="CA582" s="126">
        <f t="shared" si="208"/>
        <v>152.74199999999999</v>
      </c>
      <c r="CB582" s="127">
        <f t="shared" si="208"/>
        <v>141.88999999999999</v>
      </c>
      <c r="CC582" s="768"/>
    </row>
    <row r="583" spans="1:81" s="230" customFormat="1" ht="14.85" customHeight="1" outlineLevel="5" x14ac:dyDescent="0.25">
      <c r="A583" s="216"/>
      <c r="B583" s="215"/>
      <c r="C583" s="216"/>
      <c r="D583" s="216"/>
      <c r="E583" s="216"/>
      <c r="F583" s="216"/>
      <c r="G583" s="216"/>
      <c r="H583" s="216"/>
      <c r="I583" s="216"/>
      <c r="J583" s="215"/>
      <c r="K583" s="217"/>
      <c r="L583" s="216"/>
      <c r="M583" s="215"/>
      <c r="N583" s="215"/>
      <c r="O583" s="215"/>
      <c r="P583" s="215"/>
      <c r="Q583" s="215"/>
      <c r="R583" s="215"/>
      <c r="S583" s="215"/>
      <c r="T583" s="215"/>
      <c r="U583" s="215"/>
      <c r="V583" s="215"/>
      <c r="W583" s="215"/>
      <c r="X583" s="215"/>
      <c r="Y583" s="215"/>
      <c r="Z583" s="215"/>
      <c r="AA583" s="215"/>
      <c r="AB583" s="456"/>
      <c r="AC583" s="472" t="s">
        <v>626</v>
      </c>
      <c r="AD583" s="457" t="s">
        <v>111</v>
      </c>
      <c r="AE583" s="224"/>
      <c r="AF583" s="292"/>
      <c r="AG583" s="292"/>
      <c r="AH583" s="461"/>
      <c r="AI583" s="228"/>
      <c r="AJ583" s="292"/>
      <c r="AK583" s="292"/>
      <c r="AL583" s="462"/>
      <c r="AM583" s="224"/>
      <c r="AN583" s="292"/>
      <c r="AO583" s="292"/>
      <c r="AP583" s="462"/>
      <c r="AQ583" s="224"/>
      <c r="AR583" s="292"/>
      <c r="AS583" s="292"/>
      <c r="AT583" s="462"/>
      <c r="AU583" s="224"/>
      <c r="AV583" s="292"/>
      <c r="AW583" s="292"/>
      <c r="AX583" s="462"/>
      <c r="AY583" s="224"/>
      <c r="AZ583" s="292"/>
      <c r="BA583" s="292">
        <v>2.58</v>
      </c>
      <c r="BB583" s="1076"/>
      <c r="BC583" s="224">
        <v>6.0540000000000003</v>
      </c>
      <c r="BD583" s="292"/>
      <c r="BE583" s="458">
        <v>1.2290000000000001</v>
      </c>
      <c r="BF583" s="982"/>
      <c r="BG583" s="224">
        <f>2.437</f>
        <v>2.4369999999999998</v>
      </c>
      <c r="BH583" s="292">
        <v>2.85</v>
      </c>
      <c r="BI583" s="458">
        <f>10.457</f>
        <v>10.457000000000001</v>
      </c>
      <c r="BJ583" s="464">
        <f>BH583*1.04048</f>
        <v>2.9653680000000002</v>
      </c>
      <c r="BK583" s="224">
        <f>4.91+54.21</f>
        <v>59.120000000000005</v>
      </c>
      <c r="BL583" s="292"/>
      <c r="BM583" s="292">
        <v>34.86</v>
      </c>
      <c r="BN583" s="462"/>
      <c r="BO583" s="465">
        <v>3.2440000000000002</v>
      </c>
      <c r="BP583" s="292"/>
      <c r="BQ583" s="292">
        <v>3.1</v>
      </c>
      <c r="BR583" s="462"/>
      <c r="BS583" s="224"/>
      <c r="BT583" s="292"/>
      <c r="BU583" s="292">
        <v>6.33</v>
      </c>
      <c r="BV583" s="461"/>
      <c r="BW583" s="229"/>
      <c r="BX583" s="215"/>
      <c r="BY583" s="125">
        <f t="shared" si="206"/>
        <v>70.855000000000004</v>
      </c>
      <c r="BZ583" s="126">
        <f t="shared" si="207"/>
        <v>2.85</v>
      </c>
      <c r="CA583" s="126">
        <f t="shared" si="208"/>
        <v>58.556000000000004</v>
      </c>
      <c r="CB583" s="127">
        <f t="shared" si="208"/>
        <v>2.9653680000000002</v>
      </c>
      <c r="CC583" s="768"/>
    </row>
    <row r="584" spans="1:81" s="230" customFormat="1" ht="14.85" customHeight="1" outlineLevel="5" x14ac:dyDescent="0.25">
      <c r="A584" s="216"/>
      <c r="B584" s="215"/>
      <c r="C584" s="216"/>
      <c r="D584" s="216"/>
      <c r="E584" s="216"/>
      <c r="F584" s="216"/>
      <c r="G584" s="216"/>
      <c r="H584" s="216"/>
      <c r="I584" s="216"/>
      <c r="J584" s="215"/>
      <c r="K584" s="217"/>
      <c r="L584" s="216"/>
      <c r="M584" s="215"/>
      <c r="N584" s="215"/>
      <c r="O584" s="215"/>
      <c r="P584" s="215"/>
      <c r="Q584" s="215"/>
      <c r="R584" s="215"/>
      <c r="S584" s="215"/>
      <c r="T584" s="215"/>
      <c r="U584" s="215"/>
      <c r="V584" s="215"/>
      <c r="W584" s="215"/>
      <c r="X584" s="215"/>
      <c r="Y584" s="215"/>
      <c r="Z584" s="215"/>
      <c r="AA584" s="215"/>
      <c r="AB584" s="456"/>
      <c r="AC584" s="472" t="s">
        <v>627</v>
      </c>
      <c r="AD584" s="457" t="s">
        <v>111</v>
      </c>
      <c r="AE584" s="224"/>
      <c r="AF584" s="292"/>
      <c r="AG584" s="292"/>
      <c r="AH584" s="461"/>
      <c r="AI584" s="228">
        <v>6.33</v>
      </c>
      <c r="AJ584" s="292"/>
      <c r="AK584" s="292">
        <v>6.58</v>
      </c>
      <c r="AL584" s="462"/>
      <c r="AM584" s="224"/>
      <c r="AN584" s="292"/>
      <c r="AO584" s="292"/>
      <c r="AP584" s="462"/>
      <c r="AQ584" s="224"/>
      <c r="AR584" s="292"/>
      <c r="AS584" s="292"/>
      <c r="AT584" s="462"/>
      <c r="AU584" s="224"/>
      <c r="AV584" s="292"/>
      <c r="AW584" s="292"/>
      <c r="AX584" s="462"/>
      <c r="AY584" s="224">
        <v>1.0900000000000001</v>
      </c>
      <c r="AZ584" s="292"/>
      <c r="BA584" s="292">
        <v>1.2</v>
      </c>
      <c r="BB584" s="1076"/>
      <c r="BC584" s="224">
        <v>23.405999999999999</v>
      </c>
      <c r="BD584" s="292"/>
      <c r="BE584" s="458">
        <v>25.754000000000001</v>
      </c>
      <c r="BF584" s="982"/>
      <c r="BG584" s="224">
        <v>59.468000000000004</v>
      </c>
      <c r="BH584" s="292"/>
      <c r="BI584" s="458">
        <f>65.434</f>
        <v>65.433999999999997</v>
      </c>
      <c r="BJ584" s="464"/>
      <c r="BK584" s="224"/>
      <c r="BL584" s="292"/>
      <c r="BM584" s="292"/>
      <c r="BN584" s="462"/>
      <c r="BO584" s="224"/>
      <c r="BP584" s="292"/>
      <c r="BQ584" s="292"/>
      <c r="BR584" s="462"/>
      <c r="BS584" s="465">
        <v>2</v>
      </c>
      <c r="BT584" s="466">
        <v>2.1549999999999998</v>
      </c>
      <c r="BU584" s="466">
        <v>2.2000000000000002</v>
      </c>
      <c r="BV584" s="467"/>
      <c r="BW584" s="229"/>
      <c r="BX584" s="215"/>
      <c r="BY584" s="125">
        <f t="shared" si="206"/>
        <v>92.294000000000011</v>
      </c>
      <c r="BZ584" s="126">
        <f t="shared" si="207"/>
        <v>2.1549999999999998</v>
      </c>
      <c r="CA584" s="126">
        <f t="shared" si="208"/>
        <v>101.16799999999999</v>
      </c>
      <c r="CB584" s="127">
        <f t="shared" si="208"/>
        <v>0</v>
      </c>
      <c r="CC584" s="768"/>
    </row>
    <row r="585" spans="1:81" s="230" customFormat="1" ht="14.85" customHeight="1" outlineLevel="5" x14ac:dyDescent="0.25">
      <c r="A585" s="216"/>
      <c r="B585" s="215"/>
      <c r="C585" s="216"/>
      <c r="D585" s="216"/>
      <c r="E585" s="216"/>
      <c r="F585" s="216"/>
      <c r="G585" s="216"/>
      <c r="H585" s="216"/>
      <c r="I585" s="216"/>
      <c r="J585" s="215"/>
      <c r="K585" s="217"/>
      <c r="L585" s="216"/>
      <c r="M585" s="215"/>
      <c r="N585" s="215"/>
      <c r="O585" s="215"/>
      <c r="P585" s="215"/>
      <c r="Q585" s="215"/>
      <c r="R585" s="215"/>
      <c r="S585" s="215"/>
      <c r="T585" s="215"/>
      <c r="U585" s="215"/>
      <c r="V585" s="215"/>
      <c r="W585" s="215"/>
      <c r="X585" s="215"/>
      <c r="Y585" s="215"/>
      <c r="Z585" s="215"/>
      <c r="AA585" s="215"/>
      <c r="AB585" s="456"/>
      <c r="AC585" s="472" t="s">
        <v>308</v>
      </c>
      <c r="AD585" s="457" t="s">
        <v>111</v>
      </c>
      <c r="AE585" s="224"/>
      <c r="AF585" s="292"/>
      <c r="AG585" s="292"/>
      <c r="AH585" s="461"/>
      <c r="AI585" s="228"/>
      <c r="AJ585" s="292"/>
      <c r="AK585" s="292"/>
      <c r="AL585" s="462"/>
      <c r="AM585" s="224"/>
      <c r="AN585" s="292"/>
      <c r="AO585" s="292"/>
      <c r="AP585" s="462"/>
      <c r="AQ585" s="224"/>
      <c r="AR585" s="292"/>
      <c r="AS585" s="292"/>
      <c r="AT585" s="462"/>
      <c r="AU585" s="224"/>
      <c r="AV585" s="292"/>
      <c r="AW585" s="292"/>
      <c r="AX585" s="462"/>
      <c r="AY585" s="224"/>
      <c r="AZ585" s="292"/>
      <c r="BA585" s="292"/>
      <c r="BB585" s="462"/>
      <c r="BC585" s="224">
        <v>1743.27</v>
      </c>
      <c r="BD585" s="292"/>
      <c r="BE585" s="458">
        <v>2263.62</v>
      </c>
      <c r="BF585" s="982"/>
      <c r="BG585" s="224">
        <v>5679.21</v>
      </c>
      <c r="BH585" s="292"/>
      <c r="BI585" s="458">
        <v>8484.2199999999993</v>
      </c>
      <c r="BJ585" s="464"/>
      <c r="BK585" s="224"/>
      <c r="BL585" s="292"/>
      <c r="BM585" s="292"/>
      <c r="BN585" s="462"/>
      <c r="BO585" s="224"/>
      <c r="BP585" s="292"/>
      <c r="BQ585" s="292"/>
      <c r="BR585" s="462"/>
      <c r="BS585" s="465"/>
      <c r="BT585" s="466"/>
      <c r="BU585" s="466"/>
      <c r="BV585" s="467"/>
      <c r="BW585" s="229"/>
      <c r="BX585" s="215"/>
      <c r="BY585" s="125">
        <f t="shared" si="206"/>
        <v>7422.48</v>
      </c>
      <c r="BZ585" s="126">
        <f t="shared" si="207"/>
        <v>0</v>
      </c>
      <c r="CA585" s="126">
        <f t="shared" si="208"/>
        <v>10747.84</v>
      </c>
      <c r="CB585" s="127">
        <f t="shared" si="208"/>
        <v>0</v>
      </c>
      <c r="CC585" s="768"/>
    </row>
    <row r="586" spans="1:81" s="230" customFormat="1" ht="14.85" customHeight="1" outlineLevel="5" x14ac:dyDescent="0.25">
      <c r="A586" s="216"/>
      <c r="B586" s="215"/>
      <c r="C586" s="216"/>
      <c r="D586" s="216"/>
      <c r="E586" s="216"/>
      <c r="F586" s="216"/>
      <c r="G586" s="216"/>
      <c r="H586" s="216"/>
      <c r="I586" s="216"/>
      <c r="J586" s="215"/>
      <c r="K586" s="217"/>
      <c r="L586" s="216"/>
      <c r="M586" s="215"/>
      <c r="N586" s="215"/>
      <c r="O586" s="215"/>
      <c r="P586" s="215"/>
      <c r="Q586" s="215"/>
      <c r="R586" s="215"/>
      <c r="S586" s="215"/>
      <c r="T586" s="215"/>
      <c r="U586" s="215"/>
      <c r="V586" s="215"/>
      <c r="W586" s="215"/>
      <c r="X586" s="215"/>
      <c r="Y586" s="215"/>
      <c r="Z586" s="215"/>
      <c r="AA586" s="215"/>
      <c r="AB586" s="456"/>
      <c r="AC586" s="472" t="s">
        <v>309</v>
      </c>
      <c r="AD586" s="457" t="s">
        <v>111</v>
      </c>
      <c r="AE586" s="224"/>
      <c r="AF586" s="292"/>
      <c r="AG586" s="292"/>
      <c r="AH586" s="461"/>
      <c r="AI586" s="228"/>
      <c r="AJ586" s="292"/>
      <c r="AK586" s="292"/>
      <c r="AL586" s="462"/>
      <c r="AM586" s="224"/>
      <c r="AN586" s="292"/>
      <c r="AO586" s="292"/>
      <c r="AP586" s="462"/>
      <c r="AQ586" s="224"/>
      <c r="AR586" s="292"/>
      <c r="AS586" s="292"/>
      <c r="AT586" s="462"/>
      <c r="AU586" s="224"/>
      <c r="AV586" s="292"/>
      <c r="AW586" s="292"/>
      <c r="AX586" s="462"/>
      <c r="AY586" s="224"/>
      <c r="AZ586" s="292"/>
      <c r="BA586" s="292"/>
      <c r="BB586" s="462"/>
      <c r="BC586" s="468"/>
      <c r="BD586" s="469"/>
      <c r="BE586" s="469"/>
      <c r="BF586" s="769"/>
      <c r="BG586" s="468"/>
      <c r="BH586" s="469"/>
      <c r="BI586" s="469"/>
      <c r="BJ586" s="470"/>
      <c r="BK586" s="224"/>
      <c r="BL586" s="292"/>
      <c r="BM586" s="292"/>
      <c r="BN586" s="462"/>
      <c r="BO586" s="224"/>
      <c r="BP586" s="292"/>
      <c r="BQ586" s="292"/>
      <c r="BR586" s="462"/>
      <c r="BS586" s="465">
        <v>147.63999999999999</v>
      </c>
      <c r="BT586" s="466">
        <v>176</v>
      </c>
      <c r="BU586" s="466">
        <v>168.3</v>
      </c>
      <c r="BV586" s="467"/>
      <c r="BW586" s="229"/>
      <c r="BX586" s="215"/>
      <c r="BY586" s="125">
        <f t="shared" ref="BY586:BY597" si="213">AE586+AI586+AM586+AQ586+AU586+AY586+BC586+BG586+BK586+BO586+BS586</f>
        <v>147.63999999999999</v>
      </c>
      <c r="BZ586" s="126">
        <f t="shared" ref="BZ586:BZ597" si="214">AF586+AJ586+AN586+AR586+AV586+AZ586+BD586+BH586+BL586+BP586+BT586</f>
        <v>176</v>
      </c>
      <c r="CA586" s="126">
        <f t="shared" ref="CA586:CB597" si="215">AG586+AK586+AO586+AS586+AW586+BA586+BE586+BI586+BM586+BQ586+BU586</f>
        <v>168.3</v>
      </c>
      <c r="CB586" s="127">
        <f t="shared" si="215"/>
        <v>0</v>
      </c>
      <c r="CC586" s="768"/>
    </row>
    <row r="587" spans="1:81" s="230" customFormat="1" ht="14.85" customHeight="1" outlineLevel="5" x14ac:dyDescent="0.25">
      <c r="A587" s="216"/>
      <c r="B587" s="215"/>
      <c r="C587" s="216"/>
      <c r="D587" s="216"/>
      <c r="E587" s="216"/>
      <c r="F587" s="216"/>
      <c r="G587" s="216"/>
      <c r="H587" s="216"/>
      <c r="I587" s="216"/>
      <c r="J587" s="215"/>
      <c r="K587" s="217"/>
      <c r="L587" s="216"/>
      <c r="M587" s="215"/>
      <c r="N587" s="215"/>
      <c r="O587" s="215"/>
      <c r="P587" s="215"/>
      <c r="Q587" s="215"/>
      <c r="R587" s="215"/>
      <c r="S587" s="215"/>
      <c r="T587" s="215"/>
      <c r="U587" s="215"/>
      <c r="V587" s="215"/>
      <c r="W587" s="215"/>
      <c r="X587" s="215"/>
      <c r="Y587" s="215"/>
      <c r="Z587" s="215"/>
      <c r="AA587" s="215"/>
      <c r="AB587" s="456"/>
      <c r="AC587" s="472" t="s">
        <v>310</v>
      </c>
      <c r="AD587" s="457" t="s">
        <v>111</v>
      </c>
      <c r="AE587" s="224"/>
      <c r="AF587" s="292"/>
      <c r="AG587" s="292"/>
      <c r="AH587" s="461"/>
      <c r="AI587" s="228"/>
      <c r="AJ587" s="292"/>
      <c r="AK587" s="292"/>
      <c r="AL587" s="462"/>
      <c r="AM587" s="224"/>
      <c r="AN587" s="292"/>
      <c r="AO587" s="292"/>
      <c r="AP587" s="462"/>
      <c r="AQ587" s="224"/>
      <c r="AR587" s="292"/>
      <c r="AS587" s="292"/>
      <c r="AT587" s="462"/>
      <c r="AU587" s="224"/>
      <c r="AV587" s="292"/>
      <c r="AW587" s="292"/>
      <c r="AX587" s="462"/>
      <c r="AY587" s="224"/>
      <c r="AZ587" s="292"/>
      <c r="BA587" s="292"/>
      <c r="BB587" s="462"/>
      <c r="BC587" s="468"/>
      <c r="BD587" s="469"/>
      <c r="BE587" s="469"/>
      <c r="BF587" s="769"/>
      <c r="BG587" s="468"/>
      <c r="BH587" s="469"/>
      <c r="BI587" s="469"/>
      <c r="BJ587" s="470"/>
      <c r="BK587" s="224"/>
      <c r="BL587" s="292"/>
      <c r="BM587" s="292"/>
      <c r="BN587" s="462"/>
      <c r="BO587" s="224"/>
      <c r="BP587" s="292"/>
      <c r="BQ587" s="292"/>
      <c r="BR587" s="462"/>
      <c r="BS587" s="465">
        <v>1.68</v>
      </c>
      <c r="BT587" s="466">
        <v>5.5</v>
      </c>
      <c r="BU587" s="466">
        <v>1.85</v>
      </c>
      <c r="BV587" s="467"/>
      <c r="BW587" s="229"/>
      <c r="BX587" s="215"/>
      <c r="BY587" s="125">
        <f t="shared" si="213"/>
        <v>1.68</v>
      </c>
      <c r="BZ587" s="126">
        <f t="shared" si="214"/>
        <v>5.5</v>
      </c>
      <c r="CA587" s="126">
        <f t="shared" si="215"/>
        <v>1.85</v>
      </c>
      <c r="CB587" s="127">
        <f t="shared" si="215"/>
        <v>0</v>
      </c>
      <c r="CC587" s="768"/>
    </row>
    <row r="588" spans="1:81" s="230" customFormat="1" ht="14.85" customHeight="1" outlineLevel="5" x14ac:dyDescent="0.25">
      <c r="A588" s="216"/>
      <c r="B588" s="215"/>
      <c r="C588" s="216"/>
      <c r="D588" s="216"/>
      <c r="E588" s="216"/>
      <c r="F588" s="216"/>
      <c r="G588" s="216"/>
      <c r="H588" s="216"/>
      <c r="I588" s="216"/>
      <c r="J588" s="215"/>
      <c r="K588" s="217"/>
      <c r="L588" s="216"/>
      <c r="M588" s="215"/>
      <c r="N588" s="215"/>
      <c r="O588" s="215"/>
      <c r="P588" s="215"/>
      <c r="Q588" s="215"/>
      <c r="R588" s="215"/>
      <c r="S588" s="215"/>
      <c r="T588" s="215"/>
      <c r="U588" s="215"/>
      <c r="V588" s="215"/>
      <c r="W588" s="215"/>
      <c r="X588" s="215"/>
      <c r="Y588" s="215"/>
      <c r="Z588" s="215"/>
      <c r="AA588" s="215"/>
      <c r="AB588" s="456"/>
      <c r="AC588" s="472" t="s">
        <v>311</v>
      </c>
      <c r="AD588" s="457" t="s">
        <v>111</v>
      </c>
      <c r="AE588" s="224"/>
      <c r="AF588" s="292"/>
      <c r="AG588" s="292"/>
      <c r="AH588" s="461"/>
      <c r="AI588" s="228"/>
      <c r="AJ588" s="292"/>
      <c r="AK588" s="292"/>
      <c r="AL588" s="462"/>
      <c r="AM588" s="224"/>
      <c r="AN588" s="292"/>
      <c r="AO588" s="292"/>
      <c r="AP588" s="462"/>
      <c r="AQ588" s="224"/>
      <c r="AR588" s="292"/>
      <c r="AS588" s="292"/>
      <c r="AT588" s="462"/>
      <c r="AU588" s="224"/>
      <c r="AV588" s="292"/>
      <c r="AW588" s="292"/>
      <c r="AX588" s="462"/>
      <c r="AY588" s="224"/>
      <c r="AZ588" s="292"/>
      <c r="BA588" s="292"/>
      <c r="BB588" s="462"/>
      <c r="BC588" s="468"/>
      <c r="BD588" s="469"/>
      <c r="BE588" s="469"/>
      <c r="BF588" s="769"/>
      <c r="BG588" s="468"/>
      <c r="BH588" s="469"/>
      <c r="BI588" s="469"/>
      <c r="BJ588" s="470"/>
      <c r="BK588" s="224"/>
      <c r="BL588" s="292"/>
      <c r="BM588" s="292"/>
      <c r="BN588" s="462"/>
      <c r="BO588" s="224"/>
      <c r="BP588" s="292"/>
      <c r="BQ588" s="292"/>
      <c r="BR588" s="462"/>
      <c r="BS588" s="465">
        <v>26.11</v>
      </c>
      <c r="BT588" s="466">
        <v>55.905000000000001</v>
      </c>
      <c r="BU588" s="466">
        <v>28.73</v>
      </c>
      <c r="BV588" s="467"/>
      <c r="BW588" s="229"/>
      <c r="BX588" s="215"/>
      <c r="BY588" s="125">
        <f t="shared" si="213"/>
        <v>26.11</v>
      </c>
      <c r="BZ588" s="126">
        <f t="shared" si="214"/>
        <v>55.905000000000001</v>
      </c>
      <c r="CA588" s="126">
        <f t="shared" si="215"/>
        <v>28.73</v>
      </c>
      <c r="CB588" s="127">
        <f t="shared" si="215"/>
        <v>0</v>
      </c>
      <c r="CC588" s="768"/>
    </row>
    <row r="589" spans="1:81" s="230" customFormat="1" ht="14.85" customHeight="1" outlineLevel="5" x14ac:dyDescent="0.25">
      <c r="A589" s="216"/>
      <c r="B589" s="215"/>
      <c r="C589" s="216"/>
      <c r="D589" s="216"/>
      <c r="E589" s="216"/>
      <c r="F589" s="216"/>
      <c r="G589" s="216"/>
      <c r="H589" s="216"/>
      <c r="I589" s="216"/>
      <c r="J589" s="215"/>
      <c r="K589" s="217"/>
      <c r="L589" s="216"/>
      <c r="M589" s="215"/>
      <c r="N589" s="215"/>
      <c r="O589" s="215"/>
      <c r="P589" s="215"/>
      <c r="Q589" s="215"/>
      <c r="R589" s="215"/>
      <c r="S589" s="215"/>
      <c r="T589" s="215"/>
      <c r="U589" s="215"/>
      <c r="V589" s="215"/>
      <c r="W589" s="215"/>
      <c r="X589" s="215"/>
      <c r="Y589" s="215"/>
      <c r="Z589" s="215"/>
      <c r="AA589" s="215"/>
      <c r="AB589" s="456"/>
      <c r="AC589" s="472" t="s">
        <v>628</v>
      </c>
      <c r="AD589" s="457" t="s">
        <v>111</v>
      </c>
      <c r="AE589" s="224"/>
      <c r="AF589" s="292"/>
      <c r="AG589" s="292"/>
      <c r="AH589" s="461"/>
      <c r="AI589" s="228">
        <v>16.52</v>
      </c>
      <c r="AJ589" s="292"/>
      <c r="AK589" s="292">
        <v>17.18</v>
      </c>
      <c r="AL589" s="462"/>
      <c r="AM589" s="224"/>
      <c r="AN589" s="292"/>
      <c r="AO589" s="292"/>
      <c r="AP589" s="462"/>
      <c r="AQ589" s="224"/>
      <c r="AR589" s="292"/>
      <c r="AS589" s="292"/>
      <c r="AT589" s="462"/>
      <c r="AU589" s="224"/>
      <c r="AV589" s="292"/>
      <c r="AW589" s="292"/>
      <c r="AX589" s="462"/>
      <c r="AY589" s="224"/>
      <c r="AZ589" s="292"/>
      <c r="BA589" s="292"/>
      <c r="BB589" s="462"/>
      <c r="BC589" s="468"/>
      <c r="BD589" s="469"/>
      <c r="BE589" s="469"/>
      <c r="BF589" s="769"/>
      <c r="BG589" s="468"/>
      <c r="BH589" s="469"/>
      <c r="BI589" s="469"/>
      <c r="BJ589" s="470"/>
      <c r="BK589" s="224">
        <v>20.59</v>
      </c>
      <c r="BL589" s="292"/>
      <c r="BM589" s="292">
        <v>21.46</v>
      </c>
      <c r="BN589" s="462"/>
      <c r="BO589" s="465">
        <v>8.7639999999999993</v>
      </c>
      <c r="BP589" s="292"/>
      <c r="BQ589" s="466">
        <v>9.6349999999999998</v>
      </c>
      <c r="BR589" s="473"/>
      <c r="BS589" s="224"/>
      <c r="BT589" s="292"/>
      <c r="BU589" s="292"/>
      <c r="BV589" s="461"/>
      <c r="BW589" s="229"/>
      <c r="BX589" s="215"/>
      <c r="BY589" s="125">
        <f t="shared" si="213"/>
        <v>45.873999999999995</v>
      </c>
      <c r="BZ589" s="126">
        <f t="shared" si="214"/>
        <v>0</v>
      </c>
      <c r="CA589" s="126">
        <f t="shared" si="215"/>
        <v>48.274999999999999</v>
      </c>
      <c r="CB589" s="127">
        <f t="shared" si="215"/>
        <v>0</v>
      </c>
      <c r="CC589" s="768"/>
    </row>
    <row r="590" spans="1:81" s="230" customFormat="1" ht="14.85" customHeight="1" outlineLevel="5" x14ac:dyDescent="0.25">
      <c r="A590" s="216"/>
      <c r="B590" s="215"/>
      <c r="C590" s="216"/>
      <c r="D590" s="216"/>
      <c r="E590" s="216"/>
      <c r="F590" s="216"/>
      <c r="G590" s="216"/>
      <c r="H590" s="216"/>
      <c r="I590" s="216"/>
      <c r="J590" s="215"/>
      <c r="K590" s="217"/>
      <c r="L590" s="216"/>
      <c r="M590" s="215"/>
      <c r="N590" s="215"/>
      <c r="O590" s="215"/>
      <c r="P590" s="215"/>
      <c r="Q590" s="215"/>
      <c r="R590" s="215"/>
      <c r="S590" s="215"/>
      <c r="T590" s="215"/>
      <c r="U590" s="215"/>
      <c r="V590" s="215"/>
      <c r="W590" s="215"/>
      <c r="X590" s="215"/>
      <c r="Y590" s="215"/>
      <c r="Z590" s="215"/>
      <c r="AA590" s="215"/>
      <c r="AB590" s="456"/>
      <c r="AC590" s="219" t="s">
        <v>380</v>
      </c>
      <c r="AD590" s="457" t="s">
        <v>111</v>
      </c>
      <c r="AE590" s="240"/>
      <c r="AF590" s="292"/>
      <c r="AG590" s="292"/>
      <c r="AH590" s="461"/>
      <c r="AI590" s="228">
        <f>42.11+7.4</f>
        <v>49.51</v>
      </c>
      <c r="AJ590" s="292"/>
      <c r="AK590" s="292">
        <f>43.79+7.7</f>
        <v>51.49</v>
      </c>
      <c r="AL590" s="462"/>
      <c r="AM590" s="240"/>
      <c r="AN590" s="292"/>
      <c r="AO590" s="292"/>
      <c r="AP590" s="462"/>
      <c r="AQ590" s="240"/>
      <c r="AR590" s="292"/>
      <c r="AS590" s="292"/>
      <c r="AT590" s="462"/>
      <c r="AU590" s="240"/>
      <c r="AV590" s="292"/>
      <c r="AW590" s="292"/>
      <c r="AX590" s="462"/>
      <c r="AY590" s="240"/>
      <c r="AZ590" s="292"/>
      <c r="BA590" s="292"/>
      <c r="BB590" s="462"/>
      <c r="BC590" s="468"/>
      <c r="BD590" s="469"/>
      <c r="BE590" s="469"/>
      <c r="BF590" s="769"/>
      <c r="BG590" s="468"/>
      <c r="BH590" s="469">
        <v>96.83</v>
      </c>
      <c r="BI590" s="458">
        <v>100.9</v>
      </c>
      <c r="BJ590" s="464">
        <f>BH590*1.04048</f>
        <v>100.74967840000001</v>
      </c>
      <c r="BK590" s="240"/>
      <c r="BL590" s="292"/>
      <c r="BM590" s="292"/>
      <c r="BN590" s="462"/>
      <c r="BO590" s="465"/>
      <c r="BP590" s="292"/>
      <c r="BQ590" s="292"/>
      <c r="BR590" s="462"/>
      <c r="BS590" s="465"/>
      <c r="BT590" s="466"/>
      <c r="BU590" s="466"/>
      <c r="BV590" s="467"/>
      <c r="BW590" s="229"/>
      <c r="BX590" s="215"/>
      <c r="BY590" s="125">
        <f t="shared" si="213"/>
        <v>49.51</v>
      </c>
      <c r="BZ590" s="126">
        <f t="shared" si="214"/>
        <v>96.83</v>
      </c>
      <c r="CA590" s="126">
        <f t="shared" si="215"/>
        <v>152.39000000000001</v>
      </c>
      <c r="CB590" s="127">
        <f t="shared" si="215"/>
        <v>100.74967840000001</v>
      </c>
      <c r="CC590" s="768"/>
    </row>
    <row r="591" spans="1:81" s="230" customFormat="1" ht="14.85" customHeight="1" outlineLevel="5" x14ac:dyDescent="0.25">
      <c r="A591" s="216"/>
      <c r="B591" s="215"/>
      <c r="C591" s="216"/>
      <c r="D591" s="216"/>
      <c r="E591" s="216"/>
      <c r="F591" s="216"/>
      <c r="G591" s="216"/>
      <c r="H591" s="216"/>
      <c r="I591" s="216"/>
      <c r="J591" s="215"/>
      <c r="K591" s="217"/>
      <c r="L591" s="216"/>
      <c r="M591" s="215"/>
      <c r="N591" s="215"/>
      <c r="O591" s="215"/>
      <c r="P591" s="215"/>
      <c r="Q591" s="215"/>
      <c r="R591" s="215"/>
      <c r="S591" s="215"/>
      <c r="T591" s="215"/>
      <c r="U591" s="215"/>
      <c r="V591" s="215"/>
      <c r="W591" s="215"/>
      <c r="X591" s="215"/>
      <c r="Y591" s="215"/>
      <c r="Z591" s="215"/>
      <c r="AA591" s="215"/>
      <c r="AB591" s="456"/>
      <c r="AC591" s="472" t="s">
        <v>629</v>
      </c>
      <c r="AD591" s="457" t="s">
        <v>111</v>
      </c>
      <c r="AE591" s="224"/>
      <c r="AF591" s="292"/>
      <c r="AG591" s="292"/>
      <c r="AH591" s="461"/>
      <c r="AI591" s="228"/>
      <c r="AJ591" s="292"/>
      <c r="AK591" s="292"/>
      <c r="AL591" s="462"/>
      <c r="AM591" s="224"/>
      <c r="AN591" s="292"/>
      <c r="AO591" s="292"/>
      <c r="AP591" s="462"/>
      <c r="AQ591" s="224"/>
      <c r="AR591" s="292"/>
      <c r="AS591" s="292"/>
      <c r="AT591" s="462"/>
      <c r="AU591" s="224"/>
      <c r="AV591" s="292"/>
      <c r="AW591" s="292"/>
      <c r="AX591" s="462"/>
      <c r="AY591" s="224"/>
      <c r="AZ591" s="292"/>
      <c r="BA591" s="292"/>
      <c r="BB591" s="462"/>
      <c r="BC591" s="468"/>
      <c r="BD591" s="469"/>
      <c r="BE591" s="469"/>
      <c r="BF591" s="769"/>
      <c r="BG591" s="468"/>
      <c r="BH591" s="469"/>
      <c r="BI591" s="458">
        <v>85.84</v>
      </c>
      <c r="BJ591" s="464"/>
      <c r="BK591" s="224"/>
      <c r="BL591" s="292"/>
      <c r="BM591" s="292"/>
      <c r="BN591" s="462"/>
      <c r="BO591" s="465"/>
      <c r="BP591" s="292"/>
      <c r="BQ591" s="466"/>
      <c r="BR591" s="473"/>
      <c r="BS591" s="224"/>
      <c r="BT591" s="292"/>
      <c r="BU591" s="292"/>
      <c r="BV591" s="461"/>
      <c r="BW591" s="229"/>
      <c r="BX591" s="215"/>
      <c r="BY591" s="125">
        <f t="shared" si="213"/>
        <v>0</v>
      </c>
      <c r="BZ591" s="126">
        <f t="shared" si="214"/>
        <v>0</v>
      </c>
      <c r="CA591" s="126">
        <f t="shared" si="215"/>
        <v>85.84</v>
      </c>
      <c r="CB591" s="127">
        <f t="shared" si="215"/>
        <v>0</v>
      </c>
      <c r="CC591" s="768"/>
    </row>
    <row r="592" spans="1:81" s="246" customFormat="1" ht="14.85" customHeight="1" outlineLevel="5" x14ac:dyDescent="0.25">
      <c r="A592" s="242"/>
      <c r="B592" s="229"/>
      <c r="C592" s="242"/>
      <c r="D592" s="242"/>
      <c r="E592" s="242"/>
      <c r="F592" s="242"/>
      <c r="G592" s="242"/>
      <c r="H592" s="242"/>
      <c r="I592" s="242"/>
      <c r="J592" s="229"/>
      <c r="K592" s="243"/>
      <c r="L592" s="242"/>
      <c r="M592" s="229"/>
      <c r="N592" s="229"/>
      <c r="O592" s="229"/>
      <c r="P592" s="229"/>
      <c r="Q592" s="229"/>
      <c r="R592" s="229"/>
      <c r="S592" s="229"/>
      <c r="T592" s="229"/>
      <c r="U592" s="229"/>
      <c r="V592" s="229"/>
      <c r="W592" s="229"/>
      <c r="X592" s="229"/>
      <c r="Y592" s="229"/>
      <c r="Z592" s="229"/>
      <c r="AA592" s="229"/>
      <c r="AB592" s="456"/>
      <c r="AC592" s="472" t="s">
        <v>630</v>
      </c>
      <c r="AD592" s="457" t="s">
        <v>111</v>
      </c>
      <c r="AE592" s="224"/>
      <c r="AF592" s="292"/>
      <c r="AG592" s="292"/>
      <c r="AH592" s="461"/>
      <c r="AI592" s="228"/>
      <c r="AJ592" s="292"/>
      <c r="AK592" s="292"/>
      <c r="AL592" s="462"/>
      <c r="AM592" s="224"/>
      <c r="AN592" s="292"/>
      <c r="AO592" s="292"/>
      <c r="AP592" s="462"/>
      <c r="AQ592" s="224"/>
      <c r="AR592" s="292"/>
      <c r="AS592" s="292"/>
      <c r="AT592" s="462"/>
      <c r="AU592" s="224"/>
      <c r="AV592" s="292"/>
      <c r="AW592" s="292"/>
      <c r="AX592" s="462"/>
      <c r="AY592" s="224"/>
      <c r="AZ592" s="292"/>
      <c r="BA592" s="292"/>
      <c r="BB592" s="462"/>
      <c r="BC592" s="468"/>
      <c r="BD592" s="469"/>
      <c r="BE592" s="469"/>
      <c r="BF592" s="769"/>
      <c r="BG592" s="468"/>
      <c r="BH592" s="469"/>
      <c r="BI592" s="469"/>
      <c r="BJ592" s="470"/>
      <c r="BK592" s="224">
        <v>3.35</v>
      </c>
      <c r="BL592" s="292"/>
      <c r="BM592" s="292">
        <v>7.14</v>
      </c>
      <c r="BN592" s="462"/>
      <c r="BO592" s="465"/>
      <c r="BP592" s="292"/>
      <c r="BQ592" s="466"/>
      <c r="BR592" s="473"/>
      <c r="BS592" s="224">
        <v>3.35</v>
      </c>
      <c r="BT592" s="292"/>
      <c r="BU592" s="292">
        <v>3.69</v>
      </c>
      <c r="BV592" s="461"/>
      <c r="BW592" s="229"/>
      <c r="BX592" s="229"/>
      <c r="BY592" s="125">
        <f t="shared" si="213"/>
        <v>6.7</v>
      </c>
      <c r="BZ592" s="126">
        <f t="shared" si="214"/>
        <v>0</v>
      </c>
      <c r="CA592" s="126">
        <f t="shared" si="215"/>
        <v>10.83</v>
      </c>
      <c r="CB592" s="127">
        <f t="shared" si="215"/>
        <v>0</v>
      </c>
      <c r="CC592" s="771"/>
    </row>
    <row r="593" spans="1:81" s="171" customFormat="1" ht="18" customHeight="1" outlineLevel="3" x14ac:dyDescent="0.25">
      <c r="A593" s="166"/>
      <c r="B593" s="166"/>
      <c r="C593" s="167" t="s">
        <v>83</v>
      </c>
      <c r="D593" s="167" t="s">
        <v>84</v>
      </c>
      <c r="E593" s="167" t="s">
        <v>73</v>
      </c>
      <c r="F593" s="167" t="s">
        <v>74</v>
      </c>
      <c r="G593" s="167" t="s">
        <v>313</v>
      </c>
      <c r="H593" s="167" t="s">
        <v>73</v>
      </c>
      <c r="I593" s="167" t="s">
        <v>73</v>
      </c>
      <c r="J593" s="166"/>
      <c r="K593" s="168" t="s">
        <v>73</v>
      </c>
      <c r="L593" s="167" t="s">
        <v>192</v>
      </c>
      <c r="M593" s="166" t="str">
        <f t="array" ref="M593">Y458</f>
        <v>1ВО::1.1</v>
      </c>
      <c r="N593" s="166"/>
      <c r="O593" s="166"/>
      <c r="P593" s="166"/>
      <c r="Q593" s="166"/>
      <c r="R593" s="166"/>
      <c r="S593" s="166"/>
      <c r="T593" s="166"/>
      <c r="U593" s="166"/>
      <c r="V593" s="166"/>
      <c r="W593" s="166"/>
      <c r="X593" s="166"/>
      <c r="Y593" s="166"/>
      <c r="Z593" s="166"/>
      <c r="AA593" s="166"/>
      <c r="AB593" s="429" t="str">
        <f>AB509&amp;".2"</f>
        <v>3.1.1.2</v>
      </c>
      <c r="AC593" s="474" t="s">
        <v>314</v>
      </c>
      <c r="AD593" s="431" t="s">
        <v>111</v>
      </c>
      <c r="AE593" s="476">
        <f t="shared" ref="AE593:AO593" si="216">AE594+AE595+AE596</f>
        <v>182329.68010000003</v>
      </c>
      <c r="AF593" s="433">
        <f t="shared" si="216"/>
        <v>153968.587</v>
      </c>
      <c r="AG593" s="433">
        <f t="shared" si="216"/>
        <v>162636.70000000001</v>
      </c>
      <c r="AH593" s="490">
        <f>AH594+AH595+AH596</f>
        <v>161707.64481199998</v>
      </c>
      <c r="AI593" s="475">
        <f t="shared" si="216"/>
        <v>587.30193399999996</v>
      </c>
      <c r="AJ593" s="433">
        <f t="shared" si="216"/>
        <v>995.45</v>
      </c>
      <c r="AK593" s="433">
        <f t="shared" si="216"/>
        <v>1236.664536</v>
      </c>
      <c r="AL593" s="477">
        <f>AL594+AL595+AL596</f>
        <v>903.50822100000005</v>
      </c>
      <c r="AM593" s="476">
        <f t="shared" si="216"/>
        <v>0</v>
      </c>
      <c r="AN593" s="433">
        <f t="shared" si="216"/>
        <v>0</v>
      </c>
      <c r="AO593" s="433">
        <f t="shared" si="216"/>
        <v>0</v>
      </c>
      <c r="AP593" s="477"/>
      <c r="AQ593" s="476">
        <f t="shared" ref="AQ593:BV593" si="217">AQ594+AQ595+AQ596</f>
        <v>4296.26</v>
      </c>
      <c r="AR593" s="433">
        <f t="shared" si="217"/>
        <v>953.42</v>
      </c>
      <c r="AS593" s="433">
        <f t="shared" si="217"/>
        <v>5081.2</v>
      </c>
      <c r="AT593" s="477">
        <f t="shared" si="217"/>
        <v>4423.6249200000002</v>
      </c>
      <c r="AU593" s="476">
        <f t="shared" si="217"/>
        <v>3387.58</v>
      </c>
      <c r="AV593" s="433">
        <f t="shared" si="217"/>
        <v>1210.68</v>
      </c>
      <c r="AW593" s="433">
        <f t="shared" si="217"/>
        <v>7638.34</v>
      </c>
      <c r="AX593" s="477">
        <f t="shared" si="217"/>
        <v>6072.6560000000009</v>
      </c>
      <c r="AY593" s="476">
        <f t="shared" si="217"/>
        <v>2532.38</v>
      </c>
      <c r="AZ593" s="433">
        <f t="shared" si="217"/>
        <v>16272.050000000001</v>
      </c>
      <c r="BA593" s="433">
        <f t="shared" si="217"/>
        <v>10675.490000000002</v>
      </c>
      <c r="BB593" s="477">
        <f t="shared" si="217"/>
        <v>16930.901309018398</v>
      </c>
      <c r="BC593" s="476">
        <f t="shared" si="217"/>
        <v>12921.671431999999</v>
      </c>
      <c r="BD593" s="433">
        <f t="shared" si="217"/>
        <v>1139.6600000000001</v>
      </c>
      <c r="BE593" s="433">
        <f t="shared" si="217"/>
        <v>24380.107942000002</v>
      </c>
      <c r="BF593" s="983">
        <f t="shared" si="217"/>
        <v>23909.833959999996</v>
      </c>
      <c r="BG593" s="476">
        <f t="shared" si="217"/>
        <v>12111.121102000001</v>
      </c>
      <c r="BH593" s="433">
        <f t="shared" si="217"/>
        <v>33082.292893999998</v>
      </c>
      <c r="BI593" s="433">
        <f t="shared" si="217"/>
        <v>37767.4251</v>
      </c>
      <c r="BJ593" s="477">
        <f t="shared" si="217"/>
        <v>34421.46411034913</v>
      </c>
      <c r="BK593" s="476">
        <f t="shared" si="217"/>
        <v>10610.68</v>
      </c>
      <c r="BL593" s="433">
        <f t="shared" si="217"/>
        <v>15641.53</v>
      </c>
      <c r="BM593" s="433">
        <f t="shared" si="217"/>
        <v>17302.41</v>
      </c>
      <c r="BN593" s="477">
        <f t="shared" si="217"/>
        <v>13658.80157</v>
      </c>
      <c r="BO593" s="476">
        <f t="shared" si="217"/>
        <v>1919.2929999999999</v>
      </c>
      <c r="BP593" s="433">
        <f t="shared" si="217"/>
        <v>431.97999999999996</v>
      </c>
      <c r="BQ593" s="433">
        <f t="shared" si="217"/>
        <v>5168.7000000000007</v>
      </c>
      <c r="BR593" s="477">
        <f t="shared" si="217"/>
        <v>2580.0690199999999</v>
      </c>
      <c r="BS593" s="476">
        <f t="shared" si="217"/>
        <v>2943.0479999999998</v>
      </c>
      <c r="BT593" s="433">
        <f t="shared" si="217"/>
        <v>2250.3100000000004</v>
      </c>
      <c r="BU593" s="433">
        <f t="shared" si="217"/>
        <v>2848.68</v>
      </c>
      <c r="BV593" s="490">
        <f t="shared" si="217"/>
        <v>3639.7107800000003</v>
      </c>
      <c r="BW593" s="170"/>
      <c r="BX593" s="166"/>
      <c r="BY593" s="436">
        <f t="shared" si="213"/>
        <v>233639.01556800003</v>
      </c>
      <c r="BZ593" s="437">
        <f t="shared" si="214"/>
        <v>225945.95989400003</v>
      </c>
      <c r="CA593" s="437">
        <f t="shared" si="215"/>
        <v>274735.71757799998</v>
      </c>
      <c r="CB593" s="438">
        <f t="shared" ref="CB593:CB597" si="218">AH593+AL593+AP593+AT593+AX593+BB593+BF593+BJ593+BN593+BR593+BV593</f>
        <v>268248.21470236755</v>
      </c>
      <c r="CC593" s="760"/>
    </row>
    <row r="594" spans="1:81" ht="16.5" customHeight="1" outlineLevel="4" x14ac:dyDescent="0.25">
      <c r="C594" s="10" t="s">
        <v>83</v>
      </c>
      <c r="D594" s="10" t="s">
        <v>84</v>
      </c>
      <c r="E594" s="10" t="s">
        <v>73</v>
      </c>
      <c r="F594" s="10" t="s">
        <v>74</v>
      </c>
      <c r="G594" s="10" t="s">
        <v>315</v>
      </c>
      <c r="H594" s="10" t="s">
        <v>73</v>
      </c>
      <c r="I594" s="10" t="s">
        <v>73</v>
      </c>
      <c r="K594" s="12" t="s">
        <v>73</v>
      </c>
      <c r="L594" s="10" t="s">
        <v>192</v>
      </c>
      <c r="M594" s="5" t="str">
        <f t="array" ref="M594">Y458</f>
        <v>1ВО::1.1</v>
      </c>
      <c r="AB594" s="403" t="str">
        <f>AB593&amp;".1"</f>
        <v>3.1.1.2.1</v>
      </c>
      <c r="AC594" s="442" t="s">
        <v>316</v>
      </c>
      <c r="AD594" s="32" t="s">
        <v>111</v>
      </c>
      <c r="AE594" s="72">
        <v>13082.68</v>
      </c>
      <c r="AF594" s="178">
        <v>19908.419999999998</v>
      </c>
      <c r="AG594" s="178">
        <v>21029.22</v>
      </c>
      <c r="AH594" s="96">
        <v>21554.959999999999</v>
      </c>
      <c r="AI594" s="179">
        <v>109.92</v>
      </c>
      <c r="AJ594" s="178">
        <v>80.739999999999995</v>
      </c>
      <c r="AK594" s="178">
        <v>213.47</v>
      </c>
      <c r="AL594" s="181">
        <v>87.44</v>
      </c>
      <c r="AM594" s="72"/>
      <c r="AN594" s="178"/>
      <c r="AO594" s="178"/>
      <c r="AP594" s="181"/>
      <c r="AQ594" s="72">
        <v>126.47</v>
      </c>
      <c r="AR594" s="178"/>
      <c r="AS594" s="178">
        <v>34.61</v>
      </c>
      <c r="AT594" s="181">
        <v>25.96</v>
      </c>
      <c r="AU594" s="72">
        <v>63.38</v>
      </c>
      <c r="AV594" s="178">
        <v>131.41</v>
      </c>
      <c r="AW594" s="178">
        <v>119.36</v>
      </c>
      <c r="AX594" s="181">
        <v>0</v>
      </c>
      <c r="AY594" s="72">
        <v>0.66</v>
      </c>
      <c r="AZ594" s="178">
        <v>352.57</v>
      </c>
      <c r="BA594" s="178">
        <v>366.73</v>
      </c>
      <c r="BB594" s="181">
        <f>AZ594*1.04049</f>
        <v>366.84555929999999</v>
      </c>
      <c r="BC594" s="72">
        <v>13.59</v>
      </c>
      <c r="BD594" s="178"/>
      <c r="BE594" s="178">
        <v>76.16</v>
      </c>
      <c r="BF594" s="210">
        <v>76.155000000000001</v>
      </c>
      <c r="BG594" s="72">
        <v>117.675</v>
      </c>
      <c r="BH594" s="178">
        <v>711.36</v>
      </c>
      <c r="BI594" s="178">
        <v>134.1</v>
      </c>
      <c r="BJ594" s="181">
        <f>BH594*1.04048</f>
        <v>740.15585280000005</v>
      </c>
      <c r="BK594" s="72">
        <v>338.97</v>
      </c>
      <c r="BL594" s="178">
        <v>1025.82</v>
      </c>
      <c r="BM594" s="178">
        <v>1372.85</v>
      </c>
      <c r="BN594" s="181">
        <v>1114.8</v>
      </c>
      <c r="BO594" s="142">
        <v>0.63500000000000001</v>
      </c>
      <c r="BP594" s="183">
        <v>34.39</v>
      </c>
      <c r="BQ594" s="183">
        <v>65.7</v>
      </c>
      <c r="BR594" s="184">
        <v>37.424999999999997</v>
      </c>
      <c r="BS594" s="142">
        <v>47.164000000000001</v>
      </c>
      <c r="BT594" s="183">
        <v>212.11</v>
      </c>
      <c r="BU594" s="183">
        <v>104.11</v>
      </c>
      <c r="BV594" s="186">
        <v>233.2</v>
      </c>
      <c r="BY594" s="125">
        <f t="shared" si="213"/>
        <v>13901.143999999998</v>
      </c>
      <c r="BZ594" s="126">
        <f t="shared" si="214"/>
        <v>22456.82</v>
      </c>
      <c r="CA594" s="126">
        <f t="shared" si="215"/>
        <v>23516.31</v>
      </c>
      <c r="CB594" s="127">
        <f t="shared" si="218"/>
        <v>24236.941412099994</v>
      </c>
    </row>
    <row r="595" spans="1:81" ht="16.5" customHeight="1" outlineLevel="4" x14ac:dyDescent="0.25">
      <c r="C595" s="10" t="s">
        <v>83</v>
      </c>
      <c r="D595" s="10" t="s">
        <v>84</v>
      </c>
      <c r="E595" s="10" t="s">
        <v>73</v>
      </c>
      <c r="F595" s="10" t="s">
        <v>74</v>
      </c>
      <c r="G595" s="10" t="s">
        <v>317</v>
      </c>
      <c r="H595" s="10" t="s">
        <v>73</v>
      </c>
      <c r="I595" s="10" t="s">
        <v>73</v>
      </c>
      <c r="K595" s="12" t="s">
        <v>73</v>
      </c>
      <c r="L595" s="10" t="s">
        <v>192</v>
      </c>
      <c r="M595" s="5" t="str">
        <f t="array" ref="M595">Y458</f>
        <v>1ВО::1.1</v>
      </c>
      <c r="AB595" s="403" t="str">
        <f>AB593&amp;".2"</f>
        <v>3.1.1.2.2</v>
      </c>
      <c r="AC595" s="442" t="s">
        <v>318</v>
      </c>
      <c r="AD595" s="32" t="s">
        <v>111</v>
      </c>
      <c r="AE595" s="72">
        <v>119477.21</v>
      </c>
      <c r="AF595" s="178">
        <v>72962.67</v>
      </c>
      <c r="AG595" s="178">
        <v>77070.320000000007</v>
      </c>
      <c r="AH595" s="96">
        <v>78997.085999999996</v>
      </c>
      <c r="AI595" s="179">
        <v>28.3</v>
      </c>
      <c r="AJ595" s="178">
        <v>278.44</v>
      </c>
      <c r="AK595" s="178">
        <v>537.46</v>
      </c>
      <c r="AL595" s="181">
        <v>301.61180000000002</v>
      </c>
      <c r="AM595" s="72"/>
      <c r="AN595" s="178"/>
      <c r="AO595" s="178"/>
      <c r="AP595" s="181"/>
      <c r="AQ595" s="72">
        <v>1868.8</v>
      </c>
      <c r="AR595" s="178"/>
      <c r="AS595" s="178">
        <v>2631.56</v>
      </c>
      <c r="AT595" s="181">
        <v>2631.5540000000001</v>
      </c>
      <c r="AU595" s="72">
        <v>526.91999999999996</v>
      </c>
      <c r="AV595" s="178"/>
      <c r="AW595" s="178">
        <v>2696.57</v>
      </c>
      <c r="AX595" s="181">
        <v>2696.57</v>
      </c>
      <c r="AY595" s="72">
        <v>540.71</v>
      </c>
      <c r="AZ595" s="178">
        <v>3425.38</v>
      </c>
      <c r="BA595" s="178">
        <v>3959.53</v>
      </c>
      <c r="BB595" s="181">
        <f>AZ595*1.04049</f>
        <v>3564.0736361999998</v>
      </c>
      <c r="BC595" s="72">
        <v>7862.42</v>
      </c>
      <c r="BD595" s="178">
        <v>1139.6600000000001</v>
      </c>
      <c r="BE595" s="178">
        <v>20182.7</v>
      </c>
      <c r="BF595" s="210">
        <v>17475.387999999999</v>
      </c>
      <c r="BG595" s="72">
        <v>1522.24</v>
      </c>
      <c r="BH595" s="178">
        <v>4855.25</v>
      </c>
      <c r="BI595" s="178">
        <v>5059.1729999999998</v>
      </c>
      <c r="BJ595" s="181">
        <f>BH595*1.04048</f>
        <v>5051.7905200000005</v>
      </c>
      <c r="BK595" s="72">
        <v>1092.26</v>
      </c>
      <c r="BL595" s="178">
        <v>1145.82</v>
      </c>
      <c r="BM595" s="178">
        <v>1564.56</v>
      </c>
      <c r="BN595" s="181">
        <v>1245.2</v>
      </c>
      <c r="BO595" s="142">
        <v>244.33</v>
      </c>
      <c r="BP595" s="183">
        <v>397.59</v>
      </c>
      <c r="BQ595" s="183">
        <v>1744.7</v>
      </c>
      <c r="BR595" s="184">
        <v>432.74</v>
      </c>
      <c r="BS595" s="142">
        <v>1034.154</v>
      </c>
      <c r="BT595" s="183">
        <v>964.56</v>
      </c>
      <c r="BU595" s="183">
        <v>879.35</v>
      </c>
      <c r="BV595" s="186">
        <v>1060.45</v>
      </c>
      <c r="BY595" s="125">
        <f t="shared" si="213"/>
        <v>134197.34400000001</v>
      </c>
      <c r="BZ595" s="126">
        <f t="shared" si="214"/>
        <v>85169.37000000001</v>
      </c>
      <c r="CA595" s="126">
        <f t="shared" si="215"/>
        <v>116325.92300000001</v>
      </c>
      <c r="CB595" s="127">
        <f t="shared" si="218"/>
        <v>113456.46395619999</v>
      </c>
    </row>
    <row r="596" spans="1:81" ht="16.5" customHeight="1" outlineLevel="4" x14ac:dyDescent="0.25">
      <c r="C596" s="10" t="s">
        <v>83</v>
      </c>
      <c r="D596" s="10" t="s">
        <v>84</v>
      </c>
      <c r="E596" s="10" t="s">
        <v>73</v>
      </c>
      <c r="F596" s="10" t="s">
        <v>74</v>
      </c>
      <c r="G596" s="10" t="s">
        <v>201</v>
      </c>
      <c r="H596" s="10" t="s">
        <v>319</v>
      </c>
      <c r="I596" s="10" t="s">
        <v>73</v>
      </c>
      <c r="K596" s="12" t="s">
        <v>73</v>
      </c>
      <c r="L596" s="10" t="s">
        <v>192</v>
      </c>
      <c r="M596" s="5" t="str">
        <f t="array" ref="M596">Y458</f>
        <v>1ВО::1.1</v>
      </c>
      <c r="AB596" s="403" t="str">
        <f>AB593&amp;".3"</f>
        <v>3.1.1.2.3</v>
      </c>
      <c r="AC596" s="442" t="s">
        <v>320</v>
      </c>
      <c r="AD596" s="32" t="s">
        <v>111</v>
      </c>
      <c r="AE596" s="72">
        <f t="shared" ref="AE596:AL596" si="219">AE597+AE600</f>
        <v>49769.790100000006</v>
      </c>
      <c r="AF596" s="73">
        <f t="shared" si="219"/>
        <v>61097.497000000003</v>
      </c>
      <c r="AG596" s="73">
        <f t="shared" si="219"/>
        <v>64537.159999999996</v>
      </c>
      <c r="AH596" s="74">
        <f t="shared" si="219"/>
        <v>61155.598811999997</v>
      </c>
      <c r="AI596" s="179">
        <f t="shared" si="219"/>
        <v>449.08193399999993</v>
      </c>
      <c r="AJ596" s="73">
        <f t="shared" si="219"/>
        <v>636.27</v>
      </c>
      <c r="AK596" s="73">
        <f t="shared" si="219"/>
        <v>485.73453599999999</v>
      </c>
      <c r="AL596" s="138">
        <f t="shared" si="219"/>
        <v>514.45642099999998</v>
      </c>
      <c r="AM596" s="72"/>
      <c r="AN596" s="73"/>
      <c r="AO596" s="73"/>
      <c r="AP596" s="138"/>
      <c r="AQ596" s="72">
        <f t="shared" ref="AQ596:BV596" si="220">AQ597+AQ600</f>
        <v>2300.9899999999998</v>
      </c>
      <c r="AR596" s="73">
        <f t="shared" si="220"/>
        <v>953.42</v>
      </c>
      <c r="AS596" s="73">
        <f t="shared" si="220"/>
        <v>2415.0299999999997</v>
      </c>
      <c r="AT596" s="138">
        <f t="shared" si="220"/>
        <v>1766.1109200000001</v>
      </c>
      <c r="AU596" s="72">
        <f t="shared" si="220"/>
        <v>2797.2799999999997</v>
      </c>
      <c r="AV596" s="73">
        <f t="shared" si="220"/>
        <v>1079.27</v>
      </c>
      <c r="AW596" s="73">
        <f t="shared" si="220"/>
        <v>4822.41</v>
      </c>
      <c r="AX596" s="138">
        <f t="shared" si="220"/>
        <v>3376.0860000000002</v>
      </c>
      <c r="AY596" s="72">
        <f t="shared" si="220"/>
        <v>1991.01</v>
      </c>
      <c r="AZ596" s="73">
        <f t="shared" si="220"/>
        <v>12494.1</v>
      </c>
      <c r="BA596" s="73">
        <f t="shared" si="220"/>
        <v>6349.2300000000005</v>
      </c>
      <c r="BB596" s="138">
        <f t="shared" si="220"/>
        <v>12999.982113518399</v>
      </c>
      <c r="BC596" s="72">
        <f t="shared" si="220"/>
        <v>5045.6614319999999</v>
      </c>
      <c r="BD596" s="73">
        <f t="shared" si="220"/>
        <v>0</v>
      </c>
      <c r="BE596" s="73">
        <f t="shared" si="220"/>
        <v>4121.247942</v>
      </c>
      <c r="BF596" s="774">
        <f t="shared" si="220"/>
        <v>6358.2909599999994</v>
      </c>
      <c r="BG596" s="72">
        <f t="shared" si="220"/>
        <v>10471.206102</v>
      </c>
      <c r="BH596" s="73">
        <f t="shared" si="220"/>
        <v>27515.682894000001</v>
      </c>
      <c r="BI596" s="73">
        <f t="shared" si="220"/>
        <v>32574.152099999999</v>
      </c>
      <c r="BJ596" s="138">
        <f t="shared" si="220"/>
        <v>28629.517737549126</v>
      </c>
      <c r="BK596" s="72">
        <f t="shared" si="220"/>
        <v>9179.4500000000007</v>
      </c>
      <c r="BL596" s="73">
        <f t="shared" si="220"/>
        <v>13469.890000000001</v>
      </c>
      <c r="BM596" s="73">
        <f t="shared" si="220"/>
        <v>14365</v>
      </c>
      <c r="BN596" s="138">
        <f t="shared" si="220"/>
        <v>11298.80157</v>
      </c>
      <c r="BO596" s="142">
        <f t="shared" si="220"/>
        <v>1674.328</v>
      </c>
      <c r="BP596" s="140">
        <f t="shared" si="220"/>
        <v>0</v>
      </c>
      <c r="BQ596" s="140">
        <f t="shared" si="220"/>
        <v>3358.3</v>
      </c>
      <c r="BR596" s="141">
        <f t="shared" si="220"/>
        <v>2109.9040199999999</v>
      </c>
      <c r="BS596" s="142">
        <f t="shared" si="220"/>
        <v>1861.73</v>
      </c>
      <c r="BT596" s="140">
        <f t="shared" si="220"/>
        <v>1073.6400000000001</v>
      </c>
      <c r="BU596" s="140">
        <f t="shared" si="220"/>
        <v>1865.2199999999998</v>
      </c>
      <c r="BV596" s="143">
        <f t="shared" si="220"/>
        <v>2346.0607800000002</v>
      </c>
      <c r="BY596" s="125">
        <f t="shared" si="213"/>
        <v>85540.52756799999</v>
      </c>
      <c r="BZ596" s="126">
        <f t="shared" si="214"/>
        <v>118319.769894</v>
      </c>
      <c r="CA596" s="126">
        <f t="shared" si="215"/>
        <v>134893.484578</v>
      </c>
      <c r="CB596" s="127">
        <f t="shared" si="218"/>
        <v>130554.80933406751</v>
      </c>
    </row>
    <row r="597" spans="1:81" ht="16.5" customHeight="1" outlineLevel="4" x14ac:dyDescent="0.25">
      <c r="C597" s="10" t="s">
        <v>83</v>
      </c>
      <c r="D597" s="10" t="s">
        <v>84</v>
      </c>
      <c r="E597" s="10" t="s">
        <v>73</v>
      </c>
      <c r="F597" s="10" t="s">
        <v>74</v>
      </c>
      <c r="G597" s="10" t="s">
        <v>204</v>
      </c>
      <c r="H597" s="10" t="s">
        <v>319</v>
      </c>
      <c r="I597" s="10" t="s">
        <v>73</v>
      </c>
      <c r="K597" s="12" t="s">
        <v>73</v>
      </c>
      <c r="L597" s="10" t="s">
        <v>192</v>
      </c>
      <c r="M597" s="5" t="str">
        <f t="array" ref="M597">Y458</f>
        <v>1ВО::1.1</v>
      </c>
      <c r="AB597" s="403" t="str">
        <f>AB596&amp;".1"</f>
        <v>3.1.1.2.3.1</v>
      </c>
      <c r="AC597" s="444" t="s">
        <v>321</v>
      </c>
      <c r="AD597" s="32" t="s">
        <v>111</v>
      </c>
      <c r="AE597" s="95">
        <f>41377.55-8207.56/2</f>
        <v>37273.770000000004</v>
      </c>
      <c r="AF597" s="178">
        <v>47166.607000000004</v>
      </c>
      <c r="AG597" s="178">
        <v>49821.99</v>
      </c>
      <c r="AH597" s="96">
        <v>46970.506000000001</v>
      </c>
      <c r="AI597" s="187">
        <v>344.91699999999997</v>
      </c>
      <c r="AJ597" s="178">
        <v>488.69</v>
      </c>
      <c r="AK597" s="178">
        <v>373.06799999999998</v>
      </c>
      <c r="AL597" s="181">
        <v>395.13549999999998</v>
      </c>
      <c r="AM597" s="95"/>
      <c r="AN597" s="178"/>
      <c r="AO597" s="178"/>
      <c r="AP597" s="181"/>
      <c r="AQ597" s="95">
        <v>1767.27</v>
      </c>
      <c r="AR597" s="178">
        <v>732.27</v>
      </c>
      <c r="AS597" s="178">
        <v>1854.86</v>
      </c>
      <c r="AT597" s="181">
        <v>1356.46</v>
      </c>
      <c r="AU597" s="95">
        <v>2148.4499999999998</v>
      </c>
      <c r="AV597" s="178">
        <v>828.93</v>
      </c>
      <c r="AW597" s="178">
        <v>3703.85</v>
      </c>
      <c r="AX597" s="181">
        <v>2593</v>
      </c>
      <c r="AY597" s="95">
        <v>1529.19</v>
      </c>
      <c r="AZ597" s="178">
        <v>9596.08</v>
      </c>
      <c r="BA597" s="178">
        <v>4876.5200000000004</v>
      </c>
      <c r="BB597" s="181">
        <f>AZ597*1.04049</f>
        <v>9984.6252791999996</v>
      </c>
      <c r="BC597" s="95">
        <v>3875.3159999999998</v>
      </c>
      <c r="BD597" s="178"/>
      <c r="BE597" s="178">
        <v>3165.3209999999999</v>
      </c>
      <c r="BF597" s="210">
        <v>4883.4799999999996</v>
      </c>
      <c r="BG597" s="95">
        <v>8042.4009999999998</v>
      </c>
      <c r="BH597" s="178">
        <v>21133.397000000001</v>
      </c>
      <c r="BI597" s="178">
        <v>25018.55</v>
      </c>
      <c r="BJ597" s="181">
        <f>BH597*1.04048</f>
        <v>21988.876910560004</v>
      </c>
      <c r="BK597" s="95">
        <v>7050.27</v>
      </c>
      <c r="BL597" s="178">
        <v>10345.540000000001</v>
      </c>
      <c r="BM597" s="178">
        <v>11033.03</v>
      </c>
      <c r="BN597" s="181">
        <v>8678.0349999999999</v>
      </c>
      <c r="BO597" s="185">
        <v>1285.9639999999999</v>
      </c>
      <c r="BP597" s="183"/>
      <c r="BQ597" s="183">
        <v>2579.34</v>
      </c>
      <c r="BR597" s="184">
        <v>1620.51</v>
      </c>
      <c r="BS597" s="185">
        <v>1429.9</v>
      </c>
      <c r="BT597" s="183">
        <v>824.61</v>
      </c>
      <c r="BU597" s="183">
        <v>1432.58</v>
      </c>
      <c r="BV597" s="186">
        <v>1801.89</v>
      </c>
      <c r="BY597" s="125">
        <f t="shared" si="213"/>
        <v>64747.448000000004</v>
      </c>
      <c r="BZ597" s="126">
        <f t="shared" si="214"/>
        <v>91116.123999999996</v>
      </c>
      <c r="CA597" s="126">
        <f t="shared" si="215"/>
        <v>103859.109</v>
      </c>
      <c r="CB597" s="127">
        <f t="shared" si="218"/>
        <v>100272.51868976001</v>
      </c>
    </row>
    <row r="598" spans="1:81" s="115" customFormat="1" ht="14.25" customHeight="1" outlineLevel="4" x14ac:dyDescent="0.25">
      <c r="A598" s="100"/>
      <c r="B598" s="100"/>
      <c r="C598" s="99" t="s">
        <v>206</v>
      </c>
      <c r="D598" s="99" t="s">
        <v>207</v>
      </c>
      <c r="E598" s="99" t="s">
        <v>73</v>
      </c>
      <c r="F598" s="99" t="s">
        <v>74</v>
      </c>
      <c r="G598" s="99" t="s">
        <v>73</v>
      </c>
      <c r="H598" s="99" t="s">
        <v>319</v>
      </c>
      <c r="I598" s="99" t="s">
        <v>73</v>
      </c>
      <c r="J598" s="100"/>
      <c r="K598" s="102" t="s">
        <v>73</v>
      </c>
      <c r="L598" s="99" t="s">
        <v>192</v>
      </c>
      <c r="M598" s="100" t="str">
        <f t="array" ref="M598">Y458</f>
        <v>1ВО::1.1</v>
      </c>
      <c r="N598" s="100"/>
      <c r="O598" s="100"/>
      <c r="P598" s="100"/>
      <c r="Q598" s="100"/>
      <c r="R598" s="100"/>
      <c r="S598" s="100"/>
      <c r="T598" s="100"/>
      <c r="U598" s="100"/>
      <c r="V598" s="100"/>
      <c r="W598" s="100"/>
      <c r="X598" s="100"/>
      <c r="Y598" s="100"/>
      <c r="Z598" s="100"/>
      <c r="AA598" s="100"/>
      <c r="AB598" s="418" t="str">
        <f>AB597&amp;".1"</f>
        <v>3.1.1.2.3.1.1</v>
      </c>
      <c r="AC598" s="447" t="s">
        <v>208</v>
      </c>
      <c r="AD598" s="448" t="s">
        <v>209</v>
      </c>
      <c r="AE598" s="190">
        <f t="shared" ref="AE598:AK598" si="221">(AE597/AE599)/12*1000</f>
        <v>61024.508840864451</v>
      </c>
      <c r="AF598" s="191">
        <f t="shared" si="221"/>
        <v>71192.729276097321</v>
      </c>
      <c r="AG598" s="191">
        <f t="shared" si="221"/>
        <v>75200.733562760361</v>
      </c>
      <c r="AH598" s="192">
        <f t="shared" si="221"/>
        <v>69909.070072036673</v>
      </c>
      <c r="AI598" s="640">
        <f t="shared" si="221"/>
        <v>46359.811827956983</v>
      </c>
      <c r="AJ598" s="191">
        <f t="shared" si="221"/>
        <v>40724.166666666672</v>
      </c>
      <c r="AK598" s="191">
        <f t="shared" si="221"/>
        <v>50143.54838709678</v>
      </c>
      <c r="AL598" s="193">
        <v>32927.120000000003</v>
      </c>
      <c r="AM598" s="190"/>
      <c r="AN598" s="191"/>
      <c r="AO598" s="191"/>
      <c r="AP598" s="193"/>
      <c r="AQ598" s="190">
        <f t="shared" ref="AQ598:BV598" si="222">(AQ597/AQ599)/12*1000</f>
        <v>73636.25</v>
      </c>
      <c r="AR598" s="191">
        <f>(AR597/AR599)/12*1000</f>
        <v>34870</v>
      </c>
      <c r="AS598" s="191">
        <f t="shared" si="222"/>
        <v>46839.898989898989</v>
      </c>
      <c r="AT598" s="193">
        <f t="shared" si="222"/>
        <v>84356.965174129349</v>
      </c>
      <c r="AU598" s="190">
        <f t="shared" si="222"/>
        <v>51153.57142857142</v>
      </c>
      <c r="AV598" s="191">
        <f t="shared" si="222"/>
        <v>34538.75</v>
      </c>
      <c r="AW598" s="191">
        <f t="shared" si="222"/>
        <v>48992.724867724864</v>
      </c>
      <c r="AX598" s="193">
        <f t="shared" si="222"/>
        <v>56125.541125541124</v>
      </c>
      <c r="AY598" s="190">
        <f t="shared" si="222"/>
        <v>36409.285714285717</v>
      </c>
      <c r="AZ598" s="191">
        <f t="shared" si="222"/>
        <v>45800.305460099276</v>
      </c>
      <c r="BA598" s="191">
        <f t="shared" si="222"/>
        <v>48378.174603174608</v>
      </c>
      <c r="BB598" s="193">
        <f t="shared" si="222"/>
        <v>47654.759828178692</v>
      </c>
      <c r="BC598" s="190">
        <f t="shared" si="222"/>
        <v>63822.727272727272</v>
      </c>
      <c r="BD598" s="191" t="e">
        <f t="shared" si="222"/>
        <v>#DIV/0!</v>
      </c>
      <c r="BE598" s="191">
        <f t="shared" si="222"/>
        <v>47959.409090909081</v>
      </c>
      <c r="BF598" s="977">
        <f t="shared" si="222"/>
        <v>73062.238180730084</v>
      </c>
      <c r="BG598" s="190">
        <f t="shared" si="222"/>
        <v>42961.543803418805</v>
      </c>
      <c r="BH598" s="191">
        <f t="shared" si="222"/>
        <v>47304.211963297654</v>
      </c>
      <c r="BI598" s="191">
        <f t="shared" si="222"/>
        <v>53733.999140893473</v>
      </c>
      <c r="BJ598" s="193">
        <f t="shared" si="222"/>
        <v>49218.544432267896</v>
      </c>
      <c r="BK598" s="190">
        <f t="shared" si="222"/>
        <v>49705.795262267347</v>
      </c>
      <c r="BL598" s="191">
        <f t="shared" si="222"/>
        <v>50713.431372549021</v>
      </c>
      <c r="BM598" s="191">
        <f t="shared" si="222"/>
        <v>54083.480392156867</v>
      </c>
      <c r="BN598" s="193">
        <f t="shared" si="222"/>
        <v>56942.486876640425</v>
      </c>
      <c r="BO598" s="190">
        <f t="shared" si="222"/>
        <v>48490.346907993968</v>
      </c>
      <c r="BP598" s="191" t="e">
        <f t="shared" si="222"/>
        <v>#DIV/0!</v>
      </c>
      <c r="BQ598" s="191">
        <f t="shared" si="222"/>
        <v>45251.57894736842</v>
      </c>
      <c r="BR598" s="193">
        <f t="shared" si="222"/>
        <v>55573.045267489702</v>
      </c>
      <c r="BS598" s="190">
        <f t="shared" si="222"/>
        <v>41957.159624413151</v>
      </c>
      <c r="BT598" s="191">
        <f t="shared" si="222"/>
        <v>45811.666666666664</v>
      </c>
      <c r="BU598" s="191">
        <f t="shared" si="222"/>
        <v>47752.666666666664</v>
      </c>
      <c r="BV598" s="192">
        <f t="shared" si="222"/>
        <v>48127.403846153844</v>
      </c>
      <c r="BW598" s="111"/>
      <c r="BX598" s="100"/>
      <c r="BY598" s="112">
        <f>(BY597/BY599)/12*1000</f>
        <v>55029.277579466259</v>
      </c>
      <c r="BZ598" s="113">
        <f>(BZ597/BZ599)/12*1000</f>
        <v>57026.163830721023</v>
      </c>
      <c r="CA598" s="113">
        <f>(CA597/CA599)/12*1000</f>
        <v>60787.510535187525</v>
      </c>
      <c r="CB598" s="114">
        <f>(CB597/CB599)/12*1000</f>
        <v>59393.29891354515</v>
      </c>
      <c r="CC598" s="759"/>
    </row>
    <row r="599" spans="1:81" s="115" customFormat="1" ht="14.25" customHeight="1" outlineLevel="4" x14ac:dyDescent="0.25">
      <c r="A599" s="100"/>
      <c r="B599" s="100"/>
      <c r="C599" s="99" t="s">
        <v>210</v>
      </c>
      <c r="D599" s="99" t="s">
        <v>211</v>
      </c>
      <c r="E599" s="99" t="s">
        <v>73</v>
      </c>
      <c r="F599" s="99" t="s">
        <v>74</v>
      </c>
      <c r="G599" s="99" t="s">
        <v>73</v>
      </c>
      <c r="H599" s="99" t="s">
        <v>319</v>
      </c>
      <c r="I599" s="99" t="s">
        <v>73</v>
      </c>
      <c r="J599" s="100"/>
      <c r="K599" s="102" t="s">
        <v>73</v>
      </c>
      <c r="L599" s="99" t="s">
        <v>192</v>
      </c>
      <c r="M599" s="100" t="str">
        <f t="array" ref="M599">Y458</f>
        <v>1ВО::1.1</v>
      </c>
      <c r="N599" s="100"/>
      <c r="O599" s="100"/>
      <c r="P599" s="100"/>
      <c r="Q599" s="100"/>
      <c r="R599" s="100"/>
      <c r="S599" s="100"/>
      <c r="T599" s="100"/>
      <c r="U599" s="100"/>
      <c r="V599" s="100"/>
      <c r="W599" s="100"/>
      <c r="X599" s="100"/>
      <c r="Y599" s="100"/>
      <c r="Z599" s="100"/>
      <c r="AA599" s="100"/>
      <c r="AB599" s="418" t="str">
        <f>AB597&amp;".2"</f>
        <v>3.1.1.2.3.1.2</v>
      </c>
      <c r="AC599" s="447" t="s">
        <v>212</v>
      </c>
      <c r="AD599" s="448" t="s">
        <v>213</v>
      </c>
      <c r="AE599" s="199">
        <v>50.9</v>
      </c>
      <c r="AF599" s="200">
        <v>55.21</v>
      </c>
      <c r="AG599" s="200">
        <v>55.21</v>
      </c>
      <c r="AH599" s="201">
        <v>55.99</v>
      </c>
      <c r="AI599" s="933">
        <v>0.62</v>
      </c>
      <c r="AJ599" s="200">
        <v>1</v>
      </c>
      <c r="AK599" s="200">
        <v>0.62</v>
      </c>
      <c r="AL599" s="202">
        <v>1</v>
      </c>
      <c r="AM599" s="199"/>
      <c r="AN599" s="200"/>
      <c r="AO599" s="200"/>
      <c r="AP599" s="202"/>
      <c r="AQ599" s="199">
        <v>2</v>
      </c>
      <c r="AR599" s="200">
        <v>1.75</v>
      </c>
      <c r="AS599" s="200">
        <v>3.3</v>
      </c>
      <c r="AT599" s="202">
        <v>1.34</v>
      </c>
      <c r="AU599" s="199">
        <v>3.5</v>
      </c>
      <c r="AV599" s="200">
        <v>2</v>
      </c>
      <c r="AW599" s="200">
        <v>6.3</v>
      </c>
      <c r="AX599" s="202">
        <v>3.85</v>
      </c>
      <c r="AY599" s="199">
        <v>3.5</v>
      </c>
      <c r="AZ599" s="200">
        <v>17.46</v>
      </c>
      <c r="BA599" s="200">
        <v>8.4</v>
      </c>
      <c r="BB599" s="202">
        <v>17.46</v>
      </c>
      <c r="BC599" s="199">
        <v>5.0599999999999996</v>
      </c>
      <c r="BD599" s="200"/>
      <c r="BE599" s="200">
        <v>5.5</v>
      </c>
      <c r="BF599" s="978">
        <v>5.57</v>
      </c>
      <c r="BG599" s="199">
        <v>15.6</v>
      </c>
      <c r="BH599" s="200">
        <v>37.229590000000002</v>
      </c>
      <c r="BI599" s="200">
        <v>38.799999999999997</v>
      </c>
      <c r="BJ599" s="202">
        <v>37.229999999999997</v>
      </c>
      <c r="BK599" s="199">
        <v>11.82</v>
      </c>
      <c r="BL599" s="200">
        <v>17</v>
      </c>
      <c r="BM599" s="200">
        <v>17</v>
      </c>
      <c r="BN599" s="202">
        <v>12.7</v>
      </c>
      <c r="BO599" s="206">
        <v>2.21</v>
      </c>
      <c r="BP599" s="204"/>
      <c r="BQ599" s="204">
        <v>4.75</v>
      </c>
      <c r="BR599" s="205">
        <v>2.4300000000000002</v>
      </c>
      <c r="BS599" s="206">
        <v>2.84</v>
      </c>
      <c r="BT599" s="204">
        <v>1.5</v>
      </c>
      <c r="BU599" s="204">
        <v>2.5</v>
      </c>
      <c r="BV599" s="207">
        <v>3.12</v>
      </c>
      <c r="BW599" s="111"/>
      <c r="BX599" s="100"/>
      <c r="BY599" s="112">
        <f t="shared" ref="BY599:CB600" si="223">AE599+AI599+AM599+AQ599+AU599+AY599+BC599+BG599+BK599+BO599+BS599</f>
        <v>98.05</v>
      </c>
      <c r="BZ599" s="113">
        <f t="shared" si="223"/>
        <v>133.14958999999999</v>
      </c>
      <c r="CA599" s="113">
        <f t="shared" si="223"/>
        <v>142.38</v>
      </c>
      <c r="CB599" s="114">
        <f t="shared" si="223"/>
        <v>140.69</v>
      </c>
      <c r="CC599" s="759"/>
    </row>
    <row r="600" spans="1:81" ht="14.25" customHeight="1" outlineLevel="4" x14ac:dyDescent="0.25">
      <c r="C600" s="10" t="s">
        <v>83</v>
      </c>
      <c r="D600" s="10" t="s">
        <v>84</v>
      </c>
      <c r="E600" s="10" t="s">
        <v>73</v>
      </c>
      <c r="F600" s="10" t="s">
        <v>74</v>
      </c>
      <c r="G600" s="10" t="s">
        <v>214</v>
      </c>
      <c r="H600" s="10" t="s">
        <v>319</v>
      </c>
      <c r="I600" s="10" t="s">
        <v>73</v>
      </c>
      <c r="K600" s="12" t="s">
        <v>73</v>
      </c>
      <c r="L600" s="10" t="s">
        <v>192</v>
      </c>
      <c r="M600" s="5" t="str">
        <f t="array" ref="M600">Y458</f>
        <v>1ВО::1.1</v>
      </c>
      <c r="AB600" s="403" t="str">
        <f>AB596&amp;".2"</f>
        <v>3.1.1.2.3.2</v>
      </c>
      <c r="AC600" s="444" t="s">
        <v>322</v>
      </c>
      <c r="AD600" s="32" t="s">
        <v>111</v>
      </c>
      <c r="AE600" s="95">
        <f>41377.55*30.2/100</f>
        <v>12496.0201</v>
      </c>
      <c r="AF600" s="178">
        <v>13930.89</v>
      </c>
      <c r="AG600" s="178">
        <v>14715.17</v>
      </c>
      <c r="AH600" s="96">
        <f>AH597/100*30.2</f>
        <v>14185.092811999999</v>
      </c>
      <c r="AI600" s="187">
        <f>AI597*0.302</f>
        <v>104.16493399999999</v>
      </c>
      <c r="AJ600" s="178">
        <v>147.58000000000001</v>
      </c>
      <c r="AK600" s="178">
        <f>AK597*0.302</f>
        <v>112.66653599999999</v>
      </c>
      <c r="AL600" s="181">
        <f>AL597*0.302-0.01</f>
        <v>119.32092099999998</v>
      </c>
      <c r="AM600" s="95"/>
      <c r="AN600" s="178"/>
      <c r="AO600" s="178"/>
      <c r="AP600" s="181"/>
      <c r="AQ600" s="95">
        <v>533.72</v>
      </c>
      <c r="AR600" s="178">
        <v>221.15</v>
      </c>
      <c r="AS600" s="178">
        <v>560.16999999999996</v>
      </c>
      <c r="AT600" s="181">
        <f>AT597*30.2%</f>
        <v>409.65091999999999</v>
      </c>
      <c r="AU600" s="95">
        <v>648.83000000000004</v>
      </c>
      <c r="AV600" s="178">
        <v>250.34</v>
      </c>
      <c r="AW600" s="178">
        <v>1118.56</v>
      </c>
      <c r="AX600" s="181">
        <f>AX597*30.2%</f>
        <v>783.08600000000001</v>
      </c>
      <c r="AY600" s="95">
        <v>461.82</v>
      </c>
      <c r="AZ600" s="178">
        <v>2898.02</v>
      </c>
      <c r="BA600" s="178">
        <v>1472.71</v>
      </c>
      <c r="BB600" s="181">
        <f>BB597*30.2%</f>
        <v>3015.3568343183997</v>
      </c>
      <c r="BC600" s="95">
        <f>BC597*30.2%</f>
        <v>1170.3454319999998</v>
      </c>
      <c r="BD600" s="178"/>
      <c r="BE600" s="178">
        <f t="shared" ref="BE600:BJ600" si="224">BE597*30.2%</f>
        <v>955.92694199999994</v>
      </c>
      <c r="BF600" s="210">
        <f t="shared" si="224"/>
        <v>1474.8109599999998</v>
      </c>
      <c r="BG600" s="95">
        <f t="shared" si="224"/>
        <v>2428.8051019999998</v>
      </c>
      <c r="BH600" s="178">
        <f t="shared" si="224"/>
        <v>6382.2858939999996</v>
      </c>
      <c r="BI600" s="178">
        <f t="shared" si="224"/>
        <v>7555.6020999999992</v>
      </c>
      <c r="BJ600" s="181">
        <f t="shared" si="224"/>
        <v>6640.6408269891208</v>
      </c>
      <c r="BK600" s="95">
        <v>2129.1799999999998</v>
      </c>
      <c r="BL600" s="178">
        <v>3124.35</v>
      </c>
      <c r="BM600" s="178">
        <v>3331.97</v>
      </c>
      <c r="BN600" s="181">
        <f>BN597*0.302</f>
        <v>2620.7665699999998</v>
      </c>
      <c r="BO600" s="185">
        <v>388.36399999999998</v>
      </c>
      <c r="BP600" s="183"/>
      <c r="BQ600" s="183">
        <v>778.96</v>
      </c>
      <c r="BR600" s="184">
        <f>BR597*30.2%</f>
        <v>489.39401999999995</v>
      </c>
      <c r="BS600" s="185">
        <v>431.83</v>
      </c>
      <c r="BT600" s="183">
        <v>249.03</v>
      </c>
      <c r="BU600" s="183">
        <v>432.64</v>
      </c>
      <c r="BV600" s="186">
        <f>BV597*30.2%</f>
        <v>544.17078000000004</v>
      </c>
      <c r="BY600" s="125">
        <f t="shared" si="223"/>
        <v>20793.079568000001</v>
      </c>
      <c r="BZ600" s="126">
        <f t="shared" si="223"/>
        <v>27203.645893999997</v>
      </c>
      <c r="CA600" s="126">
        <f t="shared" si="223"/>
        <v>31034.375577999999</v>
      </c>
      <c r="CB600" s="127">
        <f t="shared" si="223"/>
        <v>30282.290644307519</v>
      </c>
    </row>
    <row r="601" spans="1:81" ht="14.25" customHeight="1" outlineLevel="4" x14ac:dyDescent="0.25">
      <c r="C601" s="10" t="s">
        <v>216</v>
      </c>
      <c r="D601" s="10" t="s">
        <v>217</v>
      </c>
      <c r="E601" s="10" t="s">
        <v>73</v>
      </c>
      <c r="F601" s="10" t="s">
        <v>74</v>
      </c>
      <c r="G601" s="10" t="s">
        <v>73</v>
      </c>
      <c r="H601" s="10" t="s">
        <v>319</v>
      </c>
      <c r="I601" s="10" t="s">
        <v>73</v>
      </c>
      <c r="K601" s="12" t="s">
        <v>73</v>
      </c>
      <c r="L601" s="10" t="s">
        <v>192</v>
      </c>
      <c r="M601" s="5" t="str">
        <f t="array" ref="M601">Y458</f>
        <v>1ВО::1.1</v>
      </c>
      <c r="AB601" s="403" t="str">
        <f>AB600&amp;".1"</f>
        <v>3.1.1.2.3.2.1</v>
      </c>
      <c r="AC601" s="449" t="s">
        <v>218</v>
      </c>
      <c r="AD601" s="32" t="s">
        <v>119</v>
      </c>
      <c r="AE601" s="72">
        <v>30.2</v>
      </c>
      <c r="AF601" s="73">
        <v>30.2</v>
      </c>
      <c r="AG601" s="73">
        <v>30.2</v>
      </c>
      <c r="AH601" s="74">
        <v>30.2</v>
      </c>
      <c r="AI601" s="179">
        <f>AI600/AI597*100</f>
        <v>30.2</v>
      </c>
      <c r="AJ601" s="73">
        <f>AJ600/AJ597*100</f>
        <v>30.199103726288651</v>
      </c>
      <c r="AK601" s="73">
        <f>AK600/AK597*100</f>
        <v>30.2</v>
      </c>
      <c r="AL601" s="138">
        <f>AL600/AL597*100</f>
        <v>30.197469222583134</v>
      </c>
      <c r="AM601" s="72"/>
      <c r="AN601" s="73"/>
      <c r="AO601" s="73"/>
      <c r="AP601" s="138"/>
      <c r="AQ601" s="72">
        <v>30.2</v>
      </c>
      <c r="AR601" s="73">
        <v>30.2</v>
      </c>
      <c r="AS601" s="73">
        <v>30.2</v>
      </c>
      <c r="AT601" s="138">
        <v>30.2</v>
      </c>
      <c r="AU601" s="72">
        <v>30.2</v>
      </c>
      <c r="AV601" s="73">
        <v>30.2</v>
      </c>
      <c r="AW601" s="73">
        <v>30.2</v>
      </c>
      <c r="AX601" s="138">
        <v>30.2</v>
      </c>
      <c r="AY601" s="72">
        <v>30.2</v>
      </c>
      <c r="AZ601" s="73">
        <v>30.2</v>
      </c>
      <c r="BA601" s="73">
        <v>30.2</v>
      </c>
      <c r="BB601" s="138">
        <v>30.2</v>
      </c>
      <c r="BC601" s="72">
        <v>30.2</v>
      </c>
      <c r="BD601" s="73"/>
      <c r="BE601" s="73">
        <v>30.2</v>
      </c>
      <c r="BF601" s="774">
        <v>30.2</v>
      </c>
      <c r="BG601" s="72">
        <v>30.2</v>
      </c>
      <c r="BH601" s="73">
        <v>30.2</v>
      </c>
      <c r="BI601" s="73">
        <v>30.2</v>
      </c>
      <c r="BJ601" s="138">
        <v>30.2</v>
      </c>
      <c r="BK601" s="95">
        <v>30.2</v>
      </c>
      <c r="BL601" s="178">
        <v>30.2</v>
      </c>
      <c r="BM601" s="178">
        <v>30.2</v>
      </c>
      <c r="BN601" s="138">
        <v>30.2</v>
      </c>
      <c r="BO601" s="142">
        <v>30.2</v>
      </c>
      <c r="BP601" s="140">
        <v>30.2</v>
      </c>
      <c r="BQ601" s="140">
        <v>30.2</v>
      </c>
      <c r="BR601" s="141">
        <v>30.2</v>
      </c>
      <c r="BS601" s="142">
        <v>30.2</v>
      </c>
      <c r="BT601" s="140">
        <v>30.2</v>
      </c>
      <c r="BU601" s="140">
        <v>30.2</v>
      </c>
      <c r="BV601" s="143">
        <v>30.2</v>
      </c>
      <c r="BY601" s="125">
        <v>30.2</v>
      </c>
      <c r="BZ601" s="126">
        <v>30.2</v>
      </c>
      <c r="CA601" s="126">
        <v>30.2</v>
      </c>
      <c r="CB601" s="127">
        <v>30.2</v>
      </c>
    </row>
    <row r="602" spans="1:81" s="171" customFormat="1" ht="21" customHeight="1" outlineLevel="3" x14ac:dyDescent="0.25">
      <c r="A602" s="166"/>
      <c r="B602" s="166"/>
      <c r="C602" s="167" t="s">
        <v>83</v>
      </c>
      <c r="D602" s="167" t="s">
        <v>84</v>
      </c>
      <c r="E602" s="167" t="s">
        <v>73</v>
      </c>
      <c r="F602" s="167" t="s">
        <v>74</v>
      </c>
      <c r="G602" s="167" t="s">
        <v>323</v>
      </c>
      <c r="H602" s="167" t="s">
        <v>73</v>
      </c>
      <c r="I602" s="167" t="s">
        <v>73</v>
      </c>
      <c r="J602" s="166"/>
      <c r="K602" s="168" t="s">
        <v>73</v>
      </c>
      <c r="L602" s="167" t="s">
        <v>192</v>
      </c>
      <c r="M602" s="166" t="str">
        <f t="array" ref="M602">Y458</f>
        <v>1ВО::1.1</v>
      </c>
      <c r="N602" s="166"/>
      <c r="O602" s="166"/>
      <c r="P602" s="166"/>
      <c r="Q602" s="166"/>
      <c r="R602" s="166"/>
      <c r="S602" s="166"/>
      <c r="T602" s="166"/>
      <c r="U602" s="166"/>
      <c r="V602" s="166"/>
      <c r="W602" s="166"/>
      <c r="X602" s="166"/>
      <c r="Y602" s="166"/>
      <c r="Z602" s="166"/>
      <c r="AA602" s="166"/>
      <c r="AB602" s="429" t="str">
        <f>AB509&amp;".3"</f>
        <v>3.1.1.3</v>
      </c>
      <c r="AC602" s="474" t="s">
        <v>323</v>
      </c>
      <c r="AD602" s="431" t="s">
        <v>111</v>
      </c>
      <c r="AE602" s="476">
        <f t="shared" ref="AE602:AL602" si="225">AE603+AE611+AE617+AE618+AE619+AE620+AE621</f>
        <v>102087.13</v>
      </c>
      <c r="AF602" s="433">
        <f t="shared" si="225"/>
        <v>59776.5</v>
      </c>
      <c r="AG602" s="433">
        <f t="shared" si="225"/>
        <v>103004.67599999999</v>
      </c>
      <c r="AH602" s="490">
        <f>AH603+AH611+AH617+AH618+AH619+AH620+AH621</f>
        <v>115656.04018000001</v>
      </c>
      <c r="AI602" s="475">
        <f t="shared" si="225"/>
        <v>74.72</v>
      </c>
      <c r="AJ602" s="433">
        <f t="shared" si="225"/>
        <v>0</v>
      </c>
      <c r="AK602" s="433">
        <f t="shared" si="225"/>
        <v>77.84</v>
      </c>
      <c r="AL602" s="477">
        <f t="shared" si="225"/>
        <v>0</v>
      </c>
      <c r="AM602" s="476"/>
      <c r="AN602" s="433"/>
      <c r="AO602" s="433"/>
      <c r="AP602" s="477"/>
      <c r="AQ602" s="476">
        <f t="shared" ref="AQ602:BV602" si="226">AQ603+AQ611+AQ617+AQ618+AQ619+AQ620+AQ621</f>
        <v>3722.55</v>
      </c>
      <c r="AR602" s="433">
        <f t="shared" si="226"/>
        <v>545.9799999999999</v>
      </c>
      <c r="AS602" s="433">
        <f t="shared" si="226"/>
        <v>3183.23</v>
      </c>
      <c r="AT602" s="477">
        <f t="shared" si="226"/>
        <v>4675.3518000000004</v>
      </c>
      <c r="AU602" s="476">
        <f t="shared" si="226"/>
        <v>4233.4400000000005</v>
      </c>
      <c r="AV602" s="433">
        <f t="shared" si="226"/>
        <v>304.2</v>
      </c>
      <c r="AW602" s="433">
        <f t="shared" si="226"/>
        <v>4154.41</v>
      </c>
      <c r="AX602" s="477">
        <f t="shared" si="226"/>
        <v>5187.83853</v>
      </c>
      <c r="AY602" s="476">
        <f t="shared" si="226"/>
        <v>2781.14</v>
      </c>
      <c r="AZ602" s="433">
        <f t="shared" si="226"/>
        <v>5921.59</v>
      </c>
      <c r="BA602" s="433">
        <f t="shared" si="226"/>
        <v>4629.0300000000007</v>
      </c>
      <c r="BB602" s="477">
        <f t="shared" si="226"/>
        <v>6161.3522032985984</v>
      </c>
      <c r="BC602" s="476">
        <f t="shared" si="226"/>
        <v>162.17699999999996</v>
      </c>
      <c r="BD602" s="433">
        <f t="shared" si="226"/>
        <v>549.31000000000006</v>
      </c>
      <c r="BE602" s="433">
        <f t="shared" si="226"/>
        <v>1695.8600460000002</v>
      </c>
      <c r="BF602" s="983">
        <f t="shared" si="226"/>
        <v>73.040000000000006</v>
      </c>
      <c r="BG602" s="476">
        <f t="shared" si="226"/>
        <v>8037.2496419999998</v>
      </c>
      <c r="BH602" s="433">
        <f t="shared" si="226"/>
        <v>11013.738660000001</v>
      </c>
      <c r="BI602" s="433">
        <f t="shared" si="226"/>
        <v>10172.795764</v>
      </c>
      <c r="BJ602" s="477">
        <f t="shared" si="226"/>
        <v>11459.574800956801</v>
      </c>
      <c r="BK602" s="476">
        <f t="shared" si="226"/>
        <v>270.14000000000004</v>
      </c>
      <c r="BL602" s="433">
        <f t="shared" si="226"/>
        <v>178.77</v>
      </c>
      <c r="BM602" s="433">
        <f t="shared" si="226"/>
        <v>646.88</v>
      </c>
      <c r="BN602" s="477">
        <f t="shared" si="226"/>
        <v>60.9</v>
      </c>
      <c r="BO602" s="476">
        <f t="shared" si="226"/>
        <v>17.760000000000002</v>
      </c>
      <c r="BP602" s="433">
        <f t="shared" si="226"/>
        <v>11.43</v>
      </c>
      <c r="BQ602" s="433">
        <f t="shared" si="226"/>
        <v>700.37000000000012</v>
      </c>
      <c r="BR602" s="477">
        <f t="shared" si="226"/>
        <v>0</v>
      </c>
      <c r="BS602" s="476">
        <f t="shared" si="226"/>
        <v>243.94000000000003</v>
      </c>
      <c r="BT602" s="433">
        <f t="shared" si="226"/>
        <v>113.38</v>
      </c>
      <c r="BU602" s="433">
        <f t="shared" si="226"/>
        <v>1062.07</v>
      </c>
      <c r="BV602" s="490">
        <f t="shared" si="226"/>
        <v>2.5499999999999998</v>
      </c>
      <c r="BW602" s="170"/>
      <c r="BX602" s="166"/>
      <c r="BY602" s="436">
        <f t="shared" ref="BY602:BY612" si="227">AE602+AI602+AM602+AQ602+AU602+AY602+BC602+BG602+BK602+BO602+BS602</f>
        <v>121630.246642</v>
      </c>
      <c r="BZ602" s="437">
        <f t="shared" ref="BZ602:BZ612" si="228">AF602+AJ602+AN602+AR602+AV602+AZ602+BD602+BH602+BL602+BP602+BT602</f>
        <v>78414.898660000006</v>
      </c>
      <c r="CA602" s="437">
        <f t="shared" ref="CA602:CA612" si="229">AG602+AK602+AO602+AS602+AW602+BA602+BE602+BI602+BM602+BQ602+BU602</f>
        <v>129327.16180999999</v>
      </c>
      <c r="CB602" s="438">
        <f t="shared" ref="CB602:CB612" si="230">AH602+AL602+AP602+AT602+AX602+BB602+BF602+BJ602+BN602+BR602+BV602</f>
        <v>143276.6475142554</v>
      </c>
      <c r="CC602" s="760"/>
    </row>
    <row r="603" spans="1:81" ht="36" customHeight="1" outlineLevel="4" x14ac:dyDescent="0.25">
      <c r="C603" s="10" t="s">
        <v>83</v>
      </c>
      <c r="D603" s="10" t="s">
        <v>84</v>
      </c>
      <c r="E603" s="10" t="s">
        <v>73</v>
      </c>
      <c r="F603" s="10" t="s">
        <v>74</v>
      </c>
      <c r="G603" s="10" t="s">
        <v>324</v>
      </c>
      <c r="H603" s="10" t="s">
        <v>73</v>
      </c>
      <c r="I603" s="10" t="s">
        <v>73</v>
      </c>
      <c r="K603" s="12" t="s">
        <v>73</v>
      </c>
      <c r="L603" s="10" t="s">
        <v>192</v>
      </c>
      <c r="M603" s="5" t="str">
        <f t="array" ref="M603">Y458</f>
        <v>1ВО::1.1</v>
      </c>
      <c r="AB603" s="403" t="str">
        <f>AB602&amp;".1"</f>
        <v>3.1.1.3.1</v>
      </c>
      <c r="AC603" s="442" t="s">
        <v>325</v>
      </c>
      <c r="AD603" s="32" t="s">
        <v>111</v>
      </c>
      <c r="AE603" s="72">
        <f t="shared" ref="AE603:AK603" si="231">AE604+AE605+AE606+AE607+AE608+AE609+AE610</f>
        <v>0</v>
      </c>
      <c r="AF603" s="73">
        <f t="shared" si="231"/>
        <v>4854.57</v>
      </c>
      <c r="AG603" s="73">
        <f t="shared" si="231"/>
        <v>5127.87</v>
      </c>
      <c r="AH603" s="74">
        <f t="shared" si="231"/>
        <v>6260.8861999999999</v>
      </c>
      <c r="AI603" s="179">
        <f t="shared" si="231"/>
        <v>0</v>
      </c>
      <c r="AJ603" s="73">
        <f t="shared" si="231"/>
        <v>0</v>
      </c>
      <c r="AK603" s="73">
        <f t="shared" si="231"/>
        <v>0</v>
      </c>
      <c r="AL603" s="138">
        <v>0</v>
      </c>
      <c r="AM603" s="72"/>
      <c r="AN603" s="73"/>
      <c r="AO603" s="73"/>
      <c r="AP603" s="138"/>
      <c r="AQ603" s="72">
        <f>AQ604+AQ605+AQ606+AQ607+AQ608+AQ609+AQ610</f>
        <v>0</v>
      </c>
      <c r="AR603" s="73">
        <f>AR604+AR605+AR606+AR607+AR608+AR609+AR610</f>
        <v>0</v>
      </c>
      <c r="AS603" s="73">
        <f>AS604+AS605+AS606+AS607+AS608+AS609+AS610</f>
        <v>0</v>
      </c>
      <c r="AT603" s="138"/>
      <c r="AU603" s="72">
        <f>AU604+AU605+AU606+AU607+AU608+AU609+AU610</f>
        <v>0</v>
      </c>
      <c r="AV603" s="73">
        <f>AV604+AV605+AV606+AV607+AV608+AV609+AV610</f>
        <v>0</v>
      </c>
      <c r="AW603" s="73">
        <f>AW604+AW605+AW606+AW607+AW608+AW609+AW610</f>
        <v>0</v>
      </c>
      <c r="AX603" s="138"/>
      <c r="AY603" s="72">
        <f>AY604+AY605+AY606+AY607+AY608+AY609+AY610</f>
        <v>0</v>
      </c>
      <c r="AZ603" s="73">
        <f>AZ604+AZ605+AZ606+AZ607+AZ608+AZ609+AZ610</f>
        <v>0</v>
      </c>
      <c r="BA603" s="73">
        <f>BA604+BA605+BA606+BA607+BA608+BA609+BA610</f>
        <v>0</v>
      </c>
      <c r="BB603" s="138"/>
      <c r="BC603" s="72">
        <f>BC604+BC605+BC606+BC607+BC608+BC609+BC610</f>
        <v>0</v>
      </c>
      <c r="BD603" s="73">
        <f>BD604+BD605+BD606+BD607+BD608+BD609+BD610</f>
        <v>0</v>
      </c>
      <c r="BE603" s="73">
        <f>BE604+BE605+BE606+BE607+BE608+BE609+BE610</f>
        <v>83.48</v>
      </c>
      <c r="BF603" s="774">
        <f>BF604+BF607+BF609+BF610</f>
        <v>73.040000000000006</v>
      </c>
      <c r="BG603" s="72">
        <f>BG604+BG605+BG606+BG607+BG608+BG609+BG610</f>
        <v>0</v>
      </c>
      <c r="BH603" s="73">
        <f>BH604+BH605+BH606+BH607+BH608+BH609+BH610</f>
        <v>0</v>
      </c>
      <c r="BI603" s="73">
        <f>BI604+BI605+BI606+BI607+BI608+BI609+BI610</f>
        <v>172.34</v>
      </c>
      <c r="BJ603" s="138">
        <v>0</v>
      </c>
      <c r="BK603" s="72">
        <f t="shared" ref="BK603:BQ603" si="232">BK604+BK605+BK606+BK607+BK608+BK609+BK610</f>
        <v>0</v>
      </c>
      <c r="BL603" s="73">
        <f t="shared" si="232"/>
        <v>0</v>
      </c>
      <c r="BM603" s="73">
        <f t="shared" si="232"/>
        <v>54.57</v>
      </c>
      <c r="BN603" s="138">
        <f t="shared" si="232"/>
        <v>60.9</v>
      </c>
      <c r="BO603" s="72">
        <f t="shared" si="232"/>
        <v>0</v>
      </c>
      <c r="BP603" s="73">
        <f t="shared" si="232"/>
        <v>0</v>
      </c>
      <c r="BQ603" s="73">
        <f t="shared" si="232"/>
        <v>0</v>
      </c>
      <c r="BR603" s="138"/>
      <c r="BS603" s="72">
        <f>BS604+BS605+BS606+BS607+BS608+BS609+BS610</f>
        <v>0</v>
      </c>
      <c r="BT603" s="73">
        <f>BT604+BT605+BT606+BT607+BT608+BT609+BT610</f>
        <v>0</v>
      </c>
      <c r="BU603" s="73">
        <f>BU604+BU605+BU606+BU607+BU608+BU609+BU610</f>
        <v>0</v>
      </c>
      <c r="BV603" s="74">
        <f>SUM(BV604:BV610)</f>
        <v>0</v>
      </c>
      <c r="BY603" s="125">
        <f t="shared" si="227"/>
        <v>0</v>
      </c>
      <c r="BZ603" s="126">
        <f t="shared" si="228"/>
        <v>4854.57</v>
      </c>
      <c r="CA603" s="126">
        <f t="shared" si="229"/>
        <v>5438.2599999999993</v>
      </c>
      <c r="CB603" s="127">
        <f t="shared" si="230"/>
        <v>6394.8261999999995</v>
      </c>
    </row>
    <row r="604" spans="1:81" s="211" customFormat="1" ht="14.1" customHeight="1" outlineLevel="5" x14ac:dyDescent="0.25">
      <c r="A604" s="6"/>
      <c r="B604" s="6"/>
      <c r="C604" s="116" t="s">
        <v>83</v>
      </c>
      <c r="D604" s="116" t="s">
        <v>84</v>
      </c>
      <c r="E604" s="116" t="s">
        <v>73</v>
      </c>
      <c r="F604" s="116" t="s">
        <v>74</v>
      </c>
      <c r="G604" s="116" t="s">
        <v>326</v>
      </c>
      <c r="H604" s="116" t="s">
        <v>73</v>
      </c>
      <c r="I604" s="116" t="s">
        <v>73</v>
      </c>
      <c r="J604" s="6"/>
      <c r="K604" s="209" t="s">
        <v>73</v>
      </c>
      <c r="L604" s="116" t="s">
        <v>192</v>
      </c>
      <c r="M604" s="6" t="str">
        <f t="array" ref="M604">Y458</f>
        <v>1ВО::1.1</v>
      </c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403" t="str">
        <f>AB603&amp;".1"</f>
        <v>3.1.1.3.1.1</v>
      </c>
      <c r="AC604" s="444" t="s">
        <v>327</v>
      </c>
      <c r="AD604" s="32" t="s">
        <v>111</v>
      </c>
      <c r="AE604" s="72"/>
      <c r="AF604" s="178"/>
      <c r="AG604" s="178"/>
      <c r="AH604" s="96">
        <v>1004.8226</v>
      </c>
      <c r="AI604" s="179"/>
      <c r="AJ604" s="178"/>
      <c r="AK604" s="178"/>
      <c r="AL604" s="181"/>
      <c r="AM604" s="72"/>
      <c r="AN604" s="178"/>
      <c r="AO604" s="178"/>
      <c r="AP604" s="181"/>
      <c r="AQ604" s="72"/>
      <c r="AR604" s="178"/>
      <c r="AS604" s="178"/>
      <c r="AT604" s="181"/>
      <c r="AU604" s="72"/>
      <c r="AV604" s="178"/>
      <c r="AW604" s="178"/>
      <c r="AX604" s="181"/>
      <c r="AY604" s="72"/>
      <c r="AZ604" s="178"/>
      <c r="BA604" s="178"/>
      <c r="BB604" s="181"/>
      <c r="BC604" s="72"/>
      <c r="BD604" s="178"/>
      <c r="BE604" s="178"/>
      <c r="BF604" s="210">
        <v>73.040000000000006</v>
      </c>
      <c r="BG604" s="72"/>
      <c r="BH604" s="178"/>
      <c r="BI604" s="178"/>
      <c r="BJ604" s="181"/>
      <c r="BK604" s="72">
        <v>0</v>
      </c>
      <c r="BL604" s="178"/>
      <c r="BM604" s="178"/>
      <c r="BN604" s="181"/>
      <c r="BO604" s="142"/>
      <c r="BP604" s="183"/>
      <c r="BQ604" s="183"/>
      <c r="BR604" s="184"/>
      <c r="BS604" s="142"/>
      <c r="BT604" s="183"/>
      <c r="BU604" s="183"/>
      <c r="BV604" s="186"/>
      <c r="BW604" s="6"/>
      <c r="BX604" s="6"/>
      <c r="BY604" s="125">
        <f t="shared" si="227"/>
        <v>0</v>
      </c>
      <c r="BZ604" s="126">
        <f t="shared" si="228"/>
        <v>0</v>
      </c>
      <c r="CA604" s="126">
        <f t="shared" si="229"/>
        <v>0</v>
      </c>
      <c r="CB604" s="127">
        <f t="shared" si="230"/>
        <v>1077.8625999999999</v>
      </c>
      <c r="CC604" s="766"/>
    </row>
    <row r="605" spans="1:81" ht="14.1" customHeight="1" outlineLevel="5" x14ac:dyDescent="0.25">
      <c r="C605" s="10" t="s">
        <v>83</v>
      </c>
      <c r="D605" s="10" t="s">
        <v>84</v>
      </c>
      <c r="E605" s="10" t="s">
        <v>73</v>
      </c>
      <c r="F605" s="10" t="s">
        <v>74</v>
      </c>
      <c r="G605" s="10" t="s">
        <v>328</v>
      </c>
      <c r="H605" s="10" t="s">
        <v>73</v>
      </c>
      <c r="I605" s="10" t="s">
        <v>73</v>
      </c>
      <c r="K605" s="12" t="s">
        <v>73</v>
      </c>
      <c r="L605" s="10" t="s">
        <v>192</v>
      </c>
      <c r="M605" s="5" t="str">
        <f t="array" ref="M605">Y458</f>
        <v>1ВО::1.1</v>
      </c>
      <c r="AB605" s="403" t="str">
        <f>AB603&amp;".2"</f>
        <v>3.1.1.3.1.2</v>
      </c>
      <c r="AC605" s="444" t="s">
        <v>329</v>
      </c>
      <c r="AD605" s="32" t="s">
        <v>111</v>
      </c>
      <c r="AE605" s="72"/>
      <c r="AF605" s="178"/>
      <c r="AG605" s="178"/>
      <c r="AH605" s="96"/>
      <c r="AI605" s="179"/>
      <c r="AJ605" s="178"/>
      <c r="AK605" s="178"/>
      <c r="AL605" s="181"/>
      <c r="AM605" s="72"/>
      <c r="AN605" s="178"/>
      <c r="AO605" s="178"/>
      <c r="AP605" s="181"/>
      <c r="AQ605" s="72"/>
      <c r="AR605" s="178"/>
      <c r="AS605" s="178"/>
      <c r="AT605" s="181"/>
      <c r="AU605" s="72"/>
      <c r="AV605" s="178"/>
      <c r="AW605" s="178"/>
      <c r="AX605" s="181"/>
      <c r="AY605" s="72"/>
      <c r="AZ605" s="178"/>
      <c r="BA605" s="178"/>
      <c r="BB605" s="181"/>
      <c r="BC605" s="72"/>
      <c r="BD605" s="178"/>
      <c r="BE605" s="178"/>
      <c r="BF605" s="210"/>
      <c r="BG605" s="72"/>
      <c r="BH605" s="178"/>
      <c r="BI605" s="178"/>
      <c r="BJ605" s="181"/>
      <c r="BK605" s="72">
        <v>0</v>
      </c>
      <c r="BL605" s="178"/>
      <c r="BM605" s="178">
        <v>0</v>
      </c>
      <c r="BN605" s="181"/>
      <c r="BO605" s="72"/>
      <c r="BP605" s="178"/>
      <c r="BQ605" s="178"/>
      <c r="BR605" s="181"/>
      <c r="BS605" s="72"/>
      <c r="BT605" s="178"/>
      <c r="BU605" s="178"/>
      <c r="BV605" s="96"/>
      <c r="BY605" s="125">
        <f t="shared" si="227"/>
        <v>0</v>
      </c>
      <c r="BZ605" s="126">
        <f t="shared" si="228"/>
        <v>0</v>
      </c>
      <c r="CA605" s="126">
        <f t="shared" si="229"/>
        <v>0</v>
      </c>
      <c r="CB605" s="127">
        <f t="shared" si="230"/>
        <v>0</v>
      </c>
    </row>
    <row r="606" spans="1:81" ht="14.1" customHeight="1" outlineLevel="5" x14ac:dyDescent="0.25">
      <c r="C606" s="10" t="s">
        <v>83</v>
      </c>
      <c r="D606" s="10" t="s">
        <v>84</v>
      </c>
      <c r="E606" s="10" t="s">
        <v>73</v>
      </c>
      <c r="F606" s="10" t="s">
        <v>74</v>
      </c>
      <c r="G606" s="10" t="s">
        <v>330</v>
      </c>
      <c r="H606" s="10" t="s">
        <v>73</v>
      </c>
      <c r="I606" s="10" t="s">
        <v>73</v>
      </c>
      <c r="K606" s="12" t="s">
        <v>73</v>
      </c>
      <c r="L606" s="10" t="s">
        <v>192</v>
      </c>
      <c r="M606" s="5" t="str">
        <f t="array" ref="M606">Y458</f>
        <v>1ВО::1.1</v>
      </c>
      <c r="AB606" s="403" t="str">
        <f>AB603&amp;".3"</f>
        <v>3.1.1.3.1.3</v>
      </c>
      <c r="AC606" s="444" t="s">
        <v>331</v>
      </c>
      <c r="AD606" s="32" t="s">
        <v>111</v>
      </c>
      <c r="AE606" s="72"/>
      <c r="AF606" s="178"/>
      <c r="AG606" s="178"/>
      <c r="AH606" s="96"/>
      <c r="AI606" s="179"/>
      <c r="AJ606" s="178"/>
      <c r="AK606" s="178"/>
      <c r="AL606" s="181"/>
      <c r="AM606" s="72"/>
      <c r="AN606" s="178"/>
      <c r="AO606" s="178"/>
      <c r="AP606" s="181"/>
      <c r="AQ606" s="72"/>
      <c r="AR606" s="178"/>
      <c r="AS606" s="178"/>
      <c r="AT606" s="181"/>
      <c r="AU606" s="72"/>
      <c r="AV606" s="178"/>
      <c r="AW606" s="178"/>
      <c r="AX606" s="181"/>
      <c r="AY606" s="72"/>
      <c r="AZ606" s="178"/>
      <c r="BA606" s="178"/>
      <c r="BB606" s="181"/>
      <c r="BC606" s="72"/>
      <c r="BD606" s="178"/>
      <c r="BE606" s="178"/>
      <c r="BF606" s="210"/>
      <c r="BG606" s="72"/>
      <c r="BH606" s="178"/>
      <c r="BI606" s="178"/>
      <c r="BJ606" s="181"/>
      <c r="BK606" s="72">
        <v>0</v>
      </c>
      <c r="BL606" s="178"/>
      <c r="BM606" s="178"/>
      <c r="BN606" s="181"/>
      <c r="BO606" s="72"/>
      <c r="BP606" s="178"/>
      <c r="BQ606" s="178"/>
      <c r="BR606" s="181"/>
      <c r="BS606" s="72"/>
      <c r="BT606" s="178"/>
      <c r="BU606" s="178"/>
      <c r="BV606" s="96"/>
      <c r="BY606" s="125">
        <f t="shared" si="227"/>
        <v>0</v>
      </c>
      <c r="BZ606" s="126">
        <f t="shared" si="228"/>
        <v>0</v>
      </c>
      <c r="CA606" s="126">
        <f t="shared" si="229"/>
        <v>0</v>
      </c>
      <c r="CB606" s="127">
        <f t="shared" si="230"/>
        <v>0</v>
      </c>
    </row>
    <row r="607" spans="1:81" ht="14.1" customHeight="1" outlineLevel="5" x14ac:dyDescent="0.25">
      <c r="C607" s="10" t="s">
        <v>83</v>
      </c>
      <c r="D607" s="10" t="s">
        <v>84</v>
      </c>
      <c r="E607" s="10" t="s">
        <v>73</v>
      </c>
      <c r="F607" s="10" t="s">
        <v>74</v>
      </c>
      <c r="G607" s="10" t="s">
        <v>332</v>
      </c>
      <c r="H607" s="10" t="s">
        <v>73</v>
      </c>
      <c r="I607" s="10" t="s">
        <v>73</v>
      </c>
      <c r="K607" s="12" t="s">
        <v>73</v>
      </c>
      <c r="L607" s="10" t="s">
        <v>192</v>
      </c>
      <c r="M607" s="5" t="str">
        <f t="array" ref="M607">Y458</f>
        <v>1ВО::1.1</v>
      </c>
      <c r="AB607" s="403" t="str">
        <f>AB603&amp;".4"</f>
        <v>3.1.1.3.1.4</v>
      </c>
      <c r="AC607" s="444" t="s">
        <v>333</v>
      </c>
      <c r="AD607" s="32" t="s">
        <v>111</v>
      </c>
      <c r="AE607" s="72"/>
      <c r="AF607" s="178">
        <v>1103.47</v>
      </c>
      <c r="AG607" s="178">
        <v>1165.5899999999999</v>
      </c>
      <c r="AH607" s="96">
        <v>1194.73</v>
      </c>
      <c r="AI607" s="179"/>
      <c r="AJ607" s="178"/>
      <c r="AK607" s="178"/>
      <c r="AL607" s="181"/>
      <c r="AM607" s="72"/>
      <c r="AN607" s="178"/>
      <c r="AO607" s="178"/>
      <c r="AP607" s="181"/>
      <c r="AQ607" s="72"/>
      <c r="AR607" s="178"/>
      <c r="AS607" s="178"/>
      <c r="AT607" s="181"/>
      <c r="AU607" s="72"/>
      <c r="AV607" s="178"/>
      <c r="AW607" s="178"/>
      <c r="AX607" s="181"/>
      <c r="AY607" s="72"/>
      <c r="AZ607" s="178"/>
      <c r="BA607" s="178"/>
      <c r="BB607" s="181"/>
      <c r="BC607" s="72"/>
      <c r="BD607" s="178"/>
      <c r="BE607" s="178"/>
      <c r="BF607" s="210"/>
      <c r="BG607" s="72"/>
      <c r="BH607" s="178"/>
      <c r="BI607" s="178"/>
      <c r="BJ607" s="181"/>
      <c r="BK607" s="72">
        <v>0</v>
      </c>
      <c r="BL607" s="178"/>
      <c r="BM607" s="178">
        <v>0</v>
      </c>
      <c r="BN607" s="181"/>
      <c r="BO607" s="72"/>
      <c r="BP607" s="178"/>
      <c r="BQ607" s="178"/>
      <c r="BR607" s="181"/>
      <c r="BS607" s="72"/>
      <c r="BT607" s="178"/>
      <c r="BU607" s="178"/>
      <c r="BV607" s="96"/>
      <c r="BY607" s="125">
        <f t="shared" si="227"/>
        <v>0</v>
      </c>
      <c r="BZ607" s="126">
        <f t="shared" si="228"/>
        <v>1103.47</v>
      </c>
      <c r="CA607" s="126">
        <f t="shared" si="229"/>
        <v>1165.5899999999999</v>
      </c>
      <c r="CB607" s="127">
        <f t="shared" si="230"/>
        <v>1194.73</v>
      </c>
    </row>
    <row r="608" spans="1:81" ht="14.1" customHeight="1" outlineLevel="5" x14ac:dyDescent="0.25">
      <c r="C608" s="10" t="s">
        <v>83</v>
      </c>
      <c r="D608" s="10" t="s">
        <v>84</v>
      </c>
      <c r="E608" s="10" t="s">
        <v>73</v>
      </c>
      <c r="F608" s="10" t="s">
        <v>74</v>
      </c>
      <c r="G608" s="10" t="s">
        <v>334</v>
      </c>
      <c r="H608" s="10" t="s">
        <v>73</v>
      </c>
      <c r="I608" s="10" t="s">
        <v>73</v>
      </c>
      <c r="K608" s="12" t="s">
        <v>73</v>
      </c>
      <c r="L608" s="10" t="s">
        <v>192</v>
      </c>
      <c r="M608" s="5" t="str">
        <f t="array" ref="M608">Y458</f>
        <v>1ВО::1.1</v>
      </c>
      <c r="AB608" s="403" t="str">
        <f>AB603&amp;".5"</f>
        <v>3.1.1.3.1.5</v>
      </c>
      <c r="AC608" s="444" t="s">
        <v>335</v>
      </c>
      <c r="AD608" s="32" t="s">
        <v>111</v>
      </c>
      <c r="AE608" s="72"/>
      <c r="AF608" s="178"/>
      <c r="AG608" s="178"/>
      <c r="AH608" s="96"/>
      <c r="AI608" s="179"/>
      <c r="AJ608" s="178"/>
      <c r="AK608" s="178"/>
      <c r="AL608" s="181"/>
      <c r="AM608" s="72"/>
      <c r="AN608" s="178"/>
      <c r="AO608" s="178"/>
      <c r="AP608" s="181"/>
      <c r="AQ608" s="72"/>
      <c r="AR608" s="178"/>
      <c r="AS608" s="178"/>
      <c r="AT608" s="181"/>
      <c r="AU608" s="72"/>
      <c r="AV608" s="178"/>
      <c r="AW608" s="178"/>
      <c r="AX608" s="181"/>
      <c r="AY608" s="72"/>
      <c r="AZ608" s="178"/>
      <c r="BA608" s="178"/>
      <c r="BB608" s="181"/>
      <c r="BC608" s="72"/>
      <c r="BD608" s="178"/>
      <c r="BE608" s="178"/>
      <c r="BF608" s="210"/>
      <c r="BG608" s="72"/>
      <c r="BH608" s="178"/>
      <c r="BI608" s="178"/>
      <c r="BJ608" s="181"/>
      <c r="BK608" s="72">
        <v>0</v>
      </c>
      <c r="BL608" s="178"/>
      <c r="BM608" s="178"/>
      <c r="BN608" s="181">
        <v>58.28</v>
      </c>
      <c r="BO608" s="72"/>
      <c r="BP608" s="178"/>
      <c r="BQ608" s="178"/>
      <c r="BR608" s="181"/>
      <c r="BS608" s="72"/>
      <c r="BT608" s="178"/>
      <c r="BU608" s="178"/>
      <c r="BV608" s="96"/>
      <c r="BY608" s="125">
        <f t="shared" si="227"/>
        <v>0</v>
      </c>
      <c r="BZ608" s="126">
        <f t="shared" si="228"/>
        <v>0</v>
      </c>
      <c r="CA608" s="126">
        <f t="shared" si="229"/>
        <v>0</v>
      </c>
      <c r="CB608" s="127">
        <f t="shared" si="230"/>
        <v>58.28</v>
      </c>
    </row>
    <row r="609" spans="1:81" ht="14.1" customHeight="1" outlineLevel="5" x14ac:dyDescent="0.25">
      <c r="C609" s="10" t="s">
        <v>83</v>
      </c>
      <c r="D609" s="10" t="s">
        <v>84</v>
      </c>
      <c r="E609" s="10" t="s">
        <v>73</v>
      </c>
      <c r="F609" s="10" t="s">
        <v>74</v>
      </c>
      <c r="G609" s="10" t="s">
        <v>336</v>
      </c>
      <c r="H609" s="10" t="s">
        <v>73</v>
      </c>
      <c r="I609" s="10" t="s">
        <v>73</v>
      </c>
      <c r="J609" s="10" t="s">
        <v>73</v>
      </c>
      <c r="K609" s="12" t="s">
        <v>73</v>
      </c>
      <c r="L609" s="10" t="s">
        <v>192</v>
      </c>
      <c r="M609" s="5" t="str">
        <f t="array" ref="M609">Y458</f>
        <v>1ВО::1.1</v>
      </c>
      <c r="AB609" s="403" t="str">
        <f>AB603&amp;".6"</f>
        <v>3.1.1.3.1.6</v>
      </c>
      <c r="AC609" s="444" t="s">
        <v>337</v>
      </c>
      <c r="AD609" s="32" t="s">
        <v>111</v>
      </c>
      <c r="AE609" s="72"/>
      <c r="AF609" s="178">
        <v>3751.1</v>
      </c>
      <c r="AG609" s="178">
        <v>3962.28</v>
      </c>
      <c r="AH609" s="96">
        <v>4061.3335999999999</v>
      </c>
      <c r="AI609" s="179"/>
      <c r="AJ609" s="178"/>
      <c r="AK609" s="178"/>
      <c r="AL609" s="181"/>
      <c r="AM609" s="72"/>
      <c r="AN609" s="178"/>
      <c r="AO609" s="178"/>
      <c r="AP609" s="181"/>
      <c r="AQ609" s="72"/>
      <c r="AR609" s="178"/>
      <c r="AS609" s="178"/>
      <c r="AT609" s="181"/>
      <c r="AU609" s="72"/>
      <c r="AV609" s="178"/>
      <c r="AW609" s="178"/>
      <c r="AX609" s="181"/>
      <c r="AY609" s="72"/>
      <c r="AZ609" s="178"/>
      <c r="BA609" s="178"/>
      <c r="BB609" s="181"/>
      <c r="BC609" s="72"/>
      <c r="BD609" s="178"/>
      <c r="BE609" s="178">
        <v>83.48</v>
      </c>
      <c r="BF609" s="210"/>
      <c r="BG609" s="72"/>
      <c r="BH609" s="178"/>
      <c r="BI609" s="178">
        <v>172.34</v>
      </c>
      <c r="BJ609" s="181"/>
      <c r="BK609" s="72">
        <v>0</v>
      </c>
      <c r="BL609" s="178"/>
      <c r="BM609" s="178">
        <v>54.57</v>
      </c>
      <c r="BN609" s="181">
        <v>2.5499999999999998</v>
      </c>
      <c r="BO609" s="72"/>
      <c r="BP609" s="178"/>
      <c r="BQ609" s="178"/>
      <c r="BR609" s="181"/>
      <c r="BS609" s="72"/>
      <c r="BT609" s="178"/>
      <c r="BU609" s="178"/>
      <c r="BV609" s="96"/>
      <c r="BY609" s="125">
        <f t="shared" si="227"/>
        <v>0</v>
      </c>
      <c r="BZ609" s="126">
        <f t="shared" si="228"/>
        <v>3751.1</v>
      </c>
      <c r="CA609" s="126">
        <f t="shared" si="229"/>
        <v>4272.67</v>
      </c>
      <c r="CB609" s="127">
        <f t="shared" si="230"/>
        <v>4063.8836000000001</v>
      </c>
    </row>
    <row r="610" spans="1:81" s="211" customFormat="1" ht="14.1" customHeight="1" outlineLevel="5" x14ac:dyDescent="0.25">
      <c r="A610" s="6"/>
      <c r="B610" s="6"/>
      <c r="C610" s="116" t="s">
        <v>83</v>
      </c>
      <c r="D610" s="116" t="s">
        <v>84</v>
      </c>
      <c r="E610" s="116" t="s">
        <v>73</v>
      </c>
      <c r="F610" s="116" t="s">
        <v>74</v>
      </c>
      <c r="G610" s="116" t="s">
        <v>338</v>
      </c>
      <c r="H610" s="116" t="s">
        <v>73</v>
      </c>
      <c r="I610" s="116" t="s">
        <v>73</v>
      </c>
      <c r="J610" s="116" t="s">
        <v>73</v>
      </c>
      <c r="K610" s="209" t="s">
        <v>73</v>
      </c>
      <c r="L610" s="116" t="s">
        <v>192</v>
      </c>
      <c r="M610" s="6" t="str">
        <f t="array" ref="M610">Y458</f>
        <v>1ВО::1.1</v>
      </c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403" t="str">
        <f>AB603&amp;".7"</f>
        <v>3.1.1.3.1.7</v>
      </c>
      <c r="AC610" s="444" t="s">
        <v>339</v>
      </c>
      <c r="AD610" s="32" t="s">
        <v>111</v>
      </c>
      <c r="AE610" s="72"/>
      <c r="AF610" s="178"/>
      <c r="AG610" s="178"/>
      <c r="AH610" s="96"/>
      <c r="AI610" s="44"/>
      <c r="AJ610" s="41"/>
      <c r="AK610" s="41"/>
      <c r="AL610" s="43"/>
      <c r="AM610" s="72"/>
      <c r="AN610" s="178"/>
      <c r="AO610" s="178"/>
      <c r="AP610" s="181"/>
      <c r="AQ610" s="72"/>
      <c r="AR610" s="178"/>
      <c r="AS610" s="178"/>
      <c r="AT610" s="181"/>
      <c r="AU610" s="72"/>
      <c r="AV610" s="178"/>
      <c r="AW610" s="178"/>
      <c r="AX610" s="181"/>
      <c r="AY610" s="72"/>
      <c r="AZ610" s="178"/>
      <c r="BA610" s="178"/>
      <c r="BB610" s="181"/>
      <c r="BC610" s="72"/>
      <c r="BD610" s="178"/>
      <c r="BE610" s="178"/>
      <c r="BF610" s="210"/>
      <c r="BG610" s="72"/>
      <c r="BH610" s="178"/>
      <c r="BI610" s="178"/>
      <c r="BJ610" s="181"/>
      <c r="BK610" s="72">
        <v>0</v>
      </c>
      <c r="BL610" s="178"/>
      <c r="BM610" s="178"/>
      <c r="BN610" s="181">
        <v>7.0000000000000007E-2</v>
      </c>
      <c r="BO610" s="72"/>
      <c r="BP610" s="178"/>
      <c r="BQ610" s="178"/>
      <c r="BR610" s="181"/>
      <c r="BS610" s="72"/>
      <c r="BT610" s="178"/>
      <c r="BU610" s="178"/>
      <c r="BV610" s="96"/>
      <c r="BW610" s="6"/>
      <c r="BX610" s="6"/>
      <c r="BY610" s="125">
        <f t="shared" si="227"/>
        <v>0</v>
      </c>
      <c r="BZ610" s="126">
        <f t="shared" si="228"/>
        <v>0</v>
      </c>
      <c r="CA610" s="126">
        <f t="shared" si="229"/>
        <v>0</v>
      </c>
      <c r="CB610" s="127">
        <f t="shared" si="230"/>
        <v>7.0000000000000007E-2</v>
      </c>
      <c r="CC610" s="766"/>
    </row>
    <row r="611" spans="1:81" ht="24" customHeight="1" outlineLevel="4" x14ac:dyDescent="0.25">
      <c r="C611" s="10" t="s">
        <v>83</v>
      </c>
      <c r="D611" s="10" t="s">
        <v>84</v>
      </c>
      <c r="E611" s="10" t="s">
        <v>73</v>
      </c>
      <c r="F611" s="10" t="s">
        <v>74</v>
      </c>
      <c r="G611" s="10" t="s">
        <v>201</v>
      </c>
      <c r="H611" s="10" t="s">
        <v>340</v>
      </c>
      <c r="I611" s="10" t="s">
        <v>73</v>
      </c>
      <c r="J611" s="10" t="s">
        <v>73</v>
      </c>
      <c r="K611" s="12" t="s">
        <v>73</v>
      </c>
      <c r="L611" s="10" t="s">
        <v>192</v>
      </c>
      <c r="M611" s="5" t="str">
        <f t="array" ref="M611">Y458</f>
        <v>1ВО::1.1</v>
      </c>
      <c r="AB611" s="403" t="str">
        <f>AB602&amp;".2"</f>
        <v>3.1.1.3.2</v>
      </c>
      <c r="AC611" s="442" t="s">
        <v>341</v>
      </c>
      <c r="AD611" s="32" t="s">
        <v>111</v>
      </c>
      <c r="AE611" s="72">
        <f t="shared" ref="AE611:AK611" si="233">AE612+AE615</f>
        <v>87168</v>
      </c>
      <c r="AF611" s="73">
        <f t="shared" si="233"/>
        <v>49296.41</v>
      </c>
      <c r="AG611" s="73">
        <f t="shared" si="233"/>
        <v>91934.576000000001</v>
      </c>
      <c r="AH611" s="74">
        <f t="shared" si="233"/>
        <v>104561.66398000001</v>
      </c>
      <c r="AI611" s="179">
        <f t="shared" si="233"/>
        <v>0</v>
      </c>
      <c r="AJ611" s="73">
        <f t="shared" si="233"/>
        <v>0</v>
      </c>
      <c r="AK611" s="73">
        <f t="shared" si="233"/>
        <v>0</v>
      </c>
      <c r="AL611" s="138">
        <v>0</v>
      </c>
      <c r="AM611" s="72"/>
      <c r="AN611" s="73"/>
      <c r="AO611" s="73"/>
      <c r="AP611" s="138"/>
      <c r="AQ611" s="72">
        <f t="shared" ref="AQ611:BM611" si="234">AQ612+AQ615</f>
        <v>3710.1600000000003</v>
      </c>
      <c r="AR611" s="73">
        <f t="shared" si="234"/>
        <v>543.68999999999994</v>
      </c>
      <c r="AS611" s="73">
        <f t="shared" si="234"/>
        <v>3156.15</v>
      </c>
      <c r="AT611" s="138">
        <f t="shared" si="234"/>
        <v>4675.3518000000004</v>
      </c>
      <c r="AU611" s="72">
        <f t="shared" si="234"/>
        <v>4189.13</v>
      </c>
      <c r="AV611" s="73">
        <f t="shared" si="234"/>
        <v>298.68</v>
      </c>
      <c r="AW611" s="73">
        <f t="shared" si="234"/>
        <v>3997.79</v>
      </c>
      <c r="AX611" s="138">
        <f t="shared" si="234"/>
        <v>5187.83853</v>
      </c>
      <c r="AY611" s="72">
        <f t="shared" si="234"/>
        <v>2738.06</v>
      </c>
      <c r="AZ611" s="73">
        <f t="shared" si="234"/>
        <v>5921.59</v>
      </c>
      <c r="BA611" s="73">
        <f t="shared" si="234"/>
        <v>4629.0300000000007</v>
      </c>
      <c r="BB611" s="138">
        <f t="shared" si="234"/>
        <v>6161.3522032985984</v>
      </c>
      <c r="BC611" s="72">
        <f t="shared" si="234"/>
        <v>0</v>
      </c>
      <c r="BD611" s="73">
        <f t="shared" si="234"/>
        <v>549.31000000000006</v>
      </c>
      <c r="BE611" s="73">
        <f t="shared" si="234"/>
        <v>1363.2890460000001</v>
      </c>
      <c r="BF611" s="774">
        <f t="shared" si="234"/>
        <v>0</v>
      </c>
      <c r="BG611" s="72">
        <f t="shared" si="234"/>
        <v>7769.9076420000001</v>
      </c>
      <c r="BH611" s="73">
        <f t="shared" si="234"/>
        <v>10572.01866</v>
      </c>
      <c r="BI611" s="73">
        <f t="shared" si="234"/>
        <v>9520.3307640000003</v>
      </c>
      <c r="BJ611" s="138">
        <f t="shared" si="234"/>
        <v>10999.973975356801</v>
      </c>
      <c r="BK611" s="72">
        <f t="shared" si="234"/>
        <v>0</v>
      </c>
      <c r="BL611" s="73">
        <f t="shared" si="234"/>
        <v>0</v>
      </c>
      <c r="BM611" s="73">
        <f t="shared" si="234"/>
        <v>0</v>
      </c>
      <c r="BN611" s="138"/>
      <c r="BO611" s="142">
        <f>BO612+BO615</f>
        <v>0</v>
      </c>
      <c r="BP611" s="140">
        <f>BP612+BP615</f>
        <v>0</v>
      </c>
      <c r="BQ611" s="140">
        <f>BQ612+BQ615</f>
        <v>581.58000000000004</v>
      </c>
      <c r="BR611" s="141"/>
      <c r="BS611" s="142">
        <f>BS612+BS615</f>
        <v>0</v>
      </c>
      <c r="BT611" s="140">
        <f>BT612+BT615</f>
        <v>0</v>
      </c>
      <c r="BU611" s="140">
        <f>BU612+BU615</f>
        <v>708.25</v>
      </c>
      <c r="BV611" s="143"/>
      <c r="BY611" s="125">
        <f t="shared" si="227"/>
        <v>105575.25764200001</v>
      </c>
      <c r="BZ611" s="126">
        <f t="shared" si="228"/>
        <v>67181.698660000009</v>
      </c>
      <c r="CA611" s="126">
        <f t="shared" si="229"/>
        <v>115890.99580999999</v>
      </c>
      <c r="CB611" s="127">
        <f t="shared" si="230"/>
        <v>131586.1804886554</v>
      </c>
    </row>
    <row r="612" spans="1:81" ht="16.5" customHeight="1" outlineLevel="5" x14ac:dyDescent="0.25">
      <c r="C612" s="10" t="s">
        <v>83</v>
      </c>
      <c r="D612" s="10" t="s">
        <v>84</v>
      </c>
      <c r="E612" s="10" t="s">
        <v>73</v>
      </c>
      <c r="F612" s="10" t="s">
        <v>74</v>
      </c>
      <c r="G612" s="10" t="s">
        <v>204</v>
      </c>
      <c r="H612" s="10" t="s">
        <v>340</v>
      </c>
      <c r="I612" s="10" t="s">
        <v>73</v>
      </c>
      <c r="J612" s="10" t="s">
        <v>73</v>
      </c>
      <c r="K612" s="12" t="s">
        <v>73</v>
      </c>
      <c r="L612" s="10" t="s">
        <v>192</v>
      </c>
      <c r="M612" s="5" t="str">
        <f t="array" ref="M612">Y458</f>
        <v>1ВО::1.1</v>
      </c>
      <c r="AB612" s="403" t="str">
        <f>AB611&amp;".1"</f>
        <v>3.1.1.3.2.1</v>
      </c>
      <c r="AC612" s="444" t="s">
        <v>342</v>
      </c>
      <c r="AD612" s="32" t="s">
        <v>111</v>
      </c>
      <c r="AE612" s="72">
        <v>66949.31</v>
      </c>
      <c r="AF612" s="178">
        <v>37862.07</v>
      </c>
      <c r="AG612" s="178">
        <v>70610.275999999998</v>
      </c>
      <c r="AH612" s="96">
        <v>80308.490000000005</v>
      </c>
      <c r="AI612" s="179"/>
      <c r="AJ612" s="178"/>
      <c r="AK612" s="178"/>
      <c r="AL612" s="181"/>
      <c r="AM612" s="72"/>
      <c r="AN612" s="178"/>
      <c r="AO612" s="178"/>
      <c r="AP612" s="181"/>
      <c r="AQ612" s="72">
        <v>2849.59</v>
      </c>
      <c r="AR612" s="178">
        <v>417.58</v>
      </c>
      <c r="AS612" s="178">
        <v>2424.08</v>
      </c>
      <c r="AT612" s="181">
        <v>3590.9</v>
      </c>
      <c r="AU612" s="72">
        <v>3217.46</v>
      </c>
      <c r="AV612" s="178">
        <v>229.4</v>
      </c>
      <c r="AW612" s="178">
        <v>3070.5</v>
      </c>
      <c r="AX612" s="181">
        <v>3984.5149999999999</v>
      </c>
      <c r="AY612" s="72">
        <v>2102.96</v>
      </c>
      <c r="AZ612" s="178">
        <v>4548.07</v>
      </c>
      <c r="BA612" s="178">
        <v>3555.32</v>
      </c>
      <c r="BB612" s="181">
        <f>AZ612*1.04049</f>
        <v>4732.2213542999989</v>
      </c>
      <c r="BC612" s="72"/>
      <c r="BD612" s="178">
        <v>421.91</v>
      </c>
      <c r="BE612" s="178">
        <v>1047.0730000000001</v>
      </c>
      <c r="BF612" s="210">
        <v>0</v>
      </c>
      <c r="BG612" s="72">
        <v>5967.6710000000003</v>
      </c>
      <c r="BH612" s="178">
        <v>8119.83</v>
      </c>
      <c r="BI612" s="178">
        <v>7312.0820000000003</v>
      </c>
      <c r="BJ612" s="181">
        <f>BH612*1.04048</f>
        <v>8448.520718400001</v>
      </c>
      <c r="BK612" s="72"/>
      <c r="BL612" s="178"/>
      <c r="BM612" s="178"/>
      <c r="BN612" s="181"/>
      <c r="BO612" s="142"/>
      <c r="BP612" s="183"/>
      <c r="BQ612" s="183">
        <v>446.68</v>
      </c>
      <c r="BR612" s="184"/>
      <c r="BS612" s="142"/>
      <c r="BT612" s="183"/>
      <c r="BU612" s="183">
        <v>543.97</v>
      </c>
      <c r="BV612" s="186"/>
      <c r="BY612" s="125">
        <f t="shared" si="227"/>
        <v>81086.991000000009</v>
      </c>
      <c r="BZ612" s="126">
        <f t="shared" si="228"/>
        <v>51598.860000000008</v>
      </c>
      <c r="CA612" s="126">
        <f t="shared" si="229"/>
        <v>89009.981</v>
      </c>
      <c r="CB612" s="127">
        <f t="shared" si="230"/>
        <v>101064.6470727</v>
      </c>
    </row>
    <row r="613" spans="1:81" s="115" customFormat="1" ht="14.25" customHeight="1" outlineLevel="5" x14ac:dyDescent="0.25">
      <c r="A613" s="100"/>
      <c r="B613" s="100"/>
      <c r="C613" s="99" t="s">
        <v>206</v>
      </c>
      <c r="D613" s="99" t="s">
        <v>207</v>
      </c>
      <c r="E613" s="99" t="s">
        <v>73</v>
      </c>
      <c r="F613" s="99" t="s">
        <v>74</v>
      </c>
      <c r="G613" s="99" t="s">
        <v>73</v>
      </c>
      <c r="H613" s="99" t="s">
        <v>340</v>
      </c>
      <c r="I613" s="99" t="s">
        <v>73</v>
      </c>
      <c r="J613" s="99" t="s">
        <v>73</v>
      </c>
      <c r="K613" s="102" t="s">
        <v>73</v>
      </c>
      <c r="L613" s="99" t="s">
        <v>192</v>
      </c>
      <c r="M613" s="100" t="str">
        <f t="array" ref="M613">Y458</f>
        <v>1ВО::1.1</v>
      </c>
      <c r="N613" s="100"/>
      <c r="O613" s="100"/>
      <c r="P613" s="100"/>
      <c r="Q613" s="100"/>
      <c r="R613" s="100"/>
      <c r="S613" s="100"/>
      <c r="T613" s="100"/>
      <c r="U613" s="100"/>
      <c r="V613" s="100"/>
      <c r="W613" s="100"/>
      <c r="X613" s="100"/>
      <c r="Y613" s="100"/>
      <c r="Z613" s="100"/>
      <c r="AA613" s="100"/>
      <c r="AB613" s="418" t="str">
        <f>AB612&amp;".1"</f>
        <v>3.1.1.3.2.1.1</v>
      </c>
      <c r="AC613" s="447" t="s">
        <v>208</v>
      </c>
      <c r="AD613" s="448" t="s">
        <v>209</v>
      </c>
      <c r="AE613" s="190">
        <f>(AE612/AE614)/12*1000</f>
        <v>79724.33790606838</v>
      </c>
      <c r="AF613" s="191">
        <f>(AF612/AF614)/12*1000</f>
        <v>75500.658052165585</v>
      </c>
      <c r="AG613" s="191">
        <f>(AG612/AG614)/12*1000</f>
        <v>140803.77283241606</v>
      </c>
      <c r="AH613" s="192">
        <f>(AH612/AH614)/12*1000</f>
        <v>86936.531133627781</v>
      </c>
      <c r="AI613" s="640"/>
      <c r="AJ613" s="191"/>
      <c r="AK613" s="191"/>
      <c r="AL613" s="193"/>
      <c r="AM613" s="190"/>
      <c r="AN613" s="191"/>
      <c r="AO613" s="191"/>
      <c r="AP613" s="193"/>
      <c r="AQ613" s="190">
        <f t="shared" ref="AQ613:BJ613" si="235">(AQ612/AQ614)/12*1000</f>
        <v>58489.121510673242</v>
      </c>
      <c r="AR613" s="191">
        <f t="shared" si="235"/>
        <v>43497.916666666664</v>
      </c>
      <c r="AS613" s="191">
        <f t="shared" si="235"/>
        <v>51796.581196581203</v>
      </c>
      <c r="AT613" s="193">
        <f t="shared" si="235"/>
        <v>66944.444444444438</v>
      </c>
      <c r="AU613" s="190">
        <f t="shared" si="235"/>
        <v>65877.559377559359</v>
      </c>
      <c r="AV613" s="191">
        <f t="shared" si="235"/>
        <v>43446.969696969696</v>
      </c>
      <c r="AW613" s="191">
        <f t="shared" si="235"/>
        <v>52219.387755102041</v>
      </c>
      <c r="AX613" s="193">
        <f t="shared" si="235"/>
        <v>74116.722470238092</v>
      </c>
      <c r="AY613" s="190">
        <f t="shared" si="235"/>
        <v>47492.321589882573</v>
      </c>
      <c r="AZ613" s="191">
        <f t="shared" si="235"/>
        <v>48840.957903780065</v>
      </c>
      <c r="BA613" s="191">
        <f t="shared" si="235"/>
        <v>51978.362573099417</v>
      </c>
      <c r="BB613" s="193">
        <f t="shared" si="235"/>
        <v>50818.528289304115</v>
      </c>
      <c r="BC613" s="190" t="e">
        <f t="shared" si="235"/>
        <v>#DIV/0!</v>
      </c>
      <c r="BD613" s="191">
        <f t="shared" si="235"/>
        <v>43948.958333333336</v>
      </c>
      <c r="BE613" s="191">
        <f t="shared" si="235"/>
        <v>49860.619047619053</v>
      </c>
      <c r="BF613" s="977" t="e">
        <f t="shared" si="235"/>
        <v>#DIV/0!</v>
      </c>
      <c r="BG613" s="190">
        <f t="shared" si="235"/>
        <v>62163.239583333336</v>
      </c>
      <c r="BH613" s="191">
        <f t="shared" si="235"/>
        <v>52657.782101167322</v>
      </c>
      <c r="BI613" s="191">
        <f t="shared" si="235"/>
        <v>51638.997175141245</v>
      </c>
      <c r="BJ613" s="193">
        <f t="shared" si="235"/>
        <v>54789.36912062257</v>
      </c>
      <c r="BK613" s="190"/>
      <c r="BL613" s="191"/>
      <c r="BM613" s="191"/>
      <c r="BN613" s="193"/>
      <c r="BO613" s="190" t="e">
        <f>(BO612/BO614)/12*1000</f>
        <v>#DIV/0!</v>
      </c>
      <c r="BP613" s="191" t="e">
        <f>(BP612/BP614)/12*1000</f>
        <v>#DIV/0!</v>
      </c>
      <c r="BQ613" s="191">
        <f>(BQ612/BQ614)/12*1000</f>
        <v>74446.666666666672</v>
      </c>
      <c r="BR613" s="193"/>
      <c r="BS613" s="190" t="e">
        <f>(BS612/BS614)/12*1000</f>
        <v>#DIV/0!</v>
      </c>
      <c r="BT613" s="191" t="e">
        <f>(BT612/BT614)/12*1000</f>
        <v>#DIV/0!</v>
      </c>
      <c r="BU613" s="191">
        <f>(BU612/BU614)/12*1000</f>
        <v>45330.833333333336</v>
      </c>
      <c r="BV613" s="192"/>
      <c r="BW613" s="111"/>
      <c r="BX613" s="100"/>
      <c r="BY613" s="112">
        <f>(BY612/BY614)/12*1000</f>
        <v>75247.764476614699</v>
      </c>
      <c r="BZ613" s="113">
        <f>(BZ612/BZ614)/12*1000</f>
        <v>66727.265673494752</v>
      </c>
      <c r="CA613" s="113">
        <f>(CA612/CA614)/12*1000</f>
        <v>103973.90547612372</v>
      </c>
      <c r="CB613" s="114">
        <f>(CB612/CB614)/12*1000</f>
        <v>79050.628146470801</v>
      </c>
      <c r="CC613" s="759"/>
    </row>
    <row r="614" spans="1:81" s="115" customFormat="1" ht="14.25" customHeight="1" outlineLevel="5" x14ac:dyDescent="0.25">
      <c r="A614" s="100"/>
      <c r="B614" s="100"/>
      <c r="C614" s="99" t="s">
        <v>210</v>
      </c>
      <c r="D614" s="99" t="s">
        <v>211</v>
      </c>
      <c r="E614" s="99" t="s">
        <v>73</v>
      </c>
      <c r="F614" s="99" t="s">
        <v>74</v>
      </c>
      <c r="G614" s="99" t="s">
        <v>73</v>
      </c>
      <c r="H614" s="99" t="s">
        <v>340</v>
      </c>
      <c r="I614" s="99" t="s">
        <v>73</v>
      </c>
      <c r="J614" s="99" t="s">
        <v>73</v>
      </c>
      <c r="K614" s="102" t="s">
        <v>73</v>
      </c>
      <c r="L614" s="99" t="s">
        <v>192</v>
      </c>
      <c r="M614" s="100" t="str">
        <f t="array" ref="M614">Y458</f>
        <v>1ВО::1.1</v>
      </c>
      <c r="N614" s="100"/>
      <c r="O614" s="100"/>
      <c r="P614" s="100"/>
      <c r="Q614" s="100"/>
      <c r="R614" s="100"/>
      <c r="S614" s="100"/>
      <c r="T614" s="100"/>
      <c r="U614" s="100"/>
      <c r="V614" s="100"/>
      <c r="W614" s="100"/>
      <c r="X614" s="100"/>
      <c r="Y614" s="100"/>
      <c r="Z614" s="100"/>
      <c r="AA614" s="100"/>
      <c r="AB614" s="418" t="str">
        <f>AB612&amp;".2"</f>
        <v>3.1.1.3.2.1.2</v>
      </c>
      <c r="AC614" s="447" t="s">
        <v>212</v>
      </c>
      <c r="AD614" s="448" t="s">
        <v>213</v>
      </c>
      <c r="AE614" s="190">
        <v>69.98</v>
      </c>
      <c r="AF614" s="200">
        <v>41.79</v>
      </c>
      <c r="AG614" s="200">
        <v>41.79</v>
      </c>
      <c r="AH614" s="201">
        <v>76.98</v>
      </c>
      <c r="AI614" s="640"/>
      <c r="AJ614" s="200"/>
      <c r="AK614" s="200"/>
      <c r="AL614" s="202"/>
      <c r="AM614" s="190"/>
      <c r="AN614" s="200"/>
      <c r="AO614" s="200"/>
      <c r="AP614" s="202"/>
      <c r="AQ614" s="190">
        <v>4.0599999999999996</v>
      </c>
      <c r="AR614" s="200">
        <v>0.8</v>
      </c>
      <c r="AS614" s="200">
        <v>3.9</v>
      </c>
      <c r="AT614" s="202">
        <v>4.47</v>
      </c>
      <c r="AU614" s="190">
        <v>4.07</v>
      </c>
      <c r="AV614" s="200">
        <v>0.44</v>
      </c>
      <c r="AW614" s="200">
        <v>4.9000000000000004</v>
      </c>
      <c r="AX614" s="202">
        <v>4.4800000000000004</v>
      </c>
      <c r="AY614" s="190">
        <v>3.69</v>
      </c>
      <c r="AZ614" s="200">
        <v>7.76</v>
      </c>
      <c r="BA614" s="200">
        <v>5.7</v>
      </c>
      <c r="BB614" s="202">
        <v>7.76</v>
      </c>
      <c r="BC614" s="190"/>
      <c r="BD614" s="200">
        <v>0.8</v>
      </c>
      <c r="BE614" s="200">
        <v>1.75</v>
      </c>
      <c r="BF614" s="978">
        <v>0</v>
      </c>
      <c r="BG614" s="190">
        <v>8</v>
      </c>
      <c r="BH614" s="200">
        <v>12.85</v>
      </c>
      <c r="BI614" s="200">
        <v>11.8</v>
      </c>
      <c r="BJ614" s="202">
        <v>12.85</v>
      </c>
      <c r="BK614" s="190"/>
      <c r="BL614" s="200"/>
      <c r="BM614" s="200"/>
      <c r="BN614" s="202"/>
      <c r="BO614" s="197"/>
      <c r="BP614" s="204"/>
      <c r="BQ614" s="204">
        <v>0.5</v>
      </c>
      <c r="BR614" s="205"/>
      <c r="BS614" s="197"/>
      <c r="BT614" s="204"/>
      <c r="BU614" s="204">
        <v>1</v>
      </c>
      <c r="BV614" s="207"/>
      <c r="BW614" s="111"/>
      <c r="BX614" s="100"/>
      <c r="BY614" s="112">
        <f t="shared" ref="BY614:CB615" si="236">AE614+AI614+AM614+AQ614+AU614+AY614+BC614+BG614+BK614+BO614+BS614</f>
        <v>89.800000000000011</v>
      </c>
      <c r="BZ614" s="113">
        <f t="shared" si="236"/>
        <v>64.439999999999984</v>
      </c>
      <c r="CA614" s="113">
        <f t="shared" si="236"/>
        <v>71.34</v>
      </c>
      <c r="CB614" s="114">
        <f t="shared" si="236"/>
        <v>106.54</v>
      </c>
      <c r="CC614" s="759"/>
    </row>
    <row r="615" spans="1:81" ht="14.25" customHeight="1" outlineLevel="5" x14ac:dyDescent="0.25">
      <c r="C615" s="10" t="s">
        <v>83</v>
      </c>
      <c r="D615" s="10" t="s">
        <v>84</v>
      </c>
      <c r="E615" s="10" t="s">
        <v>73</v>
      </c>
      <c r="F615" s="10" t="s">
        <v>74</v>
      </c>
      <c r="G615" s="10" t="s">
        <v>214</v>
      </c>
      <c r="H615" s="10" t="s">
        <v>340</v>
      </c>
      <c r="I615" s="10" t="s">
        <v>73</v>
      </c>
      <c r="J615" s="10" t="s">
        <v>73</v>
      </c>
      <c r="K615" s="12" t="s">
        <v>73</v>
      </c>
      <c r="L615" s="10" t="s">
        <v>192</v>
      </c>
      <c r="M615" s="5" t="str">
        <f t="array" ref="M615">Y458</f>
        <v>1ВО::1.1</v>
      </c>
      <c r="AB615" s="403" t="str">
        <f>AB611&amp;".2"</f>
        <v>3.1.1.3.2.2</v>
      </c>
      <c r="AC615" s="444" t="s">
        <v>343</v>
      </c>
      <c r="AD615" s="32" t="s">
        <v>111</v>
      </c>
      <c r="AE615" s="72">
        <v>20218.689999999999</v>
      </c>
      <c r="AF615" s="178">
        <v>11434.34</v>
      </c>
      <c r="AG615" s="178">
        <v>21324.3</v>
      </c>
      <c r="AH615" s="96">
        <f>AH612/100*30.2+0.01</f>
        <v>24253.17398</v>
      </c>
      <c r="AI615" s="179"/>
      <c r="AJ615" s="178"/>
      <c r="AK615" s="178"/>
      <c r="AL615" s="181"/>
      <c r="AM615" s="72"/>
      <c r="AN615" s="178"/>
      <c r="AO615" s="178"/>
      <c r="AP615" s="181"/>
      <c r="AQ615" s="72">
        <v>860.57</v>
      </c>
      <c r="AR615" s="178">
        <v>126.11</v>
      </c>
      <c r="AS615" s="178">
        <v>732.07</v>
      </c>
      <c r="AT615" s="181">
        <f>AT612*30.2%</f>
        <v>1084.4518</v>
      </c>
      <c r="AU615" s="72">
        <v>971.67</v>
      </c>
      <c r="AV615" s="178">
        <v>69.28</v>
      </c>
      <c r="AW615" s="178">
        <v>927.29</v>
      </c>
      <c r="AX615" s="181">
        <f>AX612*30.2%</f>
        <v>1203.3235299999999</v>
      </c>
      <c r="AY615" s="72">
        <v>635.1</v>
      </c>
      <c r="AZ615" s="178">
        <v>1373.52</v>
      </c>
      <c r="BA615" s="178">
        <v>1073.71</v>
      </c>
      <c r="BB615" s="181">
        <f>BB612*30.2%</f>
        <v>1429.1308489985997</v>
      </c>
      <c r="BC615" s="72"/>
      <c r="BD615" s="178">
        <v>127.4</v>
      </c>
      <c r="BE615" s="178">
        <f t="shared" ref="BE615:BJ615" si="237">BE612*30.2%</f>
        <v>316.21604600000001</v>
      </c>
      <c r="BF615" s="210">
        <f t="shared" si="237"/>
        <v>0</v>
      </c>
      <c r="BG615" s="72">
        <f t="shared" si="237"/>
        <v>1802.2366420000001</v>
      </c>
      <c r="BH615" s="178">
        <f t="shared" si="237"/>
        <v>2452.1886599999998</v>
      </c>
      <c r="BI615" s="178">
        <f t="shared" si="237"/>
        <v>2208.2487639999999</v>
      </c>
      <c r="BJ615" s="181">
        <f t="shared" si="237"/>
        <v>2551.4532569568</v>
      </c>
      <c r="BK615" s="72"/>
      <c r="BL615" s="178"/>
      <c r="BM615" s="178"/>
      <c r="BN615" s="181"/>
      <c r="BO615" s="142"/>
      <c r="BP615" s="183"/>
      <c r="BQ615" s="183">
        <v>134.9</v>
      </c>
      <c r="BR615" s="184"/>
      <c r="BS615" s="142"/>
      <c r="BT615" s="183"/>
      <c r="BU615" s="183">
        <v>164.28</v>
      </c>
      <c r="BV615" s="186"/>
      <c r="BY615" s="125">
        <f t="shared" si="236"/>
        <v>24488.266641999995</v>
      </c>
      <c r="BZ615" s="126">
        <f t="shared" si="236"/>
        <v>15582.838660000001</v>
      </c>
      <c r="CA615" s="126">
        <f t="shared" si="236"/>
        <v>26881.014810000001</v>
      </c>
      <c r="CB615" s="127">
        <f t="shared" si="236"/>
        <v>30521.5334159554</v>
      </c>
    </row>
    <row r="616" spans="1:81" ht="14.25" customHeight="1" outlineLevel="5" x14ac:dyDescent="0.25">
      <c r="C616" s="10" t="s">
        <v>216</v>
      </c>
      <c r="D616" s="10" t="s">
        <v>217</v>
      </c>
      <c r="E616" s="10" t="s">
        <v>73</v>
      </c>
      <c r="F616" s="10" t="s">
        <v>74</v>
      </c>
      <c r="G616" s="10" t="s">
        <v>73</v>
      </c>
      <c r="H616" s="10" t="s">
        <v>340</v>
      </c>
      <c r="I616" s="10" t="s">
        <v>73</v>
      </c>
      <c r="J616" s="10" t="s">
        <v>73</v>
      </c>
      <c r="K616" s="12" t="s">
        <v>73</v>
      </c>
      <c r="L616" s="10" t="s">
        <v>192</v>
      </c>
      <c r="M616" s="5" t="str">
        <f t="array" ref="M616">Y458</f>
        <v>1ВО::1.1</v>
      </c>
      <c r="AB616" s="403" t="str">
        <f>AB615&amp;".1"</f>
        <v>3.1.1.3.2.2.1</v>
      </c>
      <c r="AC616" s="449" t="s">
        <v>218</v>
      </c>
      <c r="AD616" s="32" t="s">
        <v>119</v>
      </c>
      <c r="AE616" s="72">
        <v>30.2</v>
      </c>
      <c r="AF616" s="73">
        <v>30.2</v>
      </c>
      <c r="AG616" s="73">
        <v>30.2</v>
      </c>
      <c r="AH616" s="74">
        <v>30.2</v>
      </c>
      <c r="AI616" s="179"/>
      <c r="AJ616" s="73"/>
      <c r="AK616" s="73"/>
      <c r="AL616" s="138"/>
      <c r="AM616" s="72"/>
      <c r="AN616" s="73"/>
      <c r="AO616" s="73"/>
      <c r="AP616" s="138"/>
      <c r="AQ616" s="72">
        <v>30.2</v>
      </c>
      <c r="AR616" s="73">
        <v>30.2</v>
      </c>
      <c r="AS616" s="73">
        <v>30.2</v>
      </c>
      <c r="AT616" s="138">
        <v>30.2</v>
      </c>
      <c r="AU616" s="72">
        <v>30.2</v>
      </c>
      <c r="AV616" s="73">
        <v>30.2</v>
      </c>
      <c r="AW616" s="73">
        <v>30.2</v>
      </c>
      <c r="AX616" s="138">
        <v>30.2</v>
      </c>
      <c r="AY616" s="72">
        <v>30.2</v>
      </c>
      <c r="AZ616" s="73">
        <v>30.2</v>
      </c>
      <c r="BA616" s="73">
        <v>30.2</v>
      </c>
      <c r="BB616" s="138">
        <v>30.2</v>
      </c>
      <c r="BC616" s="72">
        <v>30.2</v>
      </c>
      <c r="BD616" s="73">
        <v>30.2</v>
      </c>
      <c r="BE616" s="73">
        <v>30.2</v>
      </c>
      <c r="BF616" s="774"/>
      <c r="BG616" s="72">
        <v>30.2</v>
      </c>
      <c r="BH616" s="73">
        <v>30.2</v>
      </c>
      <c r="BI616" s="73">
        <v>30.2</v>
      </c>
      <c r="BJ616" s="138">
        <v>30.2</v>
      </c>
      <c r="BK616" s="72">
        <v>30.2</v>
      </c>
      <c r="BL616" s="73">
        <v>30.2</v>
      </c>
      <c r="BM616" s="73">
        <v>30.2</v>
      </c>
      <c r="BN616" s="138"/>
      <c r="BO616" s="142">
        <v>30.2</v>
      </c>
      <c r="BP616" s="140">
        <v>30.2</v>
      </c>
      <c r="BQ616" s="140">
        <v>30.2</v>
      </c>
      <c r="BR616" s="141"/>
      <c r="BS616" s="142">
        <v>30.2</v>
      </c>
      <c r="BT616" s="140">
        <v>30.2</v>
      </c>
      <c r="BU616" s="140">
        <v>30.2</v>
      </c>
      <c r="BV616" s="143"/>
      <c r="BY616" s="125">
        <v>30.2</v>
      </c>
      <c r="BZ616" s="126">
        <v>30.2</v>
      </c>
      <c r="CA616" s="126">
        <v>30.2</v>
      </c>
      <c r="CB616" s="127">
        <v>30.2</v>
      </c>
    </row>
    <row r="617" spans="1:81" ht="28.5" customHeight="1" outlineLevel="4" x14ac:dyDescent="0.25">
      <c r="C617" s="10" t="s">
        <v>83</v>
      </c>
      <c r="D617" s="10" t="s">
        <v>84</v>
      </c>
      <c r="E617" s="10" t="s">
        <v>73</v>
      </c>
      <c r="F617" s="10" t="s">
        <v>74</v>
      </c>
      <c r="G617" s="10" t="s">
        <v>344</v>
      </c>
      <c r="H617" s="10" t="s">
        <v>73</v>
      </c>
      <c r="I617" s="10" t="s">
        <v>73</v>
      </c>
      <c r="J617" s="10" t="s">
        <v>73</v>
      </c>
      <c r="K617" s="12" t="s">
        <v>73</v>
      </c>
      <c r="L617" s="10" t="s">
        <v>192</v>
      </c>
      <c r="M617" s="5" t="str">
        <f t="array" ref="M617">Y458</f>
        <v>1ВО::1.1</v>
      </c>
      <c r="AB617" s="403" t="str">
        <f>AB602&amp;".3"</f>
        <v>3.1.1.3.3</v>
      </c>
      <c r="AC617" s="442" t="s">
        <v>344</v>
      </c>
      <c r="AD617" s="32" t="s">
        <v>111</v>
      </c>
      <c r="AE617" s="72"/>
      <c r="AF617" s="178"/>
      <c r="AG617" s="178"/>
      <c r="AH617" s="96"/>
      <c r="AI617" s="179"/>
      <c r="AJ617" s="178"/>
      <c r="AK617" s="178"/>
      <c r="AL617" s="181"/>
      <c r="AM617" s="72"/>
      <c r="AN617" s="178"/>
      <c r="AO617" s="178"/>
      <c r="AP617" s="181"/>
      <c r="AQ617" s="72"/>
      <c r="AR617" s="178"/>
      <c r="AS617" s="178"/>
      <c r="AT617" s="181"/>
      <c r="AU617" s="72"/>
      <c r="AV617" s="178"/>
      <c r="AW617" s="178"/>
      <c r="AX617" s="181"/>
      <c r="AY617" s="72"/>
      <c r="AZ617" s="178"/>
      <c r="BA617" s="178"/>
      <c r="BB617" s="181"/>
      <c r="BC617" s="72"/>
      <c r="BD617" s="178"/>
      <c r="BE617" s="178"/>
      <c r="BF617" s="210"/>
      <c r="BG617" s="72"/>
      <c r="BH617" s="178"/>
      <c r="BI617" s="178"/>
      <c r="BJ617" s="181"/>
      <c r="BK617" s="72"/>
      <c r="BL617" s="178"/>
      <c r="BM617" s="178"/>
      <c r="BN617" s="181"/>
      <c r="BO617" s="142"/>
      <c r="BP617" s="183"/>
      <c r="BQ617" s="183"/>
      <c r="BR617" s="184"/>
      <c r="BS617" s="142"/>
      <c r="BT617" s="183"/>
      <c r="BU617" s="183"/>
      <c r="BV617" s="186"/>
      <c r="BY617" s="125">
        <f t="shared" ref="BY617:BY643" si="238">AE617+AI617+AM617+AQ617+AU617+AY617+BC617+BG617+BK617+BO617+BS617</f>
        <v>0</v>
      </c>
      <c r="BZ617" s="126">
        <f t="shared" ref="BZ617:BZ643" si="239">AF617+AJ617+AN617+AR617+AV617+AZ617+BD617+BH617+BL617+BP617+BT617</f>
        <v>0</v>
      </c>
      <c r="CA617" s="126">
        <f t="shared" ref="CA617:CA643" si="240">AG617+AK617+AO617+AS617+AW617+BA617+BE617+BI617+BM617+BQ617+BU617</f>
        <v>0</v>
      </c>
      <c r="CB617" s="127">
        <f t="shared" ref="CB617:CB643" si="241">AH617+AL617+AP617+AT617+AX617+BB617+BF617+BJ617+BN617+BR617+BV617</f>
        <v>0</v>
      </c>
    </row>
    <row r="618" spans="1:81" ht="14.25" customHeight="1" outlineLevel="4" x14ac:dyDescent="0.25">
      <c r="C618" s="10" t="s">
        <v>83</v>
      </c>
      <c r="D618" s="10" t="s">
        <v>84</v>
      </c>
      <c r="E618" s="10" t="s">
        <v>73</v>
      </c>
      <c r="F618" s="10" t="s">
        <v>74</v>
      </c>
      <c r="G618" s="10" t="s">
        <v>345</v>
      </c>
      <c r="H618" s="10" t="s">
        <v>73</v>
      </c>
      <c r="I618" s="10" t="s">
        <v>73</v>
      </c>
      <c r="J618" s="10" t="s">
        <v>73</v>
      </c>
      <c r="K618" s="12" t="s">
        <v>73</v>
      </c>
      <c r="L618" s="10" t="s">
        <v>192</v>
      </c>
      <c r="M618" s="5" t="str">
        <f t="array" ref="M618">Y458</f>
        <v>1ВО::1.1</v>
      </c>
      <c r="AB618" s="403" t="str">
        <f>AB602&amp;".4"</f>
        <v>3.1.1.3.4</v>
      </c>
      <c r="AC618" s="442" t="s">
        <v>346</v>
      </c>
      <c r="AD618" s="32" t="s">
        <v>111</v>
      </c>
      <c r="AE618" s="72">
        <v>478.06</v>
      </c>
      <c r="AF618" s="178">
        <v>331.96</v>
      </c>
      <c r="AG618" s="178">
        <v>350.65</v>
      </c>
      <c r="AH618" s="96">
        <v>359.42</v>
      </c>
      <c r="AI618" s="179"/>
      <c r="AJ618" s="178"/>
      <c r="AK618" s="178"/>
      <c r="AL618" s="181"/>
      <c r="AM618" s="72"/>
      <c r="AN618" s="178"/>
      <c r="AO618" s="178"/>
      <c r="AP618" s="181"/>
      <c r="AQ618" s="72"/>
      <c r="AR618" s="178"/>
      <c r="AS618" s="178"/>
      <c r="AT618" s="181"/>
      <c r="AU618" s="72"/>
      <c r="AV618" s="178"/>
      <c r="AW618" s="178"/>
      <c r="AX618" s="181"/>
      <c r="AY618" s="72"/>
      <c r="AZ618" s="178"/>
      <c r="BA618" s="178"/>
      <c r="BB618" s="181"/>
      <c r="BC618" s="72"/>
      <c r="BD618" s="178"/>
      <c r="BE618" s="178"/>
      <c r="BF618" s="210"/>
      <c r="BG618" s="72"/>
      <c r="BH618" s="178"/>
      <c r="BI618" s="178"/>
      <c r="BJ618" s="181"/>
      <c r="BK618" s="72"/>
      <c r="BL618" s="178"/>
      <c r="BM618" s="178"/>
      <c r="BN618" s="181"/>
      <c r="BO618" s="142"/>
      <c r="BP618" s="183"/>
      <c r="BQ618" s="183"/>
      <c r="BR618" s="184"/>
      <c r="BS618" s="142"/>
      <c r="BT618" s="183"/>
      <c r="BU618" s="183"/>
      <c r="BV618" s="186"/>
      <c r="BY618" s="125">
        <f t="shared" si="238"/>
        <v>478.06</v>
      </c>
      <c r="BZ618" s="126">
        <f t="shared" si="239"/>
        <v>331.96</v>
      </c>
      <c r="CA618" s="126">
        <f t="shared" si="240"/>
        <v>350.65</v>
      </c>
      <c r="CB618" s="127">
        <f t="shared" si="241"/>
        <v>359.42</v>
      </c>
    </row>
    <row r="619" spans="1:81" s="211" customFormat="1" ht="14.25" customHeight="1" outlineLevel="4" x14ac:dyDescent="0.25">
      <c r="A619" s="6"/>
      <c r="B619" s="6"/>
      <c r="C619" s="116" t="s">
        <v>83</v>
      </c>
      <c r="D619" s="116" t="s">
        <v>84</v>
      </c>
      <c r="E619" s="116" t="s">
        <v>73</v>
      </c>
      <c r="F619" s="116" t="s">
        <v>74</v>
      </c>
      <c r="G619" s="116" t="s">
        <v>347</v>
      </c>
      <c r="H619" s="116" t="s">
        <v>73</v>
      </c>
      <c r="I619" s="116" t="s">
        <v>73</v>
      </c>
      <c r="J619" s="116" t="s">
        <v>73</v>
      </c>
      <c r="K619" s="209" t="s">
        <v>73</v>
      </c>
      <c r="L619" s="116" t="s">
        <v>192</v>
      </c>
      <c r="M619" s="6" t="str">
        <f t="array" ref="M619">Y458</f>
        <v>1ВО::1.1</v>
      </c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403" t="str">
        <f>AB602&amp;".5"</f>
        <v>3.1.1.3.5</v>
      </c>
      <c r="AC619" s="442" t="s">
        <v>348</v>
      </c>
      <c r="AD619" s="32" t="s">
        <v>111</v>
      </c>
      <c r="AE619" s="72"/>
      <c r="AF619" s="178">
        <v>324.33</v>
      </c>
      <c r="AG619" s="178">
        <v>342.59</v>
      </c>
      <c r="AH619" s="96">
        <v>351.14499999999998</v>
      </c>
      <c r="AI619" s="179"/>
      <c r="AJ619" s="178"/>
      <c r="AK619" s="178"/>
      <c r="AL619" s="181"/>
      <c r="AM619" s="72"/>
      <c r="AN619" s="178"/>
      <c r="AO619" s="178"/>
      <c r="AP619" s="181"/>
      <c r="AQ619" s="72">
        <v>2.5</v>
      </c>
      <c r="AR619" s="178"/>
      <c r="AS619" s="178">
        <v>3.54</v>
      </c>
      <c r="AT619" s="181"/>
      <c r="AU619" s="72">
        <v>9.25</v>
      </c>
      <c r="AV619" s="178"/>
      <c r="AW619" s="178">
        <v>5.0199999999999996</v>
      </c>
      <c r="AX619" s="181"/>
      <c r="AY619" s="72">
        <v>10.45</v>
      </c>
      <c r="AZ619" s="178"/>
      <c r="BA619" s="178"/>
      <c r="BB619" s="181"/>
      <c r="BC619" s="72">
        <v>22.2</v>
      </c>
      <c r="BD619" s="178"/>
      <c r="BE619" s="178">
        <v>9.68</v>
      </c>
      <c r="BF619" s="210"/>
      <c r="BG619" s="72">
        <v>20.36</v>
      </c>
      <c r="BH619" s="178">
        <v>15.7</v>
      </c>
      <c r="BI619" s="178">
        <v>7.4340000000000002</v>
      </c>
      <c r="BJ619" s="181">
        <f>BH619*1.04048</f>
        <v>16.335536000000001</v>
      </c>
      <c r="BK619" s="72">
        <v>52.21</v>
      </c>
      <c r="BL619" s="178">
        <v>2.35</v>
      </c>
      <c r="BM619" s="178">
        <v>62.51</v>
      </c>
      <c r="BN619" s="181"/>
      <c r="BO619" s="142">
        <v>5</v>
      </c>
      <c r="BP619" s="183"/>
      <c r="BQ619" s="183">
        <v>1.82</v>
      </c>
      <c r="BR619" s="184"/>
      <c r="BS619" s="142">
        <v>2.645</v>
      </c>
      <c r="BT619" s="183">
        <v>2.35</v>
      </c>
      <c r="BU619" s="183">
        <v>2.0499999999999998</v>
      </c>
      <c r="BV619" s="186"/>
      <c r="BW619" s="6"/>
      <c r="BX619" s="6"/>
      <c r="BY619" s="125">
        <f t="shared" si="238"/>
        <v>124.61499999999999</v>
      </c>
      <c r="BZ619" s="126">
        <f t="shared" si="239"/>
        <v>344.73</v>
      </c>
      <c r="CA619" s="126">
        <f t="shared" si="240"/>
        <v>434.64400000000001</v>
      </c>
      <c r="CB619" s="127">
        <f t="shared" si="241"/>
        <v>367.48053599999997</v>
      </c>
      <c r="CC619" s="766"/>
    </row>
    <row r="620" spans="1:81" ht="14.25" customHeight="1" outlineLevel="4" x14ac:dyDescent="0.25">
      <c r="C620" s="10" t="s">
        <v>83</v>
      </c>
      <c r="D620" s="10" t="s">
        <v>84</v>
      </c>
      <c r="E620" s="10" t="s">
        <v>73</v>
      </c>
      <c r="F620" s="10" t="s">
        <v>74</v>
      </c>
      <c r="G620" s="10" t="s">
        <v>349</v>
      </c>
      <c r="H620" s="10" t="s">
        <v>73</v>
      </c>
      <c r="I620" s="10" t="s">
        <v>73</v>
      </c>
      <c r="J620" s="10" t="s">
        <v>73</v>
      </c>
      <c r="K620" s="12" t="s">
        <v>73</v>
      </c>
      <c r="L620" s="10" t="s">
        <v>192</v>
      </c>
      <c r="M620" s="5" t="str">
        <f t="array" ref="M620">Y458</f>
        <v>1ВО::1.1</v>
      </c>
      <c r="AB620" s="403" t="str">
        <f>AB602&amp;".6"</f>
        <v>3.1.1.3.6</v>
      </c>
      <c r="AC620" s="442" t="s">
        <v>350</v>
      </c>
      <c r="AD620" s="32" t="s">
        <v>111</v>
      </c>
      <c r="AE620" s="72"/>
      <c r="AF620" s="178"/>
      <c r="AG620" s="178">
        <v>0</v>
      </c>
      <c r="AH620" s="96"/>
      <c r="AI620" s="179"/>
      <c r="AJ620" s="178"/>
      <c r="AK620" s="178"/>
      <c r="AL620" s="181"/>
      <c r="AM620" s="72"/>
      <c r="AN620" s="178"/>
      <c r="AO620" s="178"/>
      <c r="AP620" s="181"/>
      <c r="AQ620" s="72"/>
      <c r="AR620" s="178"/>
      <c r="AS620" s="178"/>
      <c r="AT620" s="181"/>
      <c r="AU620" s="72"/>
      <c r="AV620" s="178"/>
      <c r="AW620" s="178"/>
      <c r="AX620" s="181"/>
      <c r="AY620" s="72"/>
      <c r="AZ620" s="178"/>
      <c r="BA620" s="178"/>
      <c r="BB620" s="181"/>
      <c r="BC620" s="72"/>
      <c r="BD620" s="178"/>
      <c r="BE620" s="178"/>
      <c r="BF620" s="210"/>
      <c r="BG620" s="72"/>
      <c r="BH620" s="178"/>
      <c r="BI620" s="178"/>
      <c r="BJ620" s="181"/>
      <c r="BK620" s="72"/>
      <c r="BL620" s="178"/>
      <c r="BM620" s="178"/>
      <c r="BN620" s="181"/>
      <c r="BO620" s="142"/>
      <c r="BP620" s="183"/>
      <c r="BQ620" s="183"/>
      <c r="BR620" s="184"/>
      <c r="BS620" s="142"/>
      <c r="BT620" s="183"/>
      <c r="BU620" s="183"/>
      <c r="BV620" s="186"/>
      <c r="BY620" s="125">
        <f t="shared" si="238"/>
        <v>0</v>
      </c>
      <c r="BZ620" s="126">
        <f t="shared" si="239"/>
        <v>0</v>
      </c>
      <c r="CA620" s="126">
        <f t="shared" si="240"/>
        <v>0</v>
      </c>
      <c r="CB620" s="127">
        <f t="shared" si="241"/>
        <v>0</v>
      </c>
    </row>
    <row r="621" spans="1:81" ht="14.25" customHeight="1" outlineLevel="4" x14ac:dyDescent="0.25">
      <c r="C621" s="10" t="s">
        <v>83</v>
      </c>
      <c r="D621" s="10" t="s">
        <v>84</v>
      </c>
      <c r="E621" s="10" t="s">
        <v>73</v>
      </c>
      <c r="F621" s="10" t="s">
        <v>74</v>
      </c>
      <c r="G621" s="10" t="s">
        <v>351</v>
      </c>
      <c r="H621" s="10" t="s">
        <v>73</v>
      </c>
      <c r="I621" s="10" t="s">
        <v>73</v>
      </c>
      <c r="J621" s="10" t="s">
        <v>73</v>
      </c>
      <c r="K621" s="12" t="s">
        <v>73</v>
      </c>
      <c r="L621" s="10" t="s">
        <v>192</v>
      </c>
      <c r="M621" s="5" t="str">
        <f t="array" ref="M621">Y458</f>
        <v>1ВО::1.1</v>
      </c>
      <c r="AB621" s="403" t="str">
        <f>AB602&amp;".7"</f>
        <v>3.1.1.3.7</v>
      </c>
      <c r="AC621" s="442" t="s">
        <v>352</v>
      </c>
      <c r="AD621" s="32" t="s">
        <v>111</v>
      </c>
      <c r="AE621" s="72">
        <f>AE628</f>
        <v>14441.07</v>
      </c>
      <c r="AF621" s="73">
        <f>AF628</f>
        <v>4969.2299999999996</v>
      </c>
      <c r="AG621" s="73">
        <f>AG628</f>
        <v>5248.99</v>
      </c>
      <c r="AH621" s="74">
        <v>4122.9250000000002</v>
      </c>
      <c r="AI621" s="179">
        <f>AI628</f>
        <v>74.72</v>
      </c>
      <c r="AJ621" s="73">
        <f>AJ628</f>
        <v>0</v>
      </c>
      <c r="AK621" s="73">
        <f>AK628</f>
        <v>77.84</v>
      </c>
      <c r="AL621" s="138">
        <v>0</v>
      </c>
      <c r="AM621" s="72">
        <f>AM628</f>
        <v>0</v>
      </c>
      <c r="AN621" s="73">
        <f>AN628</f>
        <v>0</v>
      </c>
      <c r="AO621" s="73">
        <f>AO628</f>
        <v>0</v>
      </c>
      <c r="AP621" s="138"/>
      <c r="AQ621" s="72">
        <f>AQ628</f>
        <v>9.89</v>
      </c>
      <c r="AR621" s="73">
        <f>AR628</f>
        <v>2.29</v>
      </c>
      <c r="AS621" s="73">
        <f>AS628</f>
        <v>23.540000000000003</v>
      </c>
      <c r="AT621" s="138"/>
      <c r="AU621" s="72">
        <f>AU628</f>
        <v>35.06</v>
      </c>
      <c r="AV621" s="73">
        <f>AV628</f>
        <v>5.52</v>
      </c>
      <c r="AW621" s="73">
        <f>AW628</f>
        <v>151.6</v>
      </c>
      <c r="AX621" s="138"/>
      <c r="AY621" s="72">
        <f>AY628</f>
        <v>32.629999999999995</v>
      </c>
      <c r="AZ621" s="73">
        <f>AZ628</f>
        <v>0</v>
      </c>
      <c r="BA621" s="73">
        <f>BA628</f>
        <v>0</v>
      </c>
      <c r="BB621" s="138"/>
      <c r="BC621" s="72">
        <f>BC628</f>
        <v>139.97699999999998</v>
      </c>
      <c r="BD621" s="73">
        <f>BD628</f>
        <v>0</v>
      </c>
      <c r="BE621" s="73">
        <f>BE628</f>
        <v>239.41099999999997</v>
      </c>
      <c r="BF621" s="774"/>
      <c r="BG621" s="72">
        <f>BG628</f>
        <v>246.98200000000003</v>
      </c>
      <c r="BH621" s="73">
        <f>BH628</f>
        <v>426.02</v>
      </c>
      <c r="BI621" s="73">
        <f>BI628</f>
        <v>472.69100000000003</v>
      </c>
      <c r="BJ621" s="138">
        <f>SUM(BJ622:BJ628)</f>
        <v>443.26528960000002</v>
      </c>
      <c r="BK621" s="72">
        <f>BK628</f>
        <v>217.93000000000004</v>
      </c>
      <c r="BL621" s="73">
        <f>BL628</f>
        <v>176.42000000000002</v>
      </c>
      <c r="BM621" s="73">
        <f>BM628</f>
        <v>529.79999999999995</v>
      </c>
      <c r="BN621" s="138"/>
      <c r="BO621" s="72">
        <f>BO628</f>
        <v>12.760000000000002</v>
      </c>
      <c r="BP621" s="73">
        <f>BP628</f>
        <v>11.43</v>
      </c>
      <c r="BQ621" s="73">
        <f>BQ628</f>
        <v>116.97000000000001</v>
      </c>
      <c r="BR621" s="138"/>
      <c r="BS621" s="72">
        <f>BS628</f>
        <v>241.29500000000002</v>
      </c>
      <c r="BT621" s="73">
        <f>BT628</f>
        <v>111.03</v>
      </c>
      <c r="BU621" s="73">
        <f>BU628</f>
        <v>351.77</v>
      </c>
      <c r="BV621" s="74">
        <f>BV628</f>
        <v>2.5499999999999998</v>
      </c>
      <c r="BY621" s="125">
        <f t="shared" si="238"/>
        <v>15452.313999999998</v>
      </c>
      <c r="BZ621" s="126">
        <f t="shared" si="239"/>
        <v>5701.94</v>
      </c>
      <c r="CA621" s="126">
        <f t="shared" si="240"/>
        <v>7212.612000000001</v>
      </c>
      <c r="CB621" s="127">
        <f t="shared" si="241"/>
        <v>4568.7402896000003</v>
      </c>
    </row>
    <row r="622" spans="1:81" ht="18" customHeight="1" outlineLevel="5" x14ac:dyDescent="0.25">
      <c r="C622" s="10" t="s">
        <v>83</v>
      </c>
      <c r="D622" s="10" t="s">
        <v>84</v>
      </c>
      <c r="E622" s="10" t="s">
        <v>73</v>
      </c>
      <c r="F622" s="10" t="s">
        <v>74</v>
      </c>
      <c r="G622" s="10" t="s">
        <v>353</v>
      </c>
      <c r="H622" s="10" t="s">
        <v>73</v>
      </c>
      <c r="I622" s="10" t="s">
        <v>73</v>
      </c>
      <c r="J622" s="10" t="s">
        <v>73</v>
      </c>
      <c r="K622" s="12" t="s">
        <v>73</v>
      </c>
      <c r="L622" s="10" t="s">
        <v>192</v>
      </c>
      <c r="M622" s="5" t="str">
        <f t="array" ref="M622">Y458</f>
        <v>1ВО::1.1</v>
      </c>
      <c r="AB622" s="403" t="str">
        <f>AB621&amp;".1"</f>
        <v>3.1.1.3.7.1</v>
      </c>
      <c r="AC622" s="444" t="s">
        <v>354</v>
      </c>
      <c r="AD622" s="32" t="s">
        <v>111</v>
      </c>
      <c r="AE622" s="72"/>
      <c r="AF622" s="178"/>
      <c r="AG622" s="178"/>
      <c r="AH622" s="96"/>
      <c r="AI622" s="179"/>
      <c r="AJ622" s="178"/>
      <c r="AK622" s="178"/>
      <c r="AL622" s="181"/>
      <c r="AM622" s="72"/>
      <c r="AN622" s="178"/>
      <c r="AO622" s="178"/>
      <c r="AP622" s="181"/>
      <c r="AQ622" s="72"/>
      <c r="AR622" s="178"/>
      <c r="AS622" s="178"/>
      <c r="AT622" s="181"/>
      <c r="AU622" s="72"/>
      <c r="AV622" s="178"/>
      <c r="AW622" s="178"/>
      <c r="AX622" s="181"/>
      <c r="AY622" s="72"/>
      <c r="AZ622" s="178"/>
      <c r="BA622" s="178"/>
      <c r="BB622" s="181"/>
      <c r="BC622" s="72"/>
      <c r="BD622" s="178"/>
      <c r="BE622" s="178"/>
      <c r="BF622" s="210"/>
      <c r="BG622" s="72"/>
      <c r="BH622" s="178"/>
      <c r="BI622" s="178"/>
      <c r="BJ622" s="181"/>
      <c r="BK622" s="72"/>
      <c r="BL622" s="178"/>
      <c r="BM622" s="178"/>
      <c r="BN622" s="181"/>
      <c r="BO622" s="72"/>
      <c r="BP622" s="178"/>
      <c r="BQ622" s="178"/>
      <c r="BR622" s="181"/>
      <c r="BS622" s="72"/>
      <c r="BT622" s="178"/>
      <c r="BU622" s="178"/>
      <c r="BV622" s="96"/>
      <c r="BY622" s="125">
        <f t="shared" si="238"/>
        <v>0</v>
      </c>
      <c r="BZ622" s="126">
        <f t="shared" si="239"/>
        <v>0</v>
      </c>
      <c r="CA622" s="126">
        <f t="shared" si="240"/>
        <v>0</v>
      </c>
      <c r="CB622" s="127">
        <f t="shared" si="241"/>
        <v>0</v>
      </c>
    </row>
    <row r="623" spans="1:81" ht="28.15" customHeight="1" outlineLevel="5" x14ac:dyDescent="0.25">
      <c r="C623" s="10" t="s">
        <v>83</v>
      </c>
      <c r="D623" s="10" t="s">
        <v>84</v>
      </c>
      <c r="E623" s="10" t="s">
        <v>73</v>
      </c>
      <c r="F623" s="10" t="s">
        <v>74</v>
      </c>
      <c r="G623" s="10" t="s">
        <v>355</v>
      </c>
      <c r="H623" s="10" t="s">
        <v>73</v>
      </c>
      <c r="I623" s="10" t="s">
        <v>73</v>
      </c>
      <c r="J623" s="10" t="s">
        <v>73</v>
      </c>
      <c r="K623" s="12" t="s">
        <v>73</v>
      </c>
      <c r="L623" s="10" t="s">
        <v>192</v>
      </c>
      <c r="M623" s="5" t="str">
        <f t="array" ref="M623">Y458</f>
        <v>1ВО::1.1</v>
      </c>
      <c r="AB623" s="403" t="str">
        <f>AB621&amp;".2"</f>
        <v>3.1.1.3.7.2</v>
      </c>
      <c r="AC623" s="444" t="s">
        <v>356</v>
      </c>
      <c r="AD623" s="32" t="s">
        <v>111</v>
      </c>
      <c r="AE623" s="72"/>
      <c r="AF623" s="178"/>
      <c r="AG623" s="178"/>
      <c r="AH623" s="96"/>
      <c r="AI623" s="179"/>
      <c r="AJ623" s="178"/>
      <c r="AK623" s="178"/>
      <c r="AL623" s="181"/>
      <c r="AM623" s="72"/>
      <c r="AN623" s="178"/>
      <c r="AO623" s="178"/>
      <c r="AP623" s="181"/>
      <c r="AQ623" s="72"/>
      <c r="AR623" s="178"/>
      <c r="AS623" s="178"/>
      <c r="AT623" s="181"/>
      <c r="AU623" s="72"/>
      <c r="AV623" s="178"/>
      <c r="AW623" s="178"/>
      <c r="AX623" s="181"/>
      <c r="AY623" s="72"/>
      <c r="AZ623" s="178"/>
      <c r="BA623" s="178"/>
      <c r="BB623" s="181"/>
      <c r="BC623" s="72"/>
      <c r="BD623" s="178"/>
      <c r="BE623" s="178"/>
      <c r="BF623" s="210"/>
      <c r="BG623" s="72"/>
      <c r="BH623" s="178"/>
      <c r="BI623" s="178"/>
      <c r="BJ623" s="181"/>
      <c r="BK623" s="72"/>
      <c r="BL623" s="178"/>
      <c r="BM623" s="178"/>
      <c r="BN623" s="181"/>
      <c r="BO623" s="72"/>
      <c r="BP623" s="178"/>
      <c r="BQ623" s="178"/>
      <c r="BR623" s="181"/>
      <c r="BS623" s="72"/>
      <c r="BT623" s="178"/>
      <c r="BU623" s="178"/>
      <c r="BV623" s="96"/>
      <c r="BY623" s="125">
        <f t="shared" si="238"/>
        <v>0</v>
      </c>
      <c r="BZ623" s="126">
        <f t="shared" si="239"/>
        <v>0</v>
      </c>
      <c r="CA623" s="126">
        <f t="shared" si="240"/>
        <v>0</v>
      </c>
      <c r="CB623" s="127">
        <f t="shared" si="241"/>
        <v>0</v>
      </c>
    </row>
    <row r="624" spans="1:81" ht="14.85" customHeight="1" outlineLevel="5" x14ac:dyDescent="0.25">
      <c r="C624" s="10" t="s">
        <v>83</v>
      </c>
      <c r="D624" s="10" t="s">
        <v>84</v>
      </c>
      <c r="E624" s="10" t="s">
        <v>73</v>
      </c>
      <c r="F624" s="10" t="s">
        <v>74</v>
      </c>
      <c r="G624" s="10" t="s">
        <v>357</v>
      </c>
      <c r="H624" s="10" t="s">
        <v>73</v>
      </c>
      <c r="I624" s="10" t="s">
        <v>73</v>
      </c>
      <c r="J624" s="10" t="s">
        <v>73</v>
      </c>
      <c r="K624" s="12" t="s">
        <v>73</v>
      </c>
      <c r="L624" s="10" t="s">
        <v>192</v>
      </c>
      <c r="M624" s="5" t="str">
        <f t="array" ref="M624">Y458</f>
        <v>1ВО::1.1</v>
      </c>
      <c r="AB624" s="403" t="str">
        <f>AB621&amp;".3"</f>
        <v>3.1.1.3.7.3</v>
      </c>
      <c r="AC624" s="444" t="s">
        <v>358</v>
      </c>
      <c r="AD624" s="32" t="s">
        <v>111</v>
      </c>
      <c r="AE624" s="72"/>
      <c r="AF624" s="178"/>
      <c r="AG624" s="178"/>
      <c r="AH624" s="96"/>
      <c r="AI624" s="179"/>
      <c r="AJ624" s="178"/>
      <c r="AK624" s="178"/>
      <c r="AL624" s="181"/>
      <c r="AM624" s="72"/>
      <c r="AN624" s="178"/>
      <c r="AO624" s="178"/>
      <c r="AP624" s="181"/>
      <c r="AQ624" s="72"/>
      <c r="AR624" s="178"/>
      <c r="AS624" s="178"/>
      <c r="AT624" s="181"/>
      <c r="AU624" s="72"/>
      <c r="AV624" s="178"/>
      <c r="AW624" s="178"/>
      <c r="AX624" s="181"/>
      <c r="AY624" s="72"/>
      <c r="AZ624" s="178"/>
      <c r="BA624" s="178"/>
      <c r="BB624" s="181"/>
      <c r="BC624" s="72"/>
      <c r="BD624" s="178"/>
      <c r="BE624" s="178"/>
      <c r="BF624" s="210"/>
      <c r="BG624" s="72"/>
      <c r="BH624" s="178"/>
      <c r="BI624" s="178"/>
      <c r="BJ624" s="181"/>
      <c r="BK624" s="72"/>
      <c r="BL624" s="178"/>
      <c r="BM624" s="178"/>
      <c r="BN624" s="181"/>
      <c r="BO624" s="72"/>
      <c r="BP624" s="178"/>
      <c r="BQ624" s="178"/>
      <c r="BR624" s="181"/>
      <c r="BS624" s="72"/>
      <c r="BT624" s="178"/>
      <c r="BU624" s="178"/>
      <c r="BV624" s="96"/>
      <c r="BY624" s="125">
        <f t="shared" si="238"/>
        <v>0</v>
      </c>
      <c r="BZ624" s="126">
        <f t="shared" si="239"/>
        <v>0</v>
      </c>
      <c r="CA624" s="126">
        <f t="shared" si="240"/>
        <v>0</v>
      </c>
      <c r="CB624" s="127">
        <f t="shared" si="241"/>
        <v>0</v>
      </c>
    </row>
    <row r="625" spans="1:81" ht="14.85" customHeight="1" outlineLevel="5" x14ac:dyDescent="0.25">
      <c r="C625" s="10" t="s">
        <v>83</v>
      </c>
      <c r="D625" s="10" t="s">
        <v>84</v>
      </c>
      <c r="E625" s="10" t="s">
        <v>73</v>
      </c>
      <c r="F625" s="10" t="s">
        <v>74</v>
      </c>
      <c r="G625" s="10" t="s">
        <v>359</v>
      </c>
      <c r="H625" s="10" t="s">
        <v>73</v>
      </c>
      <c r="I625" s="10" t="s">
        <v>73</v>
      </c>
      <c r="J625" s="10" t="s">
        <v>73</v>
      </c>
      <c r="K625" s="12" t="s">
        <v>73</v>
      </c>
      <c r="L625" s="10" t="s">
        <v>192</v>
      </c>
      <c r="M625" s="5" t="str">
        <f t="array" ref="M625">Y458</f>
        <v>1ВО::1.1</v>
      </c>
      <c r="AB625" s="403" t="str">
        <f>AB621&amp;".4"</f>
        <v>3.1.1.3.7.4</v>
      </c>
      <c r="AC625" s="444" t="s">
        <v>360</v>
      </c>
      <c r="AD625" s="32" t="s">
        <v>111</v>
      </c>
      <c r="AE625" s="72"/>
      <c r="AF625" s="178"/>
      <c r="AG625" s="178"/>
      <c r="AH625" s="96"/>
      <c r="AI625" s="179"/>
      <c r="AJ625" s="178"/>
      <c r="AK625" s="178"/>
      <c r="AL625" s="181"/>
      <c r="AM625" s="72"/>
      <c r="AN625" s="178"/>
      <c r="AO625" s="178"/>
      <c r="AP625" s="181"/>
      <c r="AQ625" s="72"/>
      <c r="AR625" s="178"/>
      <c r="AS625" s="178"/>
      <c r="AT625" s="181"/>
      <c r="AU625" s="72"/>
      <c r="AV625" s="178"/>
      <c r="AW625" s="178"/>
      <c r="AX625" s="181"/>
      <c r="AY625" s="72"/>
      <c r="AZ625" s="178"/>
      <c r="BA625" s="178"/>
      <c r="BB625" s="181"/>
      <c r="BC625" s="72"/>
      <c r="BD625" s="178"/>
      <c r="BE625" s="178"/>
      <c r="BF625" s="210"/>
      <c r="BG625" s="72"/>
      <c r="BH625" s="178"/>
      <c r="BI625" s="178"/>
      <c r="BJ625" s="181"/>
      <c r="BK625" s="72"/>
      <c r="BL625" s="178"/>
      <c r="BM625" s="178"/>
      <c r="BN625" s="181"/>
      <c r="BO625" s="72"/>
      <c r="BP625" s="178"/>
      <c r="BQ625" s="178"/>
      <c r="BR625" s="181"/>
      <c r="BS625" s="72"/>
      <c r="BT625" s="178"/>
      <c r="BU625" s="178"/>
      <c r="BV625" s="96"/>
      <c r="BY625" s="125">
        <f t="shared" si="238"/>
        <v>0</v>
      </c>
      <c r="BZ625" s="126">
        <f t="shared" si="239"/>
        <v>0</v>
      </c>
      <c r="CA625" s="126">
        <f t="shared" si="240"/>
        <v>0</v>
      </c>
      <c r="CB625" s="127">
        <f t="shared" si="241"/>
        <v>0</v>
      </c>
    </row>
    <row r="626" spans="1:81" ht="14.85" customHeight="1" outlineLevel="5" x14ac:dyDescent="0.25">
      <c r="C626" s="10" t="s">
        <v>83</v>
      </c>
      <c r="D626" s="10" t="s">
        <v>84</v>
      </c>
      <c r="E626" s="10" t="s">
        <v>73</v>
      </c>
      <c r="F626" s="10" t="s">
        <v>74</v>
      </c>
      <c r="G626" s="10" t="s">
        <v>361</v>
      </c>
      <c r="H626" s="10" t="s">
        <v>73</v>
      </c>
      <c r="I626" s="10" t="s">
        <v>73</v>
      </c>
      <c r="J626" s="10" t="s">
        <v>73</v>
      </c>
      <c r="K626" s="12" t="s">
        <v>73</v>
      </c>
      <c r="L626" s="10" t="s">
        <v>192</v>
      </c>
      <c r="M626" s="5" t="str">
        <f t="array" ref="M626">Y458</f>
        <v>1ВО::1.1</v>
      </c>
      <c r="AB626" s="403" t="str">
        <f>AB621&amp;".5"</f>
        <v>3.1.1.3.7.5</v>
      </c>
      <c r="AC626" s="444" t="s">
        <v>362</v>
      </c>
      <c r="AD626" s="32" t="s">
        <v>111</v>
      </c>
      <c r="AE626" s="72"/>
      <c r="AF626" s="178"/>
      <c r="AG626" s="178"/>
      <c r="AH626" s="96"/>
      <c r="AI626" s="179"/>
      <c r="AJ626" s="178"/>
      <c r="AK626" s="178"/>
      <c r="AL626" s="181"/>
      <c r="AM626" s="72"/>
      <c r="AN626" s="178"/>
      <c r="AO626" s="178"/>
      <c r="AP626" s="181"/>
      <c r="AQ626" s="72"/>
      <c r="AR626" s="178"/>
      <c r="AS626" s="178"/>
      <c r="AT626" s="181"/>
      <c r="AU626" s="72"/>
      <c r="AV626" s="178"/>
      <c r="AW626" s="178"/>
      <c r="AX626" s="181"/>
      <c r="AY626" s="72"/>
      <c r="AZ626" s="178"/>
      <c r="BA626" s="178"/>
      <c r="BB626" s="181"/>
      <c r="BC626" s="72"/>
      <c r="BD626" s="178"/>
      <c r="BE626" s="178"/>
      <c r="BF626" s="210"/>
      <c r="BG626" s="72"/>
      <c r="BH626" s="178"/>
      <c r="BI626" s="178"/>
      <c r="BJ626" s="181"/>
      <c r="BK626" s="72"/>
      <c r="BL626" s="178"/>
      <c r="BM626" s="178"/>
      <c r="BN626" s="181"/>
      <c r="BO626" s="72"/>
      <c r="BP626" s="178"/>
      <c r="BQ626" s="178"/>
      <c r="BR626" s="181"/>
      <c r="BS626" s="72"/>
      <c r="BT626" s="178"/>
      <c r="BU626" s="178"/>
      <c r="BV626" s="96"/>
      <c r="BY626" s="125">
        <f t="shared" si="238"/>
        <v>0</v>
      </c>
      <c r="BZ626" s="126">
        <f t="shared" si="239"/>
        <v>0</v>
      </c>
      <c r="CA626" s="126">
        <f t="shared" si="240"/>
        <v>0</v>
      </c>
      <c r="CB626" s="127">
        <f t="shared" si="241"/>
        <v>0</v>
      </c>
    </row>
    <row r="627" spans="1:81" ht="14.85" customHeight="1" outlineLevel="5" x14ac:dyDescent="0.25">
      <c r="C627" s="10" t="s">
        <v>83</v>
      </c>
      <c r="D627" s="10" t="s">
        <v>84</v>
      </c>
      <c r="E627" s="10" t="s">
        <v>73</v>
      </c>
      <c r="F627" s="10" t="s">
        <v>74</v>
      </c>
      <c r="G627" s="10" t="s">
        <v>363</v>
      </c>
      <c r="H627" s="10" t="s">
        <v>73</v>
      </c>
      <c r="I627" s="10" t="s">
        <v>73</v>
      </c>
      <c r="J627" s="10" t="s">
        <v>73</v>
      </c>
      <c r="K627" s="12" t="s">
        <v>73</v>
      </c>
      <c r="L627" s="10" t="s">
        <v>192</v>
      </c>
      <c r="M627" s="5" t="str">
        <f t="array" ref="M627">Y458</f>
        <v>1ВО::1.1</v>
      </c>
      <c r="AB627" s="403" t="str">
        <f>AB621&amp;".6"</f>
        <v>3.1.1.3.7.6</v>
      </c>
      <c r="AC627" s="444" t="s">
        <v>364</v>
      </c>
      <c r="AD627" s="32" t="s">
        <v>111</v>
      </c>
      <c r="AE627" s="72"/>
      <c r="AF627" s="178"/>
      <c r="AG627" s="178"/>
      <c r="AH627" s="96"/>
      <c r="AI627" s="179"/>
      <c r="AJ627" s="178"/>
      <c r="AK627" s="178"/>
      <c r="AL627" s="181"/>
      <c r="AM627" s="72"/>
      <c r="AN627" s="178"/>
      <c r="AO627" s="178"/>
      <c r="AP627" s="181"/>
      <c r="AQ627" s="72"/>
      <c r="AR627" s="178"/>
      <c r="AS627" s="178"/>
      <c r="AT627" s="181"/>
      <c r="AU627" s="72"/>
      <c r="AV627" s="178"/>
      <c r="AW627" s="178"/>
      <c r="AX627" s="181"/>
      <c r="AY627" s="72"/>
      <c r="AZ627" s="178"/>
      <c r="BA627" s="178"/>
      <c r="BB627" s="181"/>
      <c r="BC627" s="72"/>
      <c r="BD627" s="178"/>
      <c r="BE627" s="178"/>
      <c r="BF627" s="210"/>
      <c r="BG627" s="72"/>
      <c r="BH627" s="178"/>
      <c r="BI627" s="178"/>
      <c r="BJ627" s="181"/>
      <c r="BK627" s="72"/>
      <c r="BL627" s="178"/>
      <c r="BM627" s="178"/>
      <c r="BN627" s="181"/>
      <c r="BO627" s="72"/>
      <c r="BP627" s="178"/>
      <c r="BQ627" s="178"/>
      <c r="BR627" s="181"/>
      <c r="BS627" s="72"/>
      <c r="BT627" s="178"/>
      <c r="BU627" s="178"/>
      <c r="BV627" s="96"/>
      <c r="BY627" s="125">
        <f t="shared" si="238"/>
        <v>0</v>
      </c>
      <c r="BZ627" s="126">
        <f t="shared" si="239"/>
        <v>0</v>
      </c>
      <c r="CA627" s="126">
        <f t="shared" si="240"/>
        <v>0</v>
      </c>
      <c r="CB627" s="127">
        <f t="shared" si="241"/>
        <v>0</v>
      </c>
    </row>
    <row r="628" spans="1:81" s="214" customFormat="1" ht="14.85" customHeight="1" outlineLevel="5" x14ac:dyDescent="0.25">
      <c r="A628" s="5"/>
      <c r="B628" s="5"/>
      <c r="C628" s="10" t="s">
        <v>83</v>
      </c>
      <c r="D628" s="10" t="s">
        <v>84</v>
      </c>
      <c r="E628" s="10" t="s">
        <v>73</v>
      </c>
      <c r="F628" s="10" t="s">
        <v>74</v>
      </c>
      <c r="G628" s="10" t="s">
        <v>365</v>
      </c>
      <c r="H628" s="10" t="s">
        <v>73</v>
      </c>
      <c r="I628" s="10" t="s">
        <v>73</v>
      </c>
      <c r="J628" s="10" t="s">
        <v>73</v>
      </c>
      <c r="K628" s="12" t="s">
        <v>73</v>
      </c>
      <c r="L628" s="10" t="s">
        <v>192</v>
      </c>
      <c r="M628" s="5" t="str">
        <f t="array" ref="M628">Y458</f>
        <v>1ВО::1.1</v>
      </c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65" t="str">
        <f>AB621&amp;".7"</f>
        <v>3.1.1.3.7.7</v>
      </c>
      <c r="AC628" s="177" t="s">
        <v>366</v>
      </c>
      <c r="AD628" s="51" t="s">
        <v>111</v>
      </c>
      <c r="AE628" s="72">
        <f t="shared" ref="AE628:AK628" si="242">SUM(AE629:AE638)</f>
        <v>14441.07</v>
      </c>
      <c r="AF628" s="73">
        <f t="shared" si="242"/>
        <v>4969.2299999999996</v>
      </c>
      <c r="AG628" s="73">
        <f t="shared" si="242"/>
        <v>5248.99</v>
      </c>
      <c r="AH628" s="74">
        <f t="shared" si="242"/>
        <v>4122.93</v>
      </c>
      <c r="AI628" s="179">
        <f t="shared" si="242"/>
        <v>74.72</v>
      </c>
      <c r="AJ628" s="73">
        <f t="shared" si="242"/>
        <v>0</v>
      </c>
      <c r="AK628" s="73">
        <f t="shared" si="242"/>
        <v>77.84</v>
      </c>
      <c r="AL628" s="138">
        <v>0</v>
      </c>
      <c r="AM628" s="72">
        <f>SUM(AM629:AM638)</f>
        <v>0</v>
      </c>
      <c r="AN628" s="73">
        <f>SUM(AN629:AN638)</f>
        <v>0</v>
      </c>
      <c r="AO628" s="73">
        <f>SUM(AO629:AO638)</f>
        <v>0</v>
      </c>
      <c r="AP628" s="138"/>
      <c r="AQ628" s="72">
        <f>SUM(AQ629:AQ638)</f>
        <v>9.89</v>
      </c>
      <c r="AR628" s="73">
        <f>SUM(AR629:AR638)</f>
        <v>2.29</v>
      </c>
      <c r="AS628" s="73">
        <f>SUM(AS629:AS638)</f>
        <v>23.540000000000003</v>
      </c>
      <c r="AT628" s="138"/>
      <c r="AU628" s="72">
        <f>SUM(AU629:AU638)</f>
        <v>35.06</v>
      </c>
      <c r="AV628" s="73">
        <f>SUM(AV629:AV638)</f>
        <v>5.52</v>
      </c>
      <c r="AW628" s="73">
        <f>SUM(AW629:AW638)</f>
        <v>151.6</v>
      </c>
      <c r="AX628" s="138"/>
      <c r="AY628" s="72">
        <f>SUM(AY629:AY638)</f>
        <v>32.629999999999995</v>
      </c>
      <c r="AZ628" s="73">
        <f>SUM(AZ629:AZ638)</f>
        <v>0</v>
      </c>
      <c r="BA628" s="73">
        <f>SUM(BA629:BA638)</f>
        <v>0</v>
      </c>
      <c r="BB628" s="138"/>
      <c r="BC628" s="72">
        <f>SUM(BC629:BC638)</f>
        <v>139.97699999999998</v>
      </c>
      <c r="BD628" s="73">
        <f>SUM(BD629:BD638)</f>
        <v>0</v>
      </c>
      <c r="BE628" s="73">
        <f>SUM(BE629:BE638)</f>
        <v>239.41099999999997</v>
      </c>
      <c r="BF628" s="774"/>
      <c r="BG628" s="72">
        <f t="shared" ref="BG628:BM628" si="243">SUM(BG629:BG638)</f>
        <v>246.98200000000003</v>
      </c>
      <c r="BH628" s="73">
        <f t="shared" si="243"/>
        <v>426.02</v>
      </c>
      <c r="BI628" s="73">
        <f t="shared" si="243"/>
        <v>472.69100000000003</v>
      </c>
      <c r="BJ628" s="138">
        <f>SUM(BJ629:BJ638)</f>
        <v>443.26528960000002</v>
      </c>
      <c r="BK628" s="72">
        <f t="shared" si="243"/>
        <v>217.93000000000004</v>
      </c>
      <c r="BL628" s="73">
        <f t="shared" si="243"/>
        <v>176.42000000000002</v>
      </c>
      <c r="BM628" s="73">
        <f t="shared" si="243"/>
        <v>529.79999999999995</v>
      </c>
      <c r="BN628" s="138"/>
      <c r="BO628" s="72">
        <f>SUM(BO629:BO638)</f>
        <v>12.760000000000002</v>
      </c>
      <c r="BP628" s="73">
        <f>SUM(BP629:BP638)</f>
        <v>11.43</v>
      </c>
      <c r="BQ628" s="73">
        <f>SUM(BQ629:BQ638)</f>
        <v>116.97000000000001</v>
      </c>
      <c r="BR628" s="138"/>
      <c r="BS628" s="72">
        <f>SUM(BS629:BS638)</f>
        <v>241.29500000000002</v>
      </c>
      <c r="BT628" s="73">
        <f>SUM(BT629:BT638)</f>
        <v>111.03</v>
      </c>
      <c r="BU628" s="73">
        <f>SUM(BU629:BU638)</f>
        <v>351.77</v>
      </c>
      <c r="BV628" s="74">
        <f>SUM(BV629:BV638)</f>
        <v>2.5499999999999998</v>
      </c>
      <c r="BW628" s="6"/>
      <c r="BX628" s="5"/>
      <c r="BY628" s="125">
        <f t="shared" si="238"/>
        <v>15452.313999999998</v>
      </c>
      <c r="BZ628" s="126">
        <f t="shared" si="239"/>
        <v>5701.94</v>
      </c>
      <c r="CA628" s="126">
        <f t="shared" si="240"/>
        <v>7212.612000000001</v>
      </c>
      <c r="CB628" s="127">
        <f t="shared" si="241"/>
        <v>4568.7452896000004</v>
      </c>
      <c r="CC628" s="739"/>
    </row>
    <row r="629" spans="1:81" s="230" customFormat="1" ht="14.85" customHeight="1" outlineLevel="6" x14ac:dyDescent="0.25">
      <c r="A629" s="215"/>
      <c r="B629" s="215"/>
      <c r="C629" s="216"/>
      <c r="D629" s="216"/>
      <c r="E629" s="216"/>
      <c r="F629" s="216"/>
      <c r="G629" s="216"/>
      <c r="H629" s="216"/>
      <c r="I629" s="216"/>
      <c r="J629" s="216"/>
      <c r="K629" s="217"/>
      <c r="L629" s="216"/>
      <c r="M629" s="215"/>
      <c r="N629" s="215"/>
      <c r="O629" s="215"/>
      <c r="P629" s="215"/>
      <c r="Q629" s="215"/>
      <c r="R629" s="215"/>
      <c r="S629" s="215"/>
      <c r="T629" s="215"/>
      <c r="U629" s="215"/>
      <c r="V629" s="215"/>
      <c r="W629" s="215"/>
      <c r="X629" s="215"/>
      <c r="Y629" s="215"/>
      <c r="Z629" s="215"/>
      <c r="AA629" s="215"/>
      <c r="AB629" s="456"/>
      <c r="AC629" s="219" t="s">
        <v>631</v>
      </c>
      <c r="AD629" s="259" t="s">
        <v>111</v>
      </c>
      <c r="AE629" s="463">
        <v>2213.66</v>
      </c>
      <c r="AF629" s="478">
        <v>2250</v>
      </c>
      <c r="AG629" s="478">
        <v>2435.73</v>
      </c>
      <c r="AH629" s="479">
        <v>2500</v>
      </c>
      <c r="AI629" s="1066"/>
      <c r="AJ629" s="478"/>
      <c r="AK629" s="478"/>
      <c r="AL629" s="480"/>
      <c r="AM629" s="463"/>
      <c r="AN629" s="478"/>
      <c r="AO629" s="478"/>
      <c r="AP629" s="480"/>
      <c r="AQ629" s="463"/>
      <c r="AR629" s="478"/>
      <c r="AS629" s="478"/>
      <c r="AT629" s="480"/>
      <c r="AU629" s="463"/>
      <c r="AV629" s="478">
        <v>5.52</v>
      </c>
      <c r="AW629" s="478"/>
      <c r="AX629" s="480"/>
      <c r="AY629" s="463"/>
      <c r="AZ629" s="478"/>
      <c r="BA629" s="478"/>
      <c r="BB629" s="480"/>
      <c r="BC629" s="463"/>
      <c r="BD629" s="478"/>
      <c r="BE629" s="478"/>
      <c r="BF629" s="984"/>
      <c r="BG629" s="463"/>
      <c r="BH629" s="478"/>
      <c r="BI629" s="478"/>
      <c r="BJ629" s="480"/>
      <c r="BK629" s="463">
        <v>0.12</v>
      </c>
      <c r="BL629" s="478">
        <v>0.15</v>
      </c>
      <c r="BM629" s="875">
        <v>0.15</v>
      </c>
      <c r="BN629" s="481"/>
      <c r="BO629" s="463"/>
      <c r="BP629" s="478"/>
      <c r="BQ629" s="478"/>
      <c r="BR629" s="480"/>
      <c r="BS629" s="463"/>
      <c r="BT629" s="478"/>
      <c r="BU629" s="478"/>
      <c r="BV629" s="479"/>
      <c r="BW629" s="229"/>
      <c r="BX629" s="215"/>
      <c r="BY629" s="125">
        <f t="shared" si="238"/>
        <v>2213.7799999999997</v>
      </c>
      <c r="BZ629" s="126">
        <f t="shared" si="239"/>
        <v>2255.67</v>
      </c>
      <c r="CA629" s="126">
        <f t="shared" si="240"/>
        <v>2435.88</v>
      </c>
      <c r="CB629" s="127">
        <f t="shared" si="241"/>
        <v>2500</v>
      </c>
      <c r="CC629" s="768"/>
    </row>
    <row r="630" spans="1:81" s="246" customFormat="1" ht="14.85" customHeight="1" outlineLevel="6" x14ac:dyDescent="0.25">
      <c r="A630" s="229"/>
      <c r="B630" s="229"/>
      <c r="C630" s="242"/>
      <c r="D630" s="242"/>
      <c r="E630" s="242"/>
      <c r="F630" s="242"/>
      <c r="G630" s="242"/>
      <c r="H630" s="242"/>
      <c r="I630" s="242"/>
      <c r="J630" s="242"/>
      <c r="K630" s="243"/>
      <c r="L630" s="242"/>
      <c r="M630" s="229"/>
      <c r="N630" s="229"/>
      <c r="O630" s="229"/>
      <c r="P630" s="229"/>
      <c r="Q630" s="229"/>
      <c r="R630" s="229"/>
      <c r="S630" s="229"/>
      <c r="T630" s="229"/>
      <c r="U630" s="229"/>
      <c r="V630" s="229"/>
      <c r="W630" s="229"/>
      <c r="X630" s="229"/>
      <c r="Y630" s="229"/>
      <c r="Z630" s="229"/>
      <c r="AA630" s="229"/>
      <c r="AB630" s="456"/>
      <c r="AC630" s="219" t="s">
        <v>632</v>
      </c>
      <c r="AD630" s="259" t="s">
        <v>111</v>
      </c>
      <c r="AE630" s="463">
        <v>1735.34</v>
      </c>
      <c r="AF630" s="478">
        <v>1791.17</v>
      </c>
      <c r="AG630" s="478">
        <v>1832.95</v>
      </c>
      <c r="AH630" s="479">
        <v>1622.93</v>
      </c>
      <c r="AI630" s="179">
        <v>2.42</v>
      </c>
      <c r="AJ630" s="178"/>
      <c r="AK630" s="178">
        <v>2.65</v>
      </c>
      <c r="AL630" s="181">
        <v>0</v>
      </c>
      <c r="AM630" s="463"/>
      <c r="AN630" s="478"/>
      <c r="AO630" s="478"/>
      <c r="AP630" s="480"/>
      <c r="AQ630" s="463">
        <v>2.52</v>
      </c>
      <c r="AR630" s="478"/>
      <c r="AS630" s="478">
        <v>15.48</v>
      </c>
      <c r="AT630" s="480"/>
      <c r="AU630" s="463">
        <v>0.53</v>
      </c>
      <c r="AV630" s="478"/>
      <c r="AW630" s="478">
        <f>15.17+3.42</f>
        <v>18.59</v>
      </c>
      <c r="AX630" s="480"/>
      <c r="AY630" s="463"/>
      <c r="AZ630" s="478"/>
      <c r="BA630" s="478"/>
      <c r="BB630" s="480"/>
      <c r="BC630" s="463">
        <v>32.720999999999997</v>
      </c>
      <c r="BD630" s="478"/>
      <c r="BE630" s="659">
        <v>27.754000000000001</v>
      </c>
      <c r="BF630" s="982"/>
      <c r="BG630" s="463">
        <v>56.984000000000002</v>
      </c>
      <c r="BH630" s="478"/>
      <c r="BI630" s="659">
        <v>114.85299999999999</v>
      </c>
      <c r="BJ630" s="482"/>
      <c r="BK630" s="463">
        <v>98.01</v>
      </c>
      <c r="BL630" s="478">
        <v>96</v>
      </c>
      <c r="BM630" s="875">
        <v>200</v>
      </c>
      <c r="BN630" s="481"/>
      <c r="BO630" s="483"/>
      <c r="BP630" s="484"/>
      <c r="BQ630" s="484">
        <v>1.68</v>
      </c>
      <c r="BR630" s="485"/>
      <c r="BS630" s="483">
        <v>31.684999999999999</v>
      </c>
      <c r="BT630" s="484">
        <v>11</v>
      </c>
      <c r="BU630" s="484">
        <v>39.229999999999997</v>
      </c>
      <c r="BV630" s="486">
        <v>2.5499999999999998</v>
      </c>
      <c r="BW630" s="229"/>
      <c r="BX630" s="229"/>
      <c r="BY630" s="125">
        <f t="shared" si="238"/>
        <v>1960.2099999999998</v>
      </c>
      <c r="BZ630" s="126">
        <f t="shared" si="239"/>
        <v>1898.17</v>
      </c>
      <c r="CA630" s="126">
        <f t="shared" si="240"/>
        <v>2253.1869999999999</v>
      </c>
      <c r="CB630" s="127">
        <f t="shared" si="241"/>
        <v>1625.48</v>
      </c>
      <c r="CC630" s="771"/>
    </row>
    <row r="631" spans="1:81" s="230" customFormat="1" ht="14.85" customHeight="1" outlineLevel="6" x14ac:dyDescent="0.25">
      <c r="A631" s="215"/>
      <c r="B631" s="215"/>
      <c r="C631" s="216"/>
      <c r="D631" s="216"/>
      <c r="E631" s="216"/>
      <c r="F631" s="216"/>
      <c r="G631" s="216"/>
      <c r="H631" s="216"/>
      <c r="I631" s="216"/>
      <c r="J631" s="216"/>
      <c r="K631" s="217"/>
      <c r="L631" s="216"/>
      <c r="M631" s="215"/>
      <c r="N631" s="215"/>
      <c r="O631" s="215"/>
      <c r="P631" s="215"/>
      <c r="Q631" s="215"/>
      <c r="R631" s="215"/>
      <c r="S631" s="215"/>
      <c r="T631" s="215"/>
      <c r="U631" s="215"/>
      <c r="V631" s="215"/>
      <c r="W631" s="215"/>
      <c r="X631" s="215"/>
      <c r="Y631" s="215"/>
      <c r="Z631" s="215"/>
      <c r="AA631" s="215"/>
      <c r="AB631" s="456"/>
      <c r="AC631" s="219" t="s">
        <v>270</v>
      </c>
      <c r="AD631" s="259" t="s">
        <v>111</v>
      </c>
      <c r="AE631" s="463">
        <v>535.04999999999995</v>
      </c>
      <c r="AF631" s="478"/>
      <c r="AG631" s="478"/>
      <c r="AH631" s="479"/>
      <c r="AI631" s="1066"/>
      <c r="AJ631" s="478"/>
      <c r="AK631" s="478"/>
      <c r="AL631" s="480"/>
      <c r="AM631" s="463"/>
      <c r="AN631" s="478"/>
      <c r="AO631" s="478"/>
      <c r="AP631" s="480"/>
      <c r="AQ631" s="463">
        <v>2.42</v>
      </c>
      <c r="AR631" s="478"/>
      <c r="AS631" s="478">
        <v>2.62</v>
      </c>
      <c r="AT631" s="480"/>
      <c r="AU631" s="463">
        <v>2.61</v>
      </c>
      <c r="AV631" s="478"/>
      <c r="AW631" s="478">
        <v>2.82</v>
      </c>
      <c r="AX631" s="480"/>
      <c r="AY631" s="463">
        <v>2.61</v>
      </c>
      <c r="AZ631" s="478"/>
      <c r="BA631" s="478"/>
      <c r="BB631" s="480"/>
      <c r="BC631" s="463">
        <v>2.0470000000000002</v>
      </c>
      <c r="BD631" s="478"/>
      <c r="BE631" s="659">
        <v>2.214</v>
      </c>
      <c r="BF631" s="982"/>
      <c r="BG631" s="463">
        <v>37.779000000000003</v>
      </c>
      <c r="BH631" s="478"/>
      <c r="BI631" s="659">
        <v>40.862000000000002</v>
      </c>
      <c r="BJ631" s="482"/>
      <c r="BK631" s="463">
        <v>35.36</v>
      </c>
      <c r="BL631" s="478">
        <v>34</v>
      </c>
      <c r="BM631" s="875">
        <v>87</v>
      </c>
      <c r="BN631" s="481"/>
      <c r="BO631" s="483">
        <v>0.56000000000000005</v>
      </c>
      <c r="BP631" s="484">
        <v>1.43</v>
      </c>
      <c r="BQ631" s="484">
        <v>0.6</v>
      </c>
      <c r="BR631" s="485"/>
      <c r="BS631" s="483">
        <v>2.0499999999999998</v>
      </c>
      <c r="BT631" s="484">
        <v>2.0299999999999998</v>
      </c>
      <c r="BU631" s="484">
        <v>2.21</v>
      </c>
      <c r="BV631" s="486"/>
      <c r="BW631" s="229"/>
      <c r="BX631" s="215"/>
      <c r="BY631" s="125">
        <f t="shared" si="238"/>
        <v>620.48599999999988</v>
      </c>
      <c r="BZ631" s="126">
        <f t="shared" si="239"/>
        <v>37.46</v>
      </c>
      <c r="CA631" s="126">
        <f t="shared" si="240"/>
        <v>138.32600000000002</v>
      </c>
      <c r="CB631" s="127">
        <f t="shared" si="241"/>
        <v>0</v>
      </c>
      <c r="CC631" s="768"/>
    </row>
    <row r="632" spans="1:81" s="230" customFormat="1" ht="47.25" customHeight="1" outlineLevel="6" x14ac:dyDescent="0.25">
      <c r="A632" s="215"/>
      <c r="B632" s="215"/>
      <c r="C632" s="216"/>
      <c r="D632" s="216"/>
      <c r="E632" s="216"/>
      <c r="F632" s="216"/>
      <c r="G632" s="216"/>
      <c r="H632" s="216"/>
      <c r="I632" s="216"/>
      <c r="J632" s="216"/>
      <c r="K632" s="217"/>
      <c r="L632" s="216"/>
      <c r="M632" s="215"/>
      <c r="N632" s="215"/>
      <c r="O632" s="215"/>
      <c r="P632" s="215"/>
      <c r="Q632" s="215"/>
      <c r="R632" s="215"/>
      <c r="S632" s="215"/>
      <c r="T632" s="215"/>
      <c r="U632" s="215"/>
      <c r="V632" s="215"/>
      <c r="W632" s="215"/>
      <c r="X632" s="215"/>
      <c r="Y632" s="215"/>
      <c r="Z632" s="215"/>
      <c r="AA632" s="215"/>
      <c r="AB632" s="456"/>
      <c r="AC632" s="219" t="s">
        <v>633</v>
      </c>
      <c r="AD632" s="259" t="s">
        <v>111</v>
      </c>
      <c r="AE632" s="463"/>
      <c r="AF632" s="478"/>
      <c r="AG632" s="772"/>
      <c r="AH632" s="261"/>
      <c r="AI632" s="1066"/>
      <c r="AJ632" s="478"/>
      <c r="AK632" s="772"/>
      <c r="AL632" s="487"/>
      <c r="AM632" s="463"/>
      <c r="AN632" s="478"/>
      <c r="AO632" s="772"/>
      <c r="AP632" s="487"/>
      <c r="AQ632" s="463"/>
      <c r="AR632" s="478"/>
      <c r="AS632" s="772"/>
      <c r="AT632" s="487"/>
      <c r="AU632" s="463">
        <v>17.98</v>
      </c>
      <c r="AV632" s="478"/>
      <c r="AW632" s="772">
        <f>1.1+17.97+20.53+28.66</f>
        <v>68.260000000000005</v>
      </c>
      <c r="AX632" s="487"/>
      <c r="AY632" s="463"/>
      <c r="AZ632" s="478"/>
      <c r="BA632" s="772"/>
      <c r="BB632" s="487"/>
      <c r="BC632" s="463">
        <v>32.481000000000002</v>
      </c>
      <c r="BD632" s="478"/>
      <c r="BE632" s="659">
        <f>46.735+82.689</f>
        <v>129.42399999999998</v>
      </c>
      <c r="BF632" s="982"/>
      <c r="BG632" s="463">
        <f>39+55.359+0.4</f>
        <v>94.759000000000015</v>
      </c>
      <c r="BH632" s="478">
        <f>106.85+147.83</f>
        <v>254.68</v>
      </c>
      <c r="BI632" s="659">
        <f>27.564+119.107+0.44</f>
        <v>147.11099999999999</v>
      </c>
      <c r="BJ632" s="482">
        <f>BH632*1.04048</f>
        <v>264.98944640000002</v>
      </c>
      <c r="BK632" s="463">
        <v>30.18</v>
      </c>
      <c r="BL632" s="478">
        <v>30</v>
      </c>
      <c r="BM632" s="875">
        <v>70.14</v>
      </c>
      <c r="BN632" s="481"/>
      <c r="BO632" s="463"/>
      <c r="BP632" s="478"/>
      <c r="BQ632" s="772">
        <f>5.23+78.16</f>
        <v>83.39</v>
      </c>
      <c r="BR632" s="487"/>
      <c r="BS632" s="483">
        <f>20.82+102.62</f>
        <v>123.44</v>
      </c>
      <c r="BT632" s="484">
        <v>50</v>
      </c>
      <c r="BU632" s="772">
        <f>78.16+45</f>
        <v>123.16</v>
      </c>
      <c r="BV632" s="261"/>
      <c r="BW632" s="229"/>
      <c r="BX632" s="215"/>
      <c r="BY632" s="125">
        <f t="shared" si="238"/>
        <v>298.84000000000003</v>
      </c>
      <c r="BZ632" s="126">
        <f t="shared" si="239"/>
        <v>334.68</v>
      </c>
      <c r="CA632" s="126">
        <f t="shared" si="240"/>
        <v>621.4849999999999</v>
      </c>
      <c r="CB632" s="127">
        <f t="shared" si="241"/>
        <v>264.98944640000002</v>
      </c>
      <c r="CC632" s="768"/>
    </row>
    <row r="633" spans="1:81" s="230" customFormat="1" ht="14.85" customHeight="1" outlineLevel="6" x14ac:dyDescent="0.25">
      <c r="A633" s="215"/>
      <c r="B633" s="215"/>
      <c r="C633" s="216"/>
      <c r="D633" s="216"/>
      <c r="E633" s="216"/>
      <c r="F633" s="216"/>
      <c r="G633" s="216"/>
      <c r="H633" s="216"/>
      <c r="I633" s="216"/>
      <c r="J633" s="216"/>
      <c r="K633" s="217"/>
      <c r="L633" s="216"/>
      <c r="M633" s="215"/>
      <c r="N633" s="215"/>
      <c r="O633" s="215"/>
      <c r="P633" s="215"/>
      <c r="Q633" s="215"/>
      <c r="R633" s="215"/>
      <c r="S633" s="215"/>
      <c r="T633" s="215"/>
      <c r="U633" s="215"/>
      <c r="V633" s="215"/>
      <c r="W633" s="215"/>
      <c r="X633" s="215"/>
      <c r="Y633" s="215"/>
      <c r="Z633" s="215"/>
      <c r="AA633" s="215"/>
      <c r="AB633" s="456"/>
      <c r="AC633" s="219" t="s">
        <v>634</v>
      </c>
      <c r="AD633" s="259" t="s">
        <v>111</v>
      </c>
      <c r="AE633" s="463"/>
      <c r="AF633" s="478"/>
      <c r="AG633" s="772"/>
      <c r="AH633" s="261"/>
      <c r="AI633" s="1066"/>
      <c r="AJ633" s="478"/>
      <c r="AK633" s="772"/>
      <c r="AL633" s="487"/>
      <c r="AM633" s="463"/>
      <c r="AN633" s="478"/>
      <c r="AO633" s="772"/>
      <c r="AP633" s="487"/>
      <c r="AQ633" s="463"/>
      <c r="AR633" s="478"/>
      <c r="AS633" s="772"/>
      <c r="AT633" s="487"/>
      <c r="AU633" s="463">
        <v>8.99</v>
      </c>
      <c r="AV633" s="478"/>
      <c r="AW633" s="772">
        <v>9.51</v>
      </c>
      <c r="AX633" s="487"/>
      <c r="AY633" s="463"/>
      <c r="AZ633" s="478"/>
      <c r="BA633" s="772"/>
      <c r="BB633" s="487"/>
      <c r="BC633" s="463">
        <v>1.0349999999999999</v>
      </c>
      <c r="BD633" s="478"/>
      <c r="BE633" s="659">
        <v>1.139</v>
      </c>
      <c r="BF633" s="982"/>
      <c r="BG633" s="463"/>
      <c r="BH633" s="478"/>
      <c r="BI633" s="772"/>
      <c r="BJ633" s="487"/>
      <c r="BK633" s="463">
        <v>17.88</v>
      </c>
      <c r="BL633" s="478">
        <v>16.27</v>
      </c>
      <c r="BM633" s="875">
        <v>20</v>
      </c>
      <c r="BN633" s="481"/>
      <c r="BO633" s="483">
        <v>7.25</v>
      </c>
      <c r="BP633" s="484">
        <v>10</v>
      </c>
      <c r="BQ633" s="772">
        <v>7.98</v>
      </c>
      <c r="BR633" s="487"/>
      <c r="BS633" s="463"/>
      <c r="BT633" s="478"/>
      <c r="BU633" s="772"/>
      <c r="BV633" s="261"/>
      <c r="BW633" s="229"/>
      <c r="BX633" s="215"/>
      <c r="BY633" s="125">
        <f t="shared" si="238"/>
        <v>35.155000000000001</v>
      </c>
      <c r="BZ633" s="126">
        <f t="shared" si="239"/>
        <v>26.27</v>
      </c>
      <c r="CA633" s="126">
        <f t="shared" si="240"/>
        <v>38.629000000000005</v>
      </c>
      <c r="CB633" s="127">
        <f t="shared" si="241"/>
        <v>0</v>
      </c>
      <c r="CC633" s="768"/>
    </row>
    <row r="634" spans="1:81" s="230" customFormat="1" ht="14.85" customHeight="1" outlineLevel="6" x14ac:dyDescent="0.25">
      <c r="A634" s="215"/>
      <c r="B634" s="215"/>
      <c r="C634" s="216"/>
      <c r="D634" s="216"/>
      <c r="E634" s="216"/>
      <c r="F634" s="216"/>
      <c r="G634" s="216"/>
      <c r="H634" s="216"/>
      <c r="I634" s="216"/>
      <c r="J634" s="216"/>
      <c r="K634" s="217"/>
      <c r="L634" s="216"/>
      <c r="M634" s="215"/>
      <c r="N634" s="215"/>
      <c r="O634" s="215"/>
      <c r="P634" s="215"/>
      <c r="Q634" s="215"/>
      <c r="R634" s="215"/>
      <c r="S634" s="215"/>
      <c r="T634" s="215"/>
      <c r="U634" s="215"/>
      <c r="V634" s="215"/>
      <c r="W634" s="215"/>
      <c r="X634" s="215"/>
      <c r="Y634" s="215"/>
      <c r="Z634" s="215"/>
      <c r="AA634" s="215"/>
      <c r="AB634" s="456"/>
      <c r="AC634" s="219" t="s">
        <v>635</v>
      </c>
      <c r="AD634" s="259" t="s">
        <v>111</v>
      </c>
      <c r="AE634" s="463">
        <v>8837.91</v>
      </c>
      <c r="AF634" s="478"/>
      <c r="AG634" s="772"/>
      <c r="AH634" s="261"/>
      <c r="AI634" s="1066"/>
      <c r="AJ634" s="478"/>
      <c r="AK634" s="772"/>
      <c r="AL634" s="487"/>
      <c r="AM634" s="463"/>
      <c r="AN634" s="478"/>
      <c r="AO634" s="772"/>
      <c r="AP634" s="487"/>
      <c r="AQ634" s="463"/>
      <c r="AR634" s="478"/>
      <c r="AS634" s="772"/>
      <c r="AT634" s="487"/>
      <c r="AU634" s="463"/>
      <c r="AV634" s="478"/>
      <c r="AW634" s="772">
        <f>3.99+13.39</f>
        <v>17.380000000000003</v>
      </c>
      <c r="AX634" s="487"/>
      <c r="AY634" s="463"/>
      <c r="AZ634" s="478"/>
      <c r="BA634" s="772"/>
      <c r="BB634" s="487"/>
      <c r="BC634" s="463"/>
      <c r="BD634" s="478"/>
      <c r="BE634" s="772"/>
      <c r="BF634" s="985"/>
      <c r="BG634" s="463"/>
      <c r="BH634" s="478">
        <v>131.83000000000001</v>
      </c>
      <c r="BI634" s="659">
        <v>99.944000000000003</v>
      </c>
      <c r="BJ634" s="482">
        <f>BH634*1.04048</f>
        <v>137.16647840000002</v>
      </c>
      <c r="BK634" s="463">
        <v>11.83</v>
      </c>
      <c r="BL634" s="478"/>
      <c r="BM634" s="875">
        <v>15</v>
      </c>
      <c r="BN634" s="481"/>
      <c r="BO634" s="463"/>
      <c r="BP634" s="478"/>
      <c r="BQ634" s="772">
        <v>17.87</v>
      </c>
      <c r="BR634" s="487"/>
      <c r="BS634" s="483"/>
      <c r="BT634" s="484"/>
      <c r="BU634" s="772">
        <v>54.29</v>
      </c>
      <c r="BV634" s="261"/>
      <c r="BW634" s="229"/>
      <c r="BX634" s="215"/>
      <c r="BY634" s="125">
        <f t="shared" si="238"/>
        <v>8849.74</v>
      </c>
      <c r="BZ634" s="126">
        <f t="shared" si="239"/>
        <v>131.83000000000001</v>
      </c>
      <c r="CA634" s="126">
        <f t="shared" si="240"/>
        <v>204.48400000000001</v>
      </c>
      <c r="CB634" s="127">
        <f t="shared" si="241"/>
        <v>137.16647840000002</v>
      </c>
      <c r="CC634" s="768"/>
    </row>
    <row r="635" spans="1:81" s="246" customFormat="1" ht="14.85" customHeight="1" outlineLevel="6" x14ac:dyDescent="0.25">
      <c r="A635" s="229"/>
      <c r="B635" s="229"/>
      <c r="C635" s="242"/>
      <c r="D635" s="242"/>
      <c r="E635" s="242"/>
      <c r="F635" s="242"/>
      <c r="G635" s="242"/>
      <c r="H635" s="242"/>
      <c r="I635" s="242"/>
      <c r="J635" s="242"/>
      <c r="K635" s="243"/>
      <c r="L635" s="242"/>
      <c r="M635" s="229"/>
      <c r="N635" s="229"/>
      <c r="O635" s="229"/>
      <c r="P635" s="229"/>
      <c r="Q635" s="229"/>
      <c r="R635" s="229"/>
      <c r="S635" s="229"/>
      <c r="T635" s="229"/>
      <c r="U635" s="229"/>
      <c r="V635" s="229"/>
      <c r="W635" s="229"/>
      <c r="X635" s="229"/>
      <c r="Y635" s="229"/>
      <c r="Z635" s="229"/>
      <c r="AA635" s="229"/>
      <c r="AB635" s="456"/>
      <c r="AC635" s="471" t="s">
        <v>636</v>
      </c>
      <c r="AD635" s="259" t="s">
        <v>111</v>
      </c>
      <c r="AE635" s="463"/>
      <c r="AF635" s="478"/>
      <c r="AG635" s="772"/>
      <c r="AH635" s="261"/>
      <c r="AI635" s="1066"/>
      <c r="AJ635" s="478"/>
      <c r="AK635" s="772"/>
      <c r="AL635" s="487"/>
      <c r="AM635" s="463"/>
      <c r="AN635" s="478"/>
      <c r="AO635" s="772"/>
      <c r="AP635" s="487"/>
      <c r="AQ635" s="463"/>
      <c r="AR635" s="478"/>
      <c r="AS635" s="772"/>
      <c r="AT635" s="487"/>
      <c r="AU635" s="463"/>
      <c r="AV635" s="478"/>
      <c r="AW635" s="772"/>
      <c r="AX635" s="487"/>
      <c r="AY635" s="463"/>
      <c r="AZ635" s="478"/>
      <c r="BA635" s="772"/>
      <c r="BB635" s="487"/>
      <c r="BC635" s="463"/>
      <c r="BD635" s="478"/>
      <c r="BE635" s="772"/>
      <c r="BF635" s="985"/>
      <c r="BG635" s="463"/>
      <c r="BH635" s="478"/>
      <c r="BI635" s="772"/>
      <c r="BJ635" s="487"/>
      <c r="BK635" s="463"/>
      <c r="BL635" s="478"/>
      <c r="BM635" s="225"/>
      <c r="BN635" s="227"/>
      <c r="BO635" s="240"/>
      <c r="BP635" s="238"/>
      <c r="BQ635" s="238"/>
      <c r="BR635" s="239"/>
      <c r="BS635" s="240"/>
      <c r="BT635" s="238"/>
      <c r="BU635" s="238"/>
      <c r="BV635" s="241"/>
      <c r="BW635" s="229"/>
      <c r="BX635" s="229"/>
      <c r="BY635" s="125">
        <f t="shared" si="238"/>
        <v>0</v>
      </c>
      <c r="BZ635" s="126">
        <f t="shared" si="239"/>
        <v>0</v>
      </c>
      <c r="CA635" s="126">
        <f t="shared" si="240"/>
        <v>0</v>
      </c>
      <c r="CB635" s="127">
        <f t="shared" si="241"/>
        <v>0</v>
      </c>
      <c r="CC635" s="771"/>
    </row>
    <row r="636" spans="1:81" s="246" customFormat="1" ht="14.85" customHeight="1" outlineLevel="6" x14ac:dyDescent="0.25">
      <c r="A636" s="229"/>
      <c r="B636" s="229"/>
      <c r="C636" s="242"/>
      <c r="D636" s="242"/>
      <c r="E636" s="242"/>
      <c r="F636" s="242"/>
      <c r="G636" s="242"/>
      <c r="H636" s="242"/>
      <c r="I636" s="242"/>
      <c r="J636" s="242"/>
      <c r="K636" s="243"/>
      <c r="L636" s="242"/>
      <c r="M636" s="229"/>
      <c r="N636" s="229"/>
      <c r="O636" s="229"/>
      <c r="P636" s="229"/>
      <c r="Q636" s="229"/>
      <c r="R636" s="229"/>
      <c r="S636" s="229"/>
      <c r="T636" s="229"/>
      <c r="U636" s="229"/>
      <c r="V636" s="229"/>
      <c r="W636" s="229"/>
      <c r="X636" s="229"/>
      <c r="Y636" s="229"/>
      <c r="Z636" s="229"/>
      <c r="AA636" s="229"/>
      <c r="AB636" s="456"/>
      <c r="AC636" s="471" t="s">
        <v>637</v>
      </c>
      <c r="AD636" s="259" t="s">
        <v>111</v>
      </c>
      <c r="AE636" s="463"/>
      <c r="AF636" s="478"/>
      <c r="AG636" s="772"/>
      <c r="AH636" s="261"/>
      <c r="AI636" s="1066"/>
      <c r="AJ636" s="478"/>
      <c r="AK636" s="772"/>
      <c r="AL636" s="487"/>
      <c r="AM636" s="463"/>
      <c r="AN636" s="478"/>
      <c r="AO636" s="772"/>
      <c r="AP636" s="487"/>
      <c r="AQ636" s="488"/>
      <c r="AR636" s="478"/>
      <c r="AS636" s="772"/>
      <c r="AT636" s="487"/>
      <c r="AU636" s="463"/>
      <c r="AV636" s="478"/>
      <c r="AW636" s="772"/>
      <c r="AX636" s="487"/>
      <c r="AY636" s="463"/>
      <c r="AZ636" s="478"/>
      <c r="BA636" s="772"/>
      <c r="BB636" s="487"/>
      <c r="BC636" s="463"/>
      <c r="BD636" s="478"/>
      <c r="BE636" s="772"/>
      <c r="BF636" s="985"/>
      <c r="BG636" s="463"/>
      <c r="BH636" s="478"/>
      <c r="BI636" s="772"/>
      <c r="BJ636" s="487"/>
      <c r="BK636" s="463"/>
      <c r="BL636" s="478"/>
      <c r="BM636" s="875"/>
      <c r="BN636" s="481"/>
      <c r="BO636" s="463"/>
      <c r="BP636" s="478"/>
      <c r="BQ636" s="772"/>
      <c r="BR636" s="487"/>
      <c r="BS636" s="463"/>
      <c r="BT636" s="478"/>
      <c r="BU636" s="772"/>
      <c r="BV636" s="261"/>
      <c r="BW636" s="229"/>
      <c r="BX636" s="229"/>
      <c r="BY636" s="125">
        <f t="shared" si="238"/>
        <v>0</v>
      </c>
      <c r="BZ636" s="126">
        <f t="shared" si="239"/>
        <v>0</v>
      </c>
      <c r="CA636" s="126">
        <f t="shared" si="240"/>
        <v>0</v>
      </c>
      <c r="CB636" s="127">
        <f t="shared" si="241"/>
        <v>0</v>
      </c>
      <c r="CC636" s="771"/>
    </row>
    <row r="637" spans="1:81" s="246" customFormat="1" ht="14.85" customHeight="1" outlineLevel="6" x14ac:dyDescent="0.25">
      <c r="A637" s="229"/>
      <c r="B637" s="229"/>
      <c r="C637" s="242"/>
      <c r="D637" s="242"/>
      <c r="E637" s="242"/>
      <c r="F637" s="242"/>
      <c r="G637" s="242"/>
      <c r="H637" s="242"/>
      <c r="I637" s="242"/>
      <c r="J637" s="242"/>
      <c r="K637" s="243"/>
      <c r="L637" s="242"/>
      <c r="M637" s="229"/>
      <c r="N637" s="229"/>
      <c r="O637" s="229"/>
      <c r="P637" s="229"/>
      <c r="Q637" s="229"/>
      <c r="R637" s="229"/>
      <c r="S637" s="229"/>
      <c r="T637" s="229"/>
      <c r="U637" s="229"/>
      <c r="V637" s="229"/>
      <c r="W637" s="229"/>
      <c r="X637" s="229"/>
      <c r="Y637" s="229"/>
      <c r="Z637" s="229"/>
      <c r="AA637" s="229"/>
      <c r="AB637" s="456"/>
      <c r="AC637" s="219" t="s">
        <v>327</v>
      </c>
      <c r="AD637" s="259" t="s">
        <v>111</v>
      </c>
      <c r="AE637" s="224">
        <v>1119.1099999999999</v>
      </c>
      <c r="AF637" s="225">
        <v>928.06</v>
      </c>
      <c r="AG637" s="225">
        <v>980.31</v>
      </c>
      <c r="AH637" s="226"/>
      <c r="AI637" s="228">
        <v>72.3</v>
      </c>
      <c r="AJ637" s="225"/>
      <c r="AK637" s="225">
        <v>75.19</v>
      </c>
      <c r="AL637" s="227">
        <v>0</v>
      </c>
      <c r="AM637" s="463"/>
      <c r="AN637" s="478"/>
      <c r="AO637" s="772"/>
      <c r="AP637" s="487"/>
      <c r="AQ637" s="463">
        <v>4.95</v>
      </c>
      <c r="AR637" s="478">
        <v>2.29</v>
      </c>
      <c r="AS637" s="772">
        <v>5.44</v>
      </c>
      <c r="AT637" s="487"/>
      <c r="AU637" s="463">
        <v>4.95</v>
      </c>
      <c r="AV637" s="478"/>
      <c r="AW637" s="772">
        <v>35.04</v>
      </c>
      <c r="AX637" s="487"/>
      <c r="AY637" s="463">
        <f>18.15+11.87</f>
        <v>30.019999999999996</v>
      </c>
      <c r="AZ637" s="478"/>
      <c r="BA637" s="772"/>
      <c r="BB637" s="487"/>
      <c r="BC637" s="224">
        <v>71.692999999999998</v>
      </c>
      <c r="BD637" s="225"/>
      <c r="BE637" s="225">
        <v>78.88</v>
      </c>
      <c r="BF637" s="236"/>
      <c r="BG637" s="224">
        <v>57.46</v>
      </c>
      <c r="BH637" s="225">
        <v>39.51</v>
      </c>
      <c r="BI637" s="225">
        <v>69.921000000000006</v>
      </c>
      <c r="BJ637" s="227">
        <f>BH637*1.04048</f>
        <v>41.109364800000002</v>
      </c>
      <c r="BK637" s="463">
        <v>24.55</v>
      </c>
      <c r="BL637" s="478"/>
      <c r="BM637" s="225">
        <f>107.51+30</f>
        <v>137.51</v>
      </c>
      <c r="BN637" s="227"/>
      <c r="BO637" s="240">
        <v>4.95</v>
      </c>
      <c r="BP637" s="238"/>
      <c r="BQ637" s="238">
        <v>5.45</v>
      </c>
      <c r="BR637" s="239"/>
      <c r="BS637" s="240">
        <v>35.799999999999997</v>
      </c>
      <c r="BT637" s="238"/>
      <c r="BU637" s="238">
        <v>79.540000000000006</v>
      </c>
      <c r="BV637" s="241"/>
      <c r="BW637" s="229"/>
      <c r="BX637" s="229"/>
      <c r="BY637" s="125">
        <f t="shared" si="238"/>
        <v>1425.7829999999999</v>
      </c>
      <c r="BZ637" s="126">
        <f t="shared" si="239"/>
        <v>969.8599999999999</v>
      </c>
      <c r="CA637" s="126">
        <f t="shared" si="240"/>
        <v>1467.2810000000002</v>
      </c>
      <c r="CB637" s="127">
        <f t="shared" si="241"/>
        <v>41.109364800000002</v>
      </c>
      <c r="CC637" s="771"/>
    </row>
    <row r="638" spans="1:81" s="230" customFormat="1" ht="14.85" customHeight="1" outlineLevel="6" x14ac:dyDescent="0.25">
      <c r="A638" s="215"/>
      <c r="B638" s="215"/>
      <c r="C638" s="216"/>
      <c r="D638" s="216"/>
      <c r="E638" s="216"/>
      <c r="F638" s="216"/>
      <c r="G638" s="216"/>
      <c r="H638" s="216"/>
      <c r="I638" s="216"/>
      <c r="J638" s="216"/>
      <c r="K638" s="217"/>
      <c r="L638" s="216"/>
      <c r="M638" s="215"/>
      <c r="N638" s="215"/>
      <c r="O638" s="215"/>
      <c r="P638" s="215"/>
      <c r="Q638" s="215"/>
      <c r="R638" s="215"/>
      <c r="S638" s="215"/>
      <c r="T638" s="215"/>
      <c r="U638" s="215"/>
      <c r="V638" s="215"/>
      <c r="W638" s="215"/>
      <c r="X638" s="215"/>
      <c r="Y638" s="215"/>
      <c r="Z638" s="215"/>
      <c r="AA638" s="215"/>
      <c r="AB638" s="456"/>
      <c r="AC638" s="219" t="s">
        <v>638</v>
      </c>
      <c r="AD638" s="259" t="s">
        <v>111</v>
      </c>
      <c r="AE638" s="483"/>
      <c r="AF638" s="484"/>
      <c r="AG638" s="772"/>
      <c r="AH638" s="261"/>
      <c r="AI638" s="1067"/>
      <c r="AJ638" s="484"/>
      <c r="AK638" s="772"/>
      <c r="AL638" s="487"/>
      <c r="AM638" s="483"/>
      <c r="AN638" s="484"/>
      <c r="AO638" s="772"/>
      <c r="AP638" s="487"/>
      <c r="AQ638" s="483"/>
      <c r="AR638" s="484"/>
      <c r="AS638" s="772"/>
      <c r="AT638" s="487"/>
      <c r="AU638" s="483"/>
      <c r="AV638" s="484"/>
      <c r="AW638" s="772"/>
      <c r="AX638" s="487"/>
      <c r="AY638" s="483"/>
      <c r="AZ638" s="484"/>
      <c r="BA638" s="772"/>
      <c r="BB638" s="487"/>
      <c r="BC638" s="483"/>
      <c r="BD638" s="484"/>
      <c r="BE638" s="772"/>
      <c r="BF638" s="985"/>
      <c r="BG638" s="483"/>
      <c r="BH638" s="484"/>
      <c r="BI638" s="772"/>
      <c r="BJ638" s="487"/>
      <c r="BK638" s="483"/>
      <c r="BL638" s="484"/>
      <c r="BM638" s="772"/>
      <c r="BN638" s="487"/>
      <c r="BO638" s="483"/>
      <c r="BP638" s="484"/>
      <c r="BQ638" s="772"/>
      <c r="BR638" s="487"/>
      <c r="BS638" s="483">
        <v>48.32</v>
      </c>
      <c r="BT638" s="484">
        <v>48</v>
      </c>
      <c r="BU638" s="772">
        <v>53.34</v>
      </c>
      <c r="BV638" s="261"/>
      <c r="BW638" s="229"/>
      <c r="BX638" s="215"/>
      <c r="BY638" s="125">
        <f t="shared" si="238"/>
        <v>48.32</v>
      </c>
      <c r="BZ638" s="126">
        <f t="shared" si="239"/>
        <v>48</v>
      </c>
      <c r="CA638" s="126">
        <f t="shared" si="240"/>
        <v>53.34</v>
      </c>
      <c r="CB638" s="127">
        <f t="shared" si="241"/>
        <v>0</v>
      </c>
      <c r="CC638" s="768"/>
    </row>
    <row r="639" spans="1:81" s="171" customFormat="1" ht="22.5" customHeight="1" outlineLevel="3" x14ac:dyDescent="0.25">
      <c r="A639" s="166"/>
      <c r="B639" s="166"/>
      <c r="C639" s="167" t="s">
        <v>83</v>
      </c>
      <c r="D639" s="167" t="s">
        <v>84</v>
      </c>
      <c r="E639" s="167" t="s">
        <v>73</v>
      </c>
      <c r="F639" s="167" t="s">
        <v>74</v>
      </c>
      <c r="G639" s="167" t="s">
        <v>388</v>
      </c>
      <c r="H639" s="167" t="s">
        <v>73</v>
      </c>
      <c r="I639" s="167" t="s">
        <v>73</v>
      </c>
      <c r="J639" s="167" t="s">
        <v>73</v>
      </c>
      <c r="K639" s="168" t="s">
        <v>73</v>
      </c>
      <c r="L639" s="167" t="s">
        <v>192</v>
      </c>
      <c r="M639" s="166" t="str">
        <f t="array" ref="M639">Y458</f>
        <v>1ВО::1.1</v>
      </c>
      <c r="N639" s="166"/>
      <c r="O639" s="166"/>
      <c r="P639" s="166"/>
      <c r="Q639" s="166"/>
      <c r="R639" s="166"/>
      <c r="S639" s="166"/>
      <c r="T639" s="166"/>
      <c r="U639" s="166"/>
      <c r="V639" s="166"/>
      <c r="W639" s="166"/>
      <c r="X639" s="166"/>
      <c r="Y639" s="166"/>
      <c r="Z639" s="166"/>
      <c r="AA639" s="166"/>
      <c r="AB639" s="429" t="str">
        <f>AB509&amp;".4"</f>
        <v>3.1.1.4</v>
      </c>
      <c r="AC639" s="474" t="s">
        <v>389</v>
      </c>
      <c r="AD639" s="431" t="s">
        <v>111</v>
      </c>
      <c r="AE639" s="476">
        <f t="shared" ref="AE639:AK639" si="244">SUM(AE640:AE642)+SUM(AE648:AE652)</f>
        <v>64022.220758000003</v>
      </c>
      <c r="AF639" s="433">
        <f t="shared" si="244"/>
        <v>61762.709999999992</v>
      </c>
      <c r="AG639" s="433">
        <f t="shared" si="244"/>
        <v>74183.263999999996</v>
      </c>
      <c r="AH639" s="490">
        <f t="shared" si="244"/>
        <v>62189.830679999992</v>
      </c>
      <c r="AI639" s="475">
        <f t="shared" si="244"/>
        <v>0</v>
      </c>
      <c r="AJ639" s="433">
        <f t="shared" si="244"/>
        <v>0</v>
      </c>
      <c r="AK639" s="433">
        <f t="shared" si="244"/>
        <v>0</v>
      </c>
      <c r="AL639" s="477">
        <v>0</v>
      </c>
      <c r="AM639" s="476">
        <f>SUM(AM640:AM642)+SUM(AM648:AM652)</f>
        <v>0</v>
      </c>
      <c r="AN639" s="433">
        <f>SUM(AN640:AN642)+SUM(AN648:AN652)</f>
        <v>0</v>
      </c>
      <c r="AO639" s="433">
        <f>SUM(AO640:AO642)+SUM(AO648:AO652)</f>
        <v>0</v>
      </c>
      <c r="AP639" s="477"/>
      <c r="AQ639" s="476">
        <f t="shared" ref="AQ639:BV639" si="245">SUM(AQ640:AQ642)+SUM(AQ648:AQ652)</f>
        <v>2039.8899999999999</v>
      </c>
      <c r="AR639" s="433">
        <f t="shared" si="245"/>
        <v>41.8</v>
      </c>
      <c r="AS639" s="433">
        <f t="shared" si="245"/>
        <v>2279.3999999999996</v>
      </c>
      <c r="AT639" s="477">
        <f t="shared" si="245"/>
        <v>2544.3603699999999</v>
      </c>
      <c r="AU639" s="476">
        <f t="shared" si="245"/>
        <v>2276.0099999999998</v>
      </c>
      <c r="AV639" s="433">
        <f t="shared" si="245"/>
        <v>0</v>
      </c>
      <c r="AW639" s="433">
        <f t="shared" si="245"/>
        <v>2985.3399999999997</v>
      </c>
      <c r="AX639" s="477">
        <f t="shared" si="245"/>
        <v>2807.7265280000001</v>
      </c>
      <c r="AY639" s="476">
        <f t="shared" si="245"/>
        <v>1812.04</v>
      </c>
      <c r="AZ639" s="433">
        <f t="shared" si="245"/>
        <v>5167.84</v>
      </c>
      <c r="BA639" s="433">
        <f t="shared" si="245"/>
        <v>5384.89</v>
      </c>
      <c r="BB639" s="477">
        <f t="shared" si="245"/>
        <v>5377.0896914129999</v>
      </c>
      <c r="BC639" s="476">
        <f t="shared" si="245"/>
        <v>2369.597976</v>
      </c>
      <c r="BD639" s="876">
        <f t="shared" si="245"/>
        <v>0</v>
      </c>
      <c r="BE639" s="433">
        <f t="shared" si="245"/>
        <v>2509.559968</v>
      </c>
      <c r="BF639" s="983">
        <f t="shared" si="245"/>
        <v>2335.808912</v>
      </c>
      <c r="BG639" s="476">
        <f t="shared" si="245"/>
        <v>3891.1012059999994</v>
      </c>
      <c r="BH639" s="433">
        <f t="shared" si="245"/>
        <v>4735.7429400000001</v>
      </c>
      <c r="BI639" s="433">
        <f t="shared" si="245"/>
        <v>4931.6833160000006</v>
      </c>
      <c r="BJ639" s="477">
        <f t="shared" si="245"/>
        <v>4927.4458142111998</v>
      </c>
      <c r="BK639" s="476">
        <f t="shared" si="245"/>
        <v>5710.3760600000005</v>
      </c>
      <c r="BL639" s="433">
        <f t="shared" si="245"/>
        <v>601.6</v>
      </c>
      <c r="BM639" s="433">
        <f t="shared" si="245"/>
        <v>6283.9344000000001</v>
      </c>
      <c r="BN639" s="477">
        <f t="shared" si="245"/>
        <v>5358.7262600000004</v>
      </c>
      <c r="BO639" s="476">
        <f t="shared" si="245"/>
        <v>313.79399999999998</v>
      </c>
      <c r="BP639" s="433">
        <f t="shared" si="245"/>
        <v>44.36</v>
      </c>
      <c r="BQ639" s="433">
        <f t="shared" si="245"/>
        <v>372.46000000000004</v>
      </c>
      <c r="BR639" s="477">
        <f t="shared" si="245"/>
        <v>365.47638799999999</v>
      </c>
      <c r="BS639" s="476">
        <f t="shared" si="245"/>
        <v>1881.2800000000002</v>
      </c>
      <c r="BT639" s="433">
        <f t="shared" si="245"/>
        <v>134.19</v>
      </c>
      <c r="BU639" s="433">
        <f t="shared" si="245"/>
        <v>1658.83</v>
      </c>
      <c r="BV639" s="490">
        <f t="shared" si="245"/>
        <v>2077.0605300000002</v>
      </c>
      <c r="BW639" s="170"/>
      <c r="BX639" s="166"/>
      <c r="BY639" s="436">
        <f t="shared" si="238"/>
        <v>84316.309999999983</v>
      </c>
      <c r="BZ639" s="437">
        <f t="shared" si="239"/>
        <v>72488.242939999996</v>
      </c>
      <c r="CA639" s="437">
        <f t="shared" si="240"/>
        <v>100589.36168399999</v>
      </c>
      <c r="CB639" s="438">
        <f t="shared" si="241"/>
        <v>87983.525173624177</v>
      </c>
      <c r="CC639" s="760"/>
    </row>
    <row r="640" spans="1:81" ht="43.5" customHeight="1" outlineLevel="4" x14ac:dyDescent="0.25">
      <c r="C640" s="10" t="s">
        <v>83</v>
      </c>
      <c r="D640" s="10" t="s">
        <v>84</v>
      </c>
      <c r="E640" s="10" t="s">
        <v>73</v>
      </c>
      <c r="F640" s="10" t="s">
        <v>74</v>
      </c>
      <c r="G640" s="10" t="s">
        <v>390</v>
      </c>
      <c r="H640" s="10" t="s">
        <v>73</v>
      </c>
      <c r="I640" s="10" t="s">
        <v>73</v>
      </c>
      <c r="J640" s="10" t="s">
        <v>73</v>
      </c>
      <c r="K640" s="12" t="s">
        <v>73</v>
      </c>
      <c r="L640" s="10" t="s">
        <v>73</v>
      </c>
      <c r="M640" s="5" t="str">
        <f t="array" ref="M640">Y458</f>
        <v>1ВО::1.1</v>
      </c>
      <c r="AB640" s="403" t="str">
        <f>AB639&amp;".1"</f>
        <v>3.1.1.4.1</v>
      </c>
      <c r="AC640" s="442" t="s">
        <v>390</v>
      </c>
      <c r="AD640" s="32" t="s">
        <v>111</v>
      </c>
      <c r="AE640" s="95"/>
      <c r="AF640" s="178"/>
      <c r="AG640" s="178"/>
      <c r="AH640" s="96"/>
      <c r="AI640" s="187"/>
      <c r="AJ640" s="178"/>
      <c r="AK640" s="178"/>
      <c r="AL640" s="181"/>
      <c r="AM640" s="95"/>
      <c r="AN640" s="178"/>
      <c r="AO640" s="178"/>
      <c r="AP640" s="181"/>
      <c r="AQ640" s="95"/>
      <c r="AR640" s="178"/>
      <c r="AS640" s="178"/>
      <c r="AT640" s="181"/>
      <c r="AU640" s="95"/>
      <c r="AV640" s="178"/>
      <c r="AW640" s="178"/>
      <c r="AX640" s="181"/>
      <c r="AY640" s="95"/>
      <c r="AZ640" s="178"/>
      <c r="BA640" s="178"/>
      <c r="BB640" s="181"/>
      <c r="BC640" s="95"/>
      <c r="BD640" s="178"/>
      <c r="BE640" s="178"/>
      <c r="BF640" s="210"/>
      <c r="BG640" s="95"/>
      <c r="BH640" s="178"/>
      <c r="BI640" s="178"/>
      <c r="BJ640" s="181"/>
      <c r="BK640" s="95"/>
      <c r="BL640" s="178"/>
      <c r="BM640" s="178"/>
      <c r="BN640" s="181"/>
      <c r="BO640" s="95"/>
      <c r="BP640" s="178"/>
      <c r="BQ640" s="178"/>
      <c r="BR640" s="181"/>
      <c r="BS640" s="95"/>
      <c r="BT640" s="178"/>
      <c r="BU640" s="178"/>
      <c r="BV640" s="96"/>
      <c r="BY640" s="125">
        <f t="shared" si="238"/>
        <v>0</v>
      </c>
      <c r="BZ640" s="126">
        <f t="shared" si="239"/>
        <v>0</v>
      </c>
      <c r="CA640" s="126">
        <f t="shared" si="240"/>
        <v>0</v>
      </c>
      <c r="CB640" s="127">
        <f t="shared" si="241"/>
        <v>0</v>
      </c>
    </row>
    <row r="641" spans="1:81" ht="41.25" customHeight="1" outlineLevel="4" x14ac:dyDescent="0.25">
      <c r="C641" s="10" t="s">
        <v>83</v>
      </c>
      <c r="D641" s="10" t="s">
        <v>84</v>
      </c>
      <c r="E641" s="10" t="s">
        <v>73</v>
      </c>
      <c r="F641" s="10" t="s">
        <v>74</v>
      </c>
      <c r="G641" s="10" t="s">
        <v>391</v>
      </c>
      <c r="H641" s="10" t="s">
        <v>73</v>
      </c>
      <c r="I641" s="10" t="s">
        <v>73</v>
      </c>
      <c r="J641" s="10" t="s">
        <v>73</v>
      </c>
      <c r="K641" s="12" t="s">
        <v>73</v>
      </c>
      <c r="L641" s="10" t="s">
        <v>73</v>
      </c>
      <c r="M641" s="5" t="str">
        <f t="array" ref="M641">Y458</f>
        <v>1ВО::1.1</v>
      </c>
      <c r="AB641" s="403" t="str">
        <f>AB639&amp;".2"</f>
        <v>3.1.1.4.2</v>
      </c>
      <c r="AC641" s="442" t="s">
        <v>391</v>
      </c>
      <c r="AD641" s="32" t="s">
        <v>111</v>
      </c>
      <c r="AE641" s="95"/>
      <c r="AF641" s="178"/>
      <c r="AG641" s="178"/>
      <c r="AH641" s="96"/>
      <c r="AI641" s="187"/>
      <c r="AJ641" s="178"/>
      <c r="AK641" s="178"/>
      <c r="AL641" s="181"/>
      <c r="AM641" s="95"/>
      <c r="AN641" s="178"/>
      <c r="AO641" s="178"/>
      <c r="AP641" s="181"/>
      <c r="AQ641" s="95"/>
      <c r="AR641" s="178"/>
      <c r="AS641" s="178"/>
      <c r="AT641" s="181"/>
      <c r="AU641" s="95"/>
      <c r="AV641" s="178"/>
      <c r="AW641" s="178"/>
      <c r="AX641" s="181"/>
      <c r="AY641" s="95"/>
      <c r="AZ641" s="178"/>
      <c r="BA641" s="178"/>
      <c r="BB641" s="181"/>
      <c r="BC641" s="95"/>
      <c r="BD641" s="178"/>
      <c r="BE641" s="178"/>
      <c r="BF641" s="210"/>
      <c r="BG641" s="95"/>
      <c r="BH641" s="178"/>
      <c r="BI641" s="178"/>
      <c r="BJ641" s="181"/>
      <c r="BK641" s="95"/>
      <c r="BL641" s="178"/>
      <c r="BM641" s="178"/>
      <c r="BN641" s="181"/>
      <c r="BO641" s="95"/>
      <c r="BP641" s="178"/>
      <c r="BQ641" s="178"/>
      <c r="BR641" s="181"/>
      <c r="BS641" s="95"/>
      <c r="BT641" s="178"/>
      <c r="BU641" s="178"/>
      <c r="BV641" s="96"/>
      <c r="BY641" s="125">
        <f t="shared" si="238"/>
        <v>0</v>
      </c>
      <c r="BZ641" s="126">
        <f t="shared" si="239"/>
        <v>0</v>
      </c>
      <c r="CA641" s="126">
        <f t="shared" si="240"/>
        <v>0</v>
      </c>
      <c r="CB641" s="127">
        <f t="shared" si="241"/>
        <v>0</v>
      </c>
    </row>
    <row r="642" spans="1:81" ht="65.25" customHeight="1" outlineLevel="4" x14ac:dyDescent="0.25">
      <c r="C642" s="10" t="s">
        <v>83</v>
      </c>
      <c r="D642" s="10" t="s">
        <v>84</v>
      </c>
      <c r="E642" s="10" t="s">
        <v>73</v>
      </c>
      <c r="F642" s="10" t="s">
        <v>74</v>
      </c>
      <c r="G642" s="10" t="s">
        <v>201</v>
      </c>
      <c r="H642" s="10" t="s">
        <v>392</v>
      </c>
      <c r="I642" s="10" t="s">
        <v>73</v>
      </c>
      <c r="J642" s="10" t="s">
        <v>73</v>
      </c>
      <c r="K642" s="12" t="s">
        <v>73</v>
      </c>
      <c r="L642" s="10" t="s">
        <v>73</v>
      </c>
      <c r="M642" s="5" t="str">
        <f t="array" ref="M642">Y458</f>
        <v>1ВО::1.1</v>
      </c>
      <c r="AB642" s="403" t="str">
        <f>AB639&amp;".3"</f>
        <v>3.1.1.4.3</v>
      </c>
      <c r="AC642" s="442" t="s">
        <v>393</v>
      </c>
      <c r="AD642" s="32" t="s">
        <v>111</v>
      </c>
      <c r="AE642" s="72">
        <f>AE643+AE646</f>
        <v>48405.142758000002</v>
      </c>
      <c r="AF642" s="178">
        <f>12800.06+39311.63</f>
        <v>52111.689999999995</v>
      </c>
      <c r="AG642" s="178">
        <v>55045.47</v>
      </c>
      <c r="AH642" s="96">
        <f>AH643+AH646</f>
        <v>51740.620679999993</v>
      </c>
      <c r="AI642" s="179">
        <f>AI643+AI646</f>
        <v>0</v>
      </c>
      <c r="AJ642" s="73">
        <f>AJ643+AJ646</f>
        <v>0</v>
      </c>
      <c r="AK642" s="73">
        <f>AK643+AK646</f>
        <v>0</v>
      </c>
      <c r="AL642" s="138">
        <v>0</v>
      </c>
      <c r="AM642" s="72"/>
      <c r="AN642" s="178"/>
      <c r="AO642" s="178"/>
      <c r="AP642" s="181"/>
      <c r="AQ642" s="72">
        <f>AQ643+AQ646</f>
        <v>1981.11</v>
      </c>
      <c r="AR642" s="178"/>
      <c r="AS642" s="178">
        <v>2196.2399999999998</v>
      </c>
      <c r="AT642" s="181">
        <f t="shared" ref="AT642:BC642" si="246">AT643+AT646</f>
        <v>2496.5003699999997</v>
      </c>
      <c r="AU642" s="72">
        <f t="shared" si="246"/>
        <v>2124.9699999999998</v>
      </c>
      <c r="AV642" s="73">
        <f t="shared" si="246"/>
        <v>0</v>
      </c>
      <c r="AW642" s="73">
        <f t="shared" si="246"/>
        <v>2781.8999999999996</v>
      </c>
      <c r="AX642" s="138">
        <f t="shared" si="246"/>
        <v>2677.7765280000003</v>
      </c>
      <c r="AY642" s="72">
        <f t="shared" si="246"/>
        <v>1573.48</v>
      </c>
      <c r="AZ642" s="73">
        <f t="shared" si="246"/>
        <v>5011.8500000000004</v>
      </c>
      <c r="BA642" s="73">
        <f t="shared" si="246"/>
        <v>3221.15</v>
      </c>
      <c r="BB642" s="138">
        <f t="shared" si="246"/>
        <v>5214.7836563129995</v>
      </c>
      <c r="BC642" s="72">
        <f t="shared" si="246"/>
        <v>1773.0479760000001</v>
      </c>
      <c r="BD642" s="178"/>
      <c r="BE642" s="178">
        <f t="shared" ref="BE642:BO642" si="247">BE643+BE646</f>
        <v>1836.319968</v>
      </c>
      <c r="BF642" s="210">
        <f t="shared" si="247"/>
        <v>2234.3049120000001</v>
      </c>
      <c r="BG642" s="72">
        <f t="shared" si="247"/>
        <v>2761.7412059999997</v>
      </c>
      <c r="BH642" s="178">
        <f t="shared" si="247"/>
        <v>2917.7429399999996</v>
      </c>
      <c r="BI642" s="178">
        <f t="shared" si="247"/>
        <v>3058.343316</v>
      </c>
      <c r="BJ642" s="181">
        <f t="shared" si="247"/>
        <v>3035.8531742112</v>
      </c>
      <c r="BK642" s="72">
        <f t="shared" si="247"/>
        <v>3850.3160600000001</v>
      </c>
      <c r="BL642" s="73">
        <f t="shared" si="247"/>
        <v>0</v>
      </c>
      <c r="BM642" s="73">
        <f t="shared" si="247"/>
        <v>4236.58</v>
      </c>
      <c r="BN642" s="210">
        <f t="shared" si="247"/>
        <v>4704.9462600000006</v>
      </c>
      <c r="BO642" s="142">
        <f t="shared" si="247"/>
        <v>255.3</v>
      </c>
      <c r="BP642" s="183"/>
      <c r="BQ642" s="183">
        <v>301.56</v>
      </c>
      <c r="BR642" s="184">
        <f>BR643+BR646</f>
        <v>321.71638799999999</v>
      </c>
      <c r="BS642" s="142">
        <f>BS643+BS646</f>
        <v>1545.1850000000002</v>
      </c>
      <c r="BT642" s="183"/>
      <c r="BU642" s="183">
        <v>1278.33</v>
      </c>
      <c r="BV642" s="186">
        <f>BV643+BV646</f>
        <v>1947.1605300000001</v>
      </c>
      <c r="BY642" s="125">
        <f t="shared" si="238"/>
        <v>64270.293000000005</v>
      </c>
      <c r="BZ642" s="126">
        <f t="shared" si="239"/>
        <v>60041.28293999999</v>
      </c>
      <c r="CA642" s="126">
        <f t="shared" si="240"/>
        <v>73955.893284000005</v>
      </c>
      <c r="CB642" s="127">
        <f t="shared" si="241"/>
        <v>74373.66249852418</v>
      </c>
    </row>
    <row r="643" spans="1:81" ht="14.25" customHeight="1" outlineLevel="4" x14ac:dyDescent="0.25">
      <c r="C643" s="10" t="s">
        <v>394</v>
      </c>
      <c r="D643" s="10" t="s">
        <v>84</v>
      </c>
      <c r="F643" s="10" t="s">
        <v>74</v>
      </c>
      <c r="G643" s="77" t="str">
        <f t="array" ref="G643">AC643</f>
        <v>Заработная плата всего</v>
      </c>
      <c r="H643" s="10" t="s">
        <v>73</v>
      </c>
      <c r="I643" s="10" t="s">
        <v>73</v>
      </c>
      <c r="J643" s="10" t="s">
        <v>73</v>
      </c>
      <c r="L643" s="10" t="s">
        <v>73</v>
      </c>
      <c r="M643" s="5" t="str">
        <f t="array" ref="M643">Y458</f>
        <v>1ВО::1.1</v>
      </c>
      <c r="AB643" s="403" t="str">
        <f>AB642&amp;".1"</f>
        <v>3.1.1.4.3.1</v>
      </c>
      <c r="AC643" s="444" t="s">
        <v>395</v>
      </c>
      <c r="AD643" s="32" t="s">
        <v>111</v>
      </c>
      <c r="AE643" s="95">
        <v>37177.529000000002</v>
      </c>
      <c r="AF643" s="178">
        <v>39311.360000000001</v>
      </c>
      <c r="AG643" s="178">
        <v>41524.51</v>
      </c>
      <c r="AH643" s="96">
        <v>39739.339999999997</v>
      </c>
      <c r="AI643" s="187"/>
      <c r="AJ643" s="178"/>
      <c r="AK643" s="178"/>
      <c r="AL643" s="181"/>
      <c r="AM643" s="95"/>
      <c r="AN643" s="178"/>
      <c r="AO643" s="178"/>
      <c r="AP643" s="181"/>
      <c r="AQ643" s="95">
        <v>1521.59</v>
      </c>
      <c r="AR643" s="178"/>
      <c r="AS643" s="178">
        <v>1686.82</v>
      </c>
      <c r="AT643" s="181">
        <v>1917.4349999999999</v>
      </c>
      <c r="AU643" s="95">
        <v>1632.08</v>
      </c>
      <c r="AV643" s="178"/>
      <c r="AW643" s="178">
        <v>2136.64</v>
      </c>
      <c r="AX643" s="181">
        <v>2056.6640000000002</v>
      </c>
      <c r="AY643" s="95">
        <v>1208.51</v>
      </c>
      <c r="AZ643" s="178">
        <v>3849.35</v>
      </c>
      <c r="BA643" s="178">
        <v>2474</v>
      </c>
      <c r="BB643" s="181">
        <f>AZ643*1.04049</f>
        <v>4005.2101814999996</v>
      </c>
      <c r="BC643" s="95">
        <v>1361.788</v>
      </c>
      <c r="BD643" s="178"/>
      <c r="BE643" s="178">
        <v>1410.384</v>
      </c>
      <c r="BF643" s="210">
        <v>1716.056</v>
      </c>
      <c r="BG643" s="95">
        <v>2121.1529999999998</v>
      </c>
      <c r="BH643" s="178">
        <v>2240.9699999999998</v>
      </c>
      <c r="BI643" s="178">
        <v>2348.9580000000001</v>
      </c>
      <c r="BJ643" s="181">
        <f>BH643*1.04048</f>
        <v>2331.6844655999998</v>
      </c>
      <c r="BK643" s="95">
        <v>2957.232</v>
      </c>
      <c r="BL643" s="178"/>
      <c r="BM643" s="178">
        <v>3253.9</v>
      </c>
      <c r="BN643" s="181">
        <v>3613.63</v>
      </c>
      <c r="BO643" s="185">
        <v>196.08</v>
      </c>
      <c r="BP643" s="183"/>
      <c r="BQ643" s="183">
        <v>231.61</v>
      </c>
      <c r="BR643" s="184">
        <v>247.09399999999999</v>
      </c>
      <c r="BS643" s="185">
        <v>1186.7750000000001</v>
      </c>
      <c r="BT643" s="183"/>
      <c r="BU643" s="183">
        <v>981.82</v>
      </c>
      <c r="BV643" s="186">
        <v>1495.5150000000001</v>
      </c>
      <c r="BY643" s="125">
        <f t="shared" si="238"/>
        <v>49362.737000000001</v>
      </c>
      <c r="BZ643" s="126">
        <f t="shared" si="239"/>
        <v>45401.68</v>
      </c>
      <c r="CA643" s="126">
        <f t="shared" si="240"/>
        <v>56048.642</v>
      </c>
      <c r="CB643" s="127">
        <f t="shared" si="241"/>
        <v>57122.628647099984</v>
      </c>
    </row>
    <row r="644" spans="1:81" s="115" customFormat="1" ht="14.25" customHeight="1" outlineLevel="4" x14ac:dyDescent="0.25">
      <c r="A644" s="100"/>
      <c r="B644" s="100"/>
      <c r="C644" s="99" t="s">
        <v>206</v>
      </c>
      <c r="D644" s="99" t="s">
        <v>207</v>
      </c>
      <c r="E644" s="99" t="s">
        <v>73</v>
      </c>
      <c r="F644" s="99" t="s">
        <v>74</v>
      </c>
      <c r="G644" s="99" t="s">
        <v>73</v>
      </c>
      <c r="H644" s="99" t="s">
        <v>73</v>
      </c>
      <c r="I644" s="99" t="s">
        <v>73</v>
      </c>
      <c r="J644" s="99" t="s">
        <v>73</v>
      </c>
      <c r="K644" s="102" t="s">
        <v>73</v>
      </c>
      <c r="L644" s="99" t="s">
        <v>73</v>
      </c>
      <c r="M644" s="100" t="str">
        <f t="array" ref="M644">Y458</f>
        <v>1ВО::1.1</v>
      </c>
      <c r="N644" s="100"/>
      <c r="O644" s="100"/>
      <c r="P644" s="100"/>
      <c r="Q644" s="100"/>
      <c r="R644" s="100"/>
      <c r="S644" s="100"/>
      <c r="T644" s="100"/>
      <c r="U644" s="100"/>
      <c r="V644" s="100"/>
      <c r="W644" s="100"/>
      <c r="X644" s="100"/>
      <c r="Y644" s="100"/>
      <c r="Z644" s="100"/>
      <c r="AA644" s="100"/>
      <c r="AB644" s="418" t="str">
        <f>AB643&amp;".1"</f>
        <v>3.1.1.4.3.1.1</v>
      </c>
      <c r="AC644" s="447" t="s">
        <v>208</v>
      </c>
      <c r="AD644" s="448" t="s">
        <v>209</v>
      </c>
      <c r="AE644" s="190">
        <f>(AE643/AE645)/12*1000</f>
        <v>62842.341108857341</v>
      </c>
      <c r="AF644" s="191">
        <f>(AF643/AF645)/12*1000</f>
        <v>71216.231884057983</v>
      </c>
      <c r="AG644" s="191">
        <f>(AG643/AG645)/12*1000</f>
        <v>75225.561594202896</v>
      </c>
      <c r="AH644" s="192">
        <f>(AH643/AH645)/12*1000</f>
        <v>71991.557971014481</v>
      </c>
      <c r="AI644" s="640"/>
      <c r="AJ644" s="191"/>
      <c r="AK644" s="191"/>
      <c r="AL644" s="193"/>
      <c r="AM644" s="190"/>
      <c r="AN644" s="191"/>
      <c r="AO644" s="191"/>
      <c r="AP644" s="193"/>
      <c r="AQ644" s="190">
        <f t="shared" ref="AQ644:BC644" si="248">(AQ643/AQ645)/12*1000</f>
        <v>52832.986111111102</v>
      </c>
      <c r="AR644" s="191" t="e">
        <f t="shared" si="248"/>
        <v>#DIV/0!</v>
      </c>
      <c r="AS644" s="191">
        <f t="shared" si="248"/>
        <v>52062.345679012338</v>
      </c>
      <c r="AT644" s="193">
        <f t="shared" si="248"/>
        <v>60525.094696969689</v>
      </c>
      <c r="AU644" s="190">
        <f t="shared" si="248"/>
        <v>52310.256410256407</v>
      </c>
      <c r="AV644" s="191" t="e">
        <f t="shared" si="248"/>
        <v>#DIV/0!</v>
      </c>
      <c r="AW644" s="191">
        <f t="shared" si="248"/>
        <v>50872.380952380954</v>
      </c>
      <c r="AX644" s="193">
        <f t="shared" si="248"/>
        <v>59926.107226107233</v>
      </c>
      <c r="AY644" s="190">
        <f t="shared" si="248"/>
        <v>53004.824561403519</v>
      </c>
      <c r="AZ644" s="191">
        <f t="shared" si="248"/>
        <v>45825.595238095237</v>
      </c>
      <c r="BA644" s="191">
        <f t="shared" si="248"/>
        <v>51541.666666666664</v>
      </c>
      <c r="BB644" s="193">
        <f t="shared" si="248"/>
        <v>47681.073589285712</v>
      </c>
      <c r="BC644" s="190">
        <f t="shared" si="248"/>
        <v>45392.933333333334</v>
      </c>
      <c r="BD644" s="191"/>
      <c r="BE644" s="191">
        <f t="shared" ref="BE644:BM644" si="249">(BE643/BE645)/12*1000</f>
        <v>47012.799999999996</v>
      </c>
      <c r="BF644" s="977">
        <f t="shared" si="249"/>
        <v>52001.696969696975</v>
      </c>
      <c r="BG644" s="190">
        <f t="shared" si="249"/>
        <v>44190.687499999993</v>
      </c>
      <c r="BH644" s="191">
        <f t="shared" si="249"/>
        <v>46686.874999999993</v>
      </c>
      <c r="BI644" s="191">
        <f t="shared" si="249"/>
        <v>48936.625</v>
      </c>
      <c r="BJ644" s="193">
        <f t="shared" si="249"/>
        <v>48576.759699999995</v>
      </c>
      <c r="BK644" s="190">
        <f t="shared" si="249"/>
        <v>43810.844444444447</v>
      </c>
      <c r="BL644" s="191" t="e">
        <f t="shared" si="249"/>
        <v>#DIV/0!</v>
      </c>
      <c r="BM644" s="191">
        <f t="shared" si="249"/>
        <v>48163.114268798105</v>
      </c>
      <c r="BN644" s="193">
        <v>50189.26</v>
      </c>
      <c r="BO644" s="190">
        <f t="shared" ref="BO644:BV644" si="250">(BO643/BO645)/12*1000</f>
        <v>39853.658536585368</v>
      </c>
      <c r="BP644" s="191" t="e">
        <f t="shared" si="250"/>
        <v>#DIV/0!</v>
      </c>
      <c r="BQ644" s="191">
        <f t="shared" si="250"/>
        <v>38601.666666666664</v>
      </c>
      <c r="BR644" s="193">
        <f t="shared" si="250"/>
        <v>45758.148148148146</v>
      </c>
      <c r="BS644" s="190">
        <f t="shared" si="250"/>
        <v>39559.166666666672</v>
      </c>
      <c r="BT644" s="191" t="e">
        <f t="shared" si="250"/>
        <v>#DIV/0!</v>
      </c>
      <c r="BU644" s="191">
        <f t="shared" si="250"/>
        <v>40909.166666666672</v>
      </c>
      <c r="BV644" s="192">
        <f t="shared" si="250"/>
        <v>45318.636363636368</v>
      </c>
      <c r="BW644" s="111"/>
      <c r="BX644" s="100"/>
      <c r="BY644" s="112">
        <f>(BY643/BY645)/12*1000</f>
        <v>57746.352448468693</v>
      </c>
      <c r="BZ644" s="113">
        <f>(BZ643/BZ645)/12*1000</f>
        <v>66376.725146198834</v>
      </c>
      <c r="CA644" s="113">
        <f>(CA643/CA645)/12*1000</f>
        <v>65942.682008565112</v>
      </c>
      <c r="CB644" s="114">
        <f>(CB643/CB645)/12*1000</f>
        <v>63938.469495298843</v>
      </c>
      <c r="CC644" s="759"/>
    </row>
    <row r="645" spans="1:81" s="115" customFormat="1" ht="14.25" customHeight="1" outlineLevel="4" x14ac:dyDescent="0.25">
      <c r="A645" s="100"/>
      <c r="B645" s="100"/>
      <c r="C645" s="99" t="s">
        <v>210</v>
      </c>
      <c r="D645" s="99" t="s">
        <v>211</v>
      </c>
      <c r="E645" s="99" t="s">
        <v>73</v>
      </c>
      <c r="F645" s="99" t="s">
        <v>74</v>
      </c>
      <c r="G645" s="99" t="s">
        <v>73</v>
      </c>
      <c r="H645" s="99" t="s">
        <v>73</v>
      </c>
      <c r="I645" s="99" t="s">
        <v>73</v>
      </c>
      <c r="J645" s="99" t="s">
        <v>73</v>
      </c>
      <c r="K645" s="102" t="s">
        <v>73</v>
      </c>
      <c r="L645" s="99" t="s">
        <v>73</v>
      </c>
      <c r="M645" s="100" t="str">
        <f t="array" ref="M645">Y458</f>
        <v>1ВО::1.1</v>
      </c>
      <c r="N645" s="100"/>
      <c r="O645" s="100"/>
      <c r="P645" s="100"/>
      <c r="Q645" s="100"/>
      <c r="R645" s="100"/>
      <c r="S645" s="100"/>
      <c r="T645" s="100"/>
      <c r="U645" s="100"/>
      <c r="V645" s="100"/>
      <c r="W645" s="100"/>
      <c r="X645" s="100"/>
      <c r="Y645" s="100"/>
      <c r="Z645" s="100"/>
      <c r="AA645" s="100"/>
      <c r="AB645" s="418" t="str">
        <f>AB643&amp;".2"</f>
        <v>3.1.1.4.3.1.2</v>
      </c>
      <c r="AC645" s="447" t="s">
        <v>212</v>
      </c>
      <c r="AD645" s="448" t="s">
        <v>213</v>
      </c>
      <c r="AE645" s="199">
        <v>49.3</v>
      </c>
      <c r="AF645" s="200">
        <v>46</v>
      </c>
      <c r="AG645" s="200">
        <v>46</v>
      </c>
      <c r="AH645" s="201">
        <v>46</v>
      </c>
      <c r="AI645" s="933"/>
      <c r="AJ645" s="200"/>
      <c r="AK645" s="200"/>
      <c r="AL645" s="202"/>
      <c r="AM645" s="199"/>
      <c r="AN645" s="200"/>
      <c r="AO645" s="200"/>
      <c r="AP645" s="202"/>
      <c r="AQ645" s="199">
        <v>2.4</v>
      </c>
      <c r="AR645" s="200"/>
      <c r="AS645" s="200">
        <v>2.7</v>
      </c>
      <c r="AT645" s="202">
        <v>2.64</v>
      </c>
      <c r="AU645" s="199">
        <v>2.6</v>
      </c>
      <c r="AV645" s="200"/>
      <c r="AW645" s="200">
        <v>3.5</v>
      </c>
      <c r="AX645" s="202">
        <v>2.86</v>
      </c>
      <c r="AY645" s="199">
        <v>1.9</v>
      </c>
      <c r="AZ645" s="200">
        <v>7</v>
      </c>
      <c r="BA645" s="200">
        <v>4</v>
      </c>
      <c r="BB645" s="202">
        <v>7</v>
      </c>
      <c r="BC645" s="199">
        <v>2.5</v>
      </c>
      <c r="BD645" s="200"/>
      <c r="BE645" s="200">
        <v>2.5</v>
      </c>
      <c r="BF645" s="978">
        <v>2.75</v>
      </c>
      <c r="BG645" s="199">
        <v>4</v>
      </c>
      <c r="BH645" s="200">
        <v>4</v>
      </c>
      <c r="BI645" s="200">
        <v>4</v>
      </c>
      <c r="BJ645" s="202">
        <v>4</v>
      </c>
      <c r="BK645" s="199">
        <v>5.625</v>
      </c>
      <c r="BL645" s="200"/>
      <c r="BM645" s="200">
        <v>5.63</v>
      </c>
      <c r="BN645" s="202">
        <v>6</v>
      </c>
      <c r="BO645" s="206">
        <v>0.41</v>
      </c>
      <c r="BP645" s="204"/>
      <c r="BQ645" s="204">
        <v>0.5</v>
      </c>
      <c r="BR645" s="205">
        <v>0.45</v>
      </c>
      <c r="BS645" s="206">
        <v>2.5</v>
      </c>
      <c r="BT645" s="204"/>
      <c r="BU645" s="204">
        <v>2</v>
      </c>
      <c r="BV645" s="207">
        <v>2.75</v>
      </c>
      <c r="BW645" s="111"/>
      <c r="BX645" s="100"/>
      <c r="BY645" s="112">
        <f t="shared" ref="BY645:CB646" si="251">AE645+AI645+AM645+AQ645+AU645+AY645+BC645+BG645+BK645+BO645+BS645</f>
        <v>71.234999999999985</v>
      </c>
      <c r="BZ645" s="113">
        <f t="shared" si="251"/>
        <v>57</v>
      </c>
      <c r="CA645" s="113">
        <f t="shared" si="251"/>
        <v>70.83</v>
      </c>
      <c r="CB645" s="114">
        <f t="shared" si="251"/>
        <v>74.45</v>
      </c>
      <c r="CC645" s="759"/>
    </row>
    <row r="646" spans="1:81" ht="16.5" customHeight="1" outlineLevel="4" x14ac:dyDescent="0.25">
      <c r="C646" s="10" t="s">
        <v>83</v>
      </c>
      <c r="D646" s="10" t="s">
        <v>84</v>
      </c>
      <c r="E646" s="10" t="s">
        <v>73</v>
      </c>
      <c r="F646" s="10" t="s">
        <v>74</v>
      </c>
      <c r="G646" s="10" t="s">
        <v>214</v>
      </c>
      <c r="H646" s="10" t="s">
        <v>73</v>
      </c>
      <c r="I646" s="10" t="s">
        <v>73</v>
      </c>
      <c r="J646" s="10" t="s">
        <v>73</v>
      </c>
      <c r="K646" s="12" t="s">
        <v>73</v>
      </c>
      <c r="L646" s="10" t="s">
        <v>73</v>
      </c>
      <c r="M646" s="5" t="str">
        <f t="array" ref="M646">Y458</f>
        <v>1ВО::1.1</v>
      </c>
      <c r="AB646" s="403" t="str">
        <f>AB642&amp;".2"</f>
        <v>3.1.1.4.3.2</v>
      </c>
      <c r="AC646" s="444" t="s">
        <v>214</v>
      </c>
      <c r="AD646" s="32" t="s">
        <v>111</v>
      </c>
      <c r="AE646" s="95">
        <f>37177.529*0.302</f>
        <v>11227.613758</v>
      </c>
      <c r="AF646" s="73">
        <f>AF642-AF643</f>
        <v>12800.329999999994</v>
      </c>
      <c r="AG646" s="73">
        <f>AG642-AG643</f>
        <v>13520.96</v>
      </c>
      <c r="AH646" s="74">
        <f>AH643*30.2%</f>
        <v>12001.280679999998</v>
      </c>
      <c r="AI646" s="187"/>
      <c r="AJ646" s="73"/>
      <c r="AK646" s="73"/>
      <c r="AL646" s="138"/>
      <c r="AM646" s="95"/>
      <c r="AN646" s="73"/>
      <c r="AO646" s="73"/>
      <c r="AP646" s="138"/>
      <c r="AQ646" s="95">
        <v>459.52</v>
      </c>
      <c r="AR646" s="73"/>
      <c r="AS646" s="73">
        <v>509.42</v>
      </c>
      <c r="AT646" s="138">
        <f>AT643*30.2%</f>
        <v>579.06536999999992</v>
      </c>
      <c r="AU646" s="95">
        <v>492.89</v>
      </c>
      <c r="AV646" s="73"/>
      <c r="AW646" s="73">
        <v>645.26</v>
      </c>
      <c r="AX646" s="138">
        <f>AX643*30.2%</f>
        <v>621.112528</v>
      </c>
      <c r="AY646" s="95">
        <v>364.97</v>
      </c>
      <c r="AZ646" s="73">
        <v>1162.5</v>
      </c>
      <c r="BA646" s="73">
        <v>747.15</v>
      </c>
      <c r="BB646" s="138">
        <f>BB643*30.2%</f>
        <v>1209.5734748129998</v>
      </c>
      <c r="BC646" s="95">
        <f>BC643*30.2%</f>
        <v>411.25997599999999</v>
      </c>
      <c r="BD646" s="73"/>
      <c r="BE646" s="73">
        <f t="shared" ref="BE646:BJ646" si="252">BE643*30.2%</f>
        <v>425.935968</v>
      </c>
      <c r="BF646" s="774">
        <f t="shared" si="252"/>
        <v>518.24891200000002</v>
      </c>
      <c r="BG646" s="95">
        <f t="shared" si="252"/>
        <v>640.5882059999999</v>
      </c>
      <c r="BH646" s="73">
        <f t="shared" si="252"/>
        <v>676.77293999999995</v>
      </c>
      <c r="BI646" s="73">
        <f t="shared" si="252"/>
        <v>709.38531599999999</v>
      </c>
      <c r="BJ646" s="138">
        <f t="shared" si="252"/>
        <v>704.16870861119992</v>
      </c>
      <c r="BK646" s="95">
        <v>893.08406000000002</v>
      </c>
      <c r="BL646" s="73"/>
      <c r="BM646" s="73">
        <v>982.68</v>
      </c>
      <c r="BN646" s="138">
        <f>BN643*0.302</f>
        <v>1091.3162600000001</v>
      </c>
      <c r="BO646" s="185">
        <v>59.22</v>
      </c>
      <c r="BP646" s="140"/>
      <c r="BQ646" s="140">
        <v>69.95</v>
      </c>
      <c r="BR646" s="141">
        <f>BR643*30.2%</f>
        <v>74.622388000000001</v>
      </c>
      <c r="BS646" s="185">
        <v>358.41</v>
      </c>
      <c r="BT646" s="140"/>
      <c r="BU646" s="140">
        <v>296.51</v>
      </c>
      <c r="BV646" s="143">
        <f>BV643*30.2%</f>
        <v>451.64553000000001</v>
      </c>
      <c r="BY646" s="125">
        <f t="shared" si="251"/>
        <v>14907.555999999997</v>
      </c>
      <c r="BZ646" s="126">
        <f t="shared" si="251"/>
        <v>14639.602939999995</v>
      </c>
      <c r="CA646" s="126">
        <f t="shared" si="251"/>
        <v>17907.251283999998</v>
      </c>
      <c r="CB646" s="127">
        <f t="shared" si="251"/>
        <v>17251.033851424199</v>
      </c>
    </row>
    <row r="647" spans="1:81" ht="14.25" customHeight="1" outlineLevel="4" x14ac:dyDescent="0.25">
      <c r="C647" s="10" t="s">
        <v>216</v>
      </c>
      <c r="D647" s="10" t="s">
        <v>217</v>
      </c>
      <c r="E647" s="10" t="s">
        <v>73</v>
      </c>
      <c r="F647" s="10" t="s">
        <v>74</v>
      </c>
      <c r="G647" s="10" t="s">
        <v>73</v>
      </c>
      <c r="H647" s="10" t="s">
        <v>73</v>
      </c>
      <c r="I647" s="10" t="s">
        <v>73</v>
      </c>
      <c r="J647" s="10" t="s">
        <v>73</v>
      </c>
      <c r="K647" s="12" t="s">
        <v>73</v>
      </c>
      <c r="L647" s="10" t="s">
        <v>73</v>
      </c>
      <c r="M647" s="5" t="str">
        <f t="array" ref="M647">Y458</f>
        <v>1ВО::1.1</v>
      </c>
      <c r="AB647" s="403" t="str">
        <f>AB646&amp;".1"</f>
        <v>3.1.1.4.3.2.1</v>
      </c>
      <c r="AC647" s="449" t="s">
        <v>218</v>
      </c>
      <c r="AD647" s="32" t="s">
        <v>119</v>
      </c>
      <c r="AE647" s="72">
        <v>30.2</v>
      </c>
      <c r="AF647" s="73">
        <v>30.2</v>
      </c>
      <c r="AG647" s="73">
        <v>30.2</v>
      </c>
      <c r="AH647" s="74">
        <v>30.2</v>
      </c>
      <c r="AI647" s="179"/>
      <c r="AJ647" s="73"/>
      <c r="AK647" s="73"/>
      <c r="AL647" s="138"/>
      <c r="AM647" s="72"/>
      <c r="AN647" s="73"/>
      <c r="AO647" s="73"/>
      <c r="AP647" s="138"/>
      <c r="AQ647" s="72">
        <v>30.2</v>
      </c>
      <c r="AR647" s="73"/>
      <c r="AS647" s="73">
        <v>30.2</v>
      </c>
      <c r="AT647" s="138">
        <v>30.2</v>
      </c>
      <c r="AU647" s="72">
        <v>30.2</v>
      </c>
      <c r="AV647" s="73"/>
      <c r="AW647" s="73">
        <v>30.2</v>
      </c>
      <c r="AX647" s="138">
        <v>30.2</v>
      </c>
      <c r="AY647" s="72">
        <v>30.2</v>
      </c>
      <c r="AZ647" s="73">
        <v>30.2</v>
      </c>
      <c r="BA647" s="73">
        <v>30.2</v>
      </c>
      <c r="BB647" s="138">
        <v>30.2</v>
      </c>
      <c r="BC647" s="72">
        <v>30.2</v>
      </c>
      <c r="BD647" s="73"/>
      <c r="BE647" s="73">
        <v>30.2</v>
      </c>
      <c r="BF647" s="774">
        <v>30.2</v>
      </c>
      <c r="BG647" s="72">
        <v>30.2</v>
      </c>
      <c r="BH647" s="73">
        <v>30.2</v>
      </c>
      <c r="BI647" s="73">
        <v>30.2</v>
      </c>
      <c r="BJ647" s="138">
        <v>30.2</v>
      </c>
      <c r="BK647" s="72">
        <v>30.2</v>
      </c>
      <c r="BL647" s="73"/>
      <c r="BM647" s="73">
        <v>30.2</v>
      </c>
      <c r="BN647" s="138">
        <v>30.2</v>
      </c>
      <c r="BO647" s="142">
        <v>30.2</v>
      </c>
      <c r="BP647" s="140"/>
      <c r="BQ647" s="140">
        <v>30.2</v>
      </c>
      <c r="BR647" s="141">
        <v>30.2</v>
      </c>
      <c r="BS647" s="142">
        <v>30.2</v>
      </c>
      <c r="BT647" s="140"/>
      <c r="BU647" s="140">
        <v>30.2</v>
      </c>
      <c r="BV647" s="143">
        <v>30.2</v>
      </c>
      <c r="BY647" s="125">
        <v>30.2</v>
      </c>
      <c r="BZ647" s="126">
        <v>30.2</v>
      </c>
      <c r="CA647" s="126">
        <v>30.2</v>
      </c>
      <c r="CB647" s="127">
        <v>30.2</v>
      </c>
    </row>
    <row r="648" spans="1:81" ht="57" customHeight="1" outlineLevel="4" x14ac:dyDescent="0.25">
      <c r="C648" s="10" t="s">
        <v>83</v>
      </c>
      <c r="D648" s="10" t="s">
        <v>84</v>
      </c>
      <c r="E648" s="10" t="s">
        <v>73</v>
      </c>
      <c r="F648" s="10" t="s">
        <v>74</v>
      </c>
      <c r="G648" s="10" t="s">
        <v>396</v>
      </c>
      <c r="H648" s="10" t="s">
        <v>73</v>
      </c>
      <c r="I648" s="10" t="s">
        <v>73</v>
      </c>
      <c r="J648" s="10" t="s">
        <v>73</v>
      </c>
      <c r="K648" s="12" t="s">
        <v>73</v>
      </c>
      <c r="L648" s="10" t="s">
        <v>73</v>
      </c>
      <c r="M648" s="5" t="str">
        <f t="array" ref="M648">Y458</f>
        <v>1ВО::1.1</v>
      </c>
      <c r="AB648" s="403" t="str">
        <f>AB639&amp;".4"</f>
        <v>3.1.1.4.4</v>
      </c>
      <c r="AC648" s="442" t="s">
        <v>397</v>
      </c>
      <c r="AD648" s="32" t="s">
        <v>111</v>
      </c>
      <c r="AE648" s="95"/>
      <c r="AF648" s="178"/>
      <c r="AG648" s="178"/>
      <c r="AH648" s="96"/>
      <c r="AI648" s="187"/>
      <c r="AJ648" s="178"/>
      <c r="AK648" s="178"/>
      <c r="AL648" s="181"/>
      <c r="AM648" s="95"/>
      <c r="AN648" s="178"/>
      <c r="AO648" s="178"/>
      <c r="AP648" s="181"/>
      <c r="AQ648" s="95"/>
      <c r="AR648" s="178"/>
      <c r="AS648" s="178"/>
      <c r="AT648" s="181"/>
      <c r="AU648" s="95"/>
      <c r="AV648" s="178"/>
      <c r="AW648" s="178"/>
      <c r="AX648" s="181"/>
      <c r="AY648" s="95"/>
      <c r="AZ648" s="178"/>
      <c r="BA648" s="178"/>
      <c r="BB648" s="181"/>
      <c r="BC648" s="95"/>
      <c r="BD648" s="178"/>
      <c r="BE648" s="178"/>
      <c r="BF648" s="210"/>
      <c r="BG648" s="95"/>
      <c r="BH648" s="178"/>
      <c r="BI648" s="178"/>
      <c r="BJ648" s="181"/>
      <c r="BK648" s="95">
        <v>0</v>
      </c>
      <c r="BL648" s="178"/>
      <c r="BM648" s="178">
        <v>0</v>
      </c>
      <c r="BN648" s="181"/>
      <c r="BO648" s="185"/>
      <c r="BP648" s="183"/>
      <c r="BQ648" s="183"/>
      <c r="BR648" s="184"/>
      <c r="BS648" s="185"/>
      <c r="BT648" s="183"/>
      <c r="BU648" s="183"/>
      <c r="BV648" s="186"/>
      <c r="BY648" s="125">
        <f t="shared" ref="BY648:CB654" si="253">AE648+AI648+AM648+AQ648+AU648+AY648+BC648+BG648+BK648+BO648+BS648</f>
        <v>0</v>
      </c>
      <c r="BZ648" s="126">
        <f t="shared" si="253"/>
        <v>0</v>
      </c>
      <c r="CA648" s="126">
        <f t="shared" si="253"/>
        <v>0</v>
      </c>
      <c r="CB648" s="127">
        <f t="shared" si="253"/>
        <v>0</v>
      </c>
    </row>
    <row r="649" spans="1:81" s="211" customFormat="1" ht="42" customHeight="1" outlineLevel="4" x14ac:dyDescent="0.25">
      <c r="A649" s="6"/>
      <c r="B649" s="6"/>
      <c r="C649" s="116" t="s">
        <v>83</v>
      </c>
      <c r="D649" s="116" t="s">
        <v>84</v>
      </c>
      <c r="E649" s="116" t="s">
        <v>73</v>
      </c>
      <c r="F649" s="116" t="s">
        <v>74</v>
      </c>
      <c r="G649" s="116" t="s">
        <v>398</v>
      </c>
      <c r="H649" s="116" t="s">
        <v>73</v>
      </c>
      <c r="I649" s="116" t="s">
        <v>73</v>
      </c>
      <c r="J649" s="116" t="s">
        <v>73</v>
      </c>
      <c r="K649" s="209" t="s">
        <v>73</v>
      </c>
      <c r="L649" s="116" t="s">
        <v>73</v>
      </c>
      <c r="M649" s="6" t="str">
        <f t="array" ref="M649">Y458</f>
        <v>1ВО::1.1</v>
      </c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403" t="str">
        <f>AB639&amp;".5"</f>
        <v>3.1.1.4.5</v>
      </c>
      <c r="AC649" s="442" t="s">
        <v>398</v>
      </c>
      <c r="AD649" s="32" t="s">
        <v>111</v>
      </c>
      <c r="AE649" s="95">
        <v>1413.37</v>
      </c>
      <c r="AF649" s="178"/>
      <c r="AG649" s="178">
        <v>1400.1780000000001</v>
      </c>
      <c r="AH649" s="96"/>
      <c r="AI649" s="187"/>
      <c r="AJ649" s="178"/>
      <c r="AK649" s="178"/>
      <c r="AL649" s="181"/>
      <c r="AM649" s="95"/>
      <c r="AN649" s="178"/>
      <c r="AO649" s="178"/>
      <c r="AP649" s="181"/>
      <c r="AQ649" s="95"/>
      <c r="AR649" s="178"/>
      <c r="AS649" s="178"/>
      <c r="AT649" s="181"/>
      <c r="AU649" s="95"/>
      <c r="AV649" s="178">
        <v>0</v>
      </c>
      <c r="AW649" s="178"/>
      <c r="AX649" s="181"/>
      <c r="AY649" s="95"/>
      <c r="AZ649" s="178"/>
      <c r="BA649" s="178"/>
      <c r="BB649" s="181"/>
      <c r="BC649" s="95">
        <f>77.48+280.38</f>
        <v>357.86</v>
      </c>
      <c r="BD649" s="178"/>
      <c r="BE649" s="178">
        <f>85.26+308.51</f>
        <v>393.77</v>
      </c>
      <c r="BF649" s="210"/>
      <c r="BG649" s="95"/>
      <c r="BH649" s="178"/>
      <c r="BI649" s="178"/>
      <c r="BJ649" s="181"/>
      <c r="BK649" s="95">
        <v>708</v>
      </c>
      <c r="BL649" s="178"/>
      <c r="BM649" s="178">
        <v>779.02239999999995</v>
      </c>
      <c r="BN649" s="181"/>
      <c r="BO649" s="185"/>
      <c r="BP649" s="183"/>
      <c r="BQ649" s="183"/>
      <c r="BR649" s="184"/>
      <c r="BS649" s="185">
        <v>180</v>
      </c>
      <c r="BT649" s="183"/>
      <c r="BU649" s="183">
        <v>180</v>
      </c>
      <c r="BV649" s="186"/>
      <c r="BW649" s="6"/>
      <c r="BX649" s="6"/>
      <c r="BY649" s="125">
        <f t="shared" si="253"/>
        <v>2659.23</v>
      </c>
      <c r="BZ649" s="126">
        <f t="shared" si="253"/>
        <v>0</v>
      </c>
      <c r="CA649" s="126">
        <f t="shared" si="253"/>
        <v>2752.9704000000002</v>
      </c>
      <c r="CB649" s="127">
        <f t="shared" si="253"/>
        <v>0</v>
      </c>
      <c r="CC649" s="766"/>
    </row>
    <row r="650" spans="1:81" ht="72" customHeight="1" outlineLevel="4" x14ac:dyDescent="0.25">
      <c r="C650" s="10" t="s">
        <v>83</v>
      </c>
      <c r="D650" s="10" t="s">
        <v>84</v>
      </c>
      <c r="E650" s="10" t="s">
        <v>73</v>
      </c>
      <c r="F650" s="10" t="s">
        <v>74</v>
      </c>
      <c r="G650" s="10" t="s">
        <v>399</v>
      </c>
      <c r="H650" s="10" t="s">
        <v>73</v>
      </c>
      <c r="I650" s="10" t="s">
        <v>73</v>
      </c>
      <c r="J650" s="10" t="s">
        <v>73</v>
      </c>
      <c r="K650" s="12" t="s">
        <v>73</v>
      </c>
      <c r="L650" s="10" t="s">
        <v>73</v>
      </c>
      <c r="M650" s="5" t="str">
        <f t="array" ref="M650">Y458</f>
        <v>1ВО::1.1</v>
      </c>
      <c r="AB650" s="403" t="str">
        <f>AB639&amp;".6"</f>
        <v>3.1.1.4.6</v>
      </c>
      <c r="AC650" s="442" t="s">
        <v>400</v>
      </c>
      <c r="AD650" s="32" t="s">
        <v>111</v>
      </c>
      <c r="AE650" s="95"/>
      <c r="AF650" s="178"/>
      <c r="AG650" s="178"/>
      <c r="AH650" s="96"/>
      <c r="AI650" s="187"/>
      <c r="AJ650" s="178"/>
      <c r="AK650" s="178"/>
      <c r="AL650" s="181"/>
      <c r="AM650" s="95"/>
      <c r="AN650" s="178"/>
      <c r="AO650" s="178"/>
      <c r="AP650" s="181"/>
      <c r="AQ650" s="95"/>
      <c r="AR650" s="178"/>
      <c r="AS650" s="178"/>
      <c r="AT650" s="181"/>
      <c r="AU650" s="95"/>
      <c r="AV650" s="178"/>
      <c r="AW650" s="178"/>
      <c r="AX650" s="181"/>
      <c r="AY650" s="95"/>
      <c r="AZ650" s="178"/>
      <c r="BA650" s="178"/>
      <c r="BB650" s="181"/>
      <c r="BC650" s="95"/>
      <c r="BD650" s="178"/>
      <c r="BE650" s="178"/>
      <c r="BF650" s="210"/>
      <c r="BG650" s="95"/>
      <c r="BH650" s="178"/>
      <c r="BI650" s="178"/>
      <c r="BJ650" s="181"/>
      <c r="BK650" s="95"/>
      <c r="BL650" s="178"/>
      <c r="BM650" s="178"/>
      <c r="BN650" s="181"/>
      <c r="BO650" s="185"/>
      <c r="BP650" s="183"/>
      <c r="BQ650" s="183"/>
      <c r="BR650" s="184"/>
      <c r="BS650" s="185"/>
      <c r="BT650" s="183"/>
      <c r="BU650" s="183"/>
      <c r="BV650" s="186"/>
      <c r="BY650" s="125">
        <f t="shared" si="253"/>
        <v>0</v>
      </c>
      <c r="BZ650" s="126">
        <f t="shared" si="253"/>
        <v>0</v>
      </c>
      <c r="CA650" s="126">
        <f t="shared" si="253"/>
        <v>0</v>
      </c>
      <c r="CB650" s="127">
        <f t="shared" si="253"/>
        <v>0</v>
      </c>
    </row>
    <row r="651" spans="1:81" ht="48" customHeight="1" outlineLevel="4" x14ac:dyDescent="0.25">
      <c r="C651" s="10" t="s">
        <v>83</v>
      </c>
      <c r="D651" s="10" t="s">
        <v>84</v>
      </c>
      <c r="E651" s="10" t="s">
        <v>73</v>
      </c>
      <c r="F651" s="10" t="s">
        <v>74</v>
      </c>
      <c r="G651" s="10" t="s">
        <v>401</v>
      </c>
      <c r="H651" s="10" t="s">
        <v>73</v>
      </c>
      <c r="I651" s="10" t="s">
        <v>73</v>
      </c>
      <c r="J651" s="10" t="s">
        <v>73</v>
      </c>
      <c r="K651" s="12" t="s">
        <v>73</v>
      </c>
      <c r="L651" s="10" t="s">
        <v>73</v>
      </c>
      <c r="M651" s="5" t="str">
        <f t="array" ref="M651">Y458</f>
        <v>1ВО::1.1</v>
      </c>
      <c r="AB651" s="403" t="str">
        <f>AB639&amp;".7"</f>
        <v>3.1.1.4.7</v>
      </c>
      <c r="AC651" s="442" t="s">
        <v>402</v>
      </c>
      <c r="AD651" s="32" t="s">
        <v>111</v>
      </c>
      <c r="AE651" s="95">
        <v>14203.708000000001</v>
      </c>
      <c r="AF651" s="178">
        <v>9651.02</v>
      </c>
      <c r="AG651" s="178">
        <v>17737.616000000002</v>
      </c>
      <c r="AH651" s="96">
        <v>10449.209999999999</v>
      </c>
      <c r="AI651" s="187"/>
      <c r="AJ651" s="178"/>
      <c r="AK651" s="178"/>
      <c r="AL651" s="181"/>
      <c r="AM651" s="95"/>
      <c r="AN651" s="178"/>
      <c r="AO651" s="178"/>
      <c r="AP651" s="181"/>
      <c r="AQ651" s="95">
        <v>58.78</v>
      </c>
      <c r="AR651" s="178">
        <v>41.8</v>
      </c>
      <c r="AS651" s="178">
        <v>83.16</v>
      </c>
      <c r="AT651" s="181">
        <v>47.86</v>
      </c>
      <c r="AU651" s="95">
        <v>151.04</v>
      </c>
      <c r="AV651" s="178"/>
      <c r="AW651" s="178">
        <v>203.44</v>
      </c>
      <c r="AX651" s="181">
        <v>129.94999999999999</v>
      </c>
      <c r="AY651" s="95">
        <v>238.56</v>
      </c>
      <c r="AZ651" s="178">
        <v>155.99</v>
      </c>
      <c r="BA651" s="178">
        <f>1524.13+639.61</f>
        <v>2163.7400000000002</v>
      </c>
      <c r="BB651" s="181">
        <f>AZ651*1.04049</f>
        <v>162.3060351</v>
      </c>
      <c r="BC651" s="95">
        <v>238.69</v>
      </c>
      <c r="BD651" s="178"/>
      <c r="BE651" s="178">
        <v>279.47000000000003</v>
      </c>
      <c r="BF651" s="210">
        <v>101.504</v>
      </c>
      <c r="BG651" s="95">
        <v>1129.3599999999999</v>
      </c>
      <c r="BH651" s="178">
        <v>1818</v>
      </c>
      <c r="BI651" s="178">
        <f>1198.46+674.88</f>
        <v>1873.3400000000001</v>
      </c>
      <c r="BJ651" s="181">
        <f>BH651*1.04048</f>
        <v>1891.5926400000001</v>
      </c>
      <c r="BK651" s="95">
        <v>1152.06</v>
      </c>
      <c r="BL651" s="178">
        <v>601.6</v>
      </c>
      <c r="BM651" s="178">
        <v>1268.3320000000001</v>
      </c>
      <c r="BN651" s="181">
        <v>653.78</v>
      </c>
      <c r="BO651" s="185">
        <v>58.494</v>
      </c>
      <c r="BP651" s="183">
        <v>44.36</v>
      </c>
      <c r="BQ651" s="183">
        <v>70.900000000000006</v>
      </c>
      <c r="BR651" s="184">
        <v>43.76</v>
      </c>
      <c r="BS651" s="185">
        <f>156.1-0.005</f>
        <v>156.095</v>
      </c>
      <c r="BT651" s="183">
        <v>134.19</v>
      </c>
      <c r="BU651" s="183">
        <v>200.5</v>
      </c>
      <c r="BV651" s="186">
        <v>129.9</v>
      </c>
      <c r="BY651" s="125">
        <f t="shared" si="253"/>
        <v>17386.787000000004</v>
      </c>
      <c r="BZ651" s="126">
        <f t="shared" si="253"/>
        <v>12446.960000000001</v>
      </c>
      <c r="CA651" s="126">
        <f t="shared" si="253"/>
        <v>23880.498000000003</v>
      </c>
      <c r="CB651" s="127">
        <f t="shared" si="253"/>
        <v>13609.862675100003</v>
      </c>
    </row>
    <row r="652" spans="1:81" ht="27.75" customHeight="1" outlineLevel="4" x14ac:dyDescent="0.25">
      <c r="C652" s="10" t="s">
        <v>83</v>
      </c>
      <c r="D652" s="10" t="s">
        <v>84</v>
      </c>
      <c r="E652" s="10" t="s">
        <v>73</v>
      </c>
      <c r="F652" s="10" t="s">
        <v>74</v>
      </c>
      <c r="G652" s="10" t="s">
        <v>403</v>
      </c>
      <c r="H652" s="10" t="s">
        <v>73</v>
      </c>
      <c r="I652" s="10" t="s">
        <v>73</v>
      </c>
      <c r="J652" s="10" t="s">
        <v>73</v>
      </c>
      <c r="K652" s="12" t="s">
        <v>73</v>
      </c>
      <c r="L652" s="10" t="s">
        <v>73</v>
      </c>
      <c r="M652" s="5" t="str">
        <f t="array" ref="M652">Y458</f>
        <v>1ВО::1.1</v>
      </c>
      <c r="AB652" s="403" t="str">
        <f>AB639&amp;".8"</f>
        <v>3.1.1.4.8</v>
      </c>
      <c r="AC652" s="442" t="s">
        <v>403</v>
      </c>
      <c r="AD652" s="32" t="s">
        <v>111</v>
      </c>
      <c r="AE652" s="95"/>
      <c r="AF652" s="73"/>
      <c r="AG652" s="73"/>
      <c r="AH652" s="74"/>
      <c r="AI652" s="187"/>
      <c r="AJ652" s="73"/>
      <c r="AK652" s="73"/>
      <c r="AL652" s="138"/>
      <c r="AM652" s="95"/>
      <c r="AN652" s="73"/>
      <c r="AO652" s="73"/>
      <c r="AP652" s="138"/>
      <c r="AQ652" s="95"/>
      <c r="AR652" s="73"/>
      <c r="AS652" s="73"/>
      <c r="AT652" s="138"/>
      <c r="AU652" s="95"/>
      <c r="AV652" s="73"/>
      <c r="AW652" s="73"/>
      <c r="AX652" s="138"/>
      <c r="AY652" s="95"/>
      <c r="AZ652" s="73"/>
      <c r="BA652" s="73"/>
      <c r="BB652" s="138"/>
      <c r="BC652" s="95"/>
      <c r="BD652" s="73"/>
      <c r="BE652" s="73"/>
      <c r="BF652" s="774"/>
      <c r="BG652" s="95"/>
      <c r="BH652" s="73"/>
      <c r="BI652" s="73"/>
      <c r="BJ652" s="138"/>
      <c r="BK652" s="95"/>
      <c r="BL652" s="73"/>
      <c r="BM652" s="73"/>
      <c r="BN652" s="138"/>
      <c r="BO652" s="185"/>
      <c r="BP652" s="140"/>
      <c r="BQ652" s="140"/>
      <c r="BR652" s="141"/>
      <c r="BS652" s="185"/>
      <c r="BT652" s="140"/>
      <c r="BU652" s="140"/>
      <c r="BV652" s="143"/>
      <c r="BY652" s="125">
        <f t="shared" si="253"/>
        <v>0</v>
      </c>
      <c r="BZ652" s="126">
        <f t="shared" si="253"/>
        <v>0</v>
      </c>
      <c r="CA652" s="126">
        <f t="shared" si="253"/>
        <v>0</v>
      </c>
      <c r="CB652" s="127">
        <f t="shared" si="253"/>
        <v>0</v>
      </c>
    </row>
    <row r="653" spans="1:81" s="171" customFormat="1" ht="16.5" customHeight="1" outlineLevel="2" x14ac:dyDescent="0.25">
      <c r="A653" s="166"/>
      <c r="B653" s="166"/>
      <c r="C653" s="167" t="s">
        <v>83</v>
      </c>
      <c r="D653" s="167" t="s">
        <v>84</v>
      </c>
      <c r="E653" s="167" t="s">
        <v>73</v>
      </c>
      <c r="F653" s="167" t="s">
        <v>74</v>
      </c>
      <c r="G653" s="167" t="s">
        <v>404</v>
      </c>
      <c r="H653" s="167" t="s">
        <v>73</v>
      </c>
      <c r="I653" s="167" t="s">
        <v>73</v>
      </c>
      <c r="J653" s="167" t="s">
        <v>73</v>
      </c>
      <c r="K653" s="168" t="s">
        <v>73</v>
      </c>
      <c r="L653" s="167" t="s">
        <v>133</v>
      </c>
      <c r="M653" s="166" t="str">
        <f t="array" ref="M653">Y458</f>
        <v>1ВО::1.1</v>
      </c>
      <c r="N653" s="166"/>
      <c r="O653" s="166"/>
      <c r="P653" s="166"/>
      <c r="Q653" s="166"/>
      <c r="R653" s="166"/>
      <c r="S653" s="166"/>
      <c r="T653" s="166"/>
      <c r="U653" s="166"/>
      <c r="V653" s="166"/>
      <c r="W653" s="166"/>
      <c r="X653" s="166"/>
      <c r="Y653" s="166"/>
      <c r="Z653" s="166"/>
      <c r="AA653" s="166"/>
      <c r="AB653" s="429" t="str">
        <f>AB508&amp;".2"</f>
        <v>3.1.2</v>
      </c>
      <c r="AC653" s="440" t="s">
        <v>405</v>
      </c>
      <c r="AD653" s="431" t="s">
        <v>111</v>
      </c>
      <c r="AE653" s="476">
        <f>AE654+AE667+AE668+AE669</f>
        <v>153567.82999999999</v>
      </c>
      <c r="AF653" s="489">
        <v>179645.28</v>
      </c>
      <c r="AG653" s="433">
        <f>AG654+AG667+AG668+AG669</f>
        <v>206139.1</v>
      </c>
      <c r="AH653" s="490">
        <f>AH654+AH667+AH668+AH669</f>
        <v>197901.55</v>
      </c>
      <c r="AI653" s="475">
        <f>AI654+AI667+AI668+AI669</f>
        <v>3070.36996</v>
      </c>
      <c r="AJ653" s="433">
        <f>AJ654+AJ667+AJ668+AJ669</f>
        <v>3497.3150000000001</v>
      </c>
      <c r="AK653" s="433">
        <f>AK654+AK667+AK668+AK669</f>
        <v>4118.2884999999997</v>
      </c>
      <c r="AL653" s="477">
        <f>AL654</f>
        <v>3971.27</v>
      </c>
      <c r="AM653" s="476"/>
      <c r="AN653" s="489"/>
      <c r="AO653" s="433"/>
      <c r="AP653" s="477"/>
      <c r="AQ653" s="476">
        <f t="shared" ref="AQ653:AY653" si="254">AQ654+AQ667+AQ668+AQ669</f>
        <v>2081.1999999999998</v>
      </c>
      <c r="AR653" s="433">
        <f t="shared" si="254"/>
        <v>551.05999999999995</v>
      </c>
      <c r="AS653" s="433">
        <f t="shared" si="254"/>
        <v>2792.81</v>
      </c>
      <c r="AT653" s="477">
        <f t="shared" si="254"/>
        <v>547.18346000000008</v>
      </c>
      <c r="AU653" s="476">
        <f t="shared" si="254"/>
        <v>585.15697707999993</v>
      </c>
      <c r="AV653" s="433">
        <f t="shared" si="254"/>
        <v>105.33002999999999</v>
      </c>
      <c r="AW653" s="433">
        <f t="shared" si="254"/>
        <v>609.08020799999997</v>
      </c>
      <c r="AX653" s="477">
        <f t="shared" si="254"/>
        <v>152.62975199999997</v>
      </c>
      <c r="AY653" s="476">
        <f t="shared" si="254"/>
        <v>363.97</v>
      </c>
      <c r="AZ653" s="433">
        <v>873.37</v>
      </c>
      <c r="BA653" s="433">
        <f>BA654+BA667+BA668+BA669</f>
        <v>488.4</v>
      </c>
      <c r="BB653" s="477">
        <f>BB654+BB667+BB668+BB669</f>
        <v>884.289444</v>
      </c>
      <c r="BC653" s="476">
        <f>BC654+BC667+BC668+BC669</f>
        <v>334.34396765000002</v>
      </c>
      <c r="BD653" s="433">
        <f>BD654+BD667+BD668+BD669</f>
        <v>27.12</v>
      </c>
      <c r="BE653" s="433">
        <f>BE654+BE667+BE668+BE669</f>
        <v>769.42319999999995</v>
      </c>
      <c r="BF653" s="983">
        <f>BF654</f>
        <v>26.259995199999999</v>
      </c>
      <c r="BG653" s="476">
        <f>BG654+BG667+BG668+BG669</f>
        <v>15052.75</v>
      </c>
      <c r="BH653" s="433">
        <f>BH654+BH667+BH668+BH669</f>
        <v>20381.946</v>
      </c>
      <c r="BI653" s="433">
        <f>BI654+BI667+BI668+BI669</f>
        <v>19842.82</v>
      </c>
      <c r="BJ653" s="477">
        <f>BJ654</f>
        <v>36591.25</v>
      </c>
      <c r="BK653" s="476">
        <f t="shared" ref="BK653:BQ653" si="255">BK654+BK667+BK668+BK669</f>
        <v>11611.96</v>
      </c>
      <c r="BL653" s="433">
        <f t="shared" si="255"/>
        <v>14115.64</v>
      </c>
      <c r="BM653" s="433">
        <f t="shared" si="255"/>
        <v>15586.21</v>
      </c>
      <c r="BN653" s="477">
        <f t="shared" si="255"/>
        <v>16229.23</v>
      </c>
      <c r="BO653" s="491">
        <f t="shared" si="255"/>
        <v>97.12</v>
      </c>
      <c r="BP653" s="492">
        <f t="shared" si="255"/>
        <v>0</v>
      </c>
      <c r="BQ653" s="492">
        <f t="shared" si="255"/>
        <v>130.33000000000001</v>
      </c>
      <c r="BR653" s="493"/>
      <c r="BS653" s="491">
        <f>BS654+BS667+BS668+BS669</f>
        <v>1980.75</v>
      </c>
      <c r="BT653" s="492">
        <f>BT654+BT667+BT668+BT669</f>
        <v>417.33</v>
      </c>
      <c r="BU653" s="492">
        <f>BU654+BU667+BU668+BU669</f>
        <v>3128.98</v>
      </c>
      <c r="BV653" s="494">
        <f>BV654+BV667+BV668+BV669</f>
        <v>615.96</v>
      </c>
      <c r="BW653" s="170"/>
      <c r="BX653" s="166"/>
      <c r="BY653" s="436">
        <f t="shared" si="253"/>
        <v>188745.45090473001</v>
      </c>
      <c r="BZ653" s="437">
        <f t="shared" si="253"/>
        <v>219614.39102999997</v>
      </c>
      <c r="CA653" s="437">
        <f t="shared" si="253"/>
        <v>253605.44190799998</v>
      </c>
      <c r="CB653" s="438">
        <f t="shared" si="253"/>
        <v>256919.62265119998</v>
      </c>
      <c r="CC653" s="760"/>
    </row>
    <row r="654" spans="1:81" ht="16.5" customHeight="1" outlineLevel="3" x14ac:dyDescent="0.25">
      <c r="C654" s="10" t="s">
        <v>83</v>
      </c>
      <c r="D654" s="10" t="s">
        <v>84</v>
      </c>
      <c r="E654" s="10" t="s">
        <v>73</v>
      </c>
      <c r="F654" s="10" t="s">
        <v>74</v>
      </c>
      <c r="G654" s="10" t="s">
        <v>406</v>
      </c>
      <c r="H654" s="10" t="s">
        <v>73</v>
      </c>
      <c r="I654" s="10" t="s">
        <v>73</v>
      </c>
      <c r="J654" s="10" t="s">
        <v>73</v>
      </c>
      <c r="K654" s="12" t="s">
        <v>73</v>
      </c>
      <c r="L654" s="10" t="s">
        <v>407</v>
      </c>
      <c r="M654" s="5" t="str">
        <f t="array" ref="M654">Y458</f>
        <v>1ВО::1.1</v>
      </c>
      <c r="Y654" s="10">
        <v>1</v>
      </c>
      <c r="AB654" s="403" t="str">
        <f>AB653&amp;".1"</f>
        <v>3.1.2.1</v>
      </c>
      <c r="AC654" s="413" t="s">
        <v>406</v>
      </c>
      <c r="AD654" s="32" t="s">
        <v>111</v>
      </c>
      <c r="AE654" s="72">
        <v>153567.82999999999</v>
      </c>
      <c r="AF654" s="73">
        <f>AF653-SUM(AF667:AF669)</f>
        <v>179645.28</v>
      </c>
      <c r="AG654" s="73">
        <v>206139.1</v>
      </c>
      <c r="AH654" s="74">
        <v>197901.55</v>
      </c>
      <c r="AI654" s="179">
        <f>AI655*AI656</f>
        <v>3070.36996</v>
      </c>
      <c r="AJ654" s="73">
        <v>3497.3150000000001</v>
      </c>
      <c r="AK654" s="73">
        <f>AK655*AK656</f>
        <v>4118.2884999999997</v>
      </c>
      <c r="AL654" s="138">
        <v>3971.27</v>
      </c>
      <c r="AM654" s="72"/>
      <c r="AN654" s="73"/>
      <c r="AO654" s="73"/>
      <c r="AP654" s="138"/>
      <c r="AQ654" s="72">
        <v>2081.1999999999998</v>
      </c>
      <c r="AR654" s="73">
        <v>551.05999999999995</v>
      </c>
      <c r="AS654" s="73">
        <v>2792.81</v>
      </c>
      <c r="AT654" s="138">
        <f>AT655*AT656</f>
        <v>547.18346000000008</v>
      </c>
      <c r="AU654" s="72">
        <f>AU655*AU656</f>
        <v>585.15697707999993</v>
      </c>
      <c r="AV654" s="73">
        <f>AV655*AV656</f>
        <v>105.33002999999999</v>
      </c>
      <c r="AW654" s="73">
        <f>AW655*AW656</f>
        <v>609.08020799999997</v>
      </c>
      <c r="AX654" s="138">
        <f>AX655*AX656</f>
        <v>152.62975199999997</v>
      </c>
      <c r="AY654" s="72">
        <v>363.97</v>
      </c>
      <c r="AZ654" s="73">
        <v>873.37</v>
      </c>
      <c r="BA654" s="73">
        <v>488.4</v>
      </c>
      <c r="BB654" s="138">
        <f>BB655*BB656</f>
        <v>884.289444</v>
      </c>
      <c r="BC654" s="72">
        <f>BC655*BC656</f>
        <v>334.34396765000002</v>
      </c>
      <c r="BD654" s="73">
        <v>27.12</v>
      </c>
      <c r="BE654" s="73">
        <f>BE655*BE656</f>
        <v>769.42319999999995</v>
      </c>
      <c r="BF654" s="774">
        <f>BF655*BF656</f>
        <v>26.259995199999999</v>
      </c>
      <c r="BG654" s="72">
        <v>15052.75</v>
      </c>
      <c r="BH654" s="73">
        <v>20381.946</v>
      </c>
      <c r="BI654" s="73">
        <v>19842.82</v>
      </c>
      <c r="BJ654" s="138">
        <v>36591.25</v>
      </c>
      <c r="BK654" s="72">
        <v>11611.96</v>
      </c>
      <c r="BL654" s="73">
        <v>14115.64</v>
      </c>
      <c r="BM654" s="73">
        <v>15586.21</v>
      </c>
      <c r="BN654" s="138">
        <v>16229.23</v>
      </c>
      <c r="BO654" s="142">
        <v>97.12</v>
      </c>
      <c r="BP654" s="140"/>
      <c r="BQ654" s="140">
        <v>130.33000000000001</v>
      </c>
      <c r="BR654" s="141"/>
      <c r="BS654" s="142">
        <v>1980.75</v>
      </c>
      <c r="BT654" s="140">
        <v>417.33</v>
      </c>
      <c r="BU654" s="140">
        <v>3128.98</v>
      </c>
      <c r="BV654" s="143">
        <v>615.96</v>
      </c>
      <c r="BY654" s="125">
        <f t="shared" si="253"/>
        <v>188745.45090473001</v>
      </c>
      <c r="BZ654" s="126">
        <f t="shared" si="253"/>
        <v>219614.39102999997</v>
      </c>
      <c r="CA654" s="126">
        <f t="shared" si="253"/>
        <v>253605.44190799998</v>
      </c>
      <c r="CB654" s="127">
        <f t="shared" si="253"/>
        <v>256919.62265119998</v>
      </c>
    </row>
    <row r="655" spans="1:81" ht="16.5" customHeight="1" outlineLevel="3" x14ac:dyDescent="0.25">
      <c r="C655" s="10" t="s">
        <v>408</v>
      </c>
      <c r="D655" s="10" t="s">
        <v>409</v>
      </c>
      <c r="E655" s="10" t="s">
        <v>73</v>
      </c>
      <c r="F655" s="10" t="s">
        <v>74</v>
      </c>
      <c r="G655" s="10" t="s">
        <v>73</v>
      </c>
      <c r="H655" s="10" t="s">
        <v>73</v>
      </c>
      <c r="I655" s="10" t="s">
        <v>73</v>
      </c>
      <c r="J655" s="10" t="s">
        <v>73</v>
      </c>
      <c r="K655" s="12" t="s">
        <v>73</v>
      </c>
      <c r="L655" s="10" t="s">
        <v>407</v>
      </c>
      <c r="M655" s="5" t="str">
        <f t="array" ref="M655">Y458</f>
        <v>1ВО::1.1</v>
      </c>
      <c r="AB655" s="403" t="str">
        <f>AB654&amp;".1"</f>
        <v>3.1.2.1.1</v>
      </c>
      <c r="AC655" s="495" t="s">
        <v>410</v>
      </c>
      <c r="AD655" s="32" t="s">
        <v>411</v>
      </c>
      <c r="AE655" s="269">
        <v>6.6662100000000004</v>
      </c>
      <c r="AF655" s="270">
        <v>7.5193500000000002</v>
      </c>
      <c r="AG655" s="270">
        <v>9.4044799999999995</v>
      </c>
      <c r="AH655" s="271">
        <f>(13.96+8.25+8.58)/3</f>
        <v>10.263333333333334</v>
      </c>
      <c r="AI655" s="1050">
        <v>7.58</v>
      </c>
      <c r="AJ655" s="270">
        <v>8.64</v>
      </c>
      <c r="AK655" s="270">
        <v>10.19</v>
      </c>
      <c r="AL655" s="272">
        <v>9.82</v>
      </c>
      <c r="AM655" s="269"/>
      <c r="AN655" s="270"/>
      <c r="AO655" s="270"/>
      <c r="AP655" s="272"/>
      <c r="AQ655" s="269">
        <v>7.5190700000000001</v>
      </c>
      <c r="AR655" s="270">
        <v>8.6197400000000002</v>
      </c>
      <c r="AS655" s="270">
        <v>10.11777</v>
      </c>
      <c r="AT655" s="272">
        <v>9.74</v>
      </c>
      <c r="AU655" s="269">
        <v>7.6265799999999997</v>
      </c>
      <c r="AV655" s="270">
        <v>8.1023099999999992</v>
      </c>
      <c r="AW655" s="270">
        <v>9.86205</v>
      </c>
      <c r="AX655" s="272">
        <v>9.4918999999999993</v>
      </c>
      <c r="AY655" s="269">
        <v>9.7083399999999997</v>
      </c>
      <c r="AZ655" s="270">
        <v>12.196199999999999</v>
      </c>
      <c r="BA655" s="270">
        <v>8.8800000000000008</v>
      </c>
      <c r="BB655" s="272">
        <v>12.57</v>
      </c>
      <c r="BC655" s="269">
        <v>7.5365500000000001</v>
      </c>
      <c r="BD655" s="270">
        <f>BD654/BD656</f>
        <v>8.6369426751592364</v>
      </c>
      <c r="BE655" s="270">
        <v>10.14</v>
      </c>
      <c r="BF655" s="979">
        <v>9.7620799999999992</v>
      </c>
      <c r="BG655" s="269">
        <v>8.1816499999999994</v>
      </c>
      <c r="BH655" s="270">
        <f>BH654/BH656</f>
        <v>9.373466149749591</v>
      </c>
      <c r="BI655" s="270">
        <v>11.046620000000001</v>
      </c>
      <c r="BJ655" s="272">
        <f>BJ654/BJ656</f>
        <v>15.741290443425953</v>
      </c>
      <c r="BK655" s="269">
        <v>6.6224629999999998</v>
      </c>
      <c r="BL655" s="270">
        <v>4.6439399999999997</v>
      </c>
      <c r="BM655" s="270">
        <v>8.9162400000000002</v>
      </c>
      <c r="BN655" s="272">
        <v>10.8</v>
      </c>
      <c r="BO655" s="276">
        <v>7.7296699999999996</v>
      </c>
      <c r="BP655" s="274"/>
      <c r="BQ655" s="274">
        <v>10.375730000000001</v>
      </c>
      <c r="BR655" s="275"/>
      <c r="BS655" s="276">
        <v>9.8400599999999994</v>
      </c>
      <c r="BT655" s="274">
        <v>8.6337799999999998</v>
      </c>
      <c r="BU655" s="274">
        <v>76.963576000000003</v>
      </c>
      <c r="BV655" s="277">
        <f>BV654/BV656</f>
        <v>12.743025378265896</v>
      </c>
      <c r="BY655" s="125">
        <f>BY654/BY656</f>
        <v>6.8179276809308496</v>
      </c>
      <c r="BZ655" s="126">
        <f>BZ654/BZ656</f>
        <v>7.391967958128145</v>
      </c>
      <c r="CA655" s="126">
        <f>CA654/CA656</f>
        <v>9.6100332167308142</v>
      </c>
      <c r="CB655" s="127">
        <f>CB654/CB656</f>
        <v>10.83698190008284</v>
      </c>
    </row>
    <row r="656" spans="1:81" ht="16.5" customHeight="1" outlineLevel="3" x14ac:dyDescent="0.25">
      <c r="C656" s="10" t="s">
        <v>412</v>
      </c>
      <c r="D656" s="10" t="s">
        <v>413</v>
      </c>
      <c r="E656" s="10" t="s">
        <v>73</v>
      </c>
      <c r="F656" s="10" t="s">
        <v>74</v>
      </c>
      <c r="G656" s="10" t="s">
        <v>73</v>
      </c>
      <c r="H656" s="10" t="s">
        <v>73</v>
      </c>
      <c r="I656" s="10" t="s">
        <v>73</v>
      </c>
      <c r="J656" s="10" t="s">
        <v>73</v>
      </c>
      <c r="K656" s="12" t="s">
        <v>73</v>
      </c>
      <c r="L656" s="10" t="s">
        <v>407</v>
      </c>
      <c r="M656" s="5" t="str">
        <f t="array" ref="M656">Y458</f>
        <v>1ВО::1.1</v>
      </c>
      <c r="AB656" s="403" t="str">
        <f>AB655&amp;".2"</f>
        <v>3.1.2.1.1.2</v>
      </c>
      <c r="AC656" s="495" t="s">
        <v>414</v>
      </c>
      <c r="AD656" s="32" t="s">
        <v>415</v>
      </c>
      <c r="AE656" s="66">
        <v>23036.741999999998</v>
      </c>
      <c r="AF656" s="91">
        <v>23891.059000000001</v>
      </c>
      <c r="AG656" s="67">
        <v>21919.252</v>
      </c>
      <c r="AH656" s="68">
        <f>AH654/AH655</f>
        <v>19282.385514777525</v>
      </c>
      <c r="AI656" s="146">
        <v>405.06200000000001</v>
      </c>
      <c r="AJ656" s="91">
        <f>AJ654/AJ655</f>
        <v>404.7818287037037</v>
      </c>
      <c r="AK656" s="67">
        <v>404.15</v>
      </c>
      <c r="AL656" s="119">
        <f>AL654/AL655</f>
        <v>404.40631364562114</v>
      </c>
      <c r="AM656" s="66"/>
      <c r="AN656" s="91"/>
      <c r="AO656" s="67"/>
      <c r="AP656" s="119"/>
      <c r="AQ656" s="66">
        <v>276.79000000000002</v>
      </c>
      <c r="AR656" s="91">
        <v>63.93</v>
      </c>
      <c r="AS656" s="67">
        <v>276.02999999999997</v>
      </c>
      <c r="AT656" s="119">
        <v>56.179000000000002</v>
      </c>
      <c r="AU656" s="66">
        <v>76.725999999999999</v>
      </c>
      <c r="AV656" s="91">
        <v>13</v>
      </c>
      <c r="AW656" s="67">
        <v>61.76</v>
      </c>
      <c r="AX656" s="119">
        <v>16.079999999999998</v>
      </c>
      <c r="AY656" s="66">
        <v>37.49</v>
      </c>
      <c r="AZ656" s="91">
        <v>71.61</v>
      </c>
      <c r="BA656" s="67">
        <v>55</v>
      </c>
      <c r="BB656" s="119">
        <v>70.349199999999996</v>
      </c>
      <c r="BC656" s="66">
        <v>44.363</v>
      </c>
      <c r="BD656" s="91">
        <v>3.14</v>
      </c>
      <c r="BE656" s="67">
        <v>75.88</v>
      </c>
      <c r="BF656" s="980">
        <v>2.69</v>
      </c>
      <c r="BG656" s="66">
        <v>1839.818</v>
      </c>
      <c r="BH656" s="91">
        <v>2174.4299999999998</v>
      </c>
      <c r="BI656" s="67">
        <v>1796.28</v>
      </c>
      <c r="BJ656" s="119">
        <f>BJ489*1.103</f>
        <v>2324.5394099999999</v>
      </c>
      <c r="BK656" s="66">
        <v>1752.847</v>
      </c>
      <c r="BL656" s="91">
        <v>3039.58</v>
      </c>
      <c r="BM656" s="67">
        <v>1748.07</v>
      </c>
      <c r="BN656" s="119">
        <f>BN654/BN655</f>
        <v>1502.7064814814814</v>
      </c>
      <c r="BO656" s="123">
        <v>12.565</v>
      </c>
      <c r="BP656" s="279"/>
      <c r="BQ656" s="121">
        <v>12.561</v>
      </c>
      <c r="BR656" s="122"/>
      <c r="BS656" s="123">
        <v>201.29499999999999</v>
      </c>
      <c r="BT656" s="279">
        <v>48.337000000000003</v>
      </c>
      <c r="BU656" s="121">
        <v>40.67</v>
      </c>
      <c r="BV656" s="124">
        <f>BV663</f>
        <v>48.337030000000006</v>
      </c>
      <c r="BY656" s="125">
        <f t="shared" ref="BY656:BY687" si="256">AE656+AI656+AM656+AQ656+AU656+AY656+BC656+BG656+BK656+BO656+BS656</f>
        <v>27683.698</v>
      </c>
      <c r="BZ656" s="126">
        <f t="shared" ref="BZ656:BZ687" si="257">AF656+AJ656+AN656+AR656+AV656+AZ656+BD656+BH656+BL656+BP656+BT656</f>
        <v>29709.867828703704</v>
      </c>
      <c r="CA656" s="126">
        <f t="shared" ref="CA656:CA687" si="258">AG656+AK656+AO656+AS656+AW656+BA656+BE656+BI656+BM656+BQ656+BU656</f>
        <v>26389.652999999998</v>
      </c>
      <c r="CB656" s="127">
        <f t="shared" ref="CB656:CB687" si="259">AH656+AL656+AP656+AT656+AX656+BB656+BF656+BJ656+BN656+BR656+BV656</f>
        <v>23707.672949904627</v>
      </c>
    </row>
    <row r="657" spans="1:81" ht="16.5" customHeight="1" outlineLevel="3" x14ac:dyDescent="0.25">
      <c r="B657" s="10" t="b">
        <f>$AD$36="да"</f>
        <v>0</v>
      </c>
      <c r="C657" s="11" t="s">
        <v>412</v>
      </c>
      <c r="D657" s="10" t="s">
        <v>413</v>
      </c>
      <c r="E657" s="10" t="s">
        <v>73</v>
      </c>
      <c r="F657" s="10" t="s">
        <v>74</v>
      </c>
      <c r="G657" s="10" t="s">
        <v>73</v>
      </c>
      <c r="H657" s="10" t="s">
        <v>73</v>
      </c>
      <c r="I657" s="10" t="s">
        <v>73</v>
      </c>
      <c r="J657" s="11" t="s">
        <v>416</v>
      </c>
      <c r="K657" s="12" t="s">
        <v>73</v>
      </c>
      <c r="L657" s="10" t="s">
        <v>417</v>
      </c>
      <c r="M657" s="5" t="str">
        <f t="array" ref="M657">Y458</f>
        <v>1ВО::1.1</v>
      </c>
      <c r="AB657" s="403" t="str">
        <f t="array" ref="AB657">IF(A657,AB656&amp;".1",AB656)</f>
        <v>3.1.2.1.1.2</v>
      </c>
      <c r="AC657" s="496" t="s">
        <v>418</v>
      </c>
      <c r="AD657" s="32" t="s">
        <v>415</v>
      </c>
      <c r="AE657" s="66"/>
      <c r="AF657" s="67">
        <v>23891.059000000001</v>
      </c>
      <c r="AG657" s="67"/>
      <c r="AH657" s="68"/>
      <c r="AI657" s="146">
        <v>369</v>
      </c>
      <c r="AJ657" s="67">
        <v>364.30380000000002</v>
      </c>
      <c r="AK657" s="67">
        <v>355.57</v>
      </c>
      <c r="AL657" s="119"/>
      <c r="AM657" s="66"/>
      <c r="AN657" s="67"/>
      <c r="AO657" s="67"/>
      <c r="AP657" s="119"/>
      <c r="AQ657" s="66"/>
      <c r="AR657" s="67"/>
      <c r="AS657" s="67"/>
      <c r="AT657" s="119"/>
      <c r="AU657" s="66"/>
      <c r="AV657" s="67"/>
      <c r="AW657" s="67"/>
      <c r="AX657" s="119"/>
      <c r="AY657" s="66"/>
      <c r="AZ657" s="67"/>
      <c r="BA657" s="67"/>
      <c r="BB657" s="119"/>
      <c r="BC657" s="66">
        <v>0</v>
      </c>
      <c r="BD657" s="67"/>
      <c r="BE657" s="67">
        <v>0</v>
      </c>
      <c r="BF657" s="980"/>
      <c r="BG657" s="66"/>
      <c r="BH657" s="67"/>
      <c r="BI657" s="67"/>
      <c r="BJ657" s="119"/>
      <c r="BK657" s="66"/>
      <c r="BL657" s="67">
        <v>2714.97</v>
      </c>
      <c r="BM657" s="67">
        <v>1748.07</v>
      </c>
      <c r="BN657" s="119"/>
      <c r="BO657" s="123"/>
      <c r="BP657" s="121"/>
      <c r="BQ657" s="121"/>
      <c r="BR657" s="122"/>
      <c r="BS657" s="123"/>
      <c r="BT657" s="121"/>
      <c r="BU657" s="121"/>
      <c r="BV657" s="124"/>
      <c r="BY657" s="125">
        <f t="shared" si="256"/>
        <v>369</v>
      </c>
      <c r="BZ657" s="126">
        <f t="shared" si="257"/>
        <v>26970.332800000004</v>
      </c>
      <c r="CA657" s="126">
        <f t="shared" si="258"/>
        <v>2103.64</v>
      </c>
      <c r="CB657" s="127">
        <f t="shared" si="259"/>
        <v>0</v>
      </c>
    </row>
    <row r="658" spans="1:81" ht="16.5" customHeight="1" outlineLevel="3" x14ac:dyDescent="0.25">
      <c r="B658" s="10" t="b">
        <f>$AD$37="нет"</f>
        <v>0</v>
      </c>
      <c r="C658" s="10" t="s">
        <v>419</v>
      </c>
      <c r="D658" s="10" t="s">
        <v>420</v>
      </c>
      <c r="E658" s="10" t="s">
        <v>73</v>
      </c>
      <c r="F658" s="10" t="s">
        <v>74</v>
      </c>
      <c r="G658" s="10" t="s">
        <v>73</v>
      </c>
      <c r="H658" s="10" t="s">
        <v>73</v>
      </c>
      <c r="I658" s="10" t="s">
        <v>73</v>
      </c>
      <c r="J658" s="10" t="s">
        <v>73</v>
      </c>
      <c r="K658" s="12" t="s">
        <v>73</v>
      </c>
      <c r="L658" s="10" t="s">
        <v>417</v>
      </c>
      <c r="M658" s="5" t="str">
        <f t="array" ref="M658">Y458</f>
        <v>1ВО::1.1</v>
      </c>
      <c r="AB658" s="403" t="str">
        <f>IF(AB657="",AB656&amp;".1",AB657&amp;".1")</f>
        <v>3.1.2.1.1.2.1</v>
      </c>
      <c r="AC658" s="497" t="s">
        <v>421</v>
      </c>
      <c r="AD658" s="32" t="s">
        <v>422</v>
      </c>
      <c r="AE658" s="282">
        <v>0.38329999999999997</v>
      </c>
      <c r="AF658" s="283">
        <v>0.39100000000000001</v>
      </c>
      <c r="AG658" s="283">
        <v>0.3614</v>
      </c>
      <c r="AH658" s="284">
        <v>0.42799999999999999</v>
      </c>
      <c r="AI658" s="671">
        <f>AI657/AI659</f>
        <v>1.6856627304081679</v>
      </c>
      <c r="AJ658" s="283">
        <f>AJ657/AJ659</f>
        <v>2.9445829291949566</v>
      </c>
      <c r="AK658" s="283">
        <f>AK657/AK659</f>
        <v>1.5744192842783893</v>
      </c>
      <c r="AL658" s="285"/>
      <c r="AM658" s="282"/>
      <c r="AN658" s="283"/>
      <c r="AO658" s="283"/>
      <c r="AP658" s="285"/>
      <c r="AQ658" s="282"/>
      <c r="AR658" s="283"/>
      <c r="AS658" s="283"/>
      <c r="AT658" s="285"/>
      <c r="AU658" s="282"/>
      <c r="AV658" s="283"/>
      <c r="AW658" s="283"/>
      <c r="AX658" s="285"/>
      <c r="AY658" s="282"/>
      <c r="AZ658" s="283"/>
      <c r="BA658" s="283"/>
      <c r="BB658" s="285"/>
      <c r="BC658" s="282">
        <v>0</v>
      </c>
      <c r="BD658" s="283"/>
      <c r="BE658" s="283">
        <v>0</v>
      </c>
      <c r="BF658" s="981">
        <f>BF656/BF489</f>
        <v>9.9970269064962106E-3</v>
      </c>
      <c r="BG658" s="282"/>
      <c r="BH658" s="283"/>
      <c r="BI658" s="283">
        <f>BI661+BI664</f>
        <v>0.65959999999999996</v>
      </c>
      <c r="BJ658" s="285">
        <v>1.103</v>
      </c>
      <c r="BK658" s="282"/>
      <c r="BL658" s="283">
        <v>0.80500000000000005</v>
      </c>
      <c r="BM658" s="283">
        <v>0.7329</v>
      </c>
      <c r="BN658" s="285"/>
      <c r="BO658" s="289"/>
      <c r="BP658" s="287"/>
      <c r="BQ658" s="287"/>
      <c r="BR658" s="288"/>
      <c r="BS658" s="289"/>
      <c r="BT658" s="287"/>
      <c r="BU658" s="287"/>
      <c r="BV658" s="290"/>
      <c r="BY658" s="125">
        <f t="shared" si="256"/>
        <v>2.0689627304081677</v>
      </c>
      <c r="BZ658" s="126">
        <f t="shared" si="257"/>
        <v>4.1405829291949567</v>
      </c>
      <c r="CA658" s="126">
        <f t="shared" si="258"/>
        <v>3.3283192842783889</v>
      </c>
      <c r="CB658" s="127">
        <f t="shared" si="259"/>
        <v>1.5409970269064961</v>
      </c>
    </row>
    <row r="659" spans="1:81" ht="16.5" customHeight="1" outlineLevel="3" x14ac:dyDescent="0.25">
      <c r="B659" s="10" t="b">
        <f t="array" ref="B659">B658</f>
        <v>0</v>
      </c>
      <c r="C659" s="10" t="s">
        <v>423</v>
      </c>
      <c r="D659" s="10" t="s">
        <v>424</v>
      </c>
      <c r="E659" s="10" t="s">
        <v>73</v>
      </c>
      <c r="F659" s="10" t="s">
        <v>74</v>
      </c>
      <c r="G659" s="10" t="s">
        <v>73</v>
      </c>
      <c r="H659" s="10" t="s">
        <v>73</v>
      </c>
      <c r="I659" s="10" t="s">
        <v>73</v>
      </c>
      <c r="J659" s="10" t="s">
        <v>73</v>
      </c>
      <c r="K659" s="12" t="s">
        <v>73</v>
      </c>
      <c r="L659" s="10" t="s">
        <v>417</v>
      </c>
      <c r="M659" s="5" t="str">
        <f t="array" ref="M659">Y458</f>
        <v>1ВО::1.1</v>
      </c>
      <c r="AB659" s="403" t="str">
        <f>IF(AB657="",AB656&amp;".2",AB657&amp;".2")</f>
        <v>3.1.2.1.1.2.2</v>
      </c>
      <c r="AC659" s="497" t="s">
        <v>425</v>
      </c>
      <c r="AD659" s="32" t="s">
        <v>137</v>
      </c>
      <c r="AE659" s="66">
        <v>60098.574999999997</v>
      </c>
      <c r="AF659" s="67">
        <v>61098.531000000003</v>
      </c>
      <c r="AG659" s="67">
        <v>60649.311000000002</v>
      </c>
      <c r="AH659" s="68"/>
      <c r="AI659" s="146">
        <v>218.905</v>
      </c>
      <c r="AJ659" s="67">
        <v>123.72</v>
      </c>
      <c r="AK659" s="67">
        <v>225.84200000000001</v>
      </c>
      <c r="AL659" s="119"/>
      <c r="AM659" s="66"/>
      <c r="AN659" s="67"/>
      <c r="AO659" s="67"/>
      <c r="AP659" s="119"/>
      <c r="AQ659" s="66"/>
      <c r="AR659" s="67"/>
      <c r="AS659" s="67"/>
      <c r="AT659" s="119"/>
      <c r="AU659" s="66"/>
      <c r="AV659" s="67"/>
      <c r="AW659" s="67"/>
      <c r="AX659" s="119"/>
      <c r="AY659" s="66">
        <v>274.77999999999997</v>
      </c>
      <c r="AZ659" s="67">
        <v>319.74</v>
      </c>
      <c r="BA659" s="67">
        <v>250</v>
      </c>
      <c r="BB659" s="119">
        <v>318.70999999999998</v>
      </c>
      <c r="BC659" s="66">
        <v>0</v>
      </c>
      <c r="BD659" s="67"/>
      <c r="BE659" s="67">
        <v>0</v>
      </c>
      <c r="BF659" s="980"/>
      <c r="BG659" s="66"/>
      <c r="BH659" s="67"/>
      <c r="BI659" s="67"/>
      <c r="BJ659" s="119"/>
      <c r="BK659" s="66">
        <v>1191.194</v>
      </c>
      <c r="BL659" s="67">
        <v>1478.3309999999999</v>
      </c>
      <c r="BM659" s="67">
        <v>2385.232</v>
      </c>
      <c r="BN659" s="119"/>
      <c r="BO659" s="123"/>
      <c r="BP659" s="121"/>
      <c r="BQ659" s="121"/>
      <c r="BR659" s="122"/>
      <c r="BS659" s="123"/>
      <c r="BT659" s="121"/>
      <c r="BU659" s="121"/>
      <c r="BV659" s="124"/>
      <c r="BY659" s="125">
        <f t="shared" si="256"/>
        <v>61783.453999999998</v>
      </c>
      <c r="BZ659" s="126">
        <f t="shared" si="257"/>
        <v>63020.322</v>
      </c>
      <c r="CA659" s="126">
        <f t="shared" si="258"/>
        <v>63510.384999999995</v>
      </c>
      <c r="CB659" s="127">
        <f t="shared" si="259"/>
        <v>318.70999999999998</v>
      </c>
    </row>
    <row r="660" spans="1:81" ht="29.25" customHeight="1" outlineLevel="3" x14ac:dyDescent="0.25">
      <c r="B660" s="10" t="b">
        <f>NOT(B659)</f>
        <v>1</v>
      </c>
      <c r="C660" s="10" t="s">
        <v>426</v>
      </c>
      <c r="D660" s="10" t="s">
        <v>427</v>
      </c>
      <c r="E660" s="10" t="s">
        <v>73</v>
      </c>
      <c r="F660" s="10" t="s">
        <v>74</v>
      </c>
      <c r="G660" s="10" t="s">
        <v>73</v>
      </c>
      <c r="H660" s="10" t="s">
        <v>73</v>
      </c>
      <c r="I660" s="10" t="s">
        <v>428</v>
      </c>
      <c r="J660" s="10" t="s">
        <v>73</v>
      </c>
      <c r="K660" s="12" t="s">
        <v>73</v>
      </c>
      <c r="L660" s="10" t="s">
        <v>429</v>
      </c>
      <c r="M660" s="5" t="str">
        <f t="array" ref="M660">Y458</f>
        <v>1ВО::1.1</v>
      </c>
      <c r="AB660" s="403" t="str">
        <f>AB657&amp;".1"</f>
        <v>3.1.2.1.1.2.1</v>
      </c>
      <c r="AC660" s="498" t="s">
        <v>430</v>
      </c>
      <c r="AD660" s="32" t="s">
        <v>415</v>
      </c>
      <c r="AE660" s="66">
        <v>0</v>
      </c>
      <c r="AF660" s="67">
        <v>9787.1039999999994</v>
      </c>
      <c r="AG660" s="67">
        <v>8160.92</v>
      </c>
      <c r="AH660" s="68"/>
      <c r="AI660" s="146">
        <v>36.061999999999998</v>
      </c>
      <c r="AJ660" s="67">
        <v>40.478000000000002</v>
      </c>
      <c r="AK660" s="67">
        <v>48.58</v>
      </c>
      <c r="AL660" s="119"/>
      <c r="AM660" s="66"/>
      <c r="AN660" s="67"/>
      <c r="AO660" s="67"/>
      <c r="AP660" s="119"/>
      <c r="AQ660" s="66"/>
      <c r="AR660" s="67"/>
      <c r="AS660" s="67"/>
      <c r="AT660" s="119"/>
      <c r="AU660" s="66"/>
      <c r="AV660" s="67"/>
      <c r="AW660" s="67"/>
      <c r="AX660" s="119"/>
      <c r="AY660" s="66">
        <f>AY656</f>
        <v>37.49</v>
      </c>
      <c r="AZ660" s="67">
        <f>AZ656</f>
        <v>71.61</v>
      </c>
      <c r="BA660" s="67">
        <f>BA656</f>
        <v>55</v>
      </c>
      <c r="BB660" s="119">
        <f>BB656</f>
        <v>70.349199999999996</v>
      </c>
      <c r="BC660" s="66">
        <v>0</v>
      </c>
      <c r="BD660" s="67"/>
      <c r="BE660" s="67">
        <v>0</v>
      </c>
      <c r="BF660" s="980"/>
      <c r="BG660" s="66">
        <v>1038.9770000000001</v>
      </c>
      <c r="BH660" s="67">
        <v>713.64</v>
      </c>
      <c r="BI660" s="67">
        <v>997.62</v>
      </c>
      <c r="BJ660" s="119"/>
      <c r="BK660" s="66">
        <v>1752.847</v>
      </c>
      <c r="BL660" s="67">
        <v>324.61</v>
      </c>
      <c r="BM660" s="67"/>
      <c r="BN660" s="119"/>
      <c r="BO660" s="123"/>
      <c r="BP660" s="121"/>
      <c r="BQ660" s="121"/>
      <c r="BR660" s="122"/>
      <c r="BS660" s="123"/>
      <c r="BT660" s="121"/>
      <c r="BU660" s="121"/>
      <c r="BV660" s="124"/>
      <c r="BY660" s="125">
        <f t="shared" si="256"/>
        <v>2865.3760000000002</v>
      </c>
      <c r="BZ660" s="126">
        <f t="shared" si="257"/>
        <v>10937.441999999999</v>
      </c>
      <c r="CA660" s="126">
        <f t="shared" si="258"/>
        <v>9262.1200000000008</v>
      </c>
      <c r="CB660" s="127">
        <f t="shared" si="259"/>
        <v>70.349199999999996</v>
      </c>
    </row>
    <row r="661" spans="1:81" ht="36.75" customHeight="1" outlineLevel="3" x14ac:dyDescent="0.25">
      <c r="B661" s="10" t="b">
        <f t="array" ref="B661">B660</f>
        <v>1</v>
      </c>
      <c r="C661" s="10" t="s">
        <v>426</v>
      </c>
      <c r="D661" s="10" t="s">
        <v>427</v>
      </c>
      <c r="E661" s="10" t="s">
        <v>73</v>
      </c>
      <c r="F661" s="10" t="s">
        <v>74</v>
      </c>
      <c r="G661" s="10" t="s">
        <v>73</v>
      </c>
      <c r="H661" s="10" t="s">
        <v>73</v>
      </c>
      <c r="I661" s="10" t="s">
        <v>431</v>
      </c>
      <c r="J661" s="10" t="s">
        <v>73</v>
      </c>
      <c r="K661" s="12" t="s">
        <v>73</v>
      </c>
      <c r="L661" s="10" t="s">
        <v>429</v>
      </c>
      <c r="M661" s="5" t="str">
        <f t="array" ref="M661">Y458</f>
        <v>1ВО::1.1</v>
      </c>
      <c r="AB661" s="403" t="str">
        <f>AB660&amp;".1"</f>
        <v>3.1.2.1.1.2.1.1</v>
      </c>
      <c r="AC661" s="499" t="s">
        <v>432</v>
      </c>
      <c r="AD661" s="32" t="s">
        <v>422</v>
      </c>
      <c r="AE661" s="282">
        <v>0</v>
      </c>
      <c r="AF661" s="283">
        <v>0.16</v>
      </c>
      <c r="AG661" s="283">
        <v>0.13439999999999999</v>
      </c>
      <c r="AH661" s="284"/>
      <c r="AI661" s="671">
        <f>AI660/AI662</f>
        <v>0.16473812841186816</v>
      </c>
      <c r="AJ661" s="283">
        <f>AJ660/AJ662</f>
        <v>0.3271742644681539</v>
      </c>
      <c r="AK661" s="283">
        <f>AK660/AK662</f>
        <v>0.21510613614828064</v>
      </c>
      <c r="AL661" s="285"/>
      <c r="AM661" s="282"/>
      <c r="AN661" s="283"/>
      <c r="AO661" s="283"/>
      <c r="AP661" s="285"/>
      <c r="AQ661" s="282"/>
      <c r="AR661" s="283"/>
      <c r="AS661" s="283"/>
      <c r="AT661" s="285"/>
      <c r="AU661" s="282"/>
      <c r="AV661" s="283"/>
      <c r="AW661" s="283"/>
      <c r="AX661" s="285"/>
      <c r="AY661" s="282">
        <v>0.13639999999999999</v>
      </c>
      <c r="AZ661" s="283">
        <v>0.224</v>
      </c>
      <c r="BA661" s="283">
        <v>0.22</v>
      </c>
      <c r="BB661" s="285">
        <v>0.1</v>
      </c>
      <c r="BC661" s="282">
        <v>0</v>
      </c>
      <c r="BD661" s="283"/>
      <c r="BE661" s="283">
        <v>0</v>
      </c>
      <c r="BF661" s="981"/>
      <c r="BG661" s="282">
        <f>BG660/BG662</f>
        <v>0.39103387278885965</v>
      </c>
      <c r="BH661" s="283">
        <v>0.36199999999999999</v>
      </c>
      <c r="BI661" s="283">
        <v>0.36630000000000001</v>
      </c>
      <c r="BJ661" s="285"/>
      <c r="BK661" s="282">
        <v>0.40810000000000002</v>
      </c>
      <c r="BL661" s="283">
        <v>0.80500000000000005</v>
      </c>
      <c r="BM661" s="283"/>
      <c r="BN661" s="285"/>
      <c r="BO661" s="289"/>
      <c r="BP661" s="287"/>
      <c r="BQ661" s="287"/>
      <c r="BR661" s="288"/>
      <c r="BS661" s="289"/>
      <c r="BT661" s="287"/>
      <c r="BU661" s="287"/>
      <c r="BV661" s="290"/>
      <c r="BY661" s="125">
        <f t="shared" si="256"/>
        <v>1.1002720012007279</v>
      </c>
      <c r="BZ661" s="126">
        <f t="shared" si="257"/>
        <v>1.8781742644681541</v>
      </c>
      <c r="CA661" s="126">
        <f t="shared" si="258"/>
        <v>0.93580613614828057</v>
      </c>
      <c r="CB661" s="127">
        <f t="shared" si="259"/>
        <v>0.1</v>
      </c>
    </row>
    <row r="662" spans="1:81" ht="24.75" customHeight="1" outlineLevel="3" x14ac:dyDescent="0.25">
      <c r="B662" s="10" t="b">
        <f t="array" ref="B662">B661</f>
        <v>1</v>
      </c>
      <c r="C662" s="10" t="s">
        <v>426</v>
      </c>
      <c r="D662" s="10" t="s">
        <v>427</v>
      </c>
      <c r="E662" s="10" t="s">
        <v>73</v>
      </c>
      <c r="F662" s="10" t="s">
        <v>74</v>
      </c>
      <c r="G662" s="10" t="s">
        <v>73</v>
      </c>
      <c r="H662" s="10" t="s">
        <v>73</v>
      </c>
      <c r="I662" s="10" t="s">
        <v>433</v>
      </c>
      <c r="J662" s="10" t="s">
        <v>73</v>
      </c>
      <c r="K662" s="12" t="s">
        <v>73</v>
      </c>
      <c r="L662" s="10" t="s">
        <v>429</v>
      </c>
      <c r="M662" s="5" t="str">
        <f t="array" ref="M662">Y458</f>
        <v>1ВО::1.1</v>
      </c>
      <c r="AB662" s="403" t="str">
        <f>AB660&amp;".2"</f>
        <v>3.1.2.1.1.2.1.2</v>
      </c>
      <c r="AC662" s="499" t="s">
        <v>425</v>
      </c>
      <c r="AD662" s="32" t="s">
        <v>137</v>
      </c>
      <c r="AE662" s="66">
        <v>60174.777999999998</v>
      </c>
      <c r="AF662" s="67">
        <v>53511.555999999997</v>
      </c>
      <c r="AG662" s="67">
        <v>60721.131999999998</v>
      </c>
      <c r="AH662" s="68"/>
      <c r="AI662" s="146">
        <v>218.905</v>
      </c>
      <c r="AJ662" s="67">
        <v>123.72</v>
      </c>
      <c r="AK662" s="67">
        <v>225.84200000000001</v>
      </c>
      <c r="AL662" s="119"/>
      <c r="AM662" s="66"/>
      <c r="AN662" s="67"/>
      <c r="AO662" s="67"/>
      <c r="AP662" s="119"/>
      <c r="AQ662" s="66">
        <v>202.97</v>
      </c>
      <c r="AR662" s="67">
        <v>119.23</v>
      </c>
      <c r="AS662" s="67">
        <v>199</v>
      </c>
      <c r="AT662" s="119">
        <v>208.13</v>
      </c>
      <c r="AU662" s="66">
        <f>AU489</f>
        <v>502.17</v>
      </c>
      <c r="AV662" s="67">
        <f>AV489</f>
        <v>438.95</v>
      </c>
      <c r="AW662" s="67">
        <f>AW489</f>
        <v>482.28</v>
      </c>
      <c r="AX662" s="119">
        <v>536</v>
      </c>
      <c r="AY662" s="66">
        <f>AY659</f>
        <v>274.77999999999997</v>
      </c>
      <c r="AZ662" s="67">
        <f>AZ659</f>
        <v>319.74</v>
      </c>
      <c r="BA662" s="67">
        <f>BA659</f>
        <v>250</v>
      </c>
      <c r="BB662" s="119">
        <v>319.70999999999998</v>
      </c>
      <c r="BC662" s="66">
        <v>0</v>
      </c>
      <c r="BD662" s="67"/>
      <c r="BE662" s="67">
        <v>0</v>
      </c>
      <c r="BF662" s="980"/>
      <c r="BG662" s="66">
        <v>2657</v>
      </c>
      <c r="BH662" s="67">
        <v>1971.38</v>
      </c>
      <c r="BI662" s="67">
        <v>2723.42</v>
      </c>
      <c r="BJ662" s="119"/>
      <c r="BK662" s="66">
        <v>4295.6499999999996</v>
      </c>
      <c r="BL662" s="67">
        <v>2273.1999999999998</v>
      </c>
      <c r="BM662" s="67">
        <v>3113.3440000000001</v>
      </c>
      <c r="BN662" s="119"/>
      <c r="BO662" s="123"/>
      <c r="BP662" s="121"/>
      <c r="BQ662" s="121"/>
      <c r="BR662" s="122"/>
      <c r="BS662" s="123"/>
      <c r="BT662" s="121"/>
      <c r="BU662" s="121">
        <v>252.608</v>
      </c>
      <c r="BV662" s="124"/>
      <c r="BY662" s="125">
        <f t="shared" si="256"/>
        <v>68326.252999999997</v>
      </c>
      <c r="BZ662" s="126">
        <f t="shared" si="257"/>
        <v>58757.775999999991</v>
      </c>
      <c r="CA662" s="126">
        <f t="shared" si="258"/>
        <v>67967.625999999989</v>
      </c>
      <c r="CB662" s="127">
        <f t="shared" si="259"/>
        <v>1063.8399999999999</v>
      </c>
    </row>
    <row r="663" spans="1:81" ht="33.75" customHeight="1" outlineLevel="3" x14ac:dyDescent="0.25">
      <c r="B663" s="10" t="b">
        <f t="array" ref="B663">B662</f>
        <v>1</v>
      </c>
      <c r="C663" s="10" t="s">
        <v>426</v>
      </c>
      <c r="D663" s="10" t="s">
        <v>427</v>
      </c>
      <c r="E663" s="10" t="s">
        <v>73</v>
      </c>
      <c r="F663" s="10" t="s">
        <v>74</v>
      </c>
      <c r="G663" s="10" t="s">
        <v>73</v>
      </c>
      <c r="H663" s="10" t="s">
        <v>73</v>
      </c>
      <c r="I663" s="10" t="s">
        <v>434</v>
      </c>
      <c r="J663" s="10" t="s">
        <v>73</v>
      </c>
      <c r="K663" s="12" t="s">
        <v>73</v>
      </c>
      <c r="L663" s="10" t="s">
        <v>429</v>
      </c>
      <c r="M663" s="5" t="str">
        <f t="array" ref="M663">Y458</f>
        <v>1ВО::1.1</v>
      </c>
      <c r="AB663" s="403" t="str">
        <f>AB657&amp;".2"</f>
        <v>3.1.2.1.1.2.2</v>
      </c>
      <c r="AC663" s="498" t="s">
        <v>435</v>
      </c>
      <c r="AD663" s="32" t="s">
        <v>415</v>
      </c>
      <c r="AE663" s="66">
        <v>23036.741999999998</v>
      </c>
      <c r="AF663" s="67">
        <v>14103.954</v>
      </c>
      <c r="AG663" s="67">
        <v>13758.332</v>
      </c>
      <c r="AH663" s="68"/>
      <c r="AI663" s="146"/>
      <c r="AJ663" s="67"/>
      <c r="AK663" s="67"/>
      <c r="AL663" s="119"/>
      <c r="AM663" s="66"/>
      <c r="AN663" s="67"/>
      <c r="AO663" s="67"/>
      <c r="AP663" s="119"/>
      <c r="AQ663" s="282">
        <f t="shared" ref="AQ663:AW663" si="260">AQ656</f>
        <v>276.79000000000002</v>
      </c>
      <c r="AR663" s="283">
        <f t="shared" si="260"/>
        <v>63.93</v>
      </c>
      <c r="AS663" s="283">
        <f t="shared" si="260"/>
        <v>276.02999999999997</v>
      </c>
      <c r="AT663" s="285">
        <f t="shared" si="260"/>
        <v>56.179000000000002</v>
      </c>
      <c r="AU663" s="66">
        <f t="shared" si="260"/>
        <v>76.725999999999999</v>
      </c>
      <c r="AV663" s="67">
        <f t="shared" si="260"/>
        <v>13</v>
      </c>
      <c r="AW663" s="67">
        <f t="shared" si="260"/>
        <v>61.76</v>
      </c>
      <c r="AX663" s="119">
        <v>16.079999999999998</v>
      </c>
      <c r="AY663" s="66"/>
      <c r="AZ663" s="67"/>
      <c r="BA663" s="67"/>
      <c r="BB663" s="119"/>
      <c r="BC663" s="66">
        <f>BC656</f>
        <v>44.363</v>
      </c>
      <c r="BD663" s="67"/>
      <c r="BE663" s="67">
        <f>BE656</f>
        <v>75.88</v>
      </c>
      <c r="BF663" s="980"/>
      <c r="BG663" s="66">
        <v>800.84100000000001</v>
      </c>
      <c r="BH663" s="67">
        <v>1460.79</v>
      </c>
      <c r="BI663" s="67">
        <v>798.66</v>
      </c>
      <c r="BJ663" s="119"/>
      <c r="BK663" s="66"/>
      <c r="BL663" s="67"/>
      <c r="BM663" s="67"/>
      <c r="BN663" s="119"/>
      <c r="BO663" s="123">
        <v>12.565</v>
      </c>
      <c r="BP663" s="121"/>
      <c r="BQ663" s="121">
        <v>12.561</v>
      </c>
      <c r="BR663" s="122"/>
      <c r="BS663" s="123">
        <v>201.29499999999999</v>
      </c>
      <c r="BT663" s="121">
        <v>48.337000000000003</v>
      </c>
      <c r="BU663" s="121">
        <v>40.67</v>
      </c>
      <c r="BV663" s="124">
        <f>BV664*BV665</f>
        <v>48.337030000000006</v>
      </c>
      <c r="BY663" s="125">
        <f t="shared" si="256"/>
        <v>24449.321999999996</v>
      </c>
      <c r="BZ663" s="126">
        <f t="shared" si="257"/>
        <v>15690.010999999999</v>
      </c>
      <c r="CA663" s="126">
        <f t="shared" si="258"/>
        <v>15023.893</v>
      </c>
      <c r="CB663" s="127">
        <f t="shared" si="259"/>
        <v>120.59603000000001</v>
      </c>
    </row>
    <row r="664" spans="1:81" ht="33.75" customHeight="1" outlineLevel="3" x14ac:dyDescent="0.25">
      <c r="B664" s="10" t="b">
        <f t="array" ref="B664">B663</f>
        <v>1</v>
      </c>
      <c r="C664" s="10" t="s">
        <v>426</v>
      </c>
      <c r="D664" s="10" t="s">
        <v>427</v>
      </c>
      <c r="E664" s="10" t="s">
        <v>73</v>
      </c>
      <c r="F664" s="10" t="s">
        <v>74</v>
      </c>
      <c r="G664" s="10" t="s">
        <v>73</v>
      </c>
      <c r="H664" s="10" t="s">
        <v>73</v>
      </c>
      <c r="I664" s="10" t="s">
        <v>436</v>
      </c>
      <c r="J664" s="10" t="s">
        <v>73</v>
      </c>
      <c r="K664" s="12" t="s">
        <v>73</v>
      </c>
      <c r="L664" s="10" t="s">
        <v>429</v>
      </c>
      <c r="M664" s="5" t="str">
        <f t="array" ref="M664">Y458</f>
        <v>1ВО::1.1</v>
      </c>
      <c r="AB664" s="403" t="str">
        <f>AB663&amp;".1"</f>
        <v>3.1.2.1.1.2.2.1</v>
      </c>
      <c r="AC664" s="499" t="s">
        <v>437</v>
      </c>
      <c r="AD664" s="32" t="s">
        <v>422</v>
      </c>
      <c r="AE664" s="282">
        <v>0.40260000000000001</v>
      </c>
      <c r="AF664" s="283">
        <v>0.2419</v>
      </c>
      <c r="AG664" s="283">
        <v>0.2384</v>
      </c>
      <c r="AH664" s="284"/>
      <c r="AI664" s="671"/>
      <c r="AJ664" s="283"/>
      <c r="AK664" s="283"/>
      <c r="AL664" s="285"/>
      <c r="AM664" s="282"/>
      <c r="AN664" s="283"/>
      <c r="AO664" s="283"/>
      <c r="AP664" s="285"/>
      <c r="AQ664" s="282">
        <v>1.3636999999999999</v>
      </c>
      <c r="AR664" s="283">
        <v>0.27</v>
      </c>
      <c r="AS664" s="283">
        <v>1.3871</v>
      </c>
      <c r="AT664" s="119">
        <f>AT663/AT665</f>
        <v>0.26992264450103304</v>
      </c>
      <c r="AU664" s="282">
        <f>AU663/AU662</f>
        <v>0.15278889619053307</v>
      </c>
      <c r="AV664" s="283">
        <f>AV663/AV662</f>
        <v>2.9616129399703841E-2</v>
      </c>
      <c r="AW664" s="283">
        <f>AW663/AW662</f>
        <v>0.12805838931740898</v>
      </c>
      <c r="AX664" s="285">
        <f>AX663/AX662</f>
        <v>2.9999999999999995E-2</v>
      </c>
      <c r="AY664" s="282"/>
      <c r="AZ664" s="283"/>
      <c r="BA664" s="283"/>
      <c r="BB664" s="285"/>
      <c r="BC664" s="282">
        <f>BC663/BC665</f>
        <v>0.16461835318564697</v>
      </c>
      <c r="BD664" s="283"/>
      <c r="BE664" s="283">
        <f>BE663/BE665</f>
        <v>0.28150099237632392</v>
      </c>
      <c r="BF664" s="981"/>
      <c r="BG664" s="282">
        <f>BG663/BG665</f>
        <v>0.28147287693572992</v>
      </c>
      <c r="BH664" s="283">
        <v>0.74150000000000005</v>
      </c>
      <c r="BI664" s="283">
        <v>0.29330000000000001</v>
      </c>
      <c r="BJ664" s="285"/>
      <c r="BK664" s="282"/>
      <c r="BL664" s="283"/>
      <c r="BM664" s="283"/>
      <c r="BN664" s="285"/>
      <c r="BO664" s="289">
        <v>0.157</v>
      </c>
      <c r="BP664" s="287"/>
      <c r="BQ664" s="287">
        <v>0.154</v>
      </c>
      <c r="BR664" s="288"/>
      <c r="BS664" s="289">
        <v>0.82569999999999999</v>
      </c>
      <c r="BT664" s="287">
        <v>0.161</v>
      </c>
      <c r="BU664" s="287">
        <v>0.161</v>
      </c>
      <c r="BV664" s="290">
        <v>0.161</v>
      </c>
      <c r="BY664" s="125">
        <f t="shared" si="256"/>
        <v>3.3478801263119098</v>
      </c>
      <c r="BZ664" s="126">
        <f t="shared" si="257"/>
        <v>1.4440161293997038</v>
      </c>
      <c r="CA664" s="126">
        <f t="shared" si="258"/>
        <v>2.6433593816937329</v>
      </c>
      <c r="CB664" s="127">
        <f t="shared" si="259"/>
        <v>0.46092264450103304</v>
      </c>
    </row>
    <row r="665" spans="1:81" ht="14.25" customHeight="1" outlineLevel="3" x14ac:dyDescent="0.25">
      <c r="B665" s="10" t="b">
        <f t="array" ref="B665">B664</f>
        <v>1</v>
      </c>
      <c r="C665" s="10" t="s">
        <v>426</v>
      </c>
      <c r="D665" s="10" t="s">
        <v>427</v>
      </c>
      <c r="E665" s="10" t="s">
        <v>73</v>
      </c>
      <c r="F665" s="10" t="s">
        <v>74</v>
      </c>
      <c r="G665" s="10" t="s">
        <v>73</v>
      </c>
      <c r="H665" s="10" t="s">
        <v>73</v>
      </c>
      <c r="I665" s="10" t="s">
        <v>438</v>
      </c>
      <c r="J665" s="10" t="s">
        <v>73</v>
      </c>
      <c r="K665" s="12" t="s">
        <v>73</v>
      </c>
      <c r="L665" s="10" t="s">
        <v>429</v>
      </c>
      <c r="M665" s="5" t="str">
        <f t="array" ref="M665">Y458</f>
        <v>1ВО::1.1</v>
      </c>
      <c r="AB665" s="403" t="str">
        <f>AB663&amp;".2"</f>
        <v>3.1.2.1.1.2.2.2</v>
      </c>
      <c r="AC665" s="499" t="s">
        <v>425</v>
      </c>
      <c r="AD665" s="32" t="s">
        <v>137</v>
      </c>
      <c r="AE665" s="66">
        <v>57218.796999999999</v>
      </c>
      <c r="AF665" s="67">
        <v>58304.896000000001</v>
      </c>
      <c r="AG665" s="67">
        <v>57711.123</v>
      </c>
      <c r="AH665" s="68"/>
      <c r="AI665" s="146"/>
      <c r="AJ665" s="67"/>
      <c r="AK665" s="67"/>
      <c r="AL665" s="119"/>
      <c r="AM665" s="66"/>
      <c r="AN665" s="67"/>
      <c r="AO665" s="67"/>
      <c r="AP665" s="119"/>
      <c r="AQ665" s="66">
        <f>AQ662</f>
        <v>202.97</v>
      </c>
      <c r="AR665" s="67">
        <v>236.79</v>
      </c>
      <c r="AS665" s="67">
        <f t="shared" ref="AS665:AX665" si="261">AS662</f>
        <v>199</v>
      </c>
      <c r="AT665" s="119">
        <f t="shared" si="261"/>
        <v>208.13</v>
      </c>
      <c r="AU665" s="66">
        <f t="shared" si="261"/>
        <v>502.17</v>
      </c>
      <c r="AV665" s="67">
        <f t="shared" si="261"/>
        <v>438.95</v>
      </c>
      <c r="AW665" s="67">
        <f t="shared" si="261"/>
        <v>482.28</v>
      </c>
      <c r="AX665" s="119">
        <f t="shared" si="261"/>
        <v>536</v>
      </c>
      <c r="AY665" s="66"/>
      <c r="AZ665" s="67"/>
      <c r="BA665" s="67"/>
      <c r="BB665" s="119"/>
      <c r="BC665" s="66">
        <v>269.49</v>
      </c>
      <c r="BD665" s="67"/>
      <c r="BE665" s="67">
        <v>269.55500000000001</v>
      </c>
      <c r="BF665" s="980"/>
      <c r="BG665" s="66">
        <v>2845.18</v>
      </c>
      <c r="BH665" s="67">
        <v>3272.7</v>
      </c>
      <c r="BI665" s="67">
        <v>2723.42</v>
      </c>
      <c r="BJ665" s="119"/>
      <c r="BK665" s="66"/>
      <c r="BL665" s="67"/>
      <c r="BM665" s="67"/>
      <c r="BN665" s="119"/>
      <c r="BO665" s="123">
        <v>80.02</v>
      </c>
      <c r="BP665" s="121">
        <v>89.34</v>
      </c>
      <c r="BQ665" s="121">
        <v>81.561999999999998</v>
      </c>
      <c r="BR665" s="122"/>
      <c r="BS665" s="123">
        <v>243.79</v>
      </c>
      <c r="BT665" s="121">
        <v>300.23</v>
      </c>
      <c r="BU665" s="121">
        <v>252.608</v>
      </c>
      <c r="BV665" s="124">
        <f>BV503</f>
        <v>300.23</v>
      </c>
      <c r="BY665" s="125">
        <f t="shared" si="256"/>
        <v>61362.416999999994</v>
      </c>
      <c r="BZ665" s="126">
        <f t="shared" si="257"/>
        <v>62642.905999999995</v>
      </c>
      <c r="CA665" s="126">
        <f t="shared" si="258"/>
        <v>61719.547999999995</v>
      </c>
      <c r="CB665" s="127">
        <f t="shared" si="259"/>
        <v>1044.3600000000001</v>
      </c>
    </row>
    <row r="666" spans="1:81" ht="14.25" customHeight="1" outlineLevel="3" x14ac:dyDescent="0.25">
      <c r="B666" s="10" t="b">
        <f t="array" ref="B666">B657</f>
        <v>0</v>
      </c>
      <c r="C666" s="11" t="s">
        <v>412</v>
      </c>
      <c r="D666" s="10" t="s">
        <v>413</v>
      </c>
      <c r="E666" s="10" t="s">
        <v>73</v>
      </c>
      <c r="F666" s="10" t="s">
        <v>74</v>
      </c>
      <c r="G666" s="10" t="s">
        <v>73</v>
      </c>
      <c r="H666" s="10" t="s">
        <v>73</v>
      </c>
      <c r="I666" s="10" t="s">
        <v>73</v>
      </c>
      <c r="J666" s="11" t="s">
        <v>439</v>
      </c>
      <c r="K666" s="12" t="s">
        <v>73</v>
      </c>
      <c r="L666" s="10" t="s">
        <v>417</v>
      </c>
      <c r="M666" s="5" t="str">
        <f t="array" ref="M666">Y458</f>
        <v>1ВО::1.1</v>
      </c>
      <c r="AB666" s="403" t="str">
        <f>AB656&amp;".2"</f>
        <v>3.1.2.1.1.2.2</v>
      </c>
      <c r="AC666" s="500" t="s">
        <v>440</v>
      </c>
      <c r="AD666" s="32" t="s">
        <v>415</v>
      </c>
      <c r="AE666" s="66"/>
      <c r="AF666" s="67"/>
      <c r="AG666" s="67"/>
      <c r="AH666" s="68"/>
      <c r="AI666" s="146"/>
      <c r="AJ666" s="67"/>
      <c r="AK666" s="67"/>
      <c r="AL666" s="119"/>
      <c r="AM666" s="66"/>
      <c r="AN666" s="67"/>
      <c r="AO666" s="67"/>
      <c r="AP666" s="119"/>
      <c r="AQ666" s="66"/>
      <c r="AR666" s="67"/>
      <c r="AS666" s="67"/>
      <c r="AT666" s="119"/>
      <c r="AU666" s="66"/>
      <c r="AV666" s="67"/>
      <c r="AW666" s="67"/>
      <c r="AX666" s="119"/>
      <c r="AY666" s="66"/>
      <c r="AZ666" s="67"/>
      <c r="BA666" s="67"/>
      <c r="BB666" s="119"/>
      <c r="BC666" s="66"/>
      <c r="BD666" s="67"/>
      <c r="BE666" s="67"/>
      <c r="BF666" s="980"/>
      <c r="BG666" s="66"/>
      <c r="BH666" s="67"/>
      <c r="BI666" s="67"/>
      <c r="BJ666" s="119"/>
      <c r="BK666" s="66"/>
      <c r="BL666" s="67"/>
      <c r="BM666" s="67"/>
      <c r="BN666" s="119"/>
      <c r="BO666" s="123"/>
      <c r="BP666" s="121"/>
      <c r="BQ666" s="121"/>
      <c r="BR666" s="122"/>
      <c r="BS666" s="123"/>
      <c r="BT666" s="121"/>
      <c r="BU666" s="121"/>
      <c r="BV666" s="124"/>
      <c r="BY666" s="125">
        <f t="shared" si="256"/>
        <v>0</v>
      </c>
      <c r="BZ666" s="126">
        <f t="shared" si="257"/>
        <v>0</v>
      </c>
      <c r="CA666" s="126">
        <f t="shared" si="258"/>
        <v>0</v>
      </c>
      <c r="CB666" s="127">
        <f t="shared" si="259"/>
        <v>0</v>
      </c>
    </row>
    <row r="667" spans="1:81" ht="32.25" customHeight="1" outlineLevel="3" x14ac:dyDescent="0.25">
      <c r="A667" s="10" t="b">
        <f>$AD$48="да"</f>
        <v>1</v>
      </c>
      <c r="B667" s="5" t="b">
        <f t="array" ref="B667">A667</f>
        <v>1</v>
      </c>
      <c r="C667" s="10" t="s">
        <v>83</v>
      </c>
      <c r="D667" s="10" t="s">
        <v>84</v>
      </c>
      <c r="E667" s="10" t="s">
        <v>73</v>
      </c>
      <c r="F667" s="10" t="s">
        <v>74</v>
      </c>
      <c r="G667" s="10" t="s">
        <v>441</v>
      </c>
      <c r="H667" s="10" t="s">
        <v>73</v>
      </c>
      <c r="I667" s="10" t="s">
        <v>73</v>
      </c>
      <c r="J667" s="10" t="s">
        <v>73</v>
      </c>
      <c r="K667" s="12" t="s">
        <v>73</v>
      </c>
      <c r="L667" s="10" t="s">
        <v>442</v>
      </c>
      <c r="M667" s="5" t="str">
        <f t="array" ref="M667">Y458</f>
        <v>1ВО::1.1</v>
      </c>
      <c r="Y667" s="10">
        <f>COUNT($Y654:Y666)+1</f>
        <v>2</v>
      </c>
      <c r="AB667" s="501" t="s">
        <v>639</v>
      </c>
      <c r="AC667" s="413" t="s">
        <v>443</v>
      </c>
      <c r="AD667" s="32" t="s">
        <v>111</v>
      </c>
      <c r="AE667" s="72"/>
      <c r="AF667" s="178"/>
      <c r="AG667" s="73"/>
      <c r="AH667" s="74"/>
      <c r="AI667" s="179"/>
      <c r="AJ667" s="178"/>
      <c r="AK667" s="73"/>
      <c r="AL667" s="138"/>
      <c r="AM667" s="72"/>
      <c r="AN667" s="178"/>
      <c r="AO667" s="73"/>
      <c r="AP667" s="138"/>
      <c r="AQ667" s="72"/>
      <c r="AR667" s="178"/>
      <c r="AS667" s="73"/>
      <c r="AT667" s="138"/>
      <c r="AU667" s="72"/>
      <c r="AV667" s="178"/>
      <c r="AW667" s="73"/>
      <c r="AX667" s="138"/>
      <c r="AY667" s="72"/>
      <c r="AZ667" s="178"/>
      <c r="BA667" s="73"/>
      <c r="BB667" s="138"/>
      <c r="BC667" s="72"/>
      <c r="BD667" s="178"/>
      <c r="BE667" s="73"/>
      <c r="BF667" s="774"/>
      <c r="BG667" s="72"/>
      <c r="BH667" s="178"/>
      <c r="BI667" s="73"/>
      <c r="BJ667" s="138"/>
      <c r="BK667" s="72"/>
      <c r="BL667" s="178"/>
      <c r="BM667" s="73"/>
      <c r="BN667" s="138"/>
      <c r="BO667" s="142"/>
      <c r="BP667" s="183"/>
      <c r="BQ667" s="140"/>
      <c r="BR667" s="141"/>
      <c r="BS667" s="142"/>
      <c r="BT667" s="183"/>
      <c r="BU667" s="140"/>
      <c r="BV667" s="143"/>
      <c r="BY667" s="125">
        <f t="shared" si="256"/>
        <v>0</v>
      </c>
      <c r="BZ667" s="126">
        <f t="shared" si="257"/>
        <v>0</v>
      </c>
      <c r="CA667" s="126">
        <f t="shared" si="258"/>
        <v>0</v>
      </c>
      <c r="CB667" s="127">
        <f t="shared" si="259"/>
        <v>0</v>
      </c>
    </row>
    <row r="668" spans="1:81" ht="31.5" customHeight="1" outlineLevel="3" x14ac:dyDescent="0.25">
      <c r="A668" s="10" t="b">
        <f>$AD$49="да"</f>
        <v>1</v>
      </c>
      <c r="B668" s="5" t="b">
        <f t="array" ref="B668">A668</f>
        <v>1</v>
      </c>
      <c r="C668" s="10" t="s">
        <v>83</v>
      </c>
      <c r="D668" s="10" t="s">
        <v>84</v>
      </c>
      <c r="E668" s="10" t="s">
        <v>73</v>
      </c>
      <c r="F668" s="10" t="s">
        <v>74</v>
      </c>
      <c r="G668" s="10" t="s">
        <v>444</v>
      </c>
      <c r="H668" s="10" t="s">
        <v>73</v>
      </c>
      <c r="I668" s="10" t="s">
        <v>73</v>
      </c>
      <c r="J668" s="10" t="s">
        <v>73</v>
      </c>
      <c r="K668" s="12" t="s">
        <v>73</v>
      </c>
      <c r="L668" s="10" t="s">
        <v>224</v>
      </c>
      <c r="M668" s="5" t="str">
        <f t="array" ref="M668">Y458</f>
        <v>1ВО::1.1</v>
      </c>
      <c r="Y668" s="10">
        <f>COUNT($Y654:Y667)+1</f>
        <v>3</v>
      </c>
      <c r="AB668" s="501" t="s">
        <v>640</v>
      </c>
      <c r="AC668" s="413" t="s">
        <v>445</v>
      </c>
      <c r="AD668" s="32" t="s">
        <v>111</v>
      </c>
      <c r="AE668" s="72"/>
      <c r="AF668" s="178"/>
      <c r="AG668" s="73"/>
      <c r="AH668" s="74"/>
      <c r="AI668" s="179"/>
      <c r="AJ668" s="178"/>
      <c r="AK668" s="73"/>
      <c r="AL668" s="138"/>
      <c r="AM668" s="72"/>
      <c r="AN668" s="178"/>
      <c r="AO668" s="73"/>
      <c r="AP668" s="138"/>
      <c r="AQ668" s="72"/>
      <c r="AR668" s="178"/>
      <c r="AS668" s="73"/>
      <c r="AT668" s="138"/>
      <c r="AU668" s="72"/>
      <c r="AV668" s="178"/>
      <c r="AW668" s="73"/>
      <c r="AX668" s="138"/>
      <c r="AY668" s="72"/>
      <c r="AZ668" s="178"/>
      <c r="BA668" s="73"/>
      <c r="BB668" s="138"/>
      <c r="BC668" s="72"/>
      <c r="BD668" s="178"/>
      <c r="BE668" s="73"/>
      <c r="BF668" s="774"/>
      <c r="BG668" s="72"/>
      <c r="BH668" s="178"/>
      <c r="BI668" s="73"/>
      <c r="BJ668" s="138"/>
      <c r="BK668" s="72"/>
      <c r="BL668" s="178"/>
      <c r="BM668" s="73"/>
      <c r="BN668" s="138"/>
      <c r="BO668" s="142"/>
      <c r="BP668" s="183"/>
      <c r="BQ668" s="140"/>
      <c r="BR668" s="141"/>
      <c r="BS668" s="142"/>
      <c r="BT668" s="183"/>
      <c r="BU668" s="140"/>
      <c r="BV668" s="143"/>
      <c r="BY668" s="125">
        <f t="shared" si="256"/>
        <v>0</v>
      </c>
      <c r="BZ668" s="126">
        <f t="shared" si="257"/>
        <v>0</v>
      </c>
      <c r="CA668" s="126">
        <f t="shared" si="258"/>
        <v>0</v>
      </c>
      <c r="CB668" s="127">
        <f t="shared" si="259"/>
        <v>0</v>
      </c>
    </row>
    <row r="669" spans="1:81" ht="33" customHeight="1" outlineLevel="3" x14ac:dyDescent="0.25">
      <c r="A669" s="10" t="b">
        <f>$AD$50="да"</f>
        <v>1</v>
      </c>
      <c r="B669" s="5" t="b">
        <f t="array" ref="B669">A669</f>
        <v>1</v>
      </c>
      <c r="C669" s="10" t="s">
        <v>83</v>
      </c>
      <c r="D669" s="10" t="s">
        <v>84</v>
      </c>
      <c r="E669" s="10" t="s">
        <v>73</v>
      </c>
      <c r="F669" s="10" t="s">
        <v>74</v>
      </c>
      <c r="G669" s="10" t="s">
        <v>446</v>
      </c>
      <c r="H669" s="10" t="s">
        <v>73</v>
      </c>
      <c r="I669" s="10" t="s">
        <v>73</v>
      </c>
      <c r="J669" s="10" t="s">
        <v>73</v>
      </c>
      <c r="K669" s="12" t="s">
        <v>73</v>
      </c>
      <c r="L669" s="10" t="s">
        <v>447</v>
      </c>
      <c r="M669" s="5" t="str">
        <f t="array" ref="M669">Y458</f>
        <v>1ВО::1.1</v>
      </c>
      <c r="Y669" s="10">
        <f>COUNT($Y654:Y668)+1</f>
        <v>4</v>
      </c>
      <c r="AB669" s="501" t="s">
        <v>641</v>
      </c>
      <c r="AC669" s="413" t="s">
        <v>448</v>
      </c>
      <c r="AD669" s="32" t="s">
        <v>111</v>
      </c>
      <c r="AE669" s="72"/>
      <c r="AF669" s="178"/>
      <c r="AG669" s="73"/>
      <c r="AH669" s="74"/>
      <c r="AI669" s="179"/>
      <c r="AJ669" s="178"/>
      <c r="AK669" s="73"/>
      <c r="AL669" s="138"/>
      <c r="AM669" s="72"/>
      <c r="AN669" s="178"/>
      <c r="AO669" s="73"/>
      <c r="AP669" s="138"/>
      <c r="AQ669" s="72"/>
      <c r="AR669" s="178"/>
      <c r="AS669" s="73"/>
      <c r="AT669" s="138"/>
      <c r="AU669" s="72"/>
      <c r="AV669" s="178"/>
      <c r="AW669" s="73"/>
      <c r="AX669" s="138"/>
      <c r="AY669" s="72"/>
      <c r="AZ669" s="178"/>
      <c r="BA669" s="73"/>
      <c r="BB669" s="138"/>
      <c r="BC669" s="72"/>
      <c r="BD669" s="178"/>
      <c r="BE669" s="73"/>
      <c r="BF669" s="774"/>
      <c r="BG669" s="72"/>
      <c r="BH669" s="178"/>
      <c r="BI669" s="73"/>
      <c r="BJ669" s="138"/>
      <c r="BK669" s="72"/>
      <c r="BL669" s="178"/>
      <c r="BM669" s="73"/>
      <c r="BN669" s="138"/>
      <c r="BO669" s="142"/>
      <c r="BP669" s="183"/>
      <c r="BQ669" s="140"/>
      <c r="BR669" s="141"/>
      <c r="BS669" s="142"/>
      <c r="BT669" s="183"/>
      <c r="BU669" s="140"/>
      <c r="BV669" s="143"/>
      <c r="BY669" s="125">
        <f t="shared" si="256"/>
        <v>0</v>
      </c>
      <c r="BZ669" s="126">
        <f t="shared" si="257"/>
        <v>0</v>
      </c>
      <c r="CA669" s="126">
        <f t="shared" si="258"/>
        <v>0</v>
      </c>
      <c r="CB669" s="127">
        <f t="shared" si="259"/>
        <v>0</v>
      </c>
    </row>
    <row r="670" spans="1:81" s="171" customFormat="1" ht="17.45" customHeight="1" outlineLevel="2" x14ac:dyDescent="0.25">
      <c r="A670" s="166"/>
      <c r="B670" s="166"/>
      <c r="C670" s="167" t="s">
        <v>83</v>
      </c>
      <c r="D670" s="167" t="s">
        <v>84</v>
      </c>
      <c r="E670" s="167" t="s">
        <v>73</v>
      </c>
      <c r="F670" s="167" t="s">
        <v>74</v>
      </c>
      <c r="G670" s="167" t="s">
        <v>449</v>
      </c>
      <c r="H670" s="167" t="s">
        <v>73</v>
      </c>
      <c r="I670" s="167" t="s">
        <v>73</v>
      </c>
      <c r="J670" s="167" t="s">
        <v>73</v>
      </c>
      <c r="K670" s="168" t="s">
        <v>73</v>
      </c>
      <c r="L670" s="167" t="s">
        <v>133</v>
      </c>
      <c r="M670" s="166" t="str">
        <f t="array" ref="M670">Y458</f>
        <v>1ВО::1.1</v>
      </c>
      <c r="N670" s="166"/>
      <c r="O670" s="166"/>
      <c r="P670" s="166"/>
      <c r="Q670" s="166"/>
      <c r="R670" s="166"/>
      <c r="S670" s="166"/>
      <c r="T670" s="166"/>
      <c r="U670" s="166"/>
      <c r="V670" s="166"/>
      <c r="W670" s="166"/>
      <c r="X670" s="166"/>
      <c r="Y670" s="166"/>
      <c r="Z670" s="166"/>
      <c r="AA670" s="166"/>
      <c r="AB670" s="429" t="str">
        <f>AB508&amp;".3"</f>
        <v>3.1.3</v>
      </c>
      <c r="AC670" s="440" t="s">
        <v>450</v>
      </c>
      <c r="AD670" s="431" t="s">
        <v>111</v>
      </c>
      <c r="AE670" s="476">
        <f t="shared" ref="AE670:AL670" si="262">AE671+AE684+AE685+AE695+AE702+AE703+AE704+AE705+AE706+AE709+AE710+AE711+AE712+AE713</f>
        <v>133523.351</v>
      </c>
      <c r="AF670" s="433">
        <f t="shared" si="262"/>
        <v>162588.68</v>
      </c>
      <c r="AG670" s="433">
        <f t="shared" si="262"/>
        <v>200104.75099999999</v>
      </c>
      <c r="AH670" s="490">
        <f t="shared" si="262"/>
        <v>130917.18000000001</v>
      </c>
      <c r="AI670" s="475">
        <f t="shared" si="262"/>
        <v>3224.3</v>
      </c>
      <c r="AJ670" s="433">
        <f t="shared" si="262"/>
        <v>4362.6000000000004</v>
      </c>
      <c r="AK670" s="433">
        <f t="shared" si="262"/>
        <v>3355.6000000000004</v>
      </c>
      <c r="AL670" s="477">
        <f t="shared" si="262"/>
        <v>3173.4580000000001</v>
      </c>
      <c r="AM670" s="476"/>
      <c r="AN670" s="433"/>
      <c r="AO670" s="433"/>
      <c r="AP670" s="477"/>
      <c r="AQ670" s="476">
        <f t="shared" ref="AQ670:BE670" si="263">AQ671+AQ684+AQ685+AQ695+AQ702+AQ703+AQ704+AQ705+AQ706+AQ709+AQ710+AQ711+AQ712+AQ713</f>
        <v>137.29000000000002</v>
      </c>
      <c r="AR670" s="433">
        <f t="shared" si="263"/>
        <v>506.27</v>
      </c>
      <c r="AS670" s="433">
        <f t="shared" si="263"/>
        <v>137.76</v>
      </c>
      <c r="AT670" s="477">
        <f t="shared" si="263"/>
        <v>58.93</v>
      </c>
      <c r="AU670" s="476">
        <f t="shared" si="263"/>
        <v>67.31</v>
      </c>
      <c r="AV670" s="433">
        <f t="shared" si="263"/>
        <v>91.27</v>
      </c>
      <c r="AW670" s="433">
        <f t="shared" si="263"/>
        <v>1019.58</v>
      </c>
      <c r="AX670" s="477">
        <f t="shared" si="263"/>
        <v>54.99</v>
      </c>
      <c r="AY670" s="476">
        <f t="shared" si="263"/>
        <v>17.02</v>
      </c>
      <c r="AZ670" s="433">
        <f t="shared" si="263"/>
        <v>17.89</v>
      </c>
      <c r="BA670" s="433">
        <f t="shared" si="263"/>
        <v>28.03</v>
      </c>
      <c r="BB670" s="477">
        <f t="shared" si="263"/>
        <v>17.260000000000002</v>
      </c>
      <c r="BC670" s="476">
        <f t="shared" si="263"/>
        <v>88.81</v>
      </c>
      <c r="BD670" s="433">
        <f t="shared" si="263"/>
        <v>307.65999999999997</v>
      </c>
      <c r="BE670" s="433">
        <f t="shared" si="263"/>
        <v>81.63</v>
      </c>
      <c r="BF670" s="983">
        <f>BF671+BF685+BF695+BF701</f>
        <v>345.87</v>
      </c>
      <c r="BG670" s="476">
        <f>BG671+BG684+BG685+BG695+BG702+BG703+BG704+BG705+BG706+BG709+BG710+BG711+BG712+BG713</f>
        <v>7776.17</v>
      </c>
      <c r="BH670" s="433">
        <f>BH671+BH684+BH685+BH695+BH702+BH703+BH704+BH705+BH706+BH709+BH710+BH711+BH712+BH713</f>
        <v>3134.6099999999997</v>
      </c>
      <c r="BI670" s="433">
        <f>BI671+BI684+BI685+BI695+BI702+BI703+BI704+BI705+BI706+BI709+BI710+BI711+BI712+BI713</f>
        <v>45553.45</v>
      </c>
      <c r="BJ670" s="477">
        <f>BJ671+BJ682+BJ683+BJ684+BJ685+BJ701</f>
        <v>1430.45</v>
      </c>
      <c r="BK670" s="476">
        <f>BK671+BK684+BK685+BK695+BK702+BK703+BK704+BK705+BK706+BK709+BK710+BK711+BK712+BK713</f>
        <v>20666.300000000003</v>
      </c>
      <c r="BL670" s="433">
        <f>BL671+BL684+BL685+BL695+BL702+BL703+BL704+BL705+BL706+BL709+BL710+BL711+BL712+BL713</f>
        <v>21897.02</v>
      </c>
      <c r="BM670" s="433">
        <f>BM671+BM684+BM685+BM695+BM702+BM703+BM704+BM705+BM706+BM709+BM710+BM711+BM712+BM713</f>
        <v>25244.63</v>
      </c>
      <c r="BN670" s="477">
        <f>BN673+BN684+BN685</f>
        <v>21320.816000000003</v>
      </c>
      <c r="BO670" s="476">
        <f>BO671+BO684+BO685+BO695+BO702+BO703+BO704+BO705+BO706+BO709+BO710+BO711+BO712+BO713</f>
        <v>0</v>
      </c>
      <c r="BP670" s="433">
        <f>BP671+BP684+BP685+BP695+BP702+BP703+BP704+BP705+BP706+BP709+BP710+BP711+BP712+BP713</f>
        <v>0</v>
      </c>
      <c r="BQ670" s="433">
        <f>BQ671+BQ684+BQ685+BQ695+BQ702+BQ703+BQ704+BQ705+BQ706+BQ709+BQ710+BQ711+BQ712+BQ713</f>
        <v>0</v>
      </c>
      <c r="BR670" s="477"/>
      <c r="BS670" s="476">
        <f>BS671+BS684+BS685+BS695+BS702+BS703+BS704+BS705+BS706+BS709+BS710+BS711+BS712+BS713</f>
        <v>6732.7800000000007</v>
      </c>
      <c r="BT670" s="433">
        <f>BT671+BT684+BT685+BT695+BT702+BT703+BT704+BT705+BT706+BT709+BT710+BT711+BT712+BT713</f>
        <v>6515.2</v>
      </c>
      <c r="BU670" s="433">
        <f>BU671+BU684+BU685+BU695+BU702+BU703+BU704+BU705+BU706+BU709+BU710+BU711+BU712+BU713</f>
        <v>11715.640000000001</v>
      </c>
      <c r="BV670" s="490">
        <f>BV671+BV684+BV685+BV695+BV702+BV703+BV704+BV705+BV706+BV709+BV710+BV711+BV712+BV713</f>
        <v>6394.2400000000007</v>
      </c>
      <c r="BW670" s="170"/>
      <c r="BX670" s="166"/>
      <c r="BY670" s="436">
        <f t="shared" si="256"/>
        <v>172233.33099999998</v>
      </c>
      <c r="BZ670" s="437">
        <f t="shared" si="257"/>
        <v>199421.19999999998</v>
      </c>
      <c r="CA670" s="437">
        <f t="shared" si="258"/>
        <v>287241.071</v>
      </c>
      <c r="CB670" s="438">
        <f t="shared" si="259"/>
        <v>163713.19399999999</v>
      </c>
      <c r="CC670" s="760"/>
    </row>
    <row r="671" spans="1:81" ht="25.7" customHeight="1" outlineLevel="3" x14ac:dyDescent="0.25">
      <c r="C671" s="10" t="s">
        <v>83</v>
      </c>
      <c r="D671" s="10" t="s">
        <v>84</v>
      </c>
      <c r="E671" s="10" t="s">
        <v>73</v>
      </c>
      <c r="F671" s="10" t="s">
        <v>74</v>
      </c>
      <c r="G671" s="10" t="s">
        <v>451</v>
      </c>
      <c r="H671" s="10" t="s">
        <v>73</v>
      </c>
      <c r="I671" s="10" t="s">
        <v>73</v>
      </c>
      <c r="J671" s="10" t="s">
        <v>73</v>
      </c>
      <c r="K671" s="12" t="s">
        <v>73</v>
      </c>
      <c r="L671" s="10" t="s">
        <v>452</v>
      </c>
      <c r="M671" s="5" t="str">
        <f t="array" ref="M671">Y458</f>
        <v>1ВО::1.1</v>
      </c>
      <c r="AB671" s="403" t="str">
        <f>AB670&amp;".1"</f>
        <v>3.1.3.1</v>
      </c>
      <c r="AC671" s="414" t="s">
        <v>453</v>
      </c>
      <c r="AD671" s="32" t="s">
        <v>111</v>
      </c>
      <c r="AE671" s="72">
        <f t="shared" ref="AE671:AK671" si="264">AE672+AE673+AE674+AE675+AE676+AE677+AE678+AE679+AE680+AE681+AE682+AE683</f>
        <v>7248.0400000000009</v>
      </c>
      <c r="AF671" s="73">
        <f t="shared" si="264"/>
        <v>8801</v>
      </c>
      <c r="AG671" s="73">
        <f t="shared" si="264"/>
        <v>11775.369999999999</v>
      </c>
      <c r="AH671" s="74">
        <f t="shared" si="264"/>
        <v>11633.21</v>
      </c>
      <c r="AI671" s="179">
        <f t="shared" si="264"/>
        <v>0</v>
      </c>
      <c r="AJ671" s="73">
        <f t="shared" si="264"/>
        <v>0</v>
      </c>
      <c r="AK671" s="73">
        <f t="shared" si="264"/>
        <v>0</v>
      </c>
      <c r="AL671" s="138"/>
      <c r="AM671" s="72"/>
      <c r="AN671" s="73"/>
      <c r="AO671" s="73"/>
      <c r="AP671" s="138"/>
      <c r="AQ671" s="72">
        <f>AQ672+AQ673+AQ674+AQ675+AQ676+AQ677+AQ678+AQ679+AQ680+AQ681+AQ682+AQ683</f>
        <v>71.650000000000006</v>
      </c>
      <c r="AR671" s="73">
        <f>AR672+AR673+AR674+AR675+AR676+AR677+AR678+AR679+AR680+AR681+AR682+AR683</f>
        <v>0</v>
      </c>
      <c r="AS671" s="73">
        <f>AS672+AS673+AS674+AS675+AS676+AS677+AS678+AS679+AS680+AS681+AS682+AS683</f>
        <v>78.83</v>
      </c>
      <c r="AT671" s="138"/>
      <c r="AU671" s="72">
        <f>AU672+AU673+AU674+AU675+AU676+AU677+AU678+AU679+AU680+AU681+AU682+AU683</f>
        <v>0</v>
      </c>
      <c r="AV671" s="73">
        <f>AV672+AV673+AV674+AV675+AV676+AV677+AV678+AV679+AV680+AV681+AV682+AV683</f>
        <v>0</v>
      </c>
      <c r="AW671" s="73">
        <f>AW672+AW673+AW674+AW675+AW676+AW677+AW678+AW679+AW680+AW681+AW682+AW683</f>
        <v>0</v>
      </c>
      <c r="AX671" s="138"/>
      <c r="AY671" s="72">
        <f>AY672+AY673+AY674+AY675+AY676+AY677+AY678+AY679+AY680+AY681+AY682+AY683</f>
        <v>0</v>
      </c>
      <c r="AZ671" s="73">
        <f>AZ672+AZ673+AZ674+AZ675+AZ676+AZ677+AZ678+AZ679+AZ680+AZ681+AZ682+AZ683</f>
        <v>0</v>
      </c>
      <c r="BA671" s="73">
        <f>BA672+BA673+BA674+BA675+BA676+BA677+BA678+BA679+BA680+BA681+BA682+BA683</f>
        <v>0</v>
      </c>
      <c r="BB671" s="138"/>
      <c r="BC671" s="72">
        <f>BC672+BC673+BC674+BC675+BC676+BC677+BC678+BC679+BC680+BC681+BC682+BC683</f>
        <v>0</v>
      </c>
      <c r="BD671" s="73">
        <f>BD672+BD673+BD674+BD675+BD676+BD677+BD678+BD679+BD680+BD681+BD682+BD683</f>
        <v>0</v>
      </c>
      <c r="BE671" s="73">
        <f>BE672+BE673+BE674+BE675+BE676+BE677+BE678+BE679+BE680+BE681+BE682+BE683</f>
        <v>0</v>
      </c>
      <c r="BF671" s="774"/>
      <c r="BG671" s="72">
        <f>BG672+BG673+BG674+BG675+BG676+BG677+BG678+BG679+BG680+BG681+BG682+BG683</f>
        <v>678.39</v>
      </c>
      <c r="BH671" s="73">
        <f>BH672+BH673+BH674+BH675+BH676+BH677+BH678+BH679+BH680+BH681+BH682+BH683</f>
        <v>0</v>
      </c>
      <c r="BI671" s="73">
        <f>BI672+BI673+BI674+BI675+BI676+BI677+BI678+BI679+BI680+BI681+BI682+BI683</f>
        <v>2695</v>
      </c>
      <c r="BJ671" s="138">
        <f>SUM(BJ672:BJ681)</f>
        <v>684.71</v>
      </c>
      <c r="BK671" s="72">
        <f>BK672+BK673+BK674+BK675+BK676+BK677+BK678+BK679+BK680+BK681+BK682+BK683</f>
        <v>869.5</v>
      </c>
      <c r="BL671" s="73">
        <f>BL672+BL673+BL674+BL675+BL676+BL677+BL678+BL679+BL680+BL681+BL682+BL683</f>
        <v>322.72000000000003</v>
      </c>
      <c r="BM671" s="73">
        <f>BM672+BM673+BM674+BM675+BM676+BM677+BM678+BM679+BM680+BM681+BM682+BM683</f>
        <v>1184.97</v>
      </c>
      <c r="BN671" s="138"/>
      <c r="BO671" s="72">
        <f>BO672+BO673+BO674+BO675+BO676+BO677+BO678+BO679+BO680+BO681+BO682+BO683</f>
        <v>0</v>
      </c>
      <c r="BP671" s="73">
        <f>BP672+BP673+BP674+BP675+BP676+BP677+BP678+BP679+BP680+BP681+BP682+BP683</f>
        <v>0</v>
      </c>
      <c r="BQ671" s="73">
        <f>BQ672+BQ673+BQ674+BQ675+BQ676+BQ677+BQ678+BQ679+BQ680+BQ681+BQ682+BQ683</f>
        <v>0</v>
      </c>
      <c r="BR671" s="138"/>
      <c r="BS671" s="142">
        <f>BS672+BS673+BS674+BS675+BS676+BS677+BS678+BS679+BS680+BS681+BS682+BS683</f>
        <v>0</v>
      </c>
      <c r="BT671" s="140">
        <f>BT672+BT673+BT674+BT675+BT676+BT677+BT678+BT679+BT680+BT681+BT682+BT683</f>
        <v>0</v>
      </c>
      <c r="BU671" s="140">
        <f>BU672+BU673+BU674+BU675+BU676+BU677+BU678+BU679+BU680+BU681+BU682+BU683</f>
        <v>0</v>
      </c>
      <c r="BV671" s="143">
        <f>SUM(BV672:BV683)</f>
        <v>0</v>
      </c>
      <c r="BY671" s="125">
        <f t="shared" si="256"/>
        <v>8867.5800000000017</v>
      </c>
      <c r="BZ671" s="126">
        <f t="shared" si="257"/>
        <v>9123.7199999999993</v>
      </c>
      <c r="CA671" s="126">
        <f t="shared" si="258"/>
        <v>15734.169999999998</v>
      </c>
      <c r="CB671" s="127">
        <f t="shared" si="259"/>
        <v>12317.919999999998</v>
      </c>
    </row>
    <row r="672" spans="1:81" ht="14.25" customHeight="1" outlineLevel="4" x14ac:dyDescent="0.25">
      <c r="C672" s="10" t="s">
        <v>83</v>
      </c>
      <c r="D672" s="10" t="s">
        <v>84</v>
      </c>
      <c r="E672" s="10" t="s">
        <v>73</v>
      </c>
      <c r="F672" s="10" t="s">
        <v>74</v>
      </c>
      <c r="G672" s="10" t="s">
        <v>454</v>
      </c>
      <c r="H672" s="10" t="s">
        <v>73</v>
      </c>
      <c r="I672" s="10" t="s">
        <v>73</v>
      </c>
      <c r="J672" s="10" t="s">
        <v>73</v>
      </c>
      <c r="K672" s="12" t="s">
        <v>73</v>
      </c>
      <c r="L672" s="10" t="s">
        <v>452</v>
      </c>
      <c r="M672" s="5" t="str">
        <f t="array" ref="M672">Y458</f>
        <v>1ВО::1.1</v>
      </c>
      <c r="Y672" s="10">
        <v>1</v>
      </c>
      <c r="AB672" s="403" t="str">
        <f>AB$304&amp;"."&amp;Y672</f>
        <v>3.1.1.4.1</v>
      </c>
      <c r="AC672" s="426" t="s">
        <v>455</v>
      </c>
      <c r="AD672" s="32" t="s">
        <v>111</v>
      </c>
      <c r="AE672" s="72">
        <v>2309.02</v>
      </c>
      <c r="AF672" s="178">
        <v>2379.9699999999998</v>
      </c>
      <c r="AG672" s="73">
        <v>2597.21</v>
      </c>
      <c r="AH672" s="74">
        <v>2597.21</v>
      </c>
      <c r="AI672" s="179"/>
      <c r="AJ672" s="178"/>
      <c r="AK672" s="73"/>
      <c r="AL672" s="138"/>
      <c r="AM672" s="72"/>
      <c r="AN672" s="178"/>
      <c r="AO672" s="73"/>
      <c r="AP672" s="138"/>
      <c r="AQ672" s="72">
        <v>71.650000000000006</v>
      </c>
      <c r="AR672" s="178"/>
      <c r="AS672" s="73">
        <v>78.83</v>
      </c>
      <c r="AT672" s="138"/>
      <c r="AU672" s="72"/>
      <c r="AV672" s="178"/>
      <c r="AW672" s="73"/>
      <c r="AX672" s="138"/>
      <c r="AY672" s="72"/>
      <c r="AZ672" s="178"/>
      <c r="BA672" s="73"/>
      <c r="BB672" s="138"/>
      <c r="BC672" s="72"/>
      <c r="BD672" s="178"/>
      <c r="BE672" s="73"/>
      <c r="BF672" s="774"/>
      <c r="BG672" s="72">
        <v>678.39</v>
      </c>
      <c r="BH672" s="178"/>
      <c r="BI672" s="73">
        <v>2695</v>
      </c>
      <c r="BJ672" s="138">
        <v>684.71</v>
      </c>
      <c r="BK672" s="72">
        <v>511.21</v>
      </c>
      <c r="BL672" s="178">
        <v>322.72000000000003</v>
      </c>
      <c r="BM672" s="73">
        <v>599.65</v>
      </c>
      <c r="BN672" s="138"/>
      <c r="BO672" s="72"/>
      <c r="BP672" s="178"/>
      <c r="BQ672" s="73"/>
      <c r="BR672" s="138"/>
      <c r="BS672" s="142"/>
      <c r="BT672" s="183"/>
      <c r="BU672" s="140"/>
      <c r="BV672" s="143"/>
      <c r="BY672" s="125">
        <f t="shared" si="256"/>
        <v>3570.27</v>
      </c>
      <c r="BZ672" s="126">
        <f t="shared" si="257"/>
        <v>2702.6899999999996</v>
      </c>
      <c r="CA672" s="126">
        <f t="shared" si="258"/>
        <v>5970.69</v>
      </c>
      <c r="CB672" s="127">
        <f t="shared" si="259"/>
        <v>3281.92</v>
      </c>
    </row>
    <row r="673" spans="1:80" ht="14.25" customHeight="1" outlineLevel="4" x14ac:dyDescent="0.25">
      <c r="C673" s="10" t="s">
        <v>83</v>
      </c>
      <c r="D673" s="10" t="s">
        <v>84</v>
      </c>
      <c r="E673" s="10" t="s">
        <v>73</v>
      </c>
      <c r="F673" s="10" t="s">
        <v>74</v>
      </c>
      <c r="G673" s="10" t="s">
        <v>456</v>
      </c>
      <c r="H673" s="10" t="s">
        <v>73</v>
      </c>
      <c r="I673" s="10" t="s">
        <v>73</v>
      </c>
      <c r="J673" s="10" t="s">
        <v>73</v>
      </c>
      <c r="K673" s="12" t="s">
        <v>73</v>
      </c>
      <c r="L673" s="10" t="s">
        <v>452</v>
      </c>
      <c r="M673" s="5" t="str">
        <f t="array" ref="M673">Y458</f>
        <v>1ВО::1.1</v>
      </c>
      <c r="Y673" s="10">
        <f>COUNT($Y671:Y672)+1</f>
        <v>2</v>
      </c>
      <c r="AB673" s="403" t="str">
        <f>AB$304&amp;"."&amp;Y673</f>
        <v>3.1.1.4.2</v>
      </c>
      <c r="AC673" s="426" t="s">
        <v>456</v>
      </c>
      <c r="AD673" s="32" t="s">
        <v>111</v>
      </c>
      <c r="AE673" s="72"/>
      <c r="AF673" s="178">
        <v>5393.65</v>
      </c>
      <c r="AG673" s="73"/>
      <c r="AH673" s="74"/>
      <c r="AI673" s="179"/>
      <c r="AJ673" s="178"/>
      <c r="AK673" s="73"/>
      <c r="AL673" s="138"/>
      <c r="AM673" s="72"/>
      <c r="AN673" s="178"/>
      <c r="AO673" s="73"/>
      <c r="AP673" s="138"/>
      <c r="AQ673" s="72"/>
      <c r="AR673" s="178"/>
      <c r="AS673" s="73"/>
      <c r="AT673" s="138"/>
      <c r="AU673" s="72"/>
      <c r="AV673" s="178"/>
      <c r="AW673" s="73"/>
      <c r="AX673" s="138"/>
      <c r="AY673" s="72"/>
      <c r="AZ673" s="178"/>
      <c r="BA673" s="73"/>
      <c r="BB673" s="138"/>
      <c r="BC673" s="72"/>
      <c r="BD673" s="178"/>
      <c r="BE673" s="73"/>
      <c r="BF673" s="774"/>
      <c r="BG673" s="72"/>
      <c r="BH673" s="178"/>
      <c r="BI673" s="73"/>
      <c r="BJ673" s="138"/>
      <c r="BK673" s="72"/>
      <c r="BL673" s="178"/>
      <c r="BM673" s="73"/>
      <c r="BN673" s="138">
        <v>561.97</v>
      </c>
      <c r="BO673" s="72"/>
      <c r="BP673" s="178"/>
      <c r="BQ673" s="73"/>
      <c r="BR673" s="138"/>
      <c r="BS673" s="142"/>
      <c r="BT673" s="183"/>
      <c r="BU673" s="140"/>
      <c r="BV673" s="143"/>
      <c r="BY673" s="125">
        <f t="shared" si="256"/>
        <v>0</v>
      </c>
      <c r="BZ673" s="126">
        <f t="shared" si="257"/>
        <v>5393.65</v>
      </c>
      <c r="CA673" s="126">
        <f t="shared" si="258"/>
        <v>0</v>
      </c>
      <c r="CB673" s="127">
        <f t="shared" si="259"/>
        <v>561.97</v>
      </c>
    </row>
    <row r="674" spans="1:80" ht="14.25" customHeight="1" outlineLevel="4" x14ac:dyDescent="0.25">
      <c r="C674" s="10" t="s">
        <v>83</v>
      </c>
      <c r="D674" s="10" t="s">
        <v>84</v>
      </c>
      <c r="E674" s="10" t="s">
        <v>73</v>
      </c>
      <c r="F674" s="10" t="s">
        <v>74</v>
      </c>
      <c r="G674" s="10" t="s">
        <v>457</v>
      </c>
      <c r="H674" s="10" t="s">
        <v>73</v>
      </c>
      <c r="I674" s="10" t="s">
        <v>73</v>
      </c>
      <c r="J674" s="10" t="s">
        <v>73</v>
      </c>
      <c r="K674" s="12" t="s">
        <v>73</v>
      </c>
      <c r="L674" s="10" t="s">
        <v>452</v>
      </c>
      <c r="M674" s="5" t="str">
        <f t="array" ref="M674">Y458</f>
        <v>1ВО::1.1</v>
      </c>
      <c r="Y674" s="10">
        <f>COUNT($Y671:Y673)+1</f>
        <v>3</v>
      </c>
      <c r="AB674" s="403" t="str">
        <f>AB$304&amp;"."&amp;Y674</f>
        <v>3.1.1.4.3</v>
      </c>
      <c r="AC674" s="426" t="s">
        <v>457</v>
      </c>
      <c r="AD674" s="32" t="s">
        <v>111</v>
      </c>
      <c r="AE674" s="72">
        <v>4250.43</v>
      </c>
      <c r="AF674" s="178"/>
      <c r="AG674" s="73">
        <v>8291.9500000000007</v>
      </c>
      <c r="AH674" s="74">
        <v>8149.79</v>
      </c>
      <c r="AI674" s="179"/>
      <c r="AJ674" s="178"/>
      <c r="AK674" s="73"/>
      <c r="AL674" s="138"/>
      <c r="AM674" s="72"/>
      <c r="AN674" s="178"/>
      <c r="AO674" s="73"/>
      <c r="AP674" s="138"/>
      <c r="AQ674" s="72"/>
      <c r="AR674" s="178"/>
      <c r="AS674" s="73"/>
      <c r="AT674" s="138"/>
      <c r="AU674" s="72"/>
      <c r="AV674" s="178"/>
      <c r="AW674" s="73"/>
      <c r="AX674" s="138"/>
      <c r="AY674" s="72"/>
      <c r="AZ674" s="178"/>
      <c r="BA674" s="73"/>
      <c r="BB674" s="138"/>
      <c r="BC674" s="72"/>
      <c r="BD674" s="178"/>
      <c r="BE674" s="73"/>
      <c r="BF674" s="774"/>
      <c r="BG674" s="72"/>
      <c r="BH674" s="178"/>
      <c r="BI674" s="73"/>
      <c r="BJ674" s="138"/>
      <c r="BK674" s="72">
        <v>358.29</v>
      </c>
      <c r="BL674" s="178"/>
      <c r="BM674" s="73">
        <v>585.32000000000005</v>
      </c>
      <c r="BN674" s="138"/>
      <c r="BO674" s="72"/>
      <c r="BP674" s="178"/>
      <c r="BQ674" s="73"/>
      <c r="BR674" s="138"/>
      <c r="BS674" s="142"/>
      <c r="BT674" s="183"/>
      <c r="BU674" s="140"/>
      <c r="BV674" s="143"/>
      <c r="BY674" s="125">
        <f t="shared" si="256"/>
        <v>4608.72</v>
      </c>
      <c r="BZ674" s="126">
        <f t="shared" si="257"/>
        <v>0</v>
      </c>
      <c r="CA674" s="126">
        <f t="shared" si="258"/>
        <v>8877.27</v>
      </c>
      <c r="CB674" s="127">
        <f t="shared" si="259"/>
        <v>8149.79</v>
      </c>
    </row>
    <row r="675" spans="1:80" ht="14.25" hidden="1" customHeight="1" outlineLevel="4" x14ac:dyDescent="0.25">
      <c r="A675" s="76" t="b">
        <f>OR($AD$52="да",$U458="Водоснабжение")</f>
        <v>0</v>
      </c>
      <c r="B675" s="5" t="b">
        <f t="array" ref="B675">A675</f>
        <v>0</v>
      </c>
      <c r="C675" s="10" t="s">
        <v>83</v>
      </c>
      <c r="D675" s="10" t="s">
        <v>84</v>
      </c>
      <c r="E675" s="10" t="s">
        <v>73</v>
      </c>
      <c r="F675" s="10" t="s">
        <v>74</v>
      </c>
      <c r="G675" s="10" t="s">
        <v>458</v>
      </c>
      <c r="H675" s="10" t="s">
        <v>73</v>
      </c>
      <c r="I675" s="10" t="s">
        <v>73</v>
      </c>
      <c r="J675" s="10" t="s">
        <v>73</v>
      </c>
      <c r="K675" s="12" t="s">
        <v>73</v>
      </c>
      <c r="L675" s="10" t="s">
        <v>452</v>
      </c>
      <c r="M675" s="5" t="str">
        <f t="array" ref="M675">Y458</f>
        <v>1ВО::1.1</v>
      </c>
      <c r="Y675" s="10">
        <f>COUNT($Y671:Y674)+1</f>
        <v>4</v>
      </c>
      <c r="Z675" s="6"/>
      <c r="AA675" s="6"/>
      <c r="AB675" s="403"/>
      <c r="AC675" s="426"/>
      <c r="AD675" s="32"/>
      <c r="AE675" s="72"/>
      <c r="AF675" s="73"/>
      <c r="AG675" s="73"/>
      <c r="AH675" s="74"/>
      <c r="AI675" s="179"/>
      <c r="AJ675" s="73"/>
      <c r="AK675" s="73"/>
      <c r="AL675" s="138"/>
      <c r="AM675" s="72"/>
      <c r="AN675" s="73"/>
      <c r="AO675" s="73"/>
      <c r="AP675" s="138"/>
      <c r="AQ675" s="72"/>
      <c r="AR675" s="73"/>
      <c r="AS675" s="73"/>
      <c r="AT675" s="138"/>
      <c r="AU675" s="72"/>
      <c r="AV675" s="73"/>
      <c r="AW675" s="73"/>
      <c r="AX675" s="138"/>
      <c r="AY675" s="72"/>
      <c r="AZ675" s="73"/>
      <c r="BA675" s="73"/>
      <c r="BB675" s="138"/>
      <c r="BC675" s="72"/>
      <c r="BD675" s="73"/>
      <c r="BE675" s="73"/>
      <c r="BF675" s="774"/>
      <c r="BG675" s="72"/>
      <c r="BH675" s="73"/>
      <c r="BI675" s="73"/>
      <c r="BJ675" s="138"/>
      <c r="BK675" s="72"/>
      <c r="BL675" s="73"/>
      <c r="BM675" s="73"/>
      <c r="BN675" s="138"/>
      <c r="BO675" s="72"/>
      <c r="BP675" s="73"/>
      <c r="BQ675" s="73"/>
      <c r="BR675" s="138"/>
      <c r="BS675" s="142"/>
      <c r="BT675" s="140"/>
      <c r="BU675" s="140"/>
      <c r="BV675" s="143"/>
      <c r="BY675" s="125">
        <f t="shared" si="256"/>
        <v>0</v>
      </c>
      <c r="BZ675" s="126">
        <f t="shared" si="257"/>
        <v>0</v>
      </c>
      <c r="CA675" s="126">
        <f t="shared" si="258"/>
        <v>0</v>
      </c>
      <c r="CB675" s="127">
        <f t="shared" si="259"/>
        <v>0</v>
      </c>
    </row>
    <row r="676" spans="1:80" ht="14.25" hidden="1" customHeight="1" outlineLevel="4" x14ac:dyDescent="0.25">
      <c r="C676" s="10" t="s">
        <v>83</v>
      </c>
      <c r="D676" s="10" t="s">
        <v>84</v>
      </c>
      <c r="E676" s="10" t="s">
        <v>73</v>
      </c>
      <c r="F676" s="10" t="s">
        <v>74</v>
      </c>
      <c r="G676" s="10" t="s">
        <v>460</v>
      </c>
      <c r="H676" s="10" t="s">
        <v>73</v>
      </c>
      <c r="I676" s="10" t="s">
        <v>73</v>
      </c>
      <c r="J676" s="10" t="s">
        <v>73</v>
      </c>
      <c r="K676" s="12" t="s">
        <v>73</v>
      </c>
      <c r="L676" s="10" t="s">
        <v>452</v>
      </c>
      <c r="M676" s="5" t="str">
        <f t="array" ref="M676">Y458</f>
        <v>1ВО::1.1</v>
      </c>
      <c r="Y676" s="10">
        <f>COUNT($Y671:Y675)+1</f>
        <v>5</v>
      </c>
      <c r="AB676" s="403" t="str">
        <f>AB$304&amp;"."&amp;Y676</f>
        <v>3.1.1.4.5</v>
      </c>
      <c r="AC676" s="426" t="s">
        <v>461</v>
      </c>
      <c r="AD676" s="32" t="s">
        <v>111</v>
      </c>
      <c r="AE676" s="72"/>
      <c r="AF676" s="178"/>
      <c r="AG676" s="73"/>
      <c r="AH676" s="74"/>
      <c r="AI676" s="179"/>
      <c r="AJ676" s="178"/>
      <c r="AK676" s="73"/>
      <c r="AL676" s="138"/>
      <c r="AM676" s="72"/>
      <c r="AN676" s="178"/>
      <c r="AO676" s="73"/>
      <c r="AP676" s="138"/>
      <c r="AQ676" s="72"/>
      <c r="AR676" s="178"/>
      <c r="AS676" s="73"/>
      <c r="AT676" s="138"/>
      <c r="AU676" s="72"/>
      <c r="AV676" s="178"/>
      <c r="AW676" s="73"/>
      <c r="AX676" s="138"/>
      <c r="AY676" s="72"/>
      <c r="AZ676" s="178"/>
      <c r="BA676" s="73"/>
      <c r="BB676" s="138"/>
      <c r="BC676" s="72"/>
      <c r="BD676" s="178"/>
      <c r="BE676" s="73"/>
      <c r="BF676" s="774"/>
      <c r="BG676" s="72"/>
      <c r="BH676" s="178"/>
      <c r="BI676" s="73"/>
      <c r="BJ676" s="138"/>
      <c r="BK676" s="72"/>
      <c r="BL676" s="178"/>
      <c r="BM676" s="73"/>
      <c r="BN676" s="138"/>
      <c r="BO676" s="72"/>
      <c r="BP676" s="178"/>
      <c r="BQ676" s="73"/>
      <c r="BR676" s="138"/>
      <c r="BS676" s="142"/>
      <c r="BT676" s="183"/>
      <c r="BU676" s="140"/>
      <c r="BV676" s="143"/>
      <c r="BY676" s="125">
        <f t="shared" si="256"/>
        <v>0</v>
      </c>
      <c r="BZ676" s="126">
        <f t="shared" si="257"/>
        <v>0</v>
      </c>
      <c r="CA676" s="126">
        <f t="shared" si="258"/>
        <v>0</v>
      </c>
      <c r="CB676" s="127">
        <f t="shared" si="259"/>
        <v>0</v>
      </c>
    </row>
    <row r="677" spans="1:80" ht="14.25" hidden="1" customHeight="1" outlineLevel="4" x14ac:dyDescent="0.25">
      <c r="A677" s="76" t="b">
        <f>$AD$52="да"</f>
        <v>0</v>
      </c>
      <c r="B677" s="5" t="b">
        <f t="array" ref="B677">A677</f>
        <v>0</v>
      </c>
      <c r="C677" s="10" t="s">
        <v>83</v>
      </c>
      <c r="D677" s="10" t="s">
        <v>84</v>
      </c>
      <c r="E677" s="10" t="s">
        <v>73</v>
      </c>
      <c r="F677" s="10" t="s">
        <v>74</v>
      </c>
      <c r="G677" s="10" t="s">
        <v>462</v>
      </c>
      <c r="H677" s="10" t="s">
        <v>73</v>
      </c>
      <c r="I677" s="10" t="s">
        <v>73</v>
      </c>
      <c r="J677" s="10" t="s">
        <v>73</v>
      </c>
      <c r="K677" s="12" t="s">
        <v>73</v>
      </c>
      <c r="L677" s="10" t="s">
        <v>452</v>
      </c>
      <c r="M677" s="5" t="str">
        <f t="array" ref="M677">Y458</f>
        <v>1ВО::1.1</v>
      </c>
      <c r="Y677" s="10">
        <f>COUNT($Y671:Y676)+1</f>
        <v>6</v>
      </c>
      <c r="Z677" s="6"/>
      <c r="AA677" s="6"/>
      <c r="AB677" s="403"/>
      <c r="AC677" s="426"/>
      <c r="AD677" s="32"/>
      <c r="AE677" s="72"/>
      <c r="AF677" s="73"/>
      <c r="AG677" s="73"/>
      <c r="AH677" s="74"/>
      <c r="AI677" s="179"/>
      <c r="AJ677" s="73"/>
      <c r="AK677" s="73"/>
      <c r="AL677" s="138"/>
      <c r="AM677" s="72"/>
      <c r="AN677" s="73"/>
      <c r="AO677" s="73"/>
      <c r="AP677" s="138"/>
      <c r="AQ677" s="72"/>
      <c r="AR677" s="73"/>
      <c r="AS677" s="73"/>
      <c r="AT677" s="138"/>
      <c r="AU677" s="72"/>
      <c r="AV677" s="73"/>
      <c r="AW677" s="73"/>
      <c r="AX677" s="138"/>
      <c r="AY677" s="72"/>
      <c r="AZ677" s="73"/>
      <c r="BA677" s="73"/>
      <c r="BB677" s="138"/>
      <c r="BC677" s="72"/>
      <c r="BD677" s="73"/>
      <c r="BE677" s="73"/>
      <c r="BF677" s="774"/>
      <c r="BG677" s="72"/>
      <c r="BH677" s="73"/>
      <c r="BI677" s="73"/>
      <c r="BJ677" s="138"/>
      <c r="BK677" s="72"/>
      <c r="BL677" s="73"/>
      <c r="BM677" s="73"/>
      <c r="BN677" s="138"/>
      <c r="BO677" s="72"/>
      <c r="BP677" s="73"/>
      <c r="BQ677" s="73"/>
      <c r="BR677" s="138"/>
      <c r="BS677" s="142"/>
      <c r="BT677" s="140"/>
      <c r="BU677" s="140"/>
      <c r="BV677" s="143"/>
      <c r="BY677" s="125">
        <f t="shared" si="256"/>
        <v>0</v>
      </c>
      <c r="BZ677" s="126">
        <f t="shared" si="257"/>
        <v>0</v>
      </c>
      <c r="CA677" s="126">
        <f t="shared" si="258"/>
        <v>0</v>
      </c>
      <c r="CB677" s="127">
        <f t="shared" si="259"/>
        <v>0</v>
      </c>
    </row>
    <row r="678" spans="1:80" ht="14.25" hidden="1" customHeight="1" outlineLevel="4" x14ac:dyDescent="0.25">
      <c r="A678" s="76" t="b">
        <f t="array" ref="A678">A677</f>
        <v>0</v>
      </c>
      <c r="B678" s="5" t="b">
        <f t="array" ref="B678">A678</f>
        <v>0</v>
      </c>
      <c r="C678" s="10" t="s">
        <v>83</v>
      </c>
      <c r="D678" s="10" t="s">
        <v>84</v>
      </c>
      <c r="E678" s="10" t="s">
        <v>73</v>
      </c>
      <c r="F678" s="10" t="s">
        <v>74</v>
      </c>
      <c r="G678" s="10" t="s">
        <v>463</v>
      </c>
      <c r="H678" s="10" t="s">
        <v>73</v>
      </c>
      <c r="I678" s="10" t="s">
        <v>73</v>
      </c>
      <c r="J678" s="10" t="s">
        <v>73</v>
      </c>
      <c r="K678" s="12" t="s">
        <v>73</v>
      </c>
      <c r="L678" s="10" t="s">
        <v>452</v>
      </c>
      <c r="M678" s="5" t="str">
        <f t="array" ref="M678">Y458</f>
        <v>1ВО::1.1</v>
      </c>
      <c r="Y678" s="10">
        <f>COUNT($Y671:Y677)+1</f>
        <v>7</v>
      </c>
      <c r="Z678" s="6"/>
      <c r="AA678" s="6"/>
      <c r="AB678" s="403"/>
      <c r="AC678" s="426"/>
      <c r="AD678" s="32"/>
      <c r="AE678" s="72"/>
      <c r="AF678" s="73"/>
      <c r="AG678" s="73"/>
      <c r="AH678" s="74"/>
      <c r="AI678" s="179"/>
      <c r="AJ678" s="73"/>
      <c r="AK678" s="73"/>
      <c r="AL678" s="138"/>
      <c r="AM678" s="72"/>
      <c r="AN678" s="73"/>
      <c r="AO678" s="73"/>
      <c r="AP678" s="138"/>
      <c r="AQ678" s="72"/>
      <c r="AR678" s="73"/>
      <c r="AS678" s="73"/>
      <c r="AT678" s="138"/>
      <c r="AU678" s="72"/>
      <c r="AV678" s="73"/>
      <c r="AW678" s="73"/>
      <c r="AX678" s="138"/>
      <c r="AY678" s="72"/>
      <c r="AZ678" s="73"/>
      <c r="BA678" s="73"/>
      <c r="BB678" s="138"/>
      <c r="BC678" s="72"/>
      <c r="BD678" s="73"/>
      <c r="BE678" s="73"/>
      <c r="BF678" s="774"/>
      <c r="BG678" s="72"/>
      <c r="BH678" s="73"/>
      <c r="BI678" s="73"/>
      <c r="BJ678" s="138"/>
      <c r="BK678" s="72"/>
      <c r="BL678" s="73"/>
      <c r="BM678" s="73"/>
      <c r="BN678" s="138"/>
      <c r="BO678" s="72"/>
      <c r="BP678" s="73"/>
      <c r="BQ678" s="73"/>
      <c r="BR678" s="138"/>
      <c r="BS678" s="142"/>
      <c r="BT678" s="140"/>
      <c r="BU678" s="140"/>
      <c r="BV678" s="143"/>
      <c r="BY678" s="125">
        <f t="shared" si="256"/>
        <v>0</v>
      </c>
      <c r="BZ678" s="126">
        <f t="shared" si="257"/>
        <v>0</v>
      </c>
      <c r="CA678" s="126">
        <f t="shared" si="258"/>
        <v>0</v>
      </c>
      <c r="CB678" s="127">
        <f t="shared" si="259"/>
        <v>0</v>
      </c>
    </row>
    <row r="679" spans="1:80" ht="14.25" hidden="1" customHeight="1" outlineLevel="4" x14ac:dyDescent="0.25">
      <c r="A679" s="76" t="b">
        <f t="array" ref="A679">A678</f>
        <v>0</v>
      </c>
      <c r="B679" s="5" t="b">
        <f t="array" ref="B679">A679</f>
        <v>0</v>
      </c>
      <c r="C679" s="10" t="s">
        <v>83</v>
      </c>
      <c r="D679" s="10" t="s">
        <v>84</v>
      </c>
      <c r="E679" s="10" t="s">
        <v>73</v>
      </c>
      <c r="F679" s="10" t="s">
        <v>74</v>
      </c>
      <c r="G679" s="10" t="s">
        <v>464</v>
      </c>
      <c r="H679" s="10" t="s">
        <v>73</v>
      </c>
      <c r="I679" s="10" t="s">
        <v>73</v>
      </c>
      <c r="J679" s="10" t="s">
        <v>73</v>
      </c>
      <c r="K679" s="12" t="s">
        <v>73</v>
      </c>
      <c r="L679" s="10" t="s">
        <v>452</v>
      </c>
      <c r="M679" s="5" t="str">
        <f t="array" ref="M679">Y458</f>
        <v>1ВО::1.1</v>
      </c>
      <c r="Y679" s="10">
        <f>COUNT($Y671:Y678)+1</f>
        <v>8</v>
      </c>
      <c r="Z679" s="6"/>
      <c r="AA679" s="6"/>
      <c r="AB679" s="403"/>
      <c r="AC679" s="426"/>
      <c r="AD679" s="32"/>
      <c r="AE679" s="72"/>
      <c r="AF679" s="73"/>
      <c r="AG679" s="73"/>
      <c r="AH679" s="74"/>
      <c r="AI679" s="179"/>
      <c r="AJ679" s="73"/>
      <c r="AK679" s="73"/>
      <c r="AL679" s="138"/>
      <c r="AM679" s="72"/>
      <c r="AN679" s="73"/>
      <c r="AO679" s="73"/>
      <c r="AP679" s="138"/>
      <c r="AQ679" s="72"/>
      <c r="AR679" s="73"/>
      <c r="AS679" s="73"/>
      <c r="AT679" s="138"/>
      <c r="AU679" s="72"/>
      <c r="AV679" s="73"/>
      <c r="AW679" s="73"/>
      <c r="AX679" s="138"/>
      <c r="AY679" s="72"/>
      <c r="AZ679" s="73"/>
      <c r="BA679" s="73"/>
      <c r="BB679" s="138"/>
      <c r="BC679" s="72"/>
      <c r="BD679" s="73"/>
      <c r="BE679" s="73"/>
      <c r="BF679" s="774"/>
      <c r="BG679" s="72"/>
      <c r="BH679" s="73"/>
      <c r="BI679" s="73"/>
      <c r="BJ679" s="138"/>
      <c r="BK679" s="72"/>
      <c r="BL679" s="73"/>
      <c r="BM679" s="73"/>
      <c r="BN679" s="138"/>
      <c r="BO679" s="72"/>
      <c r="BP679" s="73"/>
      <c r="BQ679" s="73"/>
      <c r="BR679" s="138"/>
      <c r="BS679" s="142"/>
      <c r="BT679" s="140"/>
      <c r="BU679" s="140"/>
      <c r="BV679" s="143"/>
      <c r="BY679" s="125">
        <f t="shared" si="256"/>
        <v>0</v>
      </c>
      <c r="BZ679" s="126">
        <f t="shared" si="257"/>
        <v>0</v>
      </c>
      <c r="CA679" s="126">
        <f t="shared" si="258"/>
        <v>0</v>
      </c>
      <c r="CB679" s="127">
        <f t="shared" si="259"/>
        <v>0</v>
      </c>
    </row>
    <row r="680" spans="1:80" ht="14.25" hidden="1" customHeight="1" outlineLevel="4" x14ac:dyDescent="0.25">
      <c r="A680" s="76" t="b">
        <f t="array" ref="A680">A679</f>
        <v>0</v>
      </c>
      <c r="B680" s="5" t="b">
        <f t="array" ref="B680">A680</f>
        <v>0</v>
      </c>
      <c r="C680" s="10" t="s">
        <v>83</v>
      </c>
      <c r="D680" s="10" t="s">
        <v>84</v>
      </c>
      <c r="E680" s="10" t="s">
        <v>73</v>
      </c>
      <c r="F680" s="10" t="s">
        <v>74</v>
      </c>
      <c r="G680" s="10" t="s">
        <v>465</v>
      </c>
      <c r="H680" s="10" t="s">
        <v>73</v>
      </c>
      <c r="I680" s="10" t="s">
        <v>73</v>
      </c>
      <c r="J680" s="10" t="s">
        <v>73</v>
      </c>
      <c r="K680" s="12" t="s">
        <v>73</v>
      </c>
      <c r="L680" s="10" t="s">
        <v>452</v>
      </c>
      <c r="M680" s="5" t="str">
        <f t="array" ref="M680">Y458</f>
        <v>1ВО::1.1</v>
      </c>
      <c r="Y680" s="10">
        <f>COUNT($Y671:Y679)+1</f>
        <v>9</v>
      </c>
      <c r="Z680" s="6"/>
      <c r="AA680" s="6"/>
      <c r="AB680" s="403"/>
      <c r="AC680" s="426"/>
      <c r="AD680" s="32"/>
      <c r="AE680" s="72"/>
      <c r="AF680" s="73"/>
      <c r="AG680" s="73"/>
      <c r="AH680" s="74"/>
      <c r="AI680" s="179"/>
      <c r="AJ680" s="73"/>
      <c r="AK680" s="73"/>
      <c r="AL680" s="138"/>
      <c r="AM680" s="72"/>
      <c r="AN680" s="73"/>
      <c r="AO680" s="73"/>
      <c r="AP680" s="138"/>
      <c r="AQ680" s="72"/>
      <c r="AR680" s="73"/>
      <c r="AS680" s="73"/>
      <c r="AT680" s="138"/>
      <c r="AU680" s="72"/>
      <c r="AV680" s="73"/>
      <c r="AW680" s="73"/>
      <c r="AX680" s="138"/>
      <c r="AY680" s="72"/>
      <c r="AZ680" s="73"/>
      <c r="BA680" s="73"/>
      <c r="BB680" s="138"/>
      <c r="BC680" s="72"/>
      <c r="BD680" s="73"/>
      <c r="BE680" s="73"/>
      <c r="BF680" s="774"/>
      <c r="BG680" s="72"/>
      <c r="BH680" s="73"/>
      <c r="BI680" s="73"/>
      <c r="BJ680" s="138"/>
      <c r="BK680" s="72"/>
      <c r="BL680" s="73"/>
      <c r="BM680" s="73"/>
      <c r="BN680" s="138"/>
      <c r="BO680" s="72"/>
      <c r="BP680" s="73"/>
      <c r="BQ680" s="73"/>
      <c r="BR680" s="138"/>
      <c r="BS680" s="142"/>
      <c r="BT680" s="140"/>
      <c r="BU680" s="140"/>
      <c r="BV680" s="143"/>
      <c r="BY680" s="125">
        <f t="shared" si="256"/>
        <v>0</v>
      </c>
      <c r="BZ680" s="126">
        <f t="shared" si="257"/>
        <v>0</v>
      </c>
      <c r="CA680" s="126">
        <f t="shared" si="258"/>
        <v>0</v>
      </c>
      <c r="CB680" s="127">
        <f t="shared" si="259"/>
        <v>0</v>
      </c>
    </row>
    <row r="681" spans="1:80" ht="14.25" hidden="1" customHeight="1" outlineLevel="4" x14ac:dyDescent="0.25">
      <c r="A681" s="76" t="b">
        <f t="array" ref="A681">A680</f>
        <v>0</v>
      </c>
      <c r="B681" s="5" t="b">
        <f t="array" ref="B681">A681</f>
        <v>0</v>
      </c>
      <c r="C681" s="10" t="s">
        <v>83</v>
      </c>
      <c r="D681" s="10" t="s">
        <v>84</v>
      </c>
      <c r="E681" s="10" t="s">
        <v>73</v>
      </c>
      <c r="F681" s="10" t="s">
        <v>74</v>
      </c>
      <c r="G681" s="10" t="s">
        <v>466</v>
      </c>
      <c r="H681" s="10" t="s">
        <v>73</v>
      </c>
      <c r="I681" s="10" t="s">
        <v>73</v>
      </c>
      <c r="J681" s="10" t="s">
        <v>73</v>
      </c>
      <c r="K681" s="12" t="s">
        <v>73</v>
      </c>
      <c r="L681" s="10" t="s">
        <v>452</v>
      </c>
      <c r="M681" s="5" t="str">
        <f t="array" ref="M681">Y458</f>
        <v>1ВО::1.1</v>
      </c>
      <c r="Y681" s="10">
        <f>COUNT($Y671:Y680)+1</f>
        <v>10</v>
      </c>
      <c r="Z681" s="6"/>
      <c r="AA681" s="6"/>
      <c r="AB681" s="403"/>
      <c r="AC681" s="426"/>
      <c r="AD681" s="32"/>
      <c r="AE681" s="72"/>
      <c r="AF681" s="73"/>
      <c r="AG681" s="73"/>
      <c r="AH681" s="74"/>
      <c r="AI681" s="179"/>
      <c r="AJ681" s="73"/>
      <c r="AK681" s="73"/>
      <c r="AL681" s="138"/>
      <c r="AM681" s="72"/>
      <c r="AN681" s="73"/>
      <c r="AO681" s="73"/>
      <c r="AP681" s="138"/>
      <c r="AQ681" s="72"/>
      <c r="AR681" s="73"/>
      <c r="AS681" s="73"/>
      <c r="AT681" s="138"/>
      <c r="AU681" s="72"/>
      <c r="AV681" s="73"/>
      <c r="AW681" s="73"/>
      <c r="AX681" s="138"/>
      <c r="AY681" s="72"/>
      <c r="AZ681" s="73"/>
      <c r="BA681" s="73"/>
      <c r="BB681" s="138"/>
      <c r="BC681" s="72"/>
      <c r="BD681" s="73"/>
      <c r="BE681" s="73"/>
      <c r="BF681" s="774"/>
      <c r="BG681" s="72"/>
      <c r="BH681" s="73"/>
      <c r="BI681" s="73"/>
      <c r="BJ681" s="138"/>
      <c r="BK681" s="72"/>
      <c r="BL681" s="73"/>
      <c r="BM681" s="73"/>
      <c r="BN681" s="138"/>
      <c r="BO681" s="72"/>
      <c r="BP681" s="73"/>
      <c r="BQ681" s="73"/>
      <c r="BR681" s="138"/>
      <c r="BS681" s="142"/>
      <c r="BT681" s="140"/>
      <c r="BU681" s="140"/>
      <c r="BV681" s="143"/>
      <c r="BY681" s="125">
        <f t="shared" si="256"/>
        <v>0</v>
      </c>
      <c r="BZ681" s="126">
        <f t="shared" si="257"/>
        <v>0</v>
      </c>
      <c r="CA681" s="126">
        <f t="shared" si="258"/>
        <v>0</v>
      </c>
      <c r="CB681" s="127">
        <f t="shared" si="259"/>
        <v>0</v>
      </c>
    </row>
    <row r="682" spans="1:80" ht="14.25" customHeight="1" outlineLevel="4" x14ac:dyDescent="0.25">
      <c r="C682" s="10" t="s">
        <v>83</v>
      </c>
      <c r="D682" s="10" t="s">
        <v>84</v>
      </c>
      <c r="E682" s="10" t="s">
        <v>73</v>
      </c>
      <c r="F682" s="10" t="s">
        <v>74</v>
      </c>
      <c r="G682" s="10" t="s">
        <v>467</v>
      </c>
      <c r="H682" s="10" t="s">
        <v>73</v>
      </c>
      <c r="I682" s="10" t="s">
        <v>73</v>
      </c>
      <c r="J682" s="10" t="s">
        <v>73</v>
      </c>
      <c r="K682" s="12" t="s">
        <v>73</v>
      </c>
      <c r="L682" s="10" t="s">
        <v>452</v>
      </c>
      <c r="M682" s="5" t="str">
        <f t="array" ref="M682">Y458</f>
        <v>1ВО::1.1</v>
      </c>
      <c r="Y682" s="10">
        <f>COUNT($Y671:Y681)+1</f>
        <v>11</v>
      </c>
      <c r="AB682" s="403" t="str">
        <f>AB$304&amp;"."&amp;Y682</f>
        <v>3.1.1.4.11</v>
      </c>
      <c r="AC682" s="426" t="s">
        <v>468</v>
      </c>
      <c r="AD682" s="32" t="s">
        <v>111</v>
      </c>
      <c r="AE682" s="72">
        <v>688.59</v>
      </c>
      <c r="AF682" s="178">
        <v>1027.3800000000001</v>
      </c>
      <c r="AG682" s="73">
        <v>886.21</v>
      </c>
      <c r="AH682" s="74">
        <v>886.21</v>
      </c>
      <c r="AI682" s="179"/>
      <c r="AJ682" s="178"/>
      <c r="AK682" s="73"/>
      <c r="AL682" s="138"/>
      <c r="AM682" s="72"/>
      <c r="AN682" s="178"/>
      <c r="AO682" s="73"/>
      <c r="AP682" s="138"/>
      <c r="AQ682" s="72"/>
      <c r="AR682" s="178"/>
      <c r="AS682" s="73"/>
      <c r="AT682" s="138"/>
      <c r="AU682" s="72"/>
      <c r="AV682" s="178"/>
      <c r="AW682" s="73"/>
      <c r="AX682" s="138"/>
      <c r="AY682" s="72"/>
      <c r="AZ682" s="178"/>
      <c r="BA682" s="73"/>
      <c r="BB682" s="138"/>
      <c r="BC682" s="72"/>
      <c r="BD682" s="178"/>
      <c r="BE682" s="73"/>
      <c r="BF682" s="774"/>
      <c r="BG682" s="72"/>
      <c r="BH682" s="178"/>
      <c r="BI682" s="73"/>
      <c r="BJ682" s="138"/>
      <c r="BK682" s="72"/>
      <c r="BL682" s="178"/>
      <c r="BM682" s="73"/>
      <c r="BN682" s="138"/>
      <c r="BO682" s="72"/>
      <c r="BP682" s="178"/>
      <c r="BQ682" s="73"/>
      <c r="BR682" s="138"/>
      <c r="BS682" s="142"/>
      <c r="BT682" s="183"/>
      <c r="BU682" s="140"/>
      <c r="BV682" s="143"/>
      <c r="BY682" s="125">
        <f t="shared" si="256"/>
        <v>688.59</v>
      </c>
      <c r="BZ682" s="126">
        <f t="shared" si="257"/>
        <v>1027.3800000000001</v>
      </c>
      <c r="CA682" s="126">
        <f t="shared" si="258"/>
        <v>886.21</v>
      </c>
      <c r="CB682" s="127">
        <f t="shared" si="259"/>
        <v>886.21</v>
      </c>
    </row>
    <row r="683" spans="1:80" ht="14.25" customHeight="1" outlineLevel="4" x14ac:dyDescent="0.25">
      <c r="A683" s="76" t="b">
        <f>OR($AD$52="да",$U458&lt;&gt;"Водоснабжение")</f>
        <v>1</v>
      </c>
      <c r="B683" s="5" t="b">
        <f t="array" ref="B683">A683</f>
        <v>1</v>
      </c>
      <c r="C683" s="10" t="s">
        <v>83</v>
      </c>
      <c r="D683" s="10" t="s">
        <v>84</v>
      </c>
      <c r="E683" s="10" t="s">
        <v>73</v>
      </c>
      <c r="F683" s="10" t="s">
        <v>74</v>
      </c>
      <c r="G683" s="10" t="s">
        <v>469</v>
      </c>
      <c r="H683" s="10" t="s">
        <v>73</v>
      </c>
      <c r="I683" s="10" t="s">
        <v>73</v>
      </c>
      <c r="J683" s="10" t="s">
        <v>73</v>
      </c>
      <c r="K683" s="12" t="s">
        <v>73</v>
      </c>
      <c r="L683" s="10" t="s">
        <v>452</v>
      </c>
      <c r="M683" s="5" t="str">
        <f t="array" ref="M683">Y458</f>
        <v>1ВО::1.1</v>
      </c>
      <c r="Y683" s="10">
        <f>COUNT($Y671:Y682)+1</f>
        <v>12</v>
      </c>
      <c r="AB683" s="403" t="str">
        <f>AB$304&amp;"."&amp;Y683</f>
        <v>3.1.1.4.12</v>
      </c>
      <c r="AC683" s="426" t="s">
        <v>642</v>
      </c>
      <c r="AD683" s="32" t="s">
        <v>111</v>
      </c>
      <c r="AE683" s="72"/>
      <c r="AF683" s="178"/>
      <c r="AG683" s="73"/>
      <c r="AH683" s="74"/>
      <c r="AI683" s="179"/>
      <c r="AJ683" s="178"/>
      <c r="AK683" s="73"/>
      <c r="AL683" s="138"/>
      <c r="AM683" s="72"/>
      <c r="AN683" s="178"/>
      <c r="AO683" s="73"/>
      <c r="AP683" s="138"/>
      <c r="AQ683" s="72"/>
      <c r="AR683" s="178"/>
      <c r="AS683" s="73"/>
      <c r="AT683" s="138"/>
      <c r="AU683" s="72"/>
      <c r="AV683" s="178"/>
      <c r="AW683" s="73"/>
      <c r="AX683" s="138"/>
      <c r="AY683" s="72"/>
      <c r="AZ683" s="178"/>
      <c r="BA683" s="73"/>
      <c r="BB683" s="138"/>
      <c r="BC683" s="72"/>
      <c r="BD683" s="178"/>
      <c r="BE683" s="73"/>
      <c r="BF683" s="774"/>
      <c r="BG683" s="72"/>
      <c r="BH683" s="178"/>
      <c r="BI683" s="73"/>
      <c r="BJ683" s="138"/>
      <c r="BK683" s="72"/>
      <c r="BL683" s="178"/>
      <c r="BM683" s="73"/>
      <c r="BN683" s="138"/>
      <c r="BO683" s="72"/>
      <c r="BP683" s="178"/>
      <c r="BQ683" s="73"/>
      <c r="BR683" s="138"/>
      <c r="BS683" s="142"/>
      <c r="BT683" s="183"/>
      <c r="BU683" s="140"/>
      <c r="BV683" s="143"/>
      <c r="BY683" s="125">
        <f t="shared" si="256"/>
        <v>0</v>
      </c>
      <c r="BZ683" s="126">
        <f t="shared" si="257"/>
        <v>0</v>
      </c>
      <c r="CA683" s="126">
        <f t="shared" si="258"/>
        <v>0</v>
      </c>
      <c r="CB683" s="127">
        <f t="shared" si="259"/>
        <v>0</v>
      </c>
    </row>
    <row r="684" spans="1:80" ht="14.25" customHeight="1" outlineLevel="3" x14ac:dyDescent="0.25">
      <c r="C684" s="10" t="s">
        <v>83</v>
      </c>
      <c r="D684" s="10" t="s">
        <v>84</v>
      </c>
      <c r="E684" s="10" t="s">
        <v>73</v>
      </c>
      <c r="F684" s="10" t="s">
        <v>74</v>
      </c>
      <c r="G684" s="10" t="s">
        <v>470</v>
      </c>
      <c r="H684" s="10" t="s">
        <v>73</v>
      </c>
      <c r="I684" s="10" t="s">
        <v>73</v>
      </c>
      <c r="J684" s="10" t="s">
        <v>73</v>
      </c>
      <c r="K684" s="12" t="s">
        <v>73</v>
      </c>
      <c r="L684" s="10" t="s">
        <v>452</v>
      </c>
      <c r="M684" s="5" t="str">
        <f t="array" ref="M684">Y458</f>
        <v>1ВО::1.1</v>
      </c>
      <c r="AB684" s="403" t="str">
        <f>AB670&amp;".2"</f>
        <v>3.1.3.2</v>
      </c>
      <c r="AC684" s="414" t="s">
        <v>471</v>
      </c>
      <c r="AD684" s="32" t="s">
        <v>111</v>
      </c>
      <c r="AE684" s="72">
        <v>5587.36</v>
      </c>
      <c r="AF684" s="178">
        <v>51460.31</v>
      </c>
      <c r="AG684" s="73">
        <v>27820.17</v>
      </c>
      <c r="AH684" s="74">
        <v>27820.17</v>
      </c>
      <c r="AI684" s="179">
        <v>1.91</v>
      </c>
      <c r="AJ684" s="178">
        <v>471.81</v>
      </c>
      <c r="AK684" s="73">
        <v>332.76</v>
      </c>
      <c r="AL684" s="138">
        <v>203.63</v>
      </c>
      <c r="AM684" s="72"/>
      <c r="AN684" s="178"/>
      <c r="AO684" s="73"/>
      <c r="AP684" s="138"/>
      <c r="AQ684" s="72"/>
      <c r="AR684" s="178">
        <v>438.75</v>
      </c>
      <c r="AS684" s="73"/>
      <c r="AT684" s="138"/>
      <c r="AU684" s="72"/>
      <c r="AV684" s="178"/>
      <c r="AW684" s="73"/>
      <c r="AX684" s="138"/>
      <c r="AY684" s="72"/>
      <c r="AZ684" s="178"/>
      <c r="BA684" s="73"/>
      <c r="BB684" s="138"/>
      <c r="BC684" s="72"/>
      <c r="BD684" s="178"/>
      <c r="BE684" s="73"/>
      <c r="BF684" s="774"/>
      <c r="BG684" s="72"/>
      <c r="BH684" s="178"/>
      <c r="BI684" s="73"/>
      <c r="BJ684" s="138">
        <v>0</v>
      </c>
      <c r="BK684" s="72">
        <v>391.97</v>
      </c>
      <c r="BL684" s="178">
        <v>3168.32</v>
      </c>
      <c r="BM684" s="73">
        <v>2998.84</v>
      </c>
      <c r="BN684" s="138">
        <v>2998.84</v>
      </c>
      <c r="BO684" s="72"/>
      <c r="BP684" s="178"/>
      <c r="BQ684" s="73"/>
      <c r="BR684" s="138"/>
      <c r="BS684" s="142"/>
      <c r="BT684" s="183">
        <v>184.465</v>
      </c>
      <c r="BU684" s="140">
        <v>512.42999999999995</v>
      </c>
      <c r="BV684" s="143">
        <v>408.13</v>
      </c>
      <c r="BY684" s="125">
        <f t="shared" si="256"/>
        <v>5981.24</v>
      </c>
      <c r="BZ684" s="126">
        <f t="shared" si="257"/>
        <v>55723.654999999992</v>
      </c>
      <c r="CA684" s="126">
        <f t="shared" si="258"/>
        <v>31664.199999999997</v>
      </c>
      <c r="CB684" s="127">
        <f t="shared" si="259"/>
        <v>31430.77</v>
      </c>
    </row>
    <row r="685" spans="1:80" ht="14.25" customHeight="1" outlineLevel="3" x14ac:dyDescent="0.25">
      <c r="C685" s="10" t="s">
        <v>83</v>
      </c>
      <c r="D685" s="10" t="s">
        <v>84</v>
      </c>
      <c r="E685" s="10" t="s">
        <v>73</v>
      </c>
      <c r="F685" s="10" t="s">
        <v>74</v>
      </c>
      <c r="G685" s="10" t="s">
        <v>472</v>
      </c>
      <c r="H685" s="10" t="s">
        <v>73</v>
      </c>
      <c r="I685" s="10" t="s">
        <v>73</v>
      </c>
      <c r="J685" s="10" t="s">
        <v>73</v>
      </c>
      <c r="K685" s="12" t="s">
        <v>73</v>
      </c>
      <c r="L685" s="10" t="s">
        <v>452</v>
      </c>
      <c r="M685" s="5" t="str">
        <f t="array" ref="M685">Y458</f>
        <v>1ВО::1.1</v>
      </c>
      <c r="AB685" s="403" t="str">
        <f>AB670&amp;".3"</f>
        <v>3.1.3.3</v>
      </c>
      <c r="AC685" s="414" t="s">
        <v>473</v>
      </c>
      <c r="AD685" s="32" t="s">
        <v>111</v>
      </c>
      <c r="AE685" s="72">
        <f t="shared" ref="AE685:AL685" si="265">AE686+AE687+AE688+AE689+AE690+AE691+AE692+AE693+AE694</f>
        <v>96032.069999999992</v>
      </c>
      <c r="AF685" s="73">
        <f t="shared" si="265"/>
        <v>102327.37</v>
      </c>
      <c r="AG685" s="73">
        <f t="shared" si="265"/>
        <v>113077.06</v>
      </c>
      <c r="AH685" s="74">
        <f t="shared" si="265"/>
        <v>91075.72</v>
      </c>
      <c r="AI685" s="179">
        <f t="shared" si="265"/>
        <v>3201.34</v>
      </c>
      <c r="AJ685" s="73">
        <f t="shared" si="265"/>
        <v>3890.79</v>
      </c>
      <c r="AK685" s="73">
        <f t="shared" si="265"/>
        <v>3001.79</v>
      </c>
      <c r="AL685" s="138">
        <f t="shared" si="265"/>
        <v>2969.828</v>
      </c>
      <c r="AM685" s="72"/>
      <c r="AN685" s="73"/>
      <c r="AO685" s="73"/>
      <c r="AP685" s="138"/>
      <c r="AQ685" s="72">
        <f t="shared" ref="AQ685:BE685" si="266">AQ686+AQ687+AQ688+AQ689+AQ690+AQ691+AQ692+AQ693+AQ694</f>
        <v>65.64</v>
      </c>
      <c r="AR685" s="73">
        <f t="shared" si="266"/>
        <v>67.52</v>
      </c>
      <c r="AS685" s="73">
        <f t="shared" si="266"/>
        <v>58.93</v>
      </c>
      <c r="AT685" s="138">
        <f t="shared" si="266"/>
        <v>58.93</v>
      </c>
      <c r="AU685" s="72">
        <f t="shared" si="266"/>
        <v>51.3</v>
      </c>
      <c r="AV685" s="73">
        <f t="shared" si="266"/>
        <v>1.27</v>
      </c>
      <c r="AW685" s="73">
        <f t="shared" si="266"/>
        <v>1003.25</v>
      </c>
      <c r="AX685" s="138">
        <f t="shared" si="266"/>
        <v>54.99</v>
      </c>
      <c r="AY685" s="72">
        <f t="shared" si="266"/>
        <v>17.02</v>
      </c>
      <c r="AZ685" s="73">
        <f t="shared" si="266"/>
        <v>17.89</v>
      </c>
      <c r="BA685" s="73">
        <f t="shared" si="266"/>
        <v>28.03</v>
      </c>
      <c r="BB685" s="138">
        <f t="shared" si="266"/>
        <v>17.260000000000002</v>
      </c>
      <c r="BC685" s="72">
        <f t="shared" si="266"/>
        <v>88.81</v>
      </c>
      <c r="BD685" s="73">
        <f t="shared" si="266"/>
        <v>67.66</v>
      </c>
      <c r="BE685" s="73">
        <f t="shared" si="266"/>
        <v>81.63</v>
      </c>
      <c r="BF685" s="774">
        <f>SUM(BF686:BF693)</f>
        <v>65.099999999999994</v>
      </c>
      <c r="BG685" s="72">
        <f>BG686+BG687+BG688+BG689+BG690+BG691+BG692+BG693+BG694</f>
        <v>7097.69</v>
      </c>
      <c r="BH685" s="73">
        <f>BH686+BH687+BH688+BH689+BH690+BH691+BH692+BH693+BH694</f>
        <v>3134.6099999999997</v>
      </c>
      <c r="BI685" s="73">
        <f>BI686+BI687+BI688+BI689+BI690+BI691+BI692+BI693+BI694</f>
        <v>42858.09</v>
      </c>
      <c r="BJ685" s="138">
        <f>SUM(BJ686:BJ693)</f>
        <v>729.13</v>
      </c>
      <c r="BK685" s="72">
        <f t="shared" ref="BK685:BQ685" si="267">BK686+BK687+BK688+BK689+BK690+BK691+BK692+BK693+BK694</f>
        <v>19075.09</v>
      </c>
      <c r="BL685" s="73">
        <f t="shared" si="267"/>
        <v>18405.98</v>
      </c>
      <c r="BM685" s="73">
        <f t="shared" si="267"/>
        <v>21034.47</v>
      </c>
      <c r="BN685" s="138">
        <f t="shared" si="267"/>
        <v>17760.006000000001</v>
      </c>
      <c r="BO685" s="72">
        <f t="shared" si="267"/>
        <v>0</v>
      </c>
      <c r="BP685" s="73">
        <f t="shared" si="267"/>
        <v>0</v>
      </c>
      <c r="BQ685" s="73">
        <f t="shared" si="267"/>
        <v>0</v>
      </c>
      <c r="BR685" s="138"/>
      <c r="BS685" s="142">
        <f>BS686+BS687+BS688+BS689+BS690+BS691+BS692+BS693+BS694</f>
        <v>6707.22</v>
      </c>
      <c r="BT685" s="140">
        <f>BT686+BT687+BT688+BT689+BT690+BT691+BT692+BT693+BT694</f>
        <v>6330.7349999999997</v>
      </c>
      <c r="BU685" s="140">
        <f>BU686+BU687+BU688+BU689+BU690+BU691+BU692+BU693+BU694</f>
        <v>11177.650000000001</v>
      </c>
      <c r="BV685" s="143">
        <f>SUM(BV686:BV693)</f>
        <v>5986.1100000000006</v>
      </c>
      <c r="BY685" s="125">
        <f t="shared" si="256"/>
        <v>132336.18</v>
      </c>
      <c r="BZ685" s="126">
        <f t="shared" si="257"/>
        <v>134243.82499999998</v>
      </c>
      <c r="CA685" s="126">
        <f t="shared" si="258"/>
        <v>192320.89999999997</v>
      </c>
      <c r="CB685" s="127">
        <f t="shared" si="259"/>
        <v>118717.07400000001</v>
      </c>
    </row>
    <row r="686" spans="1:80" ht="14.25" customHeight="1" outlineLevel="4" x14ac:dyDescent="0.25">
      <c r="C686" s="10" t="s">
        <v>83</v>
      </c>
      <c r="D686" s="10" t="s">
        <v>84</v>
      </c>
      <c r="E686" s="10" t="s">
        <v>73</v>
      </c>
      <c r="F686" s="10" t="s">
        <v>74</v>
      </c>
      <c r="G686" s="10" t="s">
        <v>474</v>
      </c>
      <c r="H686" s="10" t="s">
        <v>73</v>
      </c>
      <c r="I686" s="10" t="s">
        <v>73</v>
      </c>
      <c r="J686" s="10" t="s">
        <v>73</v>
      </c>
      <c r="K686" s="12" t="s">
        <v>73</v>
      </c>
      <c r="L686" s="10" t="s">
        <v>452</v>
      </c>
      <c r="M686" s="5" t="str">
        <f t="array" ref="M686">Y458</f>
        <v>1ВО::1.1</v>
      </c>
      <c r="Y686" s="10">
        <v>1</v>
      </c>
      <c r="AB686" s="403" t="str">
        <f>AB$318&amp;"."&amp;Y686</f>
        <v>3.1.2.1</v>
      </c>
      <c r="AC686" s="426" t="s">
        <v>474</v>
      </c>
      <c r="AD686" s="32" t="s">
        <v>111</v>
      </c>
      <c r="AE686" s="72"/>
      <c r="AF686" s="178"/>
      <c r="AG686" s="73"/>
      <c r="AH686" s="74"/>
      <c r="AI686" s="179"/>
      <c r="AJ686" s="178"/>
      <c r="AK686" s="73"/>
      <c r="AL686" s="138"/>
      <c r="AM686" s="72"/>
      <c r="AN686" s="178"/>
      <c r="AO686" s="73"/>
      <c r="AP686" s="138"/>
      <c r="AQ686" s="72"/>
      <c r="AR686" s="178"/>
      <c r="AS686" s="73"/>
      <c r="AT686" s="138"/>
      <c r="AU686" s="72"/>
      <c r="AV686" s="178"/>
      <c r="AW686" s="73"/>
      <c r="AX686" s="138"/>
      <c r="AY686" s="72"/>
      <c r="AZ686" s="178"/>
      <c r="BA686" s="73"/>
      <c r="BB686" s="138"/>
      <c r="BC686" s="72"/>
      <c r="BD686" s="178"/>
      <c r="BE686" s="73"/>
      <c r="BF686" s="774"/>
      <c r="BG686" s="72"/>
      <c r="BH686" s="178"/>
      <c r="BI686" s="73"/>
      <c r="BJ686" s="138"/>
      <c r="BK686" s="72"/>
      <c r="BL686" s="178"/>
      <c r="BM686" s="73"/>
      <c r="BN686" s="138"/>
      <c r="BO686" s="72"/>
      <c r="BP686" s="178"/>
      <c r="BQ686" s="73"/>
      <c r="BR686" s="138"/>
      <c r="BS686" s="142"/>
      <c r="BT686" s="183"/>
      <c r="BU686" s="140"/>
      <c r="BV686" s="143"/>
      <c r="BY686" s="125">
        <f t="shared" si="256"/>
        <v>0</v>
      </c>
      <c r="BZ686" s="126">
        <f t="shared" si="257"/>
        <v>0</v>
      </c>
      <c r="CA686" s="126">
        <f t="shared" si="258"/>
        <v>0</v>
      </c>
      <c r="CB686" s="127">
        <f t="shared" si="259"/>
        <v>0</v>
      </c>
    </row>
    <row r="687" spans="1:80" ht="14.25" customHeight="1" outlineLevel="4" x14ac:dyDescent="0.25">
      <c r="C687" s="10" t="s">
        <v>83</v>
      </c>
      <c r="D687" s="10" t="s">
        <v>84</v>
      </c>
      <c r="E687" s="10" t="s">
        <v>73</v>
      </c>
      <c r="F687" s="10" t="s">
        <v>74</v>
      </c>
      <c r="G687" s="10" t="s">
        <v>475</v>
      </c>
      <c r="H687" s="10" t="s">
        <v>73</v>
      </c>
      <c r="I687" s="10" t="s">
        <v>73</v>
      </c>
      <c r="J687" s="10" t="s">
        <v>73</v>
      </c>
      <c r="K687" s="12" t="s">
        <v>73</v>
      </c>
      <c r="L687" s="10" t="s">
        <v>452</v>
      </c>
      <c r="M687" s="5" t="str">
        <f t="array" ref="M687">Y458</f>
        <v>1ВО::1.1</v>
      </c>
      <c r="Y687" s="10">
        <f>COUNT($Y686:Y686)+1</f>
        <v>2</v>
      </c>
      <c r="AB687" s="403" t="str">
        <f>AB$318&amp;"."&amp;Y687</f>
        <v>3.1.2.2</v>
      </c>
      <c r="AC687" s="426" t="s">
        <v>475</v>
      </c>
      <c r="AD687" s="32" t="s">
        <v>111</v>
      </c>
      <c r="AE687" s="72">
        <v>95323.18</v>
      </c>
      <c r="AF687" s="178">
        <v>91744.23</v>
      </c>
      <c r="AG687" s="73">
        <v>99710.54</v>
      </c>
      <c r="AH687" s="74">
        <v>90366.83</v>
      </c>
      <c r="AI687" s="179">
        <v>3201.34</v>
      </c>
      <c r="AJ687" s="178">
        <v>3097.55</v>
      </c>
      <c r="AK687" s="73">
        <v>3001.79</v>
      </c>
      <c r="AL687" s="138">
        <v>2969.828</v>
      </c>
      <c r="AM687" s="72"/>
      <c r="AN687" s="178"/>
      <c r="AO687" s="73"/>
      <c r="AP687" s="138"/>
      <c r="AQ687" s="72">
        <v>65.64</v>
      </c>
      <c r="AR687" s="178">
        <v>67.52</v>
      </c>
      <c r="AS687" s="73">
        <v>58.93</v>
      </c>
      <c r="AT687" s="138">
        <v>58.93</v>
      </c>
      <c r="AU687" s="72">
        <v>51.3</v>
      </c>
      <c r="AV687" s="178">
        <v>1.27</v>
      </c>
      <c r="AW687" s="73">
        <v>45.77</v>
      </c>
      <c r="AX687" s="138">
        <f>45.77+9.22</f>
        <v>54.99</v>
      </c>
      <c r="AY687" s="72">
        <v>17.02</v>
      </c>
      <c r="AZ687" s="178">
        <v>17.89</v>
      </c>
      <c r="BA687" s="73">
        <v>28.03</v>
      </c>
      <c r="BB687" s="138">
        <v>17.260000000000002</v>
      </c>
      <c r="BC687" s="72">
        <v>88.81</v>
      </c>
      <c r="BD687" s="178">
        <v>67.66</v>
      </c>
      <c r="BE687" s="73">
        <v>81.63</v>
      </c>
      <c r="BF687" s="774">
        <v>65.099999999999994</v>
      </c>
      <c r="BG687" s="72">
        <v>7077.49</v>
      </c>
      <c r="BH687" s="178">
        <v>3127.72</v>
      </c>
      <c r="BI687" s="73">
        <v>7033.03</v>
      </c>
      <c r="BJ687" s="138">
        <v>729.13</v>
      </c>
      <c r="BK687" s="72">
        <v>19047.72</v>
      </c>
      <c r="BL687" s="178">
        <v>18405.98</v>
      </c>
      <c r="BM687" s="73">
        <v>21034.47</v>
      </c>
      <c r="BN687" s="138">
        <v>17732.650000000001</v>
      </c>
      <c r="BO687" s="72"/>
      <c r="BP687" s="178"/>
      <c r="BQ687" s="73"/>
      <c r="BR687" s="138"/>
      <c r="BS687" s="142">
        <v>6705.72</v>
      </c>
      <c r="BT687" s="183">
        <v>6330.7349999999997</v>
      </c>
      <c r="BU687" s="140">
        <v>6448.05</v>
      </c>
      <c r="BV687" s="143">
        <v>5984.6</v>
      </c>
      <c r="BY687" s="125">
        <f t="shared" si="256"/>
        <v>131578.22</v>
      </c>
      <c r="BZ687" s="126">
        <f t="shared" si="257"/>
        <v>122860.55500000001</v>
      </c>
      <c r="CA687" s="126">
        <f t="shared" si="258"/>
        <v>137442.23999999999</v>
      </c>
      <c r="CB687" s="127">
        <f t="shared" si="259"/>
        <v>117979.318</v>
      </c>
    </row>
    <row r="688" spans="1:80" ht="14.25" customHeight="1" outlineLevel="4" x14ac:dyDescent="0.25">
      <c r="C688" s="10" t="s">
        <v>83</v>
      </c>
      <c r="D688" s="10" t="s">
        <v>84</v>
      </c>
      <c r="E688" s="10" t="s">
        <v>73</v>
      </c>
      <c r="F688" s="10" t="s">
        <v>74</v>
      </c>
      <c r="G688" s="10" t="s">
        <v>476</v>
      </c>
      <c r="H688" s="10" t="s">
        <v>73</v>
      </c>
      <c r="I688" s="10" t="s">
        <v>73</v>
      </c>
      <c r="J688" s="10" t="s">
        <v>73</v>
      </c>
      <c r="K688" s="12" t="s">
        <v>73</v>
      </c>
      <c r="L688" s="10" t="s">
        <v>452</v>
      </c>
      <c r="M688" s="5" t="str">
        <f t="array" ref="M688">Y458</f>
        <v>1ВО::1.1</v>
      </c>
      <c r="Y688" s="10">
        <f>COUNT($Y686:Y687)+1</f>
        <v>3</v>
      </c>
      <c r="AB688" s="403" t="str">
        <f>AB$318&amp;"."&amp;Y688</f>
        <v>3.1.2.3</v>
      </c>
      <c r="AC688" s="426" t="s">
        <v>476</v>
      </c>
      <c r="AD688" s="32" t="s">
        <v>111</v>
      </c>
      <c r="AE688" s="72"/>
      <c r="AF688" s="178"/>
      <c r="AG688" s="73"/>
      <c r="AH688" s="74"/>
      <c r="AI688" s="179"/>
      <c r="AJ688" s="178"/>
      <c r="AK688" s="73"/>
      <c r="AL688" s="138"/>
      <c r="AM688" s="72"/>
      <c r="AN688" s="178"/>
      <c r="AO688" s="73"/>
      <c r="AP688" s="138"/>
      <c r="AQ688" s="72"/>
      <c r="AR688" s="178"/>
      <c r="AS688" s="73"/>
      <c r="AT688" s="138"/>
      <c r="AU688" s="72"/>
      <c r="AV688" s="178"/>
      <c r="AW688" s="73"/>
      <c r="AX688" s="138"/>
      <c r="AY688" s="72"/>
      <c r="AZ688" s="178"/>
      <c r="BA688" s="73"/>
      <c r="BB688" s="138"/>
      <c r="BC688" s="72"/>
      <c r="BD688" s="178"/>
      <c r="BE688" s="73"/>
      <c r="BF688" s="774"/>
      <c r="BG688" s="72"/>
      <c r="BH688" s="178"/>
      <c r="BI688" s="73"/>
      <c r="BJ688" s="138"/>
      <c r="BK688" s="72"/>
      <c r="BL688" s="178"/>
      <c r="BM688" s="73"/>
      <c r="BN688" s="138"/>
      <c r="BO688" s="72"/>
      <c r="BP688" s="178"/>
      <c r="BQ688" s="73"/>
      <c r="BR688" s="138"/>
      <c r="BS688" s="142"/>
      <c r="BT688" s="183"/>
      <c r="BU688" s="140"/>
      <c r="BV688" s="143"/>
      <c r="BY688" s="125">
        <f t="shared" ref="BY688:BY719" si="268">AE688+AI688+AM688+AQ688+AU688+AY688+BC688+BG688+BK688+BO688+BS688</f>
        <v>0</v>
      </c>
      <c r="BZ688" s="126">
        <f t="shared" ref="BZ688:BZ719" si="269">AF688+AJ688+AN688+AR688+AV688+AZ688+BD688+BH688+BL688+BP688+BT688</f>
        <v>0</v>
      </c>
      <c r="CA688" s="126">
        <f t="shared" ref="CA688:CA719" si="270">AG688+AK688+AO688+AS688+AW688+BA688+BE688+BI688+BM688+BQ688+BU688</f>
        <v>0</v>
      </c>
      <c r="CB688" s="127">
        <f t="shared" ref="CB688:CB719" si="271">AH688+AL688+AP688+AT688+AX688+BB688+BF688+BJ688+BN688+BR688+BV688</f>
        <v>0</v>
      </c>
    </row>
    <row r="689" spans="1:81" ht="14.25" hidden="1" customHeight="1" outlineLevel="4" x14ac:dyDescent="0.25">
      <c r="A689" s="10" t="b">
        <f>$U458="Водоснабжение"</f>
        <v>0</v>
      </c>
      <c r="B689" s="5" t="b">
        <f t="array" ref="B689">A689</f>
        <v>0</v>
      </c>
      <c r="C689" s="10" t="s">
        <v>83</v>
      </c>
      <c r="D689" s="10" t="s">
        <v>84</v>
      </c>
      <c r="E689" s="10" t="s">
        <v>73</v>
      </c>
      <c r="F689" s="10" t="s">
        <v>74</v>
      </c>
      <c r="G689" s="10" t="s">
        <v>477</v>
      </c>
      <c r="H689" s="10" t="s">
        <v>73</v>
      </c>
      <c r="I689" s="10" t="s">
        <v>73</v>
      </c>
      <c r="J689" s="10" t="s">
        <v>73</v>
      </c>
      <c r="K689" s="12" t="s">
        <v>73</v>
      </c>
      <c r="L689" s="10" t="s">
        <v>452</v>
      </c>
      <c r="M689" s="5" t="str">
        <f t="array" ref="M689">Y458</f>
        <v>1ВО::1.1</v>
      </c>
      <c r="Y689" s="10">
        <f>COUNT($Y686:Y688)+1</f>
        <v>4</v>
      </c>
      <c r="Z689" s="6"/>
      <c r="AA689" s="6"/>
      <c r="AB689" s="403"/>
      <c r="AC689" s="426"/>
      <c r="AD689" s="32"/>
      <c r="AE689" s="72"/>
      <c r="AF689" s="73"/>
      <c r="AG689" s="73"/>
      <c r="AH689" s="74"/>
      <c r="AI689" s="179"/>
      <c r="AJ689" s="73"/>
      <c r="AK689" s="73"/>
      <c r="AL689" s="138"/>
      <c r="AM689" s="72"/>
      <c r="AN689" s="73"/>
      <c r="AO689" s="73"/>
      <c r="AP689" s="138"/>
      <c r="AQ689" s="72"/>
      <c r="AR689" s="73"/>
      <c r="AS689" s="73"/>
      <c r="AT689" s="138"/>
      <c r="AU689" s="72"/>
      <c r="AV689" s="73"/>
      <c r="AW689" s="73"/>
      <c r="AX689" s="138"/>
      <c r="AY689" s="72"/>
      <c r="AZ689" s="73"/>
      <c r="BA689" s="73"/>
      <c r="BB689" s="138"/>
      <c r="BC689" s="72"/>
      <c r="BD689" s="73"/>
      <c r="BE689" s="73"/>
      <c r="BF689" s="774"/>
      <c r="BG689" s="72"/>
      <c r="BH689" s="73"/>
      <c r="BI689" s="73"/>
      <c r="BJ689" s="138"/>
      <c r="BK689" s="72"/>
      <c r="BL689" s="73"/>
      <c r="BM689" s="73"/>
      <c r="BN689" s="138"/>
      <c r="BO689" s="72"/>
      <c r="BP689" s="73"/>
      <c r="BQ689" s="73"/>
      <c r="BR689" s="138"/>
      <c r="BS689" s="142"/>
      <c r="BT689" s="140"/>
      <c r="BU689" s="140"/>
      <c r="BV689" s="143"/>
      <c r="BY689" s="125">
        <f t="shared" si="268"/>
        <v>0</v>
      </c>
      <c r="BZ689" s="126">
        <f t="shared" si="269"/>
        <v>0</v>
      </c>
      <c r="CA689" s="126">
        <f t="shared" si="270"/>
        <v>0</v>
      </c>
      <c r="CB689" s="127">
        <f t="shared" si="271"/>
        <v>0</v>
      </c>
    </row>
    <row r="690" spans="1:81" ht="14.25" hidden="1" customHeight="1" outlineLevel="4" x14ac:dyDescent="0.25">
      <c r="A690" s="10" t="b">
        <f t="array" ref="A690">A689</f>
        <v>0</v>
      </c>
      <c r="B690" s="5" t="b">
        <f t="array" ref="B690">A690</f>
        <v>0</v>
      </c>
      <c r="C690" s="10" t="s">
        <v>83</v>
      </c>
      <c r="D690" s="10" t="s">
        <v>84</v>
      </c>
      <c r="E690" s="10" t="s">
        <v>73</v>
      </c>
      <c r="F690" s="10" t="s">
        <v>74</v>
      </c>
      <c r="G690" s="10" t="s">
        <v>478</v>
      </c>
      <c r="H690" s="10" t="s">
        <v>73</v>
      </c>
      <c r="I690" s="10" t="s">
        <v>73</v>
      </c>
      <c r="J690" s="10" t="s">
        <v>73</v>
      </c>
      <c r="K690" s="12" t="s">
        <v>73</v>
      </c>
      <c r="L690" s="10" t="s">
        <v>452</v>
      </c>
      <c r="M690" s="5" t="str">
        <f t="array" ref="M690">Y458</f>
        <v>1ВО::1.1</v>
      </c>
      <c r="Y690" s="10">
        <f>COUNT($Y686:Y689)+1</f>
        <v>5</v>
      </c>
      <c r="Z690" s="6"/>
      <c r="AA690" s="6"/>
      <c r="AB690" s="403"/>
      <c r="AC690" s="426"/>
      <c r="AD690" s="32"/>
      <c r="AE690" s="72"/>
      <c r="AF690" s="73"/>
      <c r="AG690" s="73"/>
      <c r="AH690" s="74"/>
      <c r="AI690" s="179"/>
      <c r="AJ690" s="73"/>
      <c r="AK690" s="73"/>
      <c r="AL690" s="138"/>
      <c r="AM690" s="72"/>
      <c r="AN690" s="73"/>
      <c r="AO690" s="73"/>
      <c r="AP690" s="138"/>
      <c r="AQ690" s="72"/>
      <c r="AR690" s="73"/>
      <c r="AS690" s="73"/>
      <c r="AT690" s="138"/>
      <c r="AU690" s="72"/>
      <c r="AV690" s="73"/>
      <c r="AW690" s="73"/>
      <c r="AX690" s="138"/>
      <c r="AY690" s="72"/>
      <c r="AZ690" s="73"/>
      <c r="BA690" s="73"/>
      <c r="BB690" s="138"/>
      <c r="BC690" s="72"/>
      <c r="BD690" s="73"/>
      <c r="BE690" s="73"/>
      <c r="BF690" s="774"/>
      <c r="BG690" s="72"/>
      <c r="BH690" s="73"/>
      <c r="BI690" s="73"/>
      <c r="BJ690" s="138"/>
      <c r="BK690" s="72"/>
      <c r="BL690" s="73"/>
      <c r="BM690" s="73"/>
      <c r="BN690" s="138"/>
      <c r="BO690" s="72"/>
      <c r="BP690" s="73"/>
      <c r="BQ690" s="73"/>
      <c r="BR690" s="138"/>
      <c r="BS690" s="142"/>
      <c r="BT690" s="140"/>
      <c r="BU690" s="140"/>
      <c r="BV690" s="143"/>
      <c r="BY690" s="125">
        <f t="shared" si="268"/>
        <v>0</v>
      </c>
      <c r="BZ690" s="126">
        <f t="shared" si="269"/>
        <v>0</v>
      </c>
      <c r="CA690" s="126">
        <f t="shared" si="270"/>
        <v>0</v>
      </c>
      <c r="CB690" s="127">
        <f t="shared" si="271"/>
        <v>0</v>
      </c>
    </row>
    <row r="691" spans="1:81" ht="14.25" customHeight="1" outlineLevel="4" x14ac:dyDescent="0.25">
      <c r="C691" s="10" t="s">
        <v>83</v>
      </c>
      <c r="D691" s="10" t="s">
        <v>84</v>
      </c>
      <c r="E691" s="10" t="s">
        <v>73</v>
      </c>
      <c r="F691" s="10" t="s">
        <v>74</v>
      </c>
      <c r="G691" s="10" t="s">
        <v>479</v>
      </c>
      <c r="H691" s="10" t="s">
        <v>73</v>
      </c>
      <c r="I691" s="10" t="s">
        <v>73</v>
      </c>
      <c r="J691" s="10" t="s">
        <v>73</v>
      </c>
      <c r="K691" s="12" t="s">
        <v>73</v>
      </c>
      <c r="L691" s="10" t="s">
        <v>452</v>
      </c>
      <c r="M691" s="5" t="str">
        <f t="array" ref="M691">Y458</f>
        <v>1ВО::1.1</v>
      </c>
      <c r="Y691" s="10">
        <f>COUNT($Y686:Y690)+1</f>
        <v>6</v>
      </c>
      <c r="AB691" s="403" t="str">
        <f>AB$318&amp;"."&amp;Y691</f>
        <v>3.1.2.6</v>
      </c>
      <c r="AC691" s="426" t="s">
        <v>479</v>
      </c>
      <c r="AD691" s="32" t="s">
        <v>111</v>
      </c>
      <c r="AE691" s="72">
        <v>691.5</v>
      </c>
      <c r="AF691" s="178">
        <v>548.12</v>
      </c>
      <c r="AG691" s="73">
        <v>691.52</v>
      </c>
      <c r="AH691" s="74">
        <v>691.5</v>
      </c>
      <c r="AI691" s="179"/>
      <c r="AJ691" s="178"/>
      <c r="AK691" s="73"/>
      <c r="AL691" s="138"/>
      <c r="AM691" s="72"/>
      <c r="AN691" s="178"/>
      <c r="AO691" s="73"/>
      <c r="AP691" s="138"/>
      <c r="AQ691" s="72"/>
      <c r="AR691" s="178"/>
      <c r="AS691" s="73"/>
      <c r="AT691" s="138"/>
      <c r="AU691" s="72"/>
      <c r="AV691" s="178"/>
      <c r="AW691" s="73"/>
      <c r="AX691" s="138"/>
      <c r="AY691" s="72"/>
      <c r="AZ691" s="178"/>
      <c r="BA691" s="73"/>
      <c r="BB691" s="138"/>
      <c r="BC691" s="72"/>
      <c r="BD691" s="178"/>
      <c r="BE691" s="73"/>
      <c r="BF691" s="774"/>
      <c r="BG691" s="72">
        <v>20.190000000000001</v>
      </c>
      <c r="BH691" s="178">
        <v>6.89</v>
      </c>
      <c r="BI691" s="73">
        <v>16.25</v>
      </c>
      <c r="BJ691" s="138"/>
      <c r="BK691" s="72">
        <v>27.37</v>
      </c>
      <c r="BL691" s="178"/>
      <c r="BM691" s="73"/>
      <c r="BN691" s="138">
        <v>27.356000000000002</v>
      </c>
      <c r="BO691" s="72"/>
      <c r="BP691" s="178"/>
      <c r="BQ691" s="73"/>
      <c r="BR691" s="138"/>
      <c r="BS691" s="142">
        <v>1.5</v>
      </c>
      <c r="BT691" s="183"/>
      <c r="BU691" s="140">
        <v>1.5</v>
      </c>
      <c r="BV691" s="143">
        <v>1.51</v>
      </c>
      <c r="BY691" s="125">
        <f t="shared" si="268"/>
        <v>740.56000000000006</v>
      </c>
      <c r="BZ691" s="126">
        <f t="shared" si="269"/>
        <v>555.01</v>
      </c>
      <c r="CA691" s="126">
        <f t="shared" si="270"/>
        <v>709.27</v>
      </c>
      <c r="CB691" s="127">
        <f t="shared" si="271"/>
        <v>720.36599999999999</v>
      </c>
    </row>
    <row r="692" spans="1:81" ht="14.25" customHeight="1" outlineLevel="4" x14ac:dyDescent="0.25">
      <c r="C692" s="10" t="s">
        <v>83</v>
      </c>
      <c r="D692" s="10" t="s">
        <v>84</v>
      </c>
      <c r="E692" s="10" t="s">
        <v>73</v>
      </c>
      <c r="F692" s="10" t="s">
        <v>74</v>
      </c>
      <c r="G692" s="10" t="s">
        <v>480</v>
      </c>
      <c r="H692" s="10" t="s">
        <v>73</v>
      </c>
      <c r="I692" s="10" t="s">
        <v>73</v>
      </c>
      <c r="J692" s="10" t="s">
        <v>73</v>
      </c>
      <c r="K692" s="12" t="s">
        <v>73</v>
      </c>
      <c r="L692" s="10" t="s">
        <v>452</v>
      </c>
      <c r="M692" s="5" t="str">
        <f t="array" ref="M692">Y458</f>
        <v>1ВО::1.1</v>
      </c>
      <c r="Y692" s="10">
        <f>COUNT($Y686:Y691)+1</f>
        <v>7</v>
      </c>
      <c r="AB692" s="403" t="str">
        <f>AB$318&amp;"."&amp;Y692</f>
        <v>3.1.2.7</v>
      </c>
      <c r="AC692" s="426" t="s">
        <v>480</v>
      </c>
      <c r="AD692" s="32" t="s">
        <v>111</v>
      </c>
      <c r="AE692" s="72">
        <v>17.39</v>
      </c>
      <c r="AF692" s="178">
        <v>10035.02</v>
      </c>
      <c r="AG692" s="73">
        <v>12675</v>
      </c>
      <c r="AH692" s="74">
        <v>17.39</v>
      </c>
      <c r="AI692" s="179"/>
      <c r="AJ692" s="178">
        <v>793.24</v>
      </c>
      <c r="AK692" s="73"/>
      <c r="AL692" s="138"/>
      <c r="AM692" s="72"/>
      <c r="AN692" s="178"/>
      <c r="AO692" s="73"/>
      <c r="AP692" s="138"/>
      <c r="AQ692" s="72"/>
      <c r="AR692" s="178"/>
      <c r="AS692" s="73"/>
      <c r="AT692" s="138"/>
      <c r="AU692" s="72"/>
      <c r="AV692" s="178"/>
      <c r="AW692" s="73">
        <v>957.48</v>
      </c>
      <c r="AX692" s="138"/>
      <c r="AY692" s="72"/>
      <c r="AZ692" s="178"/>
      <c r="BA692" s="73"/>
      <c r="BB692" s="138"/>
      <c r="BC692" s="72"/>
      <c r="BD692" s="178"/>
      <c r="BE692" s="73"/>
      <c r="BF692" s="774"/>
      <c r="BG692" s="72">
        <v>0.01</v>
      </c>
      <c r="BH692" s="178"/>
      <c r="BI692" s="73">
        <f>62199.9-26391.09</f>
        <v>35808.81</v>
      </c>
      <c r="BJ692" s="138"/>
      <c r="BK692" s="72"/>
      <c r="BL692" s="178"/>
      <c r="BM692" s="73"/>
      <c r="BN692" s="138"/>
      <c r="BO692" s="72"/>
      <c r="BP692" s="178"/>
      <c r="BQ692" s="73"/>
      <c r="BR692" s="138"/>
      <c r="BS692" s="142"/>
      <c r="BT692" s="183"/>
      <c r="BU692" s="140">
        <v>4728.1000000000004</v>
      </c>
      <c r="BV692" s="143"/>
      <c r="BY692" s="125">
        <f t="shared" si="268"/>
        <v>17.400000000000002</v>
      </c>
      <c r="BZ692" s="126">
        <f t="shared" si="269"/>
        <v>10828.26</v>
      </c>
      <c r="CA692" s="126">
        <f t="shared" si="270"/>
        <v>54169.389999999992</v>
      </c>
      <c r="CB692" s="127">
        <f t="shared" si="271"/>
        <v>17.39</v>
      </c>
    </row>
    <row r="693" spans="1:81" outlineLevel="4" x14ac:dyDescent="0.25">
      <c r="C693" s="10" t="s">
        <v>83</v>
      </c>
      <c r="D693" s="10" t="s">
        <v>84</v>
      </c>
      <c r="E693" s="10" t="s">
        <v>73</v>
      </c>
      <c r="F693" s="10" t="s">
        <v>74</v>
      </c>
      <c r="G693" s="10" t="s">
        <v>481</v>
      </c>
      <c r="H693" s="10" t="s">
        <v>73</v>
      </c>
      <c r="I693" s="10" t="s">
        <v>73</v>
      </c>
      <c r="J693" s="10" t="s">
        <v>73</v>
      </c>
      <c r="K693" s="12" t="s">
        <v>73</v>
      </c>
      <c r="L693" s="10" t="s">
        <v>452</v>
      </c>
      <c r="M693" s="5" t="str">
        <f t="array" ref="M693">Y458</f>
        <v>1ВО::1.1</v>
      </c>
      <c r="Y693" s="10">
        <f>COUNT($Y686:Y692)+1</f>
        <v>8</v>
      </c>
      <c r="AB693" s="403" t="str">
        <f>AB$318&amp;"."&amp;Y693</f>
        <v>3.1.2.8</v>
      </c>
      <c r="AC693" s="426" t="s">
        <v>481</v>
      </c>
      <c r="AD693" s="32" t="s">
        <v>111</v>
      </c>
      <c r="AE693" s="72"/>
      <c r="AF693" s="178"/>
      <c r="AG693" s="73"/>
      <c r="AH693" s="74"/>
      <c r="AI693" s="179"/>
      <c r="AJ693" s="178"/>
      <c r="AK693" s="73"/>
      <c r="AL693" s="138"/>
      <c r="AM693" s="72"/>
      <c r="AN693" s="178"/>
      <c r="AO693" s="73"/>
      <c r="AP693" s="138"/>
      <c r="AQ693" s="72"/>
      <c r="AR693" s="178"/>
      <c r="AS693" s="73"/>
      <c r="AT693" s="138"/>
      <c r="AU693" s="72"/>
      <c r="AV693" s="178"/>
      <c r="AW693" s="73"/>
      <c r="AX693" s="138"/>
      <c r="AY693" s="72"/>
      <c r="AZ693" s="178"/>
      <c r="BA693" s="73"/>
      <c r="BB693" s="138"/>
      <c r="BC693" s="72"/>
      <c r="BD693" s="178"/>
      <c r="BE693" s="73"/>
      <c r="BF693" s="774"/>
      <c r="BG693" s="72"/>
      <c r="BH693" s="178"/>
      <c r="BI693" s="73"/>
      <c r="BJ693" s="138"/>
      <c r="BK693" s="72"/>
      <c r="BL693" s="178"/>
      <c r="BM693" s="73"/>
      <c r="BN693" s="138"/>
      <c r="BO693" s="72"/>
      <c r="BP693" s="178"/>
      <c r="BQ693" s="73"/>
      <c r="BR693" s="138"/>
      <c r="BS693" s="142"/>
      <c r="BT693" s="183"/>
      <c r="BU693" s="140"/>
      <c r="BV693" s="143"/>
      <c r="BY693" s="125">
        <f t="shared" si="268"/>
        <v>0</v>
      </c>
      <c r="BZ693" s="126">
        <f t="shared" si="269"/>
        <v>0</v>
      </c>
      <c r="CA693" s="126">
        <f t="shared" si="270"/>
        <v>0</v>
      </c>
      <c r="CB693" s="127">
        <f t="shared" si="271"/>
        <v>0</v>
      </c>
    </row>
    <row r="694" spans="1:81" outlineLevel="4" x14ac:dyDescent="0.25">
      <c r="C694" s="10" t="s">
        <v>83</v>
      </c>
      <c r="D694" s="10" t="s">
        <v>84</v>
      </c>
      <c r="E694" s="10" t="s">
        <v>73</v>
      </c>
      <c r="F694" s="10" t="s">
        <v>74</v>
      </c>
      <c r="G694" s="10" t="s">
        <v>482</v>
      </c>
      <c r="H694" s="10" t="s">
        <v>73</v>
      </c>
      <c r="I694" s="10" t="s">
        <v>73</v>
      </c>
      <c r="J694" s="10" t="s">
        <v>73</v>
      </c>
      <c r="K694" s="12" t="s">
        <v>73</v>
      </c>
      <c r="L694" s="10" t="s">
        <v>452</v>
      </c>
      <c r="M694" s="5" t="str">
        <f t="array" ref="M694">Y458</f>
        <v>1ВО::1.1</v>
      </c>
      <c r="Y694" s="10">
        <f>COUNT($Y686:Y693)+1</f>
        <v>9</v>
      </c>
      <c r="AB694" s="403" t="str">
        <f>AB$318&amp;"."&amp;Y694</f>
        <v>3.1.2.9</v>
      </c>
      <c r="AC694" s="426" t="s">
        <v>483</v>
      </c>
      <c r="AD694" s="32" t="s">
        <v>111</v>
      </c>
      <c r="AE694" s="72"/>
      <c r="AF694" s="178"/>
      <c r="AG694" s="73"/>
      <c r="AH694" s="74"/>
      <c r="AI694" s="179"/>
      <c r="AJ694" s="178"/>
      <c r="AK694" s="73"/>
      <c r="AL694" s="138"/>
      <c r="AM694" s="72"/>
      <c r="AN694" s="178"/>
      <c r="AO694" s="73"/>
      <c r="AP694" s="138"/>
      <c r="AQ694" s="72"/>
      <c r="AR694" s="178"/>
      <c r="AS694" s="73"/>
      <c r="AT694" s="138"/>
      <c r="AU694" s="72"/>
      <c r="AV694" s="178"/>
      <c r="AW694" s="73"/>
      <c r="AX694" s="138"/>
      <c r="AY694" s="72"/>
      <c r="AZ694" s="178"/>
      <c r="BA694" s="73"/>
      <c r="BB694" s="138"/>
      <c r="BC694" s="72"/>
      <c r="BD694" s="178"/>
      <c r="BE694" s="73"/>
      <c r="BF694" s="774"/>
      <c r="BG694" s="72"/>
      <c r="BH694" s="178"/>
      <c r="BI694" s="73"/>
      <c r="BJ694" s="138"/>
      <c r="BK694" s="72"/>
      <c r="BL694" s="178"/>
      <c r="BM694" s="73"/>
      <c r="BN694" s="138"/>
      <c r="BO694" s="72"/>
      <c r="BP694" s="178"/>
      <c r="BQ694" s="73"/>
      <c r="BR694" s="138"/>
      <c r="BS694" s="142"/>
      <c r="BT694" s="183"/>
      <c r="BU694" s="140"/>
      <c r="BV694" s="143"/>
      <c r="BY694" s="125">
        <f t="shared" si="268"/>
        <v>0</v>
      </c>
      <c r="BZ694" s="126">
        <f t="shared" si="269"/>
        <v>0</v>
      </c>
      <c r="CA694" s="126">
        <f t="shared" si="270"/>
        <v>0</v>
      </c>
      <c r="CB694" s="127">
        <f t="shared" si="271"/>
        <v>0</v>
      </c>
    </row>
    <row r="695" spans="1:81" outlineLevel="3" x14ac:dyDescent="0.25">
      <c r="C695" s="10" t="s">
        <v>83</v>
      </c>
      <c r="D695" s="10" t="s">
        <v>84</v>
      </c>
      <c r="E695" s="10" t="s">
        <v>73</v>
      </c>
      <c r="F695" s="10" t="s">
        <v>74</v>
      </c>
      <c r="G695" s="10" t="s">
        <v>484</v>
      </c>
      <c r="H695" s="10" t="s">
        <v>73</v>
      </c>
      <c r="I695" s="10" t="s">
        <v>73</v>
      </c>
      <c r="J695" s="10" t="s">
        <v>73</v>
      </c>
      <c r="K695" s="12" t="s">
        <v>73</v>
      </c>
      <c r="L695" s="10" t="s">
        <v>407</v>
      </c>
      <c r="M695" s="5" t="str">
        <f t="array" ref="M695">Y458</f>
        <v>1ВО::1.1</v>
      </c>
      <c r="AB695" s="403" t="str">
        <f>AB670&amp;".4"</f>
        <v>3.1.3.4</v>
      </c>
      <c r="AC695" s="414" t="s">
        <v>485</v>
      </c>
      <c r="AD695" s="32" t="s">
        <v>111</v>
      </c>
      <c r="AE695" s="72">
        <f>AE696+AE699+AE700+AE701</f>
        <v>24254.370000000003</v>
      </c>
      <c r="AF695" s="73"/>
      <c r="AG695" s="73">
        <f>AG696+AG699+AG700+AG701</f>
        <v>47030.64</v>
      </c>
      <c r="AH695" s="74"/>
      <c r="AI695" s="179">
        <f>AI696+AI699+AI700+AI701</f>
        <v>21.05</v>
      </c>
      <c r="AJ695" s="73">
        <f>AJ696+AJ699+AJ700+AJ701</f>
        <v>0</v>
      </c>
      <c r="AK695" s="73">
        <f>AK696+AK699+AK700+AK701</f>
        <v>21.05</v>
      </c>
      <c r="AL695" s="138"/>
      <c r="AM695" s="72"/>
      <c r="AN695" s="73"/>
      <c r="AO695" s="73"/>
      <c r="AP695" s="138"/>
      <c r="AQ695" s="72">
        <f>AQ696+AQ699+AQ700+AQ701</f>
        <v>0</v>
      </c>
      <c r="AR695" s="73">
        <f>AR696+AR699+AR700+AR701</f>
        <v>0</v>
      </c>
      <c r="AS695" s="73">
        <f>AS696+AS699+AS700+AS701</f>
        <v>0</v>
      </c>
      <c r="AT695" s="138"/>
      <c r="AU695" s="72">
        <f>AU696+AU699+AU700+AU701</f>
        <v>6.79</v>
      </c>
      <c r="AV695" s="73">
        <v>90</v>
      </c>
      <c r="AW695" s="73">
        <f>AW696+AW699+AW700+AW701</f>
        <v>7.1</v>
      </c>
      <c r="AX695" s="138"/>
      <c r="AY695" s="72">
        <f>AY696+AY699+AY700+AY701</f>
        <v>0</v>
      </c>
      <c r="AZ695" s="73">
        <f>AZ696+AZ699+AZ700+AZ701</f>
        <v>0</v>
      </c>
      <c r="BA695" s="73">
        <f>BA696+BA699+BA700+BA701</f>
        <v>0</v>
      </c>
      <c r="BB695" s="138"/>
      <c r="BC695" s="72">
        <f>BC696+BC699+BC700+BC701</f>
        <v>0</v>
      </c>
      <c r="BD695" s="73">
        <v>240</v>
      </c>
      <c r="BE695" s="73">
        <f>BE696+BE699+BE700+BE701</f>
        <v>0</v>
      </c>
      <c r="BF695" s="774">
        <f>BF696+BF699+BF700+BF701</f>
        <v>280.77</v>
      </c>
      <c r="BG695" s="72">
        <f>BG696+BG699+BG700+BG701</f>
        <v>0.09</v>
      </c>
      <c r="BH695" s="73">
        <f>BH696+BH699+BH700+BH701</f>
        <v>0</v>
      </c>
      <c r="BI695" s="73">
        <f>BI696+BI699+BI700+BI701</f>
        <v>0.36</v>
      </c>
      <c r="BJ695" s="138"/>
      <c r="BK695" s="72">
        <f>BK696+BK699+BK700+BK701</f>
        <v>329.74</v>
      </c>
      <c r="BL695" s="73">
        <f>BL696+BL699+BL700+BL701</f>
        <v>0</v>
      </c>
      <c r="BM695" s="73">
        <f>BM696+BM699+BM700+BM701</f>
        <v>26.35</v>
      </c>
      <c r="BN695" s="138"/>
      <c r="BO695" s="72">
        <f>BO696+BO699+BO700+BO701</f>
        <v>0</v>
      </c>
      <c r="BP695" s="73">
        <f>BP696+BP699+BP700+BP701</f>
        <v>0</v>
      </c>
      <c r="BQ695" s="73">
        <f>BQ696+BQ699+BQ700+BQ701</f>
        <v>0</v>
      </c>
      <c r="BR695" s="138"/>
      <c r="BS695" s="142">
        <f>BS696+BS699+BS700+BS701</f>
        <v>25.56</v>
      </c>
      <c r="BT695" s="140">
        <f>BT696+BT699+BT700+BT701</f>
        <v>0</v>
      </c>
      <c r="BU695" s="140">
        <f>BU696+BU699+BU700+BU701</f>
        <v>25.56</v>
      </c>
      <c r="BV695" s="143"/>
      <c r="BY695" s="125">
        <f t="shared" si="268"/>
        <v>24637.600000000006</v>
      </c>
      <c r="BZ695" s="126">
        <f t="shared" si="269"/>
        <v>330</v>
      </c>
      <c r="CA695" s="126">
        <f t="shared" si="270"/>
        <v>47111.06</v>
      </c>
      <c r="CB695" s="127">
        <f t="shared" si="271"/>
        <v>280.77</v>
      </c>
    </row>
    <row r="696" spans="1:81" s="211" customFormat="1" ht="18.75" customHeight="1" outlineLevel="4" x14ac:dyDescent="0.25">
      <c r="A696" s="6"/>
      <c r="B696" s="6"/>
      <c r="C696" s="116" t="s">
        <v>83</v>
      </c>
      <c r="D696" s="116" t="s">
        <v>84</v>
      </c>
      <c r="E696" s="116" t="s">
        <v>73</v>
      </c>
      <c r="F696" s="116" t="s">
        <v>74</v>
      </c>
      <c r="G696" s="116" t="s">
        <v>486</v>
      </c>
      <c r="H696" s="116" t="s">
        <v>73</v>
      </c>
      <c r="I696" s="116" t="s">
        <v>73</v>
      </c>
      <c r="J696" s="116" t="s">
        <v>73</v>
      </c>
      <c r="K696" s="209" t="s">
        <v>73</v>
      </c>
      <c r="L696" s="116" t="s">
        <v>407</v>
      </c>
      <c r="M696" s="6" t="str">
        <f t="array" ref="M696">Y458</f>
        <v>1ВО::1.1</v>
      </c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116">
        <v>1</v>
      </c>
      <c r="Z696" s="6"/>
      <c r="AA696" s="6"/>
      <c r="AB696" s="403" t="str">
        <f>AB$328&amp;"."&amp;Y696</f>
        <v>3.1.2.1.1.2.2.1</v>
      </c>
      <c r="AC696" s="426" t="s">
        <v>486</v>
      </c>
      <c r="AD696" s="32" t="s">
        <v>111</v>
      </c>
      <c r="AE696" s="72"/>
      <c r="AF696" s="178"/>
      <c r="AG696" s="73"/>
      <c r="AH696" s="74"/>
      <c r="AI696" s="179"/>
      <c r="AJ696" s="178"/>
      <c r="AK696" s="73"/>
      <c r="AL696" s="138"/>
      <c r="AM696" s="72"/>
      <c r="AN696" s="178"/>
      <c r="AO696" s="73"/>
      <c r="AP696" s="138"/>
      <c r="AQ696" s="72"/>
      <c r="AR696" s="178"/>
      <c r="AS696" s="73"/>
      <c r="AT696" s="138"/>
      <c r="AU696" s="72"/>
      <c r="AV696" s="178"/>
      <c r="AW696" s="73"/>
      <c r="AX696" s="138"/>
      <c r="AY696" s="72"/>
      <c r="AZ696" s="178"/>
      <c r="BA696" s="73"/>
      <c r="BB696" s="138"/>
      <c r="BC696" s="72"/>
      <c r="BD696" s="178"/>
      <c r="BE696" s="73"/>
      <c r="BF696" s="774">
        <f>BF697+BF698</f>
        <v>280.77</v>
      </c>
      <c r="BG696" s="72"/>
      <c r="BH696" s="178"/>
      <c r="BI696" s="73"/>
      <c r="BJ696" s="138"/>
      <c r="BK696" s="72"/>
      <c r="BL696" s="178"/>
      <c r="BM696" s="73"/>
      <c r="BN696" s="138"/>
      <c r="BO696" s="72"/>
      <c r="BP696" s="178"/>
      <c r="BQ696" s="73"/>
      <c r="BR696" s="138"/>
      <c r="BS696" s="142"/>
      <c r="BT696" s="183"/>
      <c r="BU696" s="140"/>
      <c r="BV696" s="143"/>
      <c r="BW696" s="6"/>
      <c r="BX696" s="6"/>
      <c r="BY696" s="125">
        <f t="shared" si="268"/>
        <v>0</v>
      </c>
      <c r="BZ696" s="126">
        <f t="shared" si="269"/>
        <v>0</v>
      </c>
      <c r="CA696" s="126">
        <f t="shared" si="270"/>
        <v>0</v>
      </c>
      <c r="CB696" s="127">
        <f t="shared" si="271"/>
        <v>280.77</v>
      </c>
      <c r="CC696" s="766"/>
    </row>
    <row r="697" spans="1:81" s="211" customFormat="1" ht="18.75" hidden="1" customHeight="1" outlineLevel="4" x14ac:dyDescent="0.25">
      <c r="A697" s="6"/>
      <c r="B697" s="6"/>
      <c r="C697" s="116" t="s">
        <v>83</v>
      </c>
      <c r="D697" s="116" t="s">
        <v>84</v>
      </c>
      <c r="E697" s="116" t="s">
        <v>73</v>
      </c>
      <c r="F697" s="116" t="s">
        <v>74</v>
      </c>
      <c r="G697" s="116" t="s">
        <v>487</v>
      </c>
      <c r="H697" s="116" t="s">
        <v>73</v>
      </c>
      <c r="I697" s="116" t="s">
        <v>73</v>
      </c>
      <c r="J697" s="116" t="s">
        <v>73</v>
      </c>
      <c r="K697" s="209" t="s">
        <v>73</v>
      </c>
      <c r="L697" s="116" t="s">
        <v>73</v>
      </c>
      <c r="M697" s="6" t="str">
        <f t="array" ref="M697">Y458</f>
        <v>1ВО::1.1</v>
      </c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403" t="str">
        <f>AB696&amp;".1"</f>
        <v>3.1.2.1.1.2.2.1.1</v>
      </c>
      <c r="AC697" s="459" t="s">
        <v>487</v>
      </c>
      <c r="AD697" s="32" t="s">
        <v>111</v>
      </c>
      <c r="AE697" s="95"/>
      <c r="AF697" s="178"/>
      <c r="AG697" s="178"/>
      <c r="AH697" s="96"/>
      <c r="AI697" s="187"/>
      <c r="AJ697" s="178"/>
      <c r="AK697" s="178"/>
      <c r="AL697" s="181"/>
      <c r="AM697" s="95"/>
      <c r="AN697" s="178"/>
      <c r="AO697" s="178"/>
      <c r="AP697" s="181"/>
      <c r="AQ697" s="95"/>
      <c r="AR697" s="178"/>
      <c r="AS697" s="178"/>
      <c r="AT697" s="181"/>
      <c r="AU697" s="95"/>
      <c r="AV697" s="178"/>
      <c r="AW697" s="178"/>
      <c r="AX697" s="181"/>
      <c r="AY697" s="95"/>
      <c r="AZ697" s="178"/>
      <c r="BA697" s="178"/>
      <c r="BB697" s="181"/>
      <c r="BC697" s="95"/>
      <c r="BD697" s="178"/>
      <c r="BE697" s="178"/>
      <c r="BF697" s="210"/>
      <c r="BG697" s="95"/>
      <c r="BH697" s="178"/>
      <c r="BI697" s="178"/>
      <c r="BJ697" s="181"/>
      <c r="BK697" s="95"/>
      <c r="BL697" s="178"/>
      <c r="BM697" s="178"/>
      <c r="BN697" s="181"/>
      <c r="BO697" s="95"/>
      <c r="BP697" s="178"/>
      <c r="BQ697" s="178"/>
      <c r="BR697" s="181"/>
      <c r="BS697" s="185"/>
      <c r="BT697" s="183"/>
      <c r="BU697" s="183"/>
      <c r="BV697" s="186"/>
      <c r="BW697" s="6"/>
      <c r="BX697" s="6"/>
      <c r="BY697" s="125">
        <f t="shared" si="268"/>
        <v>0</v>
      </c>
      <c r="BZ697" s="126">
        <f t="shared" si="269"/>
        <v>0</v>
      </c>
      <c r="CA697" s="126">
        <f t="shared" si="270"/>
        <v>0</v>
      </c>
      <c r="CB697" s="127">
        <f t="shared" si="271"/>
        <v>0</v>
      </c>
      <c r="CC697" s="766"/>
    </row>
    <row r="698" spans="1:81" s="211" customFormat="1" ht="18.75" customHeight="1" outlineLevel="4" x14ac:dyDescent="0.25">
      <c r="A698" s="6"/>
      <c r="B698" s="6"/>
      <c r="C698" s="116" t="s">
        <v>83</v>
      </c>
      <c r="D698" s="116" t="s">
        <v>84</v>
      </c>
      <c r="E698" s="116" t="s">
        <v>73</v>
      </c>
      <c r="F698" s="116" t="s">
        <v>74</v>
      </c>
      <c r="G698" s="116" t="s">
        <v>488</v>
      </c>
      <c r="H698" s="116" t="s">
        <v>73</v>
      </c>
      <c r="I698" s="116" t="s">
        <v>73</v>
      </c>
      <c r="J698" s="116" t="s">
        <v>73</v>
      </c>
      <c r="K698" s="209" t="s">
        <v>73</v>
      </c>
      <c r="L698" s="116" t="s">
        <v>73</v>
      </c>
      <c r="M698" s="6" t="str">
        <f t="array" ref="M698">Y458</f>
        <v>1ВО::1.1</v>
      </c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403" t="str">
        <f>AB696&amp;".2"</f>
        <v>3.1.2.1.1.2.2.1.2</v>
      </c>
      <c r="AC698" s="459" t="s">
        <v>488</v>
      </c>
      <c r="AD698" s="32" t="s">
        <v>111</v>
      </c>
      <c r="AE698" s="72"/>
      <c r="AF698" s="73"/>
      <c r="AG698" s="73"/>
      <c r="AH698" s="74"/>
      <c r="AI698" s="179"/>
      <c r="AJ698" s="73"/>
      <c r="AK698" s="73"/>
      <c r="AL698" s="138"/>
      <c r="AM698" s="72"/>
      <c r="AN698" s="73"/>
      <c r="AO698" s="73"/>
      <c r="AP698" s="138"/>
      <c r="AQ698" s="72"/>
      <c r="AR698" s="73"/>
      <c r="AS698" s="73"/>
      <c r="AT698" s="138"/>
      <c r="AU698" s="72"/>
      <c r="AV698" s="73"/>
      <c r="AW698" s="73"/>
      <c r="AX698" s="138"/>
      <c r="AY698" s="72"/>
      <c r="AZ698" s="73"/>
      <c r="BA698" s="73"/>
      <c r="BB698" s="138"/>
      <c r="BC698" s="72"/>
      <c r="BD698" s="73"/>
      <c r="BE698" s="73"/>
      <c r="BF698" s="774">
        <v>280.77</v>
      </c>
      <c r="BG698" s="72"/>
      <c r="BH698" s="73"/>
      <c r="BI698" s="73"/>
      <c r="BJ698" s="138"/>
      <c r="BK698" s="72"/>
      <c r="BL698" s="73"/>
      <c r="BM698" s="73"/>
      <c r="BN698" s="138"/>
      <c r="BO698" s="72"/>
      <c r="BP698" s="73"/>
      <c r="BQ698" s="73"/>
      <c r="BR698" s="138"/>
      <c r="BS698" s="142"/>
      <c r="BT698" s="140"/>
      <c r="BU698" s="140"/>
      <c r="BV698" s="143"/>
      <c r="BW698" s="6"/>
      <c r="BX698" s="6"/>
      <c r="BY698" s="125">
        <f t="shared" si="268"/>
        <v>0</v>
      </c>
      <c r="BZ698" s="126">
        <f t="shared" si="269"/>
        <v>0</v>
      </c>
      <c r="CA698" s="126">
        <f t="shared" si="270"/>
        <v>0</v>
      </c>
      <c r="CB698" s="127">
        <f t="shared" si="271"/>
        <v>280.77</v>
      </c>
      <c r="CC698" s="766"/>
    </row>
    <row r="699" spans="1:81" ht="18.75" customHeight="1" outlineLevel="4" x14ac:dyDescent="0.25">
      <c r="C699" s="10" t="s">
        <v>83</v>
      </c>
      <c r="D699" s="10" t="s">
        <v>84</v>
      </c>
      <c r="E699" s="10" t="s">
        <v>73</v>
      </c>
      <c r="F699" s="10" t="s">
        <v>74</v>
      </c>
      <c r="G699" s="10" t="s">
        <v>489</v>
      </c>
      <c r="H699" s="10" t="s">
        <v>73</v>
      </c>
      <c r="I699" s="10" t="s">
        <v>73</v>
      </c>
      <c r="J699" s="10" t="s">
        <v>73</v>
      </c>
      <c r="K699" s="12" t="s">
        <v>73</v>
      </c>
      <c r="L699" s="10" t="s">
        <v>407</v>
      </c>
      <c r="M699" s="5" t="str">
        <f t="array" ref="M699">Y458</f>
        <v>1ВО::1.1</v>
      </c>
      <c r="Y699" s="10">
        <f>COUNT($Y696:Y696)+1</f>
        <v>2</v>
      </c>
      <c r="AB699" s="403" t="str">
        <f>AB$328&amp;"."&amp;Y699</f>
        <v>3.1.2.1.1.2.2.2</v>
      </c>
      <c r="AC699" s="426" t="s">
        <v>489</v>
      </c>
      <c r="AD699" s="32" t="s">
        <v>111</v>
      </c>
      <c r="AE699" s="72"/>
      <c r="AF699" s="178"/>
      <c r="AG699" s="73"/>
      <c r="AH699" s="74"/>
      <c r="AI699" s="179"/>
      <c r="AJ699" s="178"/>
      <c r="AK699" s="73"/>
      <c r="AL699" s="138"/>
      <c r="AM699" s="72"/>
      <c r="AN699" s="178"/>
      <c r="AO699" s="73"/>
      <c r="AP699" s="138"/>
      <c r="AQ699" s="72"/>
      <c r="AR699" s="178"/>
      <c r="AS699" s="73"/>
      <c r="AT699" s="138"/>
      <c r="AU699" s="72"/>
      <c r="AV699" s="178"/>
      <c r="AW699" s="73"/>
      <c r="AX699" s="138"/>
      <c r="AY699" s="72"/>
      <c r="AZ699" s="178"/>
      <c r="BA699" s="73"/>
      <c r="BB699" s="138"/>
      <c r="BC699" s="72"/>
      <c r="BD699" s="178"/>
      <c r="BE699" s="73"/>
      <c r="BF699" s="774"/>
      <c r="BG699" s="72"/>
      <c r="BH699" s="178"/>
      <c r="BI699" s="73"/>
      <c r="BJ699" s="138"/>
      <c r="BK699" s="72"/>
      <c r="BL699" s="178"/>
      <c r="BM699" s="73"/>
      <c r="BN699" s="138"/>
      <c r="BO699" s="72"/>
      <c r="BP699" s="178"/>
      <c r="BQ699" s="73"/>
      <c r="BR699" s="138"/>
      <c r="BS699" s="142"/>
      <c r="BT699" s="183"/>
      <c r="BU699" s="140"/>
      <c r="BV699" s="143"/>
      <c r="BY699" s="125">
        <f t="shared" si="268"/>
        <v>0</v>
      </c>
      <c r="BZ699" s="126">
        <f t="shared" si="269"/>
        <v>0</v>
      </c>
      <c r="CA699" s="126">
        <f t="shared" si="270"/>
        <v>0</v>
      </c>
      <c r="CB699" s="127">
        <f t="shared" si="271"/>
        <v>0</v>
      </c>
    </row>
    <row r="700" spans="1:81" ht="17.45" customHeight="1" outlineLevel="4" x14ac:dyDescent="0.25">
      <c r="C700" s="10" t="s">
        <v>83</v>
      </c>
      <c r="D700" s="10" t="s">
        <v>84</v>
      </c>
      <c r="E700" s="10" t="s">
        <v>73</v>
      </c>
      <c r="F700" s="10" t="s">
        <v>74</v>
      </c>
      <c r="G700" s="10" t="s">
        <v>490</v>
      </c>
      <c r="H700" s="10" t="s">
        <v>73</v>
      </c>
      <c r="I700" s="10" t="s">
        <v>73</v>
      </c>
      <c r="J700" s="10" t="s">
        <v>73</v>
      </c>
      <c r="K700" s="12" t="s">
        <v>73</v>
      </c>
      <c r="L700" s="10" t="s">
        <v>407</v>
      </c>
      <c r="M700" s="5" t="str">
        <f t="array" ref="M700">Y458</f>
        <v>1ВО::1.1</v>
      </c>
      <c r="Y700" s="10">
        <f>COUNT($Y696:Y699)+1</f>
        <v>3</v>
      </c>
      <c r="AB700" s="501" t="s">
        <v>643</v>
      </c>
      <c r="AC700" s="426" t="s">
        <v>490</v>
      </c>
      <c r="AD700" s="32" t="s">
        <v>111</v>
      </c>
      <c r="AE700" s="72">
        <v>23901.13</v>
      </c>
      <c r="AF700" s="178"/>
      <c r="AG700" s="73">
        <v>46677.4</v>
      </c>
      <c r="AH700" s="74"/>
      <c r="AI700" s="179"/>
      <c r="AJ700" s="178"/>
      <c r="AK700" s="73"/>
      <c r="AL700" s="138"/>
      <c r="AM700" s="72"/>
      <c r="AN700" s="178"/>
      <c r="AO700" s="73"/>
      <c r="AP700" s="138"/>
      <c r="AQ700" s="72"/>
      <c r="AR700" s="178"/>
      <c r="AS700" s="73"/>
      <c r="AT700" s="138"/>
      <c r="AU700" s="72"/>
      <c r="AV700" s="178"/>
      <c r="AW700" s="73"/>
      <c r="AX700" s="138"/>
      <c r="AY700" s="72"/>
      <c r="AZ700" s="178"/>
      <c r="BA700" s="73"/>
      <c r="BB700" s="138"/>
      <c r="BC700" s="72"/>
      <c r="BD700" s="178"/>
      <c r="BE700" s="73"/>
      <c r="BF700" s="774"/>
      <c r="BG700" s="72"/>
      <c r="BH700" s="178"/>
      <c r="BI700" s="73"/>
      <c r="BJ700" s="138"/>
      <c r="BK700" s="72"/>
      <c r="BL700" s="178"/>
      <c r="BM700" s="73"/>
      <c r="BN700" s="138"/>
      <c r="BO700" s="72"/>
      <c r="BP700" s="178"/>
      <c r="BQ700" s="73"/>
      <c r="BR700" s="138"/>
      <c r="BS700" s="142"/>
      <c r="BT700" s="183"/>
      <c r="BU700" s="140"/>
      <c r="BV700" s="143"/>
      <c r="BY700" s="125">
        <f t="shared" si="268"/>
        <v>23901.13</v>
      </c>
      <c r="BZ700" s="126">
        <f t="shared" si="269"/>
        <v>0</v>
      </c>
      <c r="CA700" s="126">
        <f t="shared" si="270"/>
        <v>46677.4</v>
      </c>
      <c r="CB700" s="127">
        <f t="shared" si="271"/>
        <v>0</v>
      </c>
    </row>
    <row r="701" spans="1:81" ht="17.45" customHeight="1" outlineLevel="4" x14ac:dyDescent="0.25">
      <c r="C701" s="10" t="s">
        <v>83</v>
      </c>
      <c r="D701" s="10" t="s">
        <v>84</v>
      </c>
      <c r="E701" s="10" t="s">
        <v>73</v>
      </c>
      <c r="F701" s="10" t="s">
        <v>74</v>
      </c>
      <c r="G701" s="10" t="s">
        <v>491</v>
      </c>
      <c r="H701" s="10" t="s">
        <v>73</v>
      </c>
      <c r="I701" s="10" t="s">
        <v>73</v>
      </c>
      <c r="J701" s="10" t="s">
        <v>73</v>
      </c>
      <c r="K701" s="12" t="s">
        <v>73</v>
      </c>
      <c r="L701" s="10" t="s">
        <v>407</v>
      </c>
      <c r="M701" s="5" t="str">
        <f t="array" ref="M701">Y458</f>
        <v>1ВО::1.1</v>
      </c>
      <c r="Y701" s="10">
        <f>COUNT($Y696:Y700)+1</f>
        <v>4</v>
      </c>
      <c r="AB701" s="501" t="s">
        <v>644</v>
      </c>
      <c r="AC701" s="426" t="s">
        <v>491</v>
      </c>
      <c r="AD701" s="32" t="s">
        <v>111</v>
      </c>
      <c r="AE701" s="72">
        <v>353.24</v>
      </c>
      <c r="AF701" s="178"/>
      <c r="AG701" s="73">
        <v>353.24</v>
      </c>
      <c r="AH701" s="74"/>
      <c r="AI701" s="179">
        <v>21.05</v>
      </c>
      <c r="AJ701" s="178"/>
      <c r="AK701" s="73">
        <v>21.05</v>
      </c>
      <c r="AL701" s="138"/>
      <c r="AM701" s="72"/>
      <c r="AN701" s="178"/>
      <c r="AO701" s="73"/>
      <c r="AP701" s="138"/>
      <c r="AQ701" s="72"/>
      <c r="AR701" s="178"/>
      <c r="AS701" s="73"/>
      <c r="AT701" s="138"/>
      <c r="AU701" s="72">
        <v>6.79</v>
      </c>
      <c r="AV701" s="178"/>
      <c r="AW701" s="73">
        <v>7.1</v>
      </c>
      <c r="AX701" s="138"/>
      <c r="AY701" s="72"/>
      <c r="AZ701" s="178"/>
      <c r="BA701" s="73"/>
      <c r="BB701" s="138"/>
      <c r="BC701" s="72"/>
      <c r="BD701" s="178"/>
      <c r="BE701" s="73"/>
      <c r="BF701" s="774"/>
      <c r="BG701" s="72">
        <v>0.09</v>
      </c>
      <c r="BH701" s="178"/>
      <c r="BI701" s="73">
        <v>0.36</v>
      </c>
      <c r="BJ701" s="138">
        <v>16.61</v>
      </c>
      <c r="BK701" s="72">
        <v>329.74</v>
      </c>
      <c r="BL701" s="178"/>
      <c r="BM701" s="73">
        <v>26.35</v>
      </c>
      <c r="BN701" s="138"/>
      <c r="BO701" s="72"/>
      <c r="BP701" s="178"/>
      <c r="BQ701" s="73"/>
      <c r="BR701" s="138"/>
      <c r="BS701" s="142">
        <v>25.56</v>
      </c>
      <c r="BT701" s="183"/>
      <c r="BU701" s="140">
        <v>25.56</v>
      </c>
      <c r="BV701" s="143"/>
      <c r="BY701" s="125">
        <f t="shared" si="268"/>
        <v>736.47</v>
      </c>
      <c r="BZ701" s="126">
        <f t="shared" si="269"/>
        <v>0</v>
      </c>
      <c r="CA701" s="126">
        <f t="shared" si="270"/>
        <v>433.66000000000008</v>
      </c>
      <c r="CB701" s="127">
        <f t="shared" si="271"/>
        <v>16.61</v>
      </c>
    </row>
    <row r="702" spans="1:81" ht="17.45" customHeight="1" outlineLevel="3" x14ac:dyDescent="0.25">
      <c r="C702" s="10" t="s">
        <v>83</v>
      </c>
      <c r="D702" s="10" t="s">
        <v>84</v>
      </c>
      <c r="E702" s="10" t="s">
        <v>73</v>
      </c>
      <c r="F702" s="10" t="s">
        <v>74</v>
      </c>
      <c r="G702" s="10" t="s">
        <v>492</v>
      </c>
      <c r="H702" s="10" t="s">
        <v>73</v>
      </c>
      <c r="I702" s="10" t="s">
        <v>73</v>
      </c>
      <c r="J702" s="10" t="s">
        <v>73</v>
      </c>
      <c r="K702" s="12" t="s">
        <v>73</v>
      </c>
      <c r="L702" s="10" t="s">
        <v>452</v>
      </c>
      <c r="M702" s="5" t="str">
        <f t="array" ref="M702">Y458</f>
        <v>1ВО::1.1</v>
      </c>
      <c r="Y702" s="10">
        <f>COUNT($Y696:Y701)+1</f>
        <v>5</v>
      </c>
      <c r="AB702" s="403" t="str">
        <f>AB670&amp;".5"</f>
        <v>3.1.3.5</v>
      </c>
      <c r="AC702" s="414" t="s">
        <v>493</v>
      </c>
      <c r="AD702" s="32" t="s">
        <v>111</v>
      </c>
      <c r="AE702" s="95">
        <v>401.51100000000002</v>
      </c>
      <c r="AF702" s="178"/>
      <c r="AG702" s="178">
        <v>401.51100000000002</v>
      </c>
      <c r="AH702" s="96">
        <v>388.08</v>
      </c>
      <c r="AI702" s="187"/>
      <c r="AJ702" s="178"/>
      <c r="AK702" s="178"/>
      <c r="AL702" s="181"/>
      <c r="AM702" s="95"/>
      <c r="AN702" s="178"/>
      <c r="AO702" s="178"/>
      <c r="AP702" s="181"/>
      <c r="AQ702" s="95"/>
      <c r="AR702" s="178"/>
      <c r="AS702" s="178"/>
      <c r="AT702" s="181"/>
      <c r="AU702" s="95">
        <v>9.2200000000000006</v>
      </c>
      <c r="AV702" s="178"/>
      <c r="AW702" s="178">
        <v>9.23</v>
      </c>
      <c r="AX702" s="181"/>
      <c r="AY702" s="95"/>
      <c r="AZ702" s="178"/>
      <c r="BA702" s="178"/>
      <c r="BB702" s="181"/>
      <c r="BC702" s="95"/>
      <c r="BD702" s="178"/>
      <c r="BE702" s="178"/>
      <c r="BF702" s="210"/>
      <c r="BG702" s="95"/>
      <c r="BH702" s="178"/>
      <c r="BI702" s="178"/>
      <c r="BJ702" s="181"/>
      <c r="BK702" s="95"/>
      <c r="BL702" s="178"/>
      <c r="BM702" s="178"/>
      <c r="BN702" s="181"/>
      <c r="BO702" s="95"/>
      <c r="BP702" s="178"/>
      <c r="BQ702" s="178"/>
      <c r="BR702" s="181"/>
      <c r="BS702" s="185"/>
      <c r="BT702" s="183"/>
      <c r="BU702" s="183"/>
      <c r="BV702" s="186"/>
      <c r="BY702" s="125">
        <f t="shared" si="268"/>
        <v>410.73100000000005</v>
      </c>
      <c r="BZ702" s="126">
        <f t="shared" si="269"/>
        <v>0</v>
      </c>
      <c r="CA702" s="126">
        <f t="shared" si="270"/>
        <v>410.74100000000004</v>
      </c>
      <c r="CB702" s="127">
        <f t="shared" si="271"/>
        <v>388.08</v>
      </c>
    </row>
    <row r="703" spans="1:81" ht="14.25" hidden="1" customHeight="1" outlineLevel="3" x14ac:dyDescent="0.25">
      <c r="A703" s="10" t="b">
        <f>AND(PREVIOUS_REGULATION_METHODS="Метод индексации",REGULATION_METHODS="Метод индексации")</f>
        <v>1</v>
      </c>
      <c r="B703" s="5" t="b">
        <f t="array" ref="B703">A703</f>
        <v>1</v>
      </c>
      <c r="C703" s="10" t="s">
        <v>83</v>
      </c>
      <c r="D703" s="10" t="s">
        <v>84</v>
      </c>
      <c r="E703" s="10" t="s">
        <v>73</v>
      </c>
      <c r="F703" s="10" t="s">
        <v>74</v>
      </c>
      <c r="G703" s="10" t="s">
        <v>494</v>
      </c>
      <c r="H703" s="10" t="s">
        <v>73</v>
      </c>
      <c r="I703" s="10" t="s">
        <v>73</v>
      </c>
      <c r="J703" s="10" t="s">
        <v>73</v>
      </c>
      <c r="K703" s="12" t="s">
        <v>73</v>
      </c>
      <c r="L703" s="10" t="s">
        <v>452</v>
      </c>
      <c r="M703" s="5" t="str">
        <f t="array" ref="M703">Y458</f>
        <v>1ВО::1.1</v>
      </c>
      <c r="Y703" s="10">
        <f>COUNT($Y696:Y702)+1</f>
        <v>6</v>
      </c>
      <c r="AB703" s="403" t="str">
        <f>AB670&amp;"."&amp;Y703</f>
        <v>3.1.3.6</v>
      </c>
      <c r="AC703" s="414" t="s">
        <v>494</v>
      </c>
      <c r="AD703" s="32" t="s">
        <v>111</v>
      </c>
      <c r="AE703" s="95"/>
      <c r="AF703" s="178"/>
      <c r="AG703" s="178"/>
      <c r="AH703" s="96"/>
      <c r="AI703" s="187"/>
      <c r="AJ703" s="178"/>
      <c r="AK703" s="178"/>
      <c r="AL703" s="181"/>
      <c r="AM703" s="95"/>
      <c r="AN703" s="178"/>
      <c r="AO703" s="178"/>
      <c r="AP703" s="181"/>
      <c r="AQ703" s="95"/>
      <c r="AR703" s="178"/>
      <c r="AS703" s="178"/>
      <c r="AT703" s="181"/>
      <c r="AU703" s="95"/>
      <c r="AV703" s="178"/>
      <c r="AW703" s="178"/>
      <c r="AX703" s="181"/>
      <c r="AY703" s="95"/>
      <c r="AZ703" s="178"/>
      <c r="BA703" s="178"/>
      <c r="BB703" s="181"/>
      <c r="BC703" s="95"/>
      <c r="BD703" s="178"/>
      <c r="BE703" s="178"/>
      <c r="BF703" s="210"/>
      <c r="BG703" s="95"/>
      <c r="BH703" s="178"/>
      <c r="BI703" s="178"/>
      <c r="BJ703" s="181"/>
      <c r="BK703" s="95"/>
      <c r="BL703" s="178"/>
      <c r="BM703" s="178"/>
      <c r="BN703" s="181"/>
      <c r="BO703" s="95"/>
      <c r="BP703" s="178"/>
      <c r="BQ703" s="178"/>
      <c r="BR703" s="181"/>
      <c r="BS703" s="185"/>
      <c r="BT703" s="183"/>
      <c r="BU703" s="183"/>
      <c r="BV703" s="186"/>
      <c r="BY703" s="125">
        <f t="shared" si="268"/>
        <v>0</v>
      </c>
      <c r="BZ703" s="126">
        <f t="shared" si="269"/>
        <v>0</v>
      </c>
      <c r="CA703" s="126">
        <f t="shared" si="270"/>
        <v>0</v>
      </c>
      <c r="CB703" s="127">
        <f t="shared" si="271"/>
        <v>0</v>
      </c>
    </row>
    <row r="704" spans="1:81" ht="14.25" hidden="1" customHeight="1" outlineLevel="3" x14ac:dyDescent="0.25">
      <c r="A704" s="10" t="b">
        <f>REGULATION_METHODS="Метод индексации"</f>
        <v>1</v>
      </c>
      <c r="B704" s="5" t="b">
        <f t="array" ref="B704">A704</f>
        <v>1</v>
      </c>
      <c r="C704" s="10" t="s">
        <v>83</v>
      </c>
      <c r="D704" s="10" t="s">
        <v>84</v>
      </c>
      <c r="E704" s="10" t="s">
        <v>73</v>
      </c>
      <c r="F704" s="10" t="s">
        <v>74</v>
      </c>
      <c r="G704" s="10" t="s">
        <v>495</v>
      </c>
      <c r="H704" s="10" t="s">
        <v>73</v>
      </c>
      <c r="I704" s="10" t="s">
        <v>73</v>
      </c>
      <c r="J704" s="10" t="s">
        <v>73</v>
      </c>
      <c r="K704" s="12" t="s">
        <v>73</v>
      </c>
      <c r="L704" s="10" t="s">
        <v>452</v>
      </c>
      <c r="M704" s="5" t="str">
        <f t="array" ref="M704">Y458</f>
        <v>1ВО::1.1</v>
      </c>
      <c r="Y704" s="10">
        <f>COUNT($Y696:Y703)+1</f>
        <v>7</v>
      </c>
      <c r="AB704" s="403" t="str">
        <f>AB670&amp;"."&amp;Y704</f>
        <v>3.1.3.7</v>
      </c>
      <c r="AC704" s="414" t="s">
        <v>495</v>
      </c>
      <c r="AD704" s="32" t="s">
        <v>111</v>
      </c>
      <c r="AE704" s="95"/>
      <c r="AF704" s="178"/>
      <c r="AG704" s="178"/>
      <c r="AH704" s="96"/>
      <c r="AI704" s="187"/>
      <c r="AJ704" s="178"/>
      <c r="AK704" s="178"/>
      <c r="AL704" s="181"/>
      <c r="AM704" s="95"/>
      <c r="AN704" s="178"/>
      <c r="AO704" s="178"/>
      <c r="AP704" s="181"/>
      <c r="AQ704" s="95"/>
      <c r="AR704" s="178"/>
      <c r="AS704" s="178"/>
      <c r="AT704" s="181"/>
      <c r="AU704" s="95"/>
      <c r="AV704" s="178"/>
      <c r="AW704" s="178"/>
      <c r="AX704" s="181"/>
      <c r="AY704" s="95"/>
      <c r="AZ704" s="178"/>
      <c r="BA704" s="178"/>
      <c r="BB704" s="181"/>
      <c r="BC704" s="95"/>
      <c r="BD704" s="178"/>
      <c r="BE704" s="178"/>
      <c r="BF704" s="210"/>
      <c r="BG704" s="95"/>
      <c r="BH704" s="178"/>
      <c r="BI704" s="178"/>
      <c r="BJ704" s="181"/>
      <c r="BK704" s="95"/>
      <c r="BL704" s="178"/>
      <c r="BM704" s="178"/>
      <c r="BN704" s="181"/>
      <c r="BO704" s="95"/>
      <c r="BP704" s="178"/>
      <c r="BQ704" s="178"/>
      <c r="BR704" s="181"/>
      <c r="BS704" s="185"/>
      <c r="BT704" s="183"/>
      <c r="BU704" s="183"/>
      <c r="BV704" s="186"/>
      <c r="BY704" s="125">
        <f t="shared" si="268"/>
        <v>0</v>
      </c>
      <c r="BZ704" s="126">
        <f t="shared" si="269"/>
        <v>0</v>
      </c>
      <c r="CA704" s="126">
        <f t="shared" si="270"/>
        <v>0</v>
      </c>
      <c r="CB704" s="127">
        <f t="shared" si="271"/>
        <v>0</v>
      </c>
    </row>
    <row r="705" spans="1:81" ht="31.5" hidden="1" customHeight="1" outlineLevel="3" x14ac:dyDescent="0.25">
      <c r="A705" s="5" t="b">
        <f>REGULATION_METHODS&lt;&gt;"МЭОР"</f>
        <v>1</v>
      </c>
      <c r="C705" s="10" t="s">
        <v>83</v>
      </c>
      <c r="D705" s="10" t="s">
        <v>84</v>
      </c>
      <c r="E705" s="10" t="s">
        <v>73</v>
      </c>
      <c r="F705" s="10" t="s">
        <v>74</v>
      </c>
      <c r="G705" s="10" t="s">
        <v>496</v>
      </c>
      <c r="H705" s="10" t="s">
        <v>73</v>
      </c>
      <c r="I705" s="10" t="s">
        <v>73</v>
      </c>
      <c r="J705" s="10" t="s">
        <v>73</v>
      </c>
      <c r="K705" s="12" t="s">
        <v>73</v>
      </c>
      <c r="L705" s="10" t="s">
        <v>452</v>
      </c>
      <c r="M705" s="5" t="str">
        <f t="array" ref="M705">Y458</f>
        <v>1ВО::1.1</v>
      </c>
      <c r="Y705" s="10">
        <f>COUNT($Y696:Y704)+1</f>
        <v>8</v>
      </c>
      <c r="AB705" s="403" t="str">
        <f>AB670&amp;"."&amp;Y705</f>
        <v>3.1.3.8</v>
      </c>
      <c r="AC705" s="414" t="s">
        <v>496</v>
      </c>
      <c r="AD705" s="32" t="s">
        <v>111</v>
      </c>
      <c r="AE705" s="95"/>
      <c r="AF705" s="178"/>
      <c r="AG705" s="178"/>
      <c r="AH705" s="96"/>
      <c r="AI705" s="187"/>
      <c r="AJ705" s="178"/>
      <c r="AK705" s="178"/>
      <c r="AL705" s="181"/>
      <c r="AM705" s="95"/>
      <c r="AN705" s="178"/>
      <c r="AO705" s="178"/>
      <c r="AP705" s="181"/>
      <c r="AQ705" s="95"/>
      <c r="AR705" s="178"/>
      <c r="AS705" s="178"/>
      <c r="AT705" s="181"/>
      <c r="AU705" s="95"/>
      <c r="AV705" s="178"/>
      <c r="AW705" s="178"/>
      <c r="AX705" s="181"/>
      <c r="AY705" s="95"/>
      <c r="AZ705" s="178"/>
      <c r="BA705" s="178"/>
      <c r="BB705" s="181"/>
      <c r="BC705" s="95"/>
      <c r="BD705" s="178"/>
      <c r="BE705" s="178"/>
      <c r="BF705" s="210"/>
      <c r="BG705" s="95"/>
      <c r="BH705" s="178"/>
      <c r="BI705" s="178"/>
      <c r="BJ705" s="181"/>
      <c r="BK705" s="95"/>
      <c r="BL705" s="178"/>
      <c r="BM705" s="178"/>
      <c r="BN705" s="181"/>
      <c r="BO705" s="95"/>
      <c r="BP705" s="178"/>
      <c r="BQ705" s="178"/>
      <c r="BR705" s="181"/>
      <c r="BS705" s="185"/>
      <c r="BT705" s="183"/>
      <c r="BU705" s="183"/>
      <c r="BV705" s="186"/>
      <c r="BY705" s="125">
        <f t="shared" si="268"/>
        <v>0</v>
      </c>
      <c r="BZ705" s="126">
        <f t="shared" si="269"/>
        <v>0</v>
      </c>
      <c r="CA705" s="126">
        <f t="shared" si="270"/>
        <v>0</v>
      </c>
      <c r="CB705" s="127">
        <f t="shared" si="271"/>
        <v>0</v>
      </c>
    </row>
    <row r="706" spans="1:81" ht="14.25" hidden="1" customHeight="1" outlineLevel="3" x14ac:dyDescent="0.25">
      <c r="A706" s="10" t="b">
        <f>REGULATION_METHODS="Метод индексации"</f>
        <v>1</v>
      </c>
      <c r="B706" s="5" t="b">
        <f t="array" ref="B706">A706</f>
        <v>1</v>
      </c>
      <c r="C706" s="10" t="s">
        <v>83</v>
      </c>
      <c r="D706" s="10" t="s">
        <v>84</v>
      </c>
      <c r="E706" s="10" t="s">
        <v>73</v>
      </c>
      <c r="F706" s="10" t="s">
        <v>74</v>
      </c>
      <c r="G706" s="10" t="s">
        <v>645</v>
      </c>
      <c r="H706" s="10" t="s">
        <v>73</v>
      </c>
      <c r="I706" s="10" t="s">
        <v>73</v>
      </c>
      <c r="J706" s="10" t="s">
        <v>73</v>
      </c>
      <c r="K706" s="12" t="s">
        <v>73</v>
      </c>
      <c r="L706" s="10" t="s">
        <v>452</v>
      </c>
      <c r="M706" s="5" t="str">
        <f t="array" ref="M706">Y458</f>
        <v>1ВО::1.1</v>
      </c>
      <c r="Y706" s="10">
        <f>COUNT($Y696:Y705)+1</f>
        <v>9</v>
      </c>
      <c r="AB706" s="403" t="str">
        <f>AB670&amp;"."&amp;Y706</f>
        <v>3.1.3.9</v>
      </c>
      <c r="AC706" s="414" t="s">
        <v>646</v>
      </c>
      <c r="AD706" s="32" t="s">
        <v>111</v>
      </c>
      <c r="AE706" s="72"/>
      <c r="AF706" s="73"/>
      <c r="AG706" s="73"/>
      <c r="AH706" s="74"/>
      <c r="AI706" s="179"/>
      <c r="AJ706" s="73"/>
      <c r="AK706" s="73"/>
      <c r="AL706" s="138"/>
      <c r="AM706" s="72"/>
      <c r="AN706" s="73"/>
      <c r="AO706" s="73"/>
      <c r="AP706" s="138"/>
      <c r="AQ706" s="72"/>
      <c r="AR706" s="73"/>
      <c r="AS706" s="73"/>
      <c r="AT706" s="138"/>
      <c r="AU706" s="72"/>
      <c r="AV706" s="73"/>
      <c r="AW706" s="73"/>
      <c r="AX706" s="138"/>
      <c r="AY706" s="72"/>
      <c r="AZ706" s="73"/>
      <c r="BA706" s="73"/>
      <c r="BB706" s="138"/>
      <c r="BC706" s="72"/>
      <c r="BD706" s="73"/>
      <c r="BE706" s="73"/>
      <c r="BF706" s="774"/>
      <c r="BG706" s="72"/>
      <c r="BH706" s="73"/>
      <c r="BI706" s="73"/>
      <c r="BJ706" s="138"/>
      <c r="BK706" s="72"/>
      <c r="BL706" s="73"/>
      <c r="BM706" s="73"/>
      <c r="BN706" s="138"/>
      <c r="BO706" s="72"/>
      <c r="BP706" s="73"/>
      <c r="BQ706" s="73"/>
      <c r="BR706" s="138"/>
      <c r="BS706" s="142"/>
      <c r="BT706" s="140"/>
      <c r="BU706" s="140"/>
      <c r="BV706" s="143"/>
      <c r="BY706" s="125">
        <f t="shared" si="268"/>
        <v>0</v>
      </c>
      <c r="BZ706" s="126">
        <f t="shared" si="269"/>
        <v>0</v>
      </c>
      <c r="CA706" s="126">
        <f t="shared" si="270"/>
        <v>0</v>
      </c>
      <c r="CB706" s="127">
        <f t="shared" si="271"/>
        <v>0</v>
      </c>
    </row>
    <row r="707" spans="1:81" ht="14.25" hidden="1" customHeight="1" outlineLevel="4" x14ac:dyDescent="0.25">
      <c r="A707" s="10" t="b">
        <f t="array" ref="A707">A706</f>
        <v>1</v>
      </c>
      <c r="B707" s="5" t="b">
        <f t="array" ref="B707">A707</f>
        <v>1</v>
      </c>
      <c r="C707" s="10" t="s">
        <v>83</v>
      </c>
      <c r="D707" s="10" t="s">
        <v>84</v>
      </c>
      <c r="E707" s="10" t="s">
        <v>73</v>
      </c>
      <c r="F707" s="10" t="s">
        <v>74</v>
      </c>
      <c r="G707" s="10" t="s">
        <v>647</v>
      </c>
      <c r="H707" s="10" t="s">
        <v>73</v>
      </c>
      <c r="I707" s="10" t="s">
        <v>73</v>
      </c>
      <c r="J707" s="10" t="s">
        <v>73</v>
      </c>
      <c r="K707" s="12" t="s">
        <v>73</v>
      </c>
      <c r="L707" s="10" t="s">
        <v>452</v>
      </c>
      <c r="M707" s="5" t="str">
        <f t="array" ref="M707">Y458</f>
        <v>1ВО::1.1</v>
      </c>
      <c r="AB707" s="403" t="str">
        <f>AB706&amp;".1"</f>
        <v>3.1.3.9.1</v>
      </c>
      <c r="AC707" s="426" t="s">
        <v>648</v>
      </c>
      <c r="AD707" s="32" t="s">
        <v>111</v>
      </c>
      <c r="AE707" s="95"/>
      <c r="AF707" s="178"/>
      <c r="AG707" s="178"/>
      <c r="AH707" s="96"/>
      <c r="AI707" s="187"/>
      <c r="AJ707" s="178"/>
      <c r="AK707" s="178"/>
      <c r="AL707" s="181"/>
      <c r="AM707" s="95"/>
      <c r="AN707" s="178"/>
      <c r="AO707" s="178"/>
      <c r="AP707" s="181"/>
      <c r="AQ707" s="95"/>
      <c r="AR707" s="178"/>
      <c r="AS707" s="178"/>
      <c r="AT707" s="181"/>
      <c r="AU707" s="95"/>
      <c r="AV707" s="178"/>
      <c r="AW707" s="178"/>
      <c r="AX707" s="181"/>
      <c r="AY707" s="95"/>
      <c r="AZ707" s="178"/>
      <c r="BA707" s="178"/>
      <c r="BB707" s="181"/>
      <c r="BC707" s="95"/>
      <c r="BD707" s="178"/>
      <c r="BE707" s="178"/>
      <c r="BF707" s="210"/>
      <c r="BG707" s="95"/>
      <c r="BH707" s="178"/>
      <c r="BI707" s="178"/>
      <c r="BJ707" s="181"/>
      <c r="BK707" s="95"/>
      <c r="BL707" s="178"/>
      <c r="BM707" s="178"/>
      <c r="BN707" s="181"/>
      <c r="BO707" s="95"/>
      <c r="BP707" s="178"/>
      <c r="BQ707" s="178"/>
      <c r="BR707" s="181"/>
      <c r="BS707" s="185"/>
      <c r="BT707" s="183"/>
      <c r="BU707" s="183"/>
      <c r="BV707" s="186"/>
      <c r="BY707" s="125">
        <f t="shared" si="268"/>
        <v>0</v>
      </c>
      <c r="BZ707" s="126">
        <f t="shared" si="269"/>
        <v>0</v>
      </c>
      <c r="CA707" s="126">
        <f t="shared" si="270"/>
        <v>0</v>
      </c>
      <c r="CB707" s="127">
        <f t="shared" si="271"/>
        <v>0</v>
      </c>
    </row>
    <row r="708" spans="1:81" ht="14.25" hidden="1" customHeight="1" outlineLevel="4" x14ac:dyDescent="0.25">
      <c r="A708" s="10" t="b">
        <f t="array" ref="A708">A706</f>
        <v>1</v>
      </c>
      <c r="B708" s="5" t="b">
        <f t="array" ref="B708">A708</f>
        <v>1</v>
      </c>
      <c r="C708" s="10" t="s">
        <v>83</v>
      </c>
      <c r="D708" s="10" t="s">
        <v>84</v>
      </c>
      <c r="E708" s="10" t="s">
        <v>73</v>
      </c>
      <c r="F708" s="10" t="s">
        <v>74</v>
      </c>
      <c r="G708" s="10" t="s">
        <v>649</v>
      </c>
      <c r="H708" s="10" t="s">
        <v>73</v>
      </c>
      <c r="I708" s="10" t="s">
        <v>73</v>
      </c>
      <c r="J708" s="10" t="s">
        <v>73</v>
      </c>
      <c r="K708" s="12" t="s">
        <v>73</v>
      </c>
      <c r="L708" s="10" t="s">
        <v>452</v>
      </c>
      <c r="M708" s="5" t="str">
        <f t="array" ref="M708">Y458</f>
        <v>1ВО::1.1</v>
      </c>
      <c r="AB708" s="403" t="str">
        <f>AB706&amp;".2"</f>
        <v>3.1.3.9.2</v>
      </c>
      <c r="AC708" s="426" t="s">
        <v>650</v>
      </c>
      <c r="AD708" s="32" t="s">
        <v>111</v>
      </c>
      <c r="AE708" s="95"/>
      <c r="AF708" s="178"/>
      <c r="AG708" s="178"/>
      <c r="AH708" s="96"/>
      <c r="AI708" s="187"/>
      <c r="AJ708" s="178"/>
      <c r="AK708" s="178"/>
      <c r="AL708" s="181"/>
      <c r="AM708" s="95"/>
      <c r="AN708" s="178"/>
      <c r="AO708" s="178"/>
      <c r="AP708" s="181"/>
      <c r="AQ708" s="95"/>
      <c r="AR708" s="178"/>
      <c r="AS708" s="178"/>
      <c r="AT708" s="181"/>
      <c r="AU708" s="95"/>
      <c r="AV708" s="178"/>
      <c r="AW708" s="178"/>
      <c r="AX708" s="181"/>
      <c r="AY708" s="95"/>
      <c r="AZ708" s="178"/>
      <c r="BA708" s="178"/>
      <c r="BB708" s="181"/>
      <c r="BC708" s="95"/>
      <c r="BD708" s="178"/>
      <c r="BE708" s="178"/>
      <c r="BF708" s="210"/>
      <c r="BG708" s="95"/>
      <c r="BH708" s="178"/>
      <c r="BI708" s="178"/>
      <c r="BJ708" s="181"/>
      <c r="BK708" s="95"/>
      <c r="BL708" s="178"/>
      <c r="BM708" s="178"/>
      <c r="BN708" s="181"/>
      <c r="BO708" s="95"/>
      <c r="BP708" s="178"/>
      <c r="BQ708" s="178"/>
      <c r="BR708" s="181"/>
      <c r="BS708" s="185"/>
      <c r="BT708" s="183"/>
      <c r="BU708" s="183"/>
      <c r="BV708" s="186"/>
      <c r="BY708" s="125">
        <f t="shared" si="268"/>
        <v>0</v>
      </c>
      <c r="BZ708" s="126">
        <f t="shared" si="269"/>
        <v>0</v>
      </c>
      <c r="CA708" s="126">
        <f t="shared" si="270"/>
        <v>0</v>
      </c>
      <c r="CB708" s="127">
        <f t="shared" si="271"/>
        <v>0</v>
      </c>
    </row>
    <row r="709" spans="1:81" ht="43.9" hidden="1" customHeight="1" outlineLevel="3" collapsed="1" x14ac:dyDescent="0.25">
      <c r="A709" s="10" t="b">
        <f>REGULATION_METHODS="Метод индексации"</f>
        <v>1</v>
      </c>
      <c r="B709" s="5" t="b">
        <f t="array" ref="B709">A709</f>
        <v>1</v>
      </c>
      <c r="C709" s="10" t="s">
        <v>83</v>
      </c>
      <c r="D709" s="10" t="s">
        <v>84</v>
      </c>
      <c r="E709" s="10" t="s">
        <v>73</v>
      </c>
      <c r="F709" s="10" t="s">
        <v>74</v>
      </c>
      <c r="G709" s="10" t="s">
        <v>651</v>
      </c>
      <c r="H709" s="10" t="s">
        <v>73</v>
      </c>
      <c r="I709" s="10" t="s">
        <v>73</v>
      </c>
      <c r="J709" s="10" t="s">
        <v>73</v>
      </c>
      <c r="K709" s="12" t="s">
        <v>73</v>
      </c>
      <c r="L709" s="10" t="s">
        <v>452</v>
      </c>
      <c r="M709" s="5" t="str">
        <f t="array" ref="M709">Y458</f>
        <v>1ВО::1.1</v>
      </c>
      <c r="Y709" s="10">
        <f>COUNT($Y696:Y708)+1</f>
        <v>10</v>
      </c>
      <c r="AB709" s="403" t="str">
        <f>AB670&amp;"."&amp;Y709</f>
        <v>3.1.3.10</v>
      </c>
      <c r="AC709" s="414" t="s">
        <v>651</v>
      </c>
      <c r="AD709" s="32" t="s">
        <v>111</v>
      </c>
      <c r="AE709" s="95"/>
      <c r="AF709" s="178"/>
      <c r="AG709" s="178"/>
      <c r="AH709" s="96"/>
      <c r="AI709" s="187"/>
      <c r="AJ709" s="178"/>
      <c r="AK709" s="178"/>
      <c r="AL709" s="181"/>
      <c r="AM709" s="95"/>
      <c r="AN709" s="178"/>
      <c r="AO709" s="178"/>
      <c r="AP709" s="181"/>
      <c r="AQ709" s="95"/>
      <c r="AR709" s="178"/>
      <c r="AS709" s="178"/>
      <c r="AT709" s="181"/>
      <c r="AU709" s="95"/>
      <c r="AV709" s="178"/>
      <c r="AW709" s="178"/>
      <c r="AX709" s="181"/>
      <c r="AY709" s="95"/>
      <c r="AZ709" s="178"/>
      <c r="BA709" s="178"/>
      <c r="BB709" s="181"/>
      <c r="BC709" s="95"/>
      <c r="BD709" s="178"/>
      <c r="BE709" s="178"/>
      <c r="BF709" s="210"/>
      <c r="BG709" s="95"/>
      <c r="BH709" s="178"/>
      <c r="BI709" s="178"/>
      <c r="BJ709" s="181"/>
      <c r="BK709" s="95"/>
      <c r="BL709" s="178"/>
      <c r="BM709" s="178"/>
      <c r="BN709" s="181"/>
      <c r="BO709" s="95"/>
      <c r="BP709" s="178"/>
      <c r="BQ709" s="178"/>
      <c r="BR709" s="181"/>
      <c r="BS709" s="185"/>
      <c r="BT709" s="183"/>
      <c r="BU709" s="183"/>
      <c r="BV709" s="186"/>
      <c r="BY709" s="125">
        <f t="shared" si="268"/>
        <v>0</v>
      </c>
      <c r="BZ709" s="126">
        <f t="shared" si="269"/>
        <v>0</v>
      </c>
      <c r="CA709" s="126">
        <f t="shared" si="270"/>
        <v>0</v>
      </c>
      <c r="CB709" s="127">
        <f t="shared" si="271"/>
        <v>0</v>
      </c>
    </row>
    <row r="710" spans="1:81" ht="16.5" hidden="1" customHeight="1" outlineLevel="3" x14ac:dyDescent="0.25">
      <c r="A710" s="10" t="b">
        <f>$AD$50="да"</f>
        <v>1</v>
      </c>
      <c r="B710" s="5" t="b">
        <f t="array" ref="B710">A710</f>
        <v>1</v>
      </c>
      <c r="C710" s="10" t="s">
        <v>83</v>
      </c>
      <c r="D710" s="10" t="s">
        <v>84</v>
      </c>
      <c r="E710" s="10" t="s">
        <v>73</v>
      </c>
      <c r="F710" s="10" t="s">
        <v>74</v>
      </c>
      <c r="G710" s="10" t="s">
        <v>652</v>
      </c>
      <c r="H710" s="10" t="s">
        <v>73</v>
      </c>
      <c r="I710" s="10" t="s">
        <v>73</v>
      </c>
      <c r="J710" s="10" t="s">
        <v>73</v>
      </c>
      <c r="K710" s="12" t="s">
        <v>73</v>
      </c>
      <c r="L710" s="10" t="s">
        <v>452</v>
      </c>
      <c r="M710" s="5" t="str">
        <f t="array" ref="M710">Y458</f>
        <v>1ВО::1.1</v>
      </c>
      <c r="Y710" s="10">
        <f>COUNT($Y696:Y709)+1</f>
        <v>11</v>
      </c>
      <c r="AB710" s="403" t="str">
        <f>AB670&amp;"."&amp;Y710</f>
        <v>3.1.3.11</v>
      </c>
      <c r="AC710" s="414" t="s">
        <v>653</v>
      </c>
      <c r="AD710" s="32" t="s">
        <v>111</v>
      </c>
      <c r="AE710" s="72"/>
      <c r="AF710" s="178"/>
      <c r="AG710" s="73"/>
      <c r="AH710" s="74"/>
      <c r="AI710" s="179"/>
      <c r="AJ710" s="178"/>
      <c r="AK710" s="73"/>
      <c r="AL710" s="138"/>
      <c r="AM710" s="72"/>
      <c r="AN710" s="178"/>
      <c r="AO710" s="73"/>
      <c r="AP710" s="138"/>
      <c r="AQ710" s="72"/>
      <c r="AR710" s="178"/>
      <c r="AS710" s="73"/>
      <c r="AT710" s="138"/>
      <c r="AU710" s="72"/>
      <c r="AV710" s="178"/>
      <c r="AW710" s="73"/>
      <c r="AX710" s="138"/>
      <c r="AY710" s="72"/>
      <c r="AZ710" s="178"/>
      <c r="BA710" s="73"/>
      <c r="BB710" s="138"/>
      <c r="BC710" s="72"/>
      <c r="BD710" s="178"/>
      <c r="BE710" s="73"/>
      <c r="BF710" s="774"/>
      <c r="BG710" s="72"/>
      <c r="BH710" s="178"/>
      <c r="BI710" s="73"/>
      <c r="BJ710" s="138"/>
      <c r="BK710" s="72"/>
      <c r="BL710" s="178"/>
      <c r="BM710" s="73"/>
      <c r="BN710" s="138"/>
      <c r="BO710" s="72"/>
      <c r="BP710" s="178"/>
      <c r="BQ710" s="73"/>
      <c r="BR710" s="138"/>
      <c r="BS710" s="142"/>
      <c r="BT710" s="183"/>
      <c r="BU710" s="140"/>
      <c r="BV710" s="143"/>
      <c r="BY710" s="125">
        <f t="shared" si="268"/>
        <v>0</v>
      </c>
      <c r="BZ710" s="126">
        <f t="shared" si="269"/>
        <v>0</v>
      </c>
      <c r="CA710" s="126">
        <f t="shared" si="270"/>
        <v>0</v>
      </c>
      <c r="CB710" s="127">
        <f t="shared" si="271"/>
        <v>0</v>
      </c>
    </row>
    <row r="711" spans="1:81" ht="16.5" hidden="1" customHeight="1" outlineLevel="3" x14ac:dyDescent="0.25">
      <c r="A711" s="10" t="b">
        <f>$AD$49="да"</f>
        <v>1</v>
      </c>
      <c r="B711" s="5" t="b">
        <f t="array" ref="B711">A711</f>
        <v>1</v>
      </c>
      <c r="C711" s="10" t="s">
        <v>83</v>
      </c>
      <c r="D711" s="10" t="s">
        <v>84</v>
      </c>
      <c r="E711" s="10" t="s">
        <v>73</v>
      </c>
      <c r="F711" s="10" t="s">
        <v>74</v>
      </c>
      <c r="G711" s="10" t="s">
        <v>654</v>
      </c>
      <c r="H711" s="10" t="s">
        <v>73</v>
      </c>
      <c r="I711" s="10" t="s">
        <v>73</v>
      </c>
      <c r="J711" s="10" t="s">
        <v>73</v>
      </c>
      <c r="K711" s="12" t="s">
        <v>73</v>
      </c>
      <c r="L711" s="10" t="s">
        <v>452</v>
      </c>
      <c r="M711" s="5" t="str">
        <f t="array" ref="M711">Y458</f>
        <v>1ВО::1.1</v>
      </c>
      <c r="Y711" s="10">
        <f>COUNT($Y696:Y710)+1</f>
        <v>12</v>
      </c>
      <c r="AB711" s="403" t="str">
        <f>AB670&amp;"."&amp;Y711</f>
        <v>3.1.3.12</v>
      </c>
      <c r="AC711" s="414" t="s">
        <v>655</v>
      </c>
      <c r="AD711" s="32" t="s">
        <v>111</v>
      </c>
      <c r="AE711" s="72"/>
      <c r="AF711" s="178"/>
      <c r="AG711" s="73"/>
      <c r="AH711" s="74"/>
      <c r="AI711" s="179"/>
      <c r="AJ711" s="178"/>
      <c r="AK711" s="73"/>
      <c r="AL711" s="138"/>
      <c r="AM711" s="72"/>
      <c r="AN711" s="178"/>
      <c r="AO711" s="73"/>
      <c r="AP711" s="138"/>
      <c r="AQ711" s="72"/>
      <c r="AR711" s="178"/>
      <c r="AS711" s="73"/>
      <c r="AT711" s="138"/>
      <c r="AU711" s="72"/>
      <c r="AV711" s="178"/>
      <c r="AW711" s="73"/>
      <c r="AX711" s="138"/>
      <c r="AY711" s="72"/>
      <c r="AZ711" s="178"/>
      <c r="BA711" s="73"/>
      <c r="BB711" s="138"/>
      <c r="BC711" s="72"/>
      <c r="BD711" s="178"/>
      <c r="BE711" s="73"/>
      <c r="BF711" s="774"/>
      <c r="BG711" s="72"/>
      <c r="BH711" s="178"/>
      <c r="BI711" s="73"/>
      <c r="BJ711" s="138"/>
      <c r="BK711" s="72"/>
      <c r="BL711" s="178"/>
      <c r="BM711" s="73"/>
      <c r="BN711" s="138"/>
      <c r="BO711" s="72"/>
      <c r="BP711" s="178"/>
      <c r="BQ711" s="73"/>
      <c r="BR711" s="138"/>
      <c r="BS711" s="142"/>
      <c r="BT711" s="183"/>
      <c r="BU711" s="140"/>
      <c r="BV711" s="143"/>
      <c r="BY711" s="125">
        <f t="shared" si="268"/>
        <v>0</v>
      </c>
      <c r="BZ711" s="126">
        <f t="shared" si="269"/>
        <v>0</v>
      </c>
      <c r="CA711" s="126">
        <f t="shared" si="270"/>
        <v>0</v>
      </c>
      <c r="CB711" s="127">
        <f t="shared" si="271"/>
        <v>0</v>
      </c>
    </row>
    <row r="712" spans="1:81" ht="16.5" hidden="1" customHeight="1" outlineLevel="3" x14ac:dyDescent="0.25">
      <c r="A712" s="10" t="b">
        <f>$AD$48="да"</f>
        <v>1</v>
      </c>
      <c r="B712" s="5" t="b">
        <f t="array" ref="B712">A712</f>
        <v>1</v>
      </c>
      <c r="C712" s="10" t="s">
        <v>83</v>
      </c>
      <c r="D712" s="10" t="s">
        <v>84</v>
      </c>
      <c r="E712" s="10" t="s">
        <v>73</v>
      </c>
      <c r="F712" s="10" t="s">
        <v>74</v>
      </c>
      <c r="G712" s="10" t="s">
        <v>656</v>
      </c>
      <c r="H712" s="10" t="s">
        <v>73</v>
      </c>
      <c r="I712" s="10" t="s">
        <v>73</v>
      </c>
      <c r="J712" s="10" t="s">
        <v>73</v>
      </c>
      <c r="K712" s="12" t="s">
        <v>73</v>
      </c>
      <c r="L712" s="10" t="s">
        <v>452</v>
      </c>
      <c r="M712" s="5" t="str">
        <f t="array" ref="M712">Y458</f>
        <v>1ВО::1.1</v>
      </c>
      <c r="Y712" s="10">
        <f>COUNT($Y696:Y711)+1</f>
        <v>13</v>
      </c>
      <c r="AB712" s="403" t="str">
        <f>AB670&amp;"."&amp;Y712</f>
        <v>3.1.3.13</v>
      </c>
      <c r="AC712" s="414" t="s">
        <v>657</v>
      </c>
      <c r="AD712" s="32" t="s">
        <v>111</v>
      </c>
      <c r="AE712" s="72"/>
      <c r="AF712" s="178"/>
      <c r="AG712" s="73"/>
      <c r="AH712" s="74"/>
      <c r="AI712" s="179"/>
      <c r="AJ712" s="178"/>
      <c r="AK712" s="73"/>
      <c r="AL712" s="138"/>
      <c r="AM712" s="72"/>
      <c r="AN712" s="178"/>
      <c r="AO712" s="73"/>
      <c r="AP712" s="138"/>
      <c r="AQ712" s="72"/>
      <c r="AR712" s="178"/>
      <c r="AS712" s="73"/>
      <c r="AT712" s="138"/>
      <c r="AU712" s="72"/>
      <c r="AV712" s="178"/>
      <c r="AW712" s="73"/>
      <c r="AX712" s="138"/>
      <c r="AY712" s="72"/>
      <c r="AZ712" s="178"/>
      <c r="BA712" s="73"/>
      <c r="BB712" s="138"/>
      <c r="BC712" s="72"/>
      <c r="BD712" s="178"/>
      <c r="BE712" s="73"/>
      <c r="BF712" s="774"/>
      <c r="BG712" s="72"/>
      <c r="BH712" s="178"/>
      <c r="BI712" s="73"/>
      <c r="BJ712" s="138"/>
      <c r="BK712" s="72"/>
      <c r="BL712" s="178"/>
      <c r="BM712" s="73"/>
      <c r="BN712" s="138"/>
      <c r="BO712" s="72"/>
      <c r="BP712" s="178"/>
      <c r="BQ712" s="73"/>
      <c r="BR712" s="138"/>
      <c r="BS712" s="142"/>
      <c r="BT712" s="183"/>
      <c r="BU712" s="140"/>
      <c r="BV712" s="143"/>
      <c r="BY712" s="125">
        <f t="shared" si="268"/>
        <v>0</v>
      </c>
      <c r="BZ712" s="126">
        <f t="shared" si="269"/>
        <v>0</v>
      </c>
      <c r="CA712" s="126">
        <f t="shared" si="270"/>
        <v>0</v>
      </c>
      <c r="CB712" s="127">
        <f t="shared" si="271"/>
        <v>0</v>
      </c>
    </row>
    <row r="713" spans="1:81" ht="16.5" hidden="1" customHeight="1" outlineLevel="3" x14ac:dyDescent="0.25">
      <c r="C713" s="10" t="s">
        <v>83</v>
      </c>
      <c r="D713" s="10" t="s">
        <v>84</v>
      </c>
      <c r="E713" s="10" t="s">
        <v>73</v>
      </c>
      <c r="F713" s="10" t="s">
        <v>74</v>
      </c>
      <c r="G713" s="10" t="s">
        <v>658</v>
      </c>
      <c r="H713" s="10" t="s">
        <v>73</v>
      </c>
      <c r="I713" s="10" t="s">
        <v>73</v>
      </c>
      <c r="J713" s="10" t="s">
        <v>73</v>
      </c>
      <c r="K713" s="12" t="s">
        <v>73</v>
      </c>
      <c r="L713" s="10" t="s">
        <v>452</v>
      </c>
      <c r="M713" s="5" t="str">
        <f t="array" ref="M713">Y458</f>
        <v>1ВО::1.1</v>
      </c>
      <c r="Y713" s="10">
        <f>COUNT($Y696:Y712)+1</f>
        <v>14</v>
      </c>
      <c r="AB713" s="403" t="str">
        <f>AB670&amp;"."&amp;Y713</f>
        <v>3.1.3.14</v>
      </c>
      <c r="AC713" s="414" t="s">
        <v>658</v>
      </c>
      <c r="AD713" s="32" t="s">
        <v>111</v>
      </c>
      <c r="AE713" s="72"/>
      <c r="AF713" s="178"/>
      <c r="AG713" s="73"/>
      <c r="AH713" s="74"/>
      <c r="AI713" s="179"/>
      <c r="AJ713" s="178"/>
      <c r="AK713" s="73"/>
      <c r="AL713" s="138"/>
      <c r="AM713" s="72"/>
      <c r="AN713" s="178"/>
      <c r="AO713" s="73"/>
      <c r="AP713" s="138"/>
      <c r="AQ713" s="72"/>
      <c r="AR713" s="178"/>
      <c r="AS713" s="73"/>
      <c r="AT713" s="138"/>
      <c r="AU713" s="72"/>
      <c r="AV713" s="178"/>
      <c r="AW713" s="73"/>
      <c r="AX713" s="138"/>
      <c r="AY713" s="72"/>
      <c r="AZ713" s="178"/>
      <c r="BA713" s="73"/>
      <c r="BB713" s="138"/>
      <c r="BC713" s="72"/>
      <c r="BD713" s="178"/>
      <c r="BE713" s="73"/>
      <c r="BF713" s="774"/>
      <c r="BG713" s="72"/>
      <c r="BH713" s="178"/>
      <c r="BI713" s="73"/>
      <c r="BJ713" s="138"/>
      <c r="BK713" s="72"/>
      <c r="BL713" s="178"/>
      <c r="BM713" s="73"/>
      <c r="BN713" s="138"/>
      <c r="BO713" s="72"/>
      <c r="BP713" s="178"/>
      <c r="BQ713" s="73"/>
      <c r="BR713" s="138"/>
      <c r="BS713" s="142"/>
      <c r="BT713" s="183"/>
      <c r="BU713" s="140"/>
      <c r="BV713" s="143"/>
      <c r="BY713" s="125">
        <f t="shared" si="268"/>
        <v>0</v>
      </c>
      <c r="BZ713" s="126">
        <f t="shared" si="269"/>
        <v>0</v>
      </c>
      <c r="CA713" s="126">
        <f t="shared" si="270"/>
        <v>0</v>
      </c>
      <c r="CB713" s="127">
        <f t="shared" si="271"/>
        <v>0</v>
      </c>
    </row>
    <row r="714" spans="1:81" s="171" customFormat="1" ht="32.25" customHeight="1" outlineLevel="1" x14ac:dyDescent="0.25">
      <c r="A714" s="166"/>
      <c r="B714" s="166"/>
      <c r="C714" s="167" t="s">
        <v>83</v>
      </c>
      <c r="D714" s="167" t="s">
        <v>84</v>
      </c>
      <c r="E714" s="167" t="s">
        <v>73</v>
      </c>
      <c r="F714" s="167" t="s">
        <v>74</v>
      </c>
      <c r="G714" s="167" t="s">
        <v>497</v>
      </c>
      <c r="H714" s="167" t="s">
        <v>73</v>
      </c>
      <c r="I714" s="167" t="s">
        <v>73</v>
      </c>
      <c r="J714" s="167" t="s">
        <v>73</v>
      </c>
      <c r="K714" s="168" t="s">
        <v>73</v>
      </c>
      <c r="L714" s="167" t="s">
        <v>133</v>
      </c>
      <c r="M714" s="166" t="str">
        <f t="array" ref="M714">Y458</f>
        <v>1ВО::1.1</v>
      </c>
      <c r="N714" s="166"/>
      <c r="O714" s="166"/>
      <c r="P714" s="166"/>
      <c r="Q714" s="166"/>
      <c r="R714" s="166"/>
      <c r="S714" s="166"/>
      <c r="T714" s="166"/>
      <c r="U714" s="166"/>
      <c r="V714" s="166"/>
      <c r="W714" s="166"/>
      <c r="X714" s="166"/>
      <c r="Y714" s="166"/>
      <c r="Z714" s="166"/>
      <c r="AA714" s="166"/>
      <c r="AB714" s="429" t="str">
        <f>AB507&amp;".2"</f>
        <v>3.2</v>
      </c>
      <c r="AC714" s="1036" t="s">
        <v>497</v>
      </c>
      <c r="AD714" s="431" t="s">
        <v>111</v>
      </c>
      <c r="AE714" s="476">
        <f>AE715+AE717+AE718+AE719+AE720</f>
        <v>239952.02</v>
      </c>
      <c r="AF714" s="489">
        <v>12519.58</v>
      </c>
      <c r="AG714" s="433">
        <f>AG715+AG717+AG718+AG719+AG720</f>
        <v>216997.6</v>
      </c>
      <c r="AH714" s="490">
        <f>AH715</f>
        <v>167226.57999999999</v>
      </c>
      <c r="AI714" s="475">
        <f>AI715+AI717+AI718+AI719+AI720</f>
        <v>21059.46</v>
      </c>
      <c r="AJ714" s="433">
        <f>AJ715+AJ717+AJ718+AJ719+AJ720</f>
        <v>0</v>
      </c>
      <c r="AK714" s="433">
        <f>AK715+AK717+AK718+AK719+AK720</f>
        <v>11149.73</v>
      </c>
      <c r="AL714" s="477">
        <v>0</v>
      </c>
      <c r="AM714" s="476"/>
      <c r="AN714" s="489"/>
      <c r="AO714" s="433"/>
      <c r="AP714" s="477"/>
      <c r="AQ714" s="476">
        <f>AQ715+AQ717+AQ718+AQ719+AQ720</f>
        <v>350</v>
      </c>
      <c r="AR714" s="433">
        <f>AR715+AR717+AR718+AR719+AR720</f>
        <v>0</v>
      </c>
      <c r="AS714" s="433">
        <f>AS715+AS717+AS718+AS719+AS720</f>
        <v>384.34</v>
      </c>
      <c r="AT714" s="477">
        <v>0</v>
      </c>
      <c r="AU714" s="476">
        <f t="shared" ref="AU714:BA714" si="272">AU715+AU717+AU718+AU719+AU720</f>
        <v>206.21</v>
      </c>
      <c r="AV714" s="433">
        <f t="shared" si="272"/>
        <v>1.48</v>
      </c>
      <c r="AW714" s="433">
        <f t="shared" si="272"/>
        <v>216.51</v>
      </c>
      <c r="AX714" s="477">
        <f t="shared" si="272"/>
        <v>0</v>
      </c>
      <c r="AY714" s="476">
        <f t="shared" si="272"/>
        <v>54.23</v>
      </c>
      <c r="AZ714" s="433">
        <f t="shared" si="272"/>
        <v>0</v>
      </c>
      <c r="BA714" s="433">
        <f t="shared" si="272"/>
        <v>35.229999999999997</v>
      </c>
      <c r="BB714" s="477">
        <v>0</v>
      </c>
      <c r="BC714" s="476">
        <v>168.9</v>
      </c>
      <c r="BD714" s="433">
        <f>BD715+BD717+BD718+BD719+BD720</f>
        <v>0</v>
      </c>
      <c r="BE714" s="433">
        <v>145.83000000000001</v>
      </c>
      <c r="BF714" s="983">
        <f>BF715</f>
        <v>0</v>
      </c>
      <c r="BG714" s="476">
        <v>16485.84</v>
      </c>
      <c r="BH714" s="433">
        <f>BH715+BH717+BH718+BH719+BH720</f>
        <v>0</v>
      </c>
      <c r="BI714" s="433">
        <v>15090.433999999999</v>
      </c>
      <c r="BJ714" s="477">
        <f>BJ715</f>
        <v>13977</v>
      </c>
      <c r="BK714" s="476">
        <f>BK715+BK717+BK718+BK719+BK720</f>
        <v>46897.56</v>
      </c>
      <c r="BL714" s="433">
        <f>BL715+BL717+BL718+BL719+BL720</f>
        <v>0</v>
      </c>
      <c r="BM714" s="433">
        <f>BM715+BM717+BM718+BM719+BM720</f>
        <v>49625.97</v>
      </c>
      <c r="BN714" s="477">
        <v>0</v>
      </c>
      <c r="BO714" s="476">
        <f>BO715+BO717+BO718+BO719+BO720</f>
        <v>0</v>
      </c>
      <c r="BP714" s="433">
        <f>BP715+BP717+BP718+BP719+BP720</f>
        <v>0</v>
      </c>
      <c r="BQ714" s="433">
        <f>BQ715+BQ717+BQ718+BQ719+BQ720</f>
        <v>0</v>
      </c>
      <c r="BR714" s="477"/>
      <c r="BS714" s="476">
        <f>BS715+BS717+BS718+BS719+BS720</f>
        <v>15733.37</v>
      </c>
      <c r="BT714" s="433">
        <f>BT715+BT717+BT718+BT719+BT720</f>
        <v>0</v>
      </c>
      <c r="BU714" s="433">
        <f>BU715+BU717+BU718+BU719+BU720</f>
        <v>15733.37</v>
      </c>
      <c r="BV714" s="490">
        <v>0</v>
      </c>
      <c r="BW714" s="170"/>
      <c r="BX714" s="166"/>
      <c r="BY714" s="436">
        <f t="shared" si="268"/>
        <v>340907.58999999997</v>
      </c>
      <c r="BZ714" s="437">
        <f t="shared" si="269"/>
        <v>12521.06</v>
      </c>
      <c r="CA714" s="437">
        <f t="shared" si="270"/>
        <v>309379.01400000002</v>
      </c>
      <c r="CB714" s="438">
        <f t="shared" si="271"/>
        <v>181203.58</v>
      </c>
      <c r="CC714" s="760"/>
    </row>
    <row r="715" spans="1:81" ht="18.75" customHeight="1" outlineLevel="2" x14ac:dyDescent="0.25">
      <c r="C715" s="10" t="s">
        <v>83</v>
      </c>
      <c r="D715" s="10" t="s">
        <v>84</v>
      </c>
      <c r="E715" s="10" t="s">
        <v>73</v>
      </c>
      <c r="F715" s="10" t="s">
        <v>74</v>
      </c>
      <c r="G715" s="10" t="s">
        <v>659</v>
      </c>
      <c r="H715" s="10" t="s">
        <v>73</v>
      </c>
      <c r="I715" s="10" t="s">
        <v>73</v>
      </c>
      <c r="J715" s="10" t="s">
        <v>73</v>
      </c>
      <c r="K715" s="12" t="s">
        <v>73</v>
      </c>
      <c r="L715" s="10" t="s">
        <v>407</v>
      </c>
      <c r="M715" s="5" t="str">
        <f t="array" ref="M715">Y458</f>
        <v>1ВО::1.1</v>
      </c>
      <c r="Y715" s="10">
        <v>1</v>
      </c>
      <c r="AB715" s="503" t="str">
        <f>AB$347&amp;"."&amp;Y715</f>
        <v>3.1.3.1.11.1</v>
      </c>
      <c r="AC715" s="504" t="s">
        <v>191</v>
      </c>
      <c r="AD715" s="505" t="s">
        <v>111</v>
      </c>
      <c r="AE715" s="506">
        <v>239952.02</v>
      </c>
      <c r="AF715" s="507">
        <f>AF714-AF717-AF718-AF719-AF720</f>
        <v>12519.58</v>
      </c>
      <c r="AG715" s="507">
        <v>216997.6</v>
      </c>
      <c r="AH715" s="508">
        <v>167226.57999999999</v>
      </c>
      <c r="AI715" s="1068">
        <v>21059.46</v>
      </c>
      <c r="AJ715" s="507"/>
      <c r="AK715" s="507">
        <v>11149.73</v>
      </c>
      <c r="AL715" s="509"/>
      <c r="AM715" s="506"/>
      <c r="AN715" s="507"/>
      <c r="AO715" s="507"/>
      <c r="AP715" s="509"/>
      <c r="AQ715" s="506">
        <v>350</v>
      </c>
      <c r="AR715" s="507"/>
      <c r="AS715" s="507">
        <v>384.34</v>
      </c>
      <c r="AT715" s="509">
        <v>0</v>
      </c>
      <c r="AU715" s="506">
        <v>206.21</v>
      </c>
      <c r="AV715" s="507">
        <v>1.48</v>
      </c>
      <c r="AW715" s="507">
        <v>216.51</v>
      </c>
      <c r="AX715" s="509">
        <v>0</v>
      </c>
      <c r="AY715" s="506">
        <v>54.23</v>
      </c>
      <c r="AZ715" s="507"/>
      <c r="BA715" s="507">
        <v>35.229999999999997</v>
      </c>
      <c r="BB715" s="509"/>
      <c r="BC715" s="506">
        <v>168.9</v>
      </c>
      <c r="BD715" s="507">
        <f>BD716+BD718+BD719+BD720+BD721</f>
        <v>0</v>
      </c>
      <c r="BE715" s="507">
        <v>145.83000000000001</v>
      </c>
      <c r="BF715" s="986">
        <v>0</v>
      </c>
      <c r="BG715" s="506">
        <v>16485.84</v>
      </c>
      <c r="BH715" s="507">
        <f>BH716+BH718+BH719+BH720+BH721</f>
        <v>0</v>
      </c>
      <c r="BI715" s="507">
        <v>15090.433999999999</v>
      </c>
      <c r="BJ715" s="509">
        <v>13977</v>
      </c>
      <c r="BK715" s="506">
        <v>46897.56</v>
      </c>
      <c r="BL715" s="507"/>
      <c r="BM715" s="507">
        <v>49625.97</v>
      </c>
      <c r="BN715" s="509"/>
      <c r="BO715" s="506"/>
      <c r="BP715" s="507"/>
      <c r="BQ715" s="507"/>
      <c r="BR715" s="509"/>
      <c r="BS715" s="510">
        <v>15733.37</v>
      </c>
      <c r="BT715" s="511">
        <f>BT716+BT718+BT719+BT720+BT721</f>
        <v>0</v>
      </c>
      <c r="BU715" s="511">
        <v>15733.37</v>
      </c>
      <c r="BV715" s="512"/>
      <c r="BY715" s="513">
        <f t="shared" si="268"/>
        <v>340907.58999999997</v>
      </c>
      <c r="BZ715" s="514">
        <f t="shared" si="269"/>
        <v>12521.06</v>
      </c>
      <c r="CA715" s="514">
        <f t="shared" si="270"/>
        <v>309379.01400000002</v>
      </c>
      <c r="CB715" s="515">
        <f t="shared" si="271"/>
        <v>181203.58</v>
      </c>
    </row>
    <row r="716" spans="1:81" ht="18.75" customHeight="1" outlineLevel="2" x14ac:dyDescent="0.25">
      <c r="C716" s="77" t="s">
        <v>83</v>
      </c>
      <c r="D716" s="77" t="s">
        <v>84</v>
      </c>
      <c r="E716" s="77" t="s">
        <v>73</v>
      </c>
      <c r="F716" s="77" t="s">
        <v>74</v>
      </c>
      <c r="G716" s="77" t="s">
        <v>660</v>
      </c>
      <c r="H716" s="77" t="s">
        <v>73</v>
      </c>
      <c r="I716" s="77" t="s">
        <v>73</v>
      </c>
      <c r="J716" s="77" t="s">
        <v>73</v>
      </c>
      <c r="K716" s="516" t="s">
        <v>73</v>
      </c>
      <c r="AB716" s="503" t="str">
        <f>AB$348&amp;".1"</f>
        <v>.1</v>
      </c>
      <c r="AC716" s="517" t="s">
        <v>661</v>
      </c>
      <c r="AD716" s="505" t="s">
        <v>111</v>
      </c>
      <c r="AE716" s="518"/>
      <c r="AF716" s="519"/>
      <c r="AG716" s="519"/>
      <c r="AH716" s="508">
        <v>162707</v>
      </c>
      <c r="AI716" s="1069"/>
      <c r="AJ716" s="519"/>
      <c r="AK716" s="519"/>
      <c r="AL716" s="521"/>
      <c r="AM716" s="518"/>
      <c r="AN716" s="519"/>
      <c r="AO716" s="519"/>
      <c r="AP716" s="521"/>
      <c r="AQ716" s="518"/>
      <c r="AR716" s="519"/>
      <c r="AS716" s="519"/>
      <c r="AT716" s="521"/>
      <c r="AU716" s="518"/>
      <c r="AV716" s="519"/>
      <c r="AW716" s="519"/>
      <c r="AX716" s="521"/>
      <c r="AY716" s="518"/>
      <c r="AZ716" s="519"/>
      <c r="BA716" s="519"/>
      <c r="BB716" s="521"/>
      <c r="BC716" s="518"/>
      <c r="BD716" s="519"/>
      <c r="BE716" s="519"/>
      <c r="BF716" s="987"/>
      <c r="BG716" s="518"/>
      <c r="BH716" s="519"/>
      <c r="BI716" s="519"/>
      <c r="BJ716" s="521"/>
      <c r="BK716" s="518"/>
      <c r="BL716" s="519"/>
      <c r="BM716" s="519"/>
      <c r="BN716" s="521"/>
      <c r="BO716" s="518"/>
      <c r="BP716" s="519"/>
      <c r="BQ716" s="519"/>
      <c r="BR716" s="521"/>
      <c r="BS716" s="518"/>
      <c r="BT716" s="519"/>
      <c r="BU716" s="519"/>
      <c r="BV716" s="520"/>
      <c r="BY716" s="513">
        <f t="shared" si="268"/>
        <v>0</v>
      </c>
      <c r="BZ716" s="514">
        <f t="shared" si="269"/>
        <v>0</v>
      </c>
      <c r="CA716" s="514">
        <f t="shared" si="270"/>
        <v>0</v>
      </c>
      <c r="CB716" s="515">
        <f t="shared" si="271"/>
        <v>162707</v>
      </c>
    </row>
    <row r="717" spans="1:81" ht="18.75" hidden="1" customHeight="1" outlineLevel="2" x14ac:dyDescent="0.25">
      <c r="A717" s="10" t="b">
        <f>$AD$50="да"</f>
        <v>1</v>
      </c>
      <c r="B717" s="5" t="b">
        <f t="array" ref="B717">A717</f>
        <v>1</v>
      </c>
      <c r="C717" s="10" t="s">
        <v>83</v>
      </c>
      <c r="D717" s="10" t="s">
        <v>84</v>
      </c>
      <c r="E717" s="10" t="s">
        <v>73</v>
      </c>
      <c r="F717" s="10" t="s">
        <v>74</v>
      </c>
      <c r="G717" s="10" t="s">
        <v>662</v>
      </c>
      <c r="H717" s="10" t="s">
        <v>73</v>
      </c>
      <c r="I717" s="10" t="s">
        <v>73</v>
      </c>
      <c r="J717" s="10" t="s">
        <v>73</v>
      </c>
      <c r="K717" s="12" t="s">
        <v>73</v>
      </c>
      <c r="L717" s="10" t="s">
        <v>447</v>
      </c>
      <c r="M717" s="5" t="str">
        <f t="array" ref="M717">Y458</f>
        <v>1ВО::1.1</v>
      </c>
      <c r="Y717" s="10">
        <f>COUNT($Y715:Y715)+1</f>
        <v>2</v>
      </c>
      <c r="AB717" s="503" t="str">
        <f>AB$347&amp;"."&amp;Y717</f>
        <v>3.1.3.1.11.2</v>
      </c>
      <c r="AC717" s="504" t="s">
        <v>653</v>
      </c>
      <c r="AD717" s="505" t="s">
        <v>111</v>
      </c>
      <c r="AE717" s="506"/>
      <c r="AF717" s="519"/>
      <c r="AG717" s="507"/>
      <c r="AH717" s="508"/>
      <c r="AI717" s="1068"/>
      <c r="AJ717" s="519"/>
      <c r="AK717" s="507"/>
      <c r="AL717" s="509"/>
      <c r="AM717" s="506"/>
      <c r="AN717" s="519"/>
      <c r="AO717" s="507"/>
      <c r="AP717" s="509"/>
      <c r="AQ717" s="506"/>
      <c r="AR717" s="519"/>
      <c r="AS717" s="507"/>
      <c r="AT717" s="509"/>
      <c r="AU717" s="506"/>
      <c r="AV717" s="519"/>
      <c r="AW717" s="507"/>
      <c r="AX717" s="509"/>
      <c r="AY717" s="506"/>
      <c r="AZ717" s="519"/>
      <c r="BA717" s="507"/>
      <c r="BB717" s="509"/>
      <c r="BC717" s="506"/>
      <c r="BD717" s="519"/>
      <c r="BE717" s="507"/>
      <c r="BF717" s="986"/>
      <c r="BG717" s="506"/>
      <c r="BH717" s="519"/>
      <c r="BI717" s="507"/>
      <c r="BJ717" s="509"/>
      <c r="BK717" s="506"/>
      <c r="BL717" s="519"/>
      <c r="BM717" s="507"/>
      <c r="BN717" s="509"/>
      <c r="BO717" s="506"/>
      <c r="BP717" s="519"/>
      <c r="BQ717" s="507"/>
      <c r="BR717" s="509"/>
      <c r="BS717" s="506"/>
      <c r="BT717" s="519"/>
      <c r="BU717" s="507"/>
      <c r="BV717" s="508"/>
      <c r="BY717" s="513">
        <f t="shared" si="268"/>
        <v>0</v>
      </c>
      <c r="BZ717" s="514">
        <f t="shared" si="269"/>
        <v>0</v>
      </c>
      <c r="CA717" s="514">
        <f t="shared" si="270"/>
        <v>0</v>
      </c>
      <c r="CB717" s="515">
        <f t="shared" si="271"/>
        <v>0</v>
      </c>
    </row>
    <row r="718" spans="1:81" ht="18.75" hidden="1" customHeight="1" outlineLevel="2" x14ac:dyDescent="0.25">
      <c r="A718" s="10" t="b">
        <f>$AD$49="да"</f>
        <v>1</v>
      </c>
      <c r="B718" s="5" t="b">
        <f t="array" ref="B718">A718</f>
        <v>1</v>
      </c>
      <c r="C718" s="10" t="s">
        <v>83</v>
      </c>
      <c r="D718" s="10" t="s">
        <v>84</v>
      </c>
      <c r="E718" s="10" t="s">
        <v>73</v>
      </c>
      <c r="F718" s="10" t="s">
        <v>74</v>
      </c>
      <c r="G718" s="10" t="s">
        <v>663</v>
      </c>
      <c r="H718" s="10" t="s">
        <v>73</v>
      </c>
      <c r="I718" s="10" t="s">
        <v>73</v>
      </c>
      <c r="J718" s="10" t="s">
        <v>73</v>
      </c>
      <c r="K718" s="12" t="s">
        <v>73</v>
      </c>
      <c r="L718" s="10" t="s">
        <v>224</v>
      </c>
      <c r="M718" s="5" t="str">
        <f t="array" ref="M718">Y458</f>
        <v>1ВО::1.1</v>
      </c>
      <c r="Y718" s="10">
        <f>COUNT($Y715:Y717)+1</f>
        <v>3</v>
      </c>
      <c r="AB718" s="503" t="str">
        <f>AB$347&amp;"."&amp;Y718</f>
        <v>3.1.3.1.11.3</v>
      </c>
      <c r="AC718" s="504" t="s">
        <v>664</v>
      </c>
      <c r="AD718" s="505" t="s">
        <v>111</v>
      </c>
      <c r="AE718" s="506"/>
      <c r="AF718" s="519"/>
      <c r="AG718" s="507"/>
      <c r="AH718" s="508"/>
      <c r="AI718" s="1068"/>
      <c r="AJ718" s="519"/>
      <c r="AK718" s="507"/>
      <c r="AL718" s="509"/>
      <c r="AM718" s="506"/>
      <c r="AN718" s="519"/>
      <c r="AO718" s="507"/>
      <c r="AP718" s="509"/>
      <c r="AQ718" s="506"/>
      <c r="AR718" s="519"/>
      <c r="AS718" s="507"/>
      <c r="AT718" s="509"/>
      <c r="AU718" s="506"/>
      <c r="AV718" s="519"/>
      <c r="AW718" s="507"/>
      <c r="AX718" s="509"/>
      <c r="AY718" s="506"/>
      <c r="AZ718" s="519"/>
      <c r="BA718" s="507"/>
      <c r="BB718" s="509"/>
      <c r="BC718" s="506"/>
      <c r="BD718" s="519"/>
      <c r="BE718" s="507"/>
      <c r="BF718" s="986"/>
      <c r="BG718" s="506"/>
      <c r="BH718" s="519"/>
      <c r="BI718" s="507"/>
      <c r="BJ718" s="509"/>
      <c r="BK718" s="506"/>
      <c r="BL718" s="519"/>
      <c r="BM718" s="507"/>
      <c r="BN718" s="509"/>
      <c r="BO718" s="506"/>
      <c r="BP718" s="519"/>
      <c r="BQ718" s="507"/>
      <c r="BR718" s="509"/>
      <c r="BS718" s="506"/>
      <c r="BT718" s="519"/>
      <c r="BU718" s="507"/>
      <c r="BV718" s="508"/>
      <c r="BY718" s="513">
        <f t="shared" si="268"/>
        <v>0</v>
      </c>
      <c r="BZ718" s="514">
        <f t="shared" si="269"/>
        <v>0</v>
      </c>
      <c r="CA718" s="514">
        <f t="shared" si="270"/>
        <v>0</v>
      </c>
      <c r="CB718" s="515">
        <f t="shared" si="271"/>
        <v>0</v>
      </c>
    </row>
    <row r="719" spans="1:81" ht="18.75" hidden="1" customHeight="1" outlineLevel="2" x14ac:dyDescent="0.25">
      <c r="A719" s="10" t="b">
        <f>$AD$48="да"</f>
        <v>1</v>
      </c>
      <c r="B719" s="5" t="b">
        <f t="array" ref="B719">A719</f>
        <v>1</v>
      </c>
      <c r="C719" s="10" t="s">
        <v>83</v>
      </c>
      <c r="D719" s="10" t="s">
        <v>84</v>
      </c>
      <c r="E719" s="10" t="s">
        <v>73</v>
      </c>
      <c r="F719" s="10" t="s">
        <v>74</v>
      </c>
      <c r="G719" s="10" t="s">
        <v>665</v>
      </c>
      <c r="H719" s="10" t="s">
        <v>73</v>
      </c>
      <c r="I719" s="10" t="s">
        <v>73</v>
      </c>
      <c r="J719" s="10" t="s">
        <v>73</v>
      </c>
      <c r="K719" s="12" t="s">
        <v>73</v>
      </c>
      <c r="L719" s="10" t="s">
        <v>442</v>
      </c>
      <c r="M719" s="5" t="str">
        <f t="array" ref="M719">Y458</f>
        <v>1ВО::1.1</v>
      </c>
      <c r="Y719" s="10">
        <f>COUNT($Y715:Y718)+1</f>
        <v>4</v>
      </c>
      <c r="AB719" s="503" t="str">
        <f>AB$347&amp;"."&amp;Y719</f>
        <v>3.1.3.1.11.4</v>
      </c>
      <c r="AC719" s="504" t="s">
        <v>657</v>
      </c>
      <c r="AD719" s="505" t="s">
        <v>111</v>
      </c>
      <c r="AE719" s="506"/>
      <c r="AF719" s="519"/>
      <c r="AG719" s="507"/>
      <c r="AH719" s="508"/>
      <c r="AI719" s="1068"/>
      <c r="AJ719" s="519"/>
      <c r="AK719" s="507"/>
      <c r="AL719" s="509"/>
      <c r="AM719" s="506"/>
      <c r="AN719" s="519"/>
      <c r="AO719" s="507"/>
      <c r="AP719" s="509"/>
      <c r="AQ719" s="506"/>
      <c r="AR719" s="519"/>
      <c r="AS719" s="507"/>
      <c r="AT719" s="509"/>
      <c r="AU719" s="506"/>
      <c r="AV719" s="519"/>
      <c r="AW719" s="507"/>
      <c r="AX719" s="509"/>
      <c r="AY719" s="506"/>
      <c r="AZ719" s="519"/>
      <c r="BA719" s="507"/>
      <c r="BB719" s="509"/>
      <c r="BC719" s="506"/>
      <c r="BD719" s="519"/>
      <c r="BE719" s="507"/>
      <c r="BF719" s="986"/>
      <c r="BG719" s="506"/>
      <c r="BH719" s="519"/>
      <c r="BI719" s="507"/>
      <c r="BJ719" s="509"/>
      <c r="BK719" s="506"/>
      <c r="BL719" s="519"/>
      <c r="BM719" s="507"/>
      <c r="BN719" s="509"/>
      <c r="BO719" s="506"/>
      <c r="BP719" s="519"/>
      <c r="BQ719" s="507"/>
      <c r="BR719" s="509"/>
      <c r="BS719" s="506"/>
      <c r="BT719" s="519"/>
      <c r="BU719" s="507"/>
      <c r="BV719" s="508"/>
      <c r="BY719" s="513">
        <f t="shared" si="268"/>
        <v>0</v>
      </c>
      <c r="BZ719" s="514">
        <f t="shared" si="269"/>
        <v>0</v>
      </c>
      <c r="CA719" s="514">
        <f t="shared" si="270"/>
        <v>0</v>
      </c>
      <c r="CB719" s="515">
        <f t="shared" si="271"/>
        <v>0</v>
      </c>
    </row>
    <row r="720" spans="1:81" ht="14.25" hidden="1" customHeight="1" outlineLevel="2" x14ac:dyDescent="0.25">
      <c r="A720" s="10" t="b">
        <f>$AD$47="да"</f>
        <v>0</v>
      </c>
      <c r="B720" s="5" t="b">
        <f t="array" ref="B720">A720</f>
        <v>0</v>
      </c>
      <c r="C720" s="10" t="s">
        <v>83</v>
      </c>
      <c r="D720" s="10" t="s">
        <v>84</v>
      </c>
      <c r="E720" s="10" t="s">
        <v>73</v>
      </c>
      <c r="F720" s="10" t="s">
        <v>74</v>
      </c>
      <c r="G720" s="10" t="s">
        <v>666</v>
      </c>
      <c r="H720" s="10" t="s">
        <v>73</v>
      </c>
      <c r="I720" s="10" t="s">
        <v>73</v>
      </c>
      <c r="J720" s="10" t="s">
        <v>73</v>
      </c>
      <c r="K720" s="12" t="s">
        <v>73</v>
      </c>
      <c r="L720" s="10" t="s">
        <v>667</v>
      </c>
      <c r="M720" s="5" t="str">
        <f t="array" ref="M720">Y458</f>
        <v>1ВО::1.1</v>
      </c>
      <c r="Y720" s="10">
        <f>COUNT($Y715:Y719)+1</f>
        <v>5</v>
      </c>
      <c r="Z720" s="6"/>
      <c r="AA720" s="6"/>
      <c r="AB720" s="503"/>
      <c r="AC720" s="504"/>
      <c r="AD720" s="505"/>
      <c r="AE720" s="506"/>
      <c r="AF720" s="507"/>
      <c r="AG720" s="507"/>
      <c r="AH720" s="508"/>
      <c r="AI720" s="1068"/>
      <c r="AJ720" s="507"/>
      <c r="AK720" s="507"/>
      <c r="AL720" s="509"/>
      <c r="AM720" s="506"/>
      <c r="AN720" s="507"/>
      <c r="AO720" s="507"/>
      <c r="AP720" s="509"/>
      <c r="AQ720" s="506"/>
      <c r="AR720" s="507"/>
      <c r="AS720" s="507"/>
      <c r="AT720" s="509"/>
      <c r="AU720" s="506"/>
      <c r="AV720" s="507"/>
      <c r="AW720" s="507"/>
      <c r="AX720" s="509"/>
      <c r="AY720" s="506"/>
      <c r="AZ720" s="507"/>
      <c r="BA720" s="507"/>
      <c r="BB720" s="509"/>
      <c r="BC720" s="506"/>
      <c r="BD720" s="507"/>
      <c r="BE720" s="507"/>
      <c r="BF720" s="986"/>
      <c r="BG720" s="506"/>
      <c r="BH720" s="507"/>
      <c r="BI720" s="507"/>
      <c r="BJ720" s="509"/>
      <c r="BK720" s="506"/>
      <c r="BL720" s="507"/>
      <c r="BM720" s="507"/>
      <c r="BN720" s="509"/>
      <c r="BO720" s="506"/>
      <c r="BP720" s="507"/>
      <c r="BQ720" s="507"/>
      <c r="BR720" s="509"/>
      <c r="BS720" s="506"/>
      <c r="BT720" s="507"/>
      <c r="BU720" s="507"/>
      <c r="BV720" s="508"/>
      <c r="BY720" s="513">
        <f t="shared" ref="BY720:BY739" si="273">AE720+AI720+AM720+AQ720+AU720+AY720+BC720+BG720+BK720+BO720+BS720</f>
        <v>0</v>
      </c>
      <c r="BZ720" s="514">
        <f t="shared" ref="BZ720:BZ740" si="274">AF720+AJ720+AN720+AR720+AV720+AZ720+BD720+BH720+BL720+BP720+BT720</f>
        <v>0</v>
      </c>
      <c r="CA720" s="514">
        <f t="shared" ref="CA720:CA739" si="275">AG720+AK720+AO720+AS720+AW720+BA720+BE720+BI720+BM720+BQ720+BU720</f>
        <v>0</v>
      </c>
      <c r="CB720" s="515">
        <f t="shared" ref="CB720:CB739" si="276">AH720+AL720+AP720+AT720+AX720+BB720+BF720+BJ720+BN720+BR720+BV720</f>
        <v>0</v>
      </c>
    </row>
    <row r="721" spans="1:81" s="171" customFormat="1" ht="31.5" customHeight="1" outlineLevel="1" x14ac:dyDescent="0.25">
      <c r="A721" s="166"/>
      <c r="B721" s="166"/>
      <c r="C721" s="167" t="s">
        <v>83</v>
      </c>
      <c r="D721" s="167" t="s">
        <v>84</v>
      </c>
      <c r="E721" s="167" t="s">
        <v>73</v>
      </c>
      <c r="F721" s="167" t="s">
        <v>74</v>
      </c>
      <c r="G721" s="167" t="s">
        <v>498</v>
      </c>
      <c r="H721" s="167" t="s">
        <v>73</v>
      </c>
      <c r="I721" s="167" t="s">
        <v>73</v>
      </c>
      <c r="J721" s="167" t="s">
        <v>73</v>
      </c>
      <c r="K721" s="168" t="s">
        <v>73</v>
      </c>
      <c r="L721" s="167" t="s">
        <v>133</v>
      </c>
      <c r="M721" s="166" t="str">
        <f t="array" ref="M721">Y458</f>
        <v>1ВО::1.1</v>
      </c>
      <c r="N721" s="166"/>
      <c r="O721" s="166"/>
      <c r="P721" s="166"/>
      <c r="Q721" s="166"/>
      <c r="R721" s="166"/>
      <c r="S721" s="166"/>
      <c r="T721" s="166"/>
      <c r="U721" s="166"/>
      <c r="V721" s="166"/>
      <c r="W721" s="166"/>
      <c r="X721" s="166"/>
      <c r="Y721" s="166"/>
      <c r="Z721" s="166"/>
      <c r="AA721" s="166"/>
      <c r="AB721" s="429" t="str">
        <f>AB507&amp;".3"</f>
        <v>3.3</v>
      </c>
      <c r="AC721" s="1035" t="s">
        <v>498</v>
      </c>
      <c r="AD721" s="431" t="s">
        <v>111</v>
      </c>
      <c r="AE721" s="476"/>
      <c r="AF721" s="433">
        <f>AF722+AF725+AF726+AF727</f>
        <v>9995.5439999999999</v>
      </c>
      <c r="AG721" s="433">
        <f>AG722+AG725+AG726+AG727</f>
        <v>7116.29</v>
      </c>
      <c r="AH721" s="490">
        <f>AH722+AH725+AH726+AH727</f>
        <v>14946.57</v>
      </c>
      <c r="AI721" s="475"/>
      <c r="AJ721" s="433">
        <f>AJ722+AJ725+AJ726+AJ727</f>
        <v>0</v>
      </c>
      <c r="AK721" s="433">
        <f>AK722+AK725+AK726+AK727</f>
        <v>0</v>
      </c>
      <c r="AL721" s="477">
        <v>0</v>
      </c>
      <c r="AM721" s="476"/>
      <c r="AN721" s="433"/>
      <c r="AO721" s="433"/>
      <c r="AP721" s="477"/>
      <c r="AQ721" s="476"/>
      <c r="AR721" s="433">
        <f>AR722+AR725+AR726+AR727</f>
        <v>0</v>
      </c>
      <c r="AS721" s="433">
        <f>AS722+AS725+AS726+AS727</f>
        <v>377.16</v>
      </c>
      <c r="AT721" s="477">
        <f>AT722+AT725+AT726+AT727+AT731</f>
        <v>303.91000000000003</v>
      </c>
      <c r="AU721" s="476"/>
      <c r="AV721" s="433">
        <f>AV722+AV725+AV726+AV727</f>
        <v>0</v>
      </c>
      <c r="AW721" s="433">
        <f>AW722+AW725+AW726+AW727</f>
        <v>225.09</v>
      </c>
      <c r="AX721" s="477">
        <v>148.9</v>
      </c>
      <c r="AY721" s="476"/>
      <c r="AZ721" s="433">
        <f>AZ722+AZ725+AZ726+AZ727</f>
        <v>51.2</v>
      </c>
      <c r="BA721" s="433">
        <f>BA722+BA725+BA726+BA727</f>
        <v>116.48</v>
      </c>
      <c r="BB721" s="477">
        <v>0</v>
      </c>
      <c r="BC721" s="476">
        <f>SUM(BC722:BC728)</f>
        <v>185.04</v>
      </c>
      <c r="BD721" s="433">
        <f>SUM(BD722:BD728)</f>
        <v>0</v>
      </c>
      <c r="BE721" s="433">
        <f>SUM(BE722:BE728)</f>
        <v>339.32</v>
      </c>
      <c r="BF721" s="983">
        <f>BF722+BF725+BF726</f>
        <v>324.08999999999997</v>
      </c>
      <c r="BG721" s="476">
        <f>SUM(BG722:BG728)</f>
        <v>786.31500000000005</v>
      </c>
      <c r="BH721" s="433">
        <f>SUM(BH722:BH728)</f>
        <v>0</v>
      </c>
      <c r="BI721" s="433">
        <f>SUM(BI722:BI728)</f>
        <v>1395.174</v>
      </c>
      <c r="BJ721" s="477">
        <f>BJ726</f>
        <v>0</v>
      </c>
      <c r="BK721" s="476">
        <f>SUM(BK722:BK728)</f>
        <v>0</v>
      </c>
      <c r="BL721" s="433">
        <f>SUM(BL722:BL728)</f>
        <v>0</v>
      </c>
      <c r="BM721" s="433">
        <f>SUM(BM722:BM728)</f>
        <v>0</v>
      </c>
      <c r="BN721" s="477">
        <v>0</v>
      </c>
      <c r="BO721" s="476">
        <f>SUM(BO722:BO728)</f>
        <v>19.494</v>
      </c>
      <c r="BP721" s="433">
        <f>SUM(BP722:BP728)</f>
        <v>0</v>
      </c>
      <c r="BQ721" s="433">
        <f>SUM(BQ722:BQ728)</f>
        <v>37.619999999999997</v>
      </c>
      <c r="BR721" s="477"/>
      <c r="BS721" s="476">
        <f>SUM(BS722:BS728)</f>
        <v>188.244</v>
      </c>
      <c r="BT721" s="433">
        <f>SUM(BT722:BT728)</f>
        <v>0</v>
      </c>
      <c r="BU721" s="433">
        <f>SUM(BU722:BU728)</f>
        <v>363.61500000000001</v>
      </c>
      <c r="BV721" s="490">
        <f>SUM(BV722:BV728)</f>
        <v>265.81</v>
      </c>
      <c r="BW721" s="170"/>
      <c r="BX721" s="166"/>
      <c r="BY721" s="436">
        <f t="shared" si="273"/>
        <v>1179.0930000000001</v>
      </c>
      <c r="BZ721" s="437">
        <f t="shared" si="274"/>
        <v>10046.744000000001</v>
      </c>
      <c r="CA721" s="437">
        <f t="shared" si="275"/>
        <v>9970.7489999999998</v>
      </c>
      <c r="CB721" s="438">
        <f t="shared" si="276"/>
        <v>15989.279999999999</v>
      </c>
      <c r="CC721" s="760"/>
    </row>
    <row r="722" spans="1:81" ht="31.5" hidden="1" customHeight="1" outlineLevel="3" x14ac:dyDescent="0.25">
      <c r="C722" s="10" t="s">
        <v>83</v>
      </c>
      <c r="D722" s="10" t="s">
        <v>84</v>
      </c>
      <c r="E722" s="10" t="s">
        <v>73</v>
      </c>
      <c r="F722" s="10" t="s">
        <v>74</v>
      </c>
      <c r="G722" s="10" t="s">
        <v>668</v>
      </c>
      <c r="H722" s="10" t="s">
        <v>73</v>
      </c>
      <c r="I722" s="10" t="s">
        <v>73</v>
      </c>
      <c r="J722" s="10" t="s">
        <v>73</v>
      </c>
      <c r="K722" s="12" t="s">
        <v>73</v>
      </c>
      <c r="L722" s="10" t="s">
        <v>133</v>
      </c>
      <c r="M722" s="5" t="str">
        <f t="array" ref="M722">Y458</f>
        <v>1ВО::1.1</v>
      </c>
      <c r="AB722" s="403" t="str">
        <f>AB721&amp;".1"</f>
        <v>3.3.1</v>
      </c>
      <c r="AC722" s="522" t="s">
        <v>668</v>
      </c>
      <c r="AD722" s="32" t="s">
        <v>111</v>
      </c>
      <c r="AE722" s="72"/>
      <c r="AF722" s="73"/>
      <c r="AG722" s="73"/>
      <c r="AH722" s="74"/>
      <c r="AI722" s="179"/>
      <c r="AJ722" s="73"/>
      <c r="AK722" s="73"/>
      <c r="AL722" s="138"/>
      <c r="AM722" s="72"/>
      <c r="AN722" s="73"/>
      <c r="AO722" s="73"/>
      <c r="AP722" s="138"/>
      <c r="AQ722" s="72"/>
      <c r="AR722" s="73"/>
      <c r="AS722" s="73"/>
      <c r="AT722" s="138"/>
      <c r="AU722" s="72"/>
      <c r="AV722" s="73"/>
      <c r="AW722" s="73"/>
      <c r="AX722" s="138"/>
      <c r="AY722" s="72"/>
      <c r="AZ722" s="73"/>
      <c r="BA722" s="73"/>
      <c r="BB722" s="138"/>
      <c r="BC722" s="72"/>
      <c r="BD722" s="73"/>
      <c r="BE722" s="73"/>
      <c r="BF722" s="774"/>
      <c r="BG722" s="72"/>
      <c r="BH722" s="73"/>
      <c r="BI722" s="73"/>
      <c r="BJ722" s="138"/>
      <c r="BK722" s="72"/>
      <c r="BL722" s="73"/>
      <c r="BM722" s="73"/>
      <c r="BN722" s="138"/>
      <c r="BO722" s="72"/>
      <c r="BP722" s="73"/>
      <c r="BQ722" s="73"/>
      <c r="BR722" s="138"/>
      <c r="BS722" s="72"/>
      <c r="BT722" s="73"/>
      <c r="BU722" s="73"/>
      <c r="BV722" s="74"/>
      <c r="BY722" s="125">
        <f t="shared" si="273"/>
        <v>0</v>
      </c>
      <c r="BZ722" s="126">
        <f t="shared" si="274"/>
        <v>0</v>
      </c>
      <c r="CA722" s="126">
        <f t="shared" si="275"/>
        <v>0</v>
      </c>
      <c r="CB722" s="127">
        <f t="shared" si="276"/>
        <v>0</v>
      </c>
    </row>
    <row r="723" spans="1:81" ht="19.149999999999999" hidden="1" customHeight="1" outlineLevel="4" x14ac:dyDescent="0.25">
      <c r="C723" s="10" t="s">
        <v>83</v>
      </c>
      <c r="D723" s="10" t="s">
        <v>84</v>
      </c>
      <c r="E723" s="10" t="s">
        <v>73</v>
      </c>
      <c r="F723" s="10" t="s">
        <v>74</v>
      </c>
      <c r="G723" s="10" t="s">
        <v>669</v>
      </c>
      <c r="H723" s="10" t="s">
        <v>73</v>
      </c>
      <c r="I723" s="10" t="s">
        <v>73</v>
      </c>
      <c r="J723" s="10" t="s">
        <v>73</v>
      </c>
      <c r="K723" s="12" t="s">
        <v>73</v>
      </c>
      <c r="L723" s="10" t="s">
        <v>133</v>
      </c>
      <c r="M723" s="5" t="str">
        <f t="array" ref="M723">Y458</f>
        <v>1ВО::1.1</v>
      </c>
      <c r="AB723" s="403" t="str">
        <f>AB722&amp;".1"</f>
        <v>3.3.1.1</v>
      </c>
      <c r="AC723" s="414" t="s">
        <v>670</v>
      </c>
      <c r="AD723" s="32" t="s">
        <v>111</v>
      </c>
      <c r="AE723" s="95"/>
      <c r="AF723" s="178"/>
      <c r="AG723" s="178"/>
      <c r="AH723" s="96"/>
      <c r="AI723" s="187"/>
      <c r="AJ723" s="178"/>
      <c r="AK723" s="178"/>
      <c r="AL723" s="181"/>
      <c r="AM723" s="95"/>
      <c r="AN723" s="178"/>
      <c r="AO723" s="178"/>
      <c r="AP723" s="181"/>
      <c r="AQ723" s="95"/>
      <c r="AR723" s="178"/>
      <c r="AS723" s="178"/>
      <c r="AT723" s="181"/>
      <c r="AU723" s="95"/>
      <c r="AV723" s="178"/>
      <c r="AW723" s="178"/>
      <c r="AX723" s="181"/>
      <c r="AY723" s="95"/>
      <c r="AZ723" s="178"/>
      <c r="BA723" s="178"/>
      <c r="BB723" s="181"/>
      <c r="BC723" s="95"/>
      <c r="BD723" s="178"/>
      <c r="BE723" s="178"/>
      <c r="BF723" s="210"/>
      <c r="BG723" s="95"/>
      <c r="BH723" s="178"/>
      <c r="BI723" s="178"/>
      <c r="BJ723" s="181"/>
      <c r="BK723" s="95"/>
      <c r="BL723" s="178"/>
      <c r="BM723" s="178"/>
      <c r="BN723" s="181"/>
      <c r="BO723" s="95"/>
      <c r="BP723" s="178"/>
      <c r="BQ723" s="178"/>
      <c r="BR723" s="181"/>
      <c r="BS723" s="95"/>
      <c r="BT723" s="178"/>
      <c r="BU723" s="178"/>
      <c r="BV723" s="96"/>
      <c r="BY723" s="125">
        <f t="shared" si="273"/>
        <v>0</v>
      </c>
      <c r="BZ723" s="126">
        <f t="shared" si="274"/>
        <v>0</v>
      </c>
      <c r="CA723" s="126">
        <f t="shared" si="275"/>
        <v>0</v>
      </c>
      <c r="CB723" s="127">
        <f t="shared" si="276"/>
        <v>0</v>
      </c>
    </row>
    <row r="724" spans="1:81" ht="19.149999999999999" hidden="1" customHeight="1" outlineLevel="4" x14ac:dyDescent="0.25">
      <c r="C724" s="10" t="s">
        <v>83</v>
      </c>
      <c r="D724" s="10" t="s">
        <v>84</v>
      </c>
      <c r="E724" s="10" t="s">
        <v>73</v>
      </c>
      <c r="F724" s="10" t="s">
        <v>74</v>
      </c>
      <c r="G724" s="10" t="s">
        <v>671</v>
      </c>
      <c r="H724" s="10" t="s">
        <v>73</v>
      </c>
      <c r="I724" s="10" t="s">
        <v>73</v>
      </c>
      <c r="J724" s="10" t="s">
        <v>73</v>
      </c>
      <c r="K724" s="12" t="s">
        <v>73</v>
      </c>
      <c r="L724" s="10" t="s">
        <v>133</v>
      </c>
      <c r="M724" s="5" t="str">
        <f t="array" ref="M724">Y458</f>
        <v>1ВО::1.1</v>
      </c>
      <c r="AB724" s="403" t="str">
        <f>AB722&amp;".2"</f>
        <v>3.3.1.2</v>
      </c>
      <c r="AC724" s="414" t="s">
        <v>672</v>
      </c>
      <c r="AD724" s="32" t="s">
        <v>111</v>
      </c>
      <c r="AE724" s="95"/>
      <c r="AF724" s="178"/>
      <c r="AG724" s="178"/>
      <c r="AH724" s="96"/>
      <c r="AI724" s="187"/>
      <c r="AJ724" s="178"/>
      <c r="AK724" s="178"/>
      <c r="AL724" s="181"/>
      <c r="AM724" s="95"/>
      <c r="AN724" s="178"/>
      <c r="AO724" s="178"/>
      <c r="AP724" s="181"/>
      <c r="AQ724" s="95"/>
      <c r="AR724" s="178"/>
      <c r="AS724" s="178"/>
      <c r="AT724" s="181"/>
      <c r="AU724" s="95"/>
      <c r="AV724" s="178"/>
      <c r="AW724" s="178"/>
      <c r="AX724" s="181"/>
      <c r="AY724" s="95"/>
      <c r="AZ724" s="178"/>
      <c r="BA724" s="178"/>
      <c r="BB724" s="181"/>
      <c r="BC724" s="95"/>
      <c r="BD724" s="178"/>
      <c r="BE724" s="178"/>
      <c r="BF724" s="210"/>
      <c r="BG724" s="95"/>
      <c r="BH724" s="178"/>
      <c r="BI724" s="178"/>
      <c r="BJ724" s="181"/>
      <c r="BK724" s="95"/>
      <c r="BL724" s="178"/>
      <c r="BM724" s="178"/>
      <c r="BN724" s="181"/>
      <c r="BO724" s="95"/>
      <c r="BP724" s="178"/>
      <c r="BQ724" s="178"/>
      <c r="BR724" s="181"/>
      <c r="BS724" s="95"/>
      <c r="BT724" s="178"/>
      <c r="BU724" s="178"/>
      <c r="BV724" s="96"/>
      <c r="BY724" s="125">
        <f t="shared" si="273"/>
        <v>0</v>
      </c>
      <c r="BZ724" s="126">
        <f t="shared" si="274"/>
        <v>0</v>
      </c>
      <c r="CA724" s="126">
        <f t="shared" si="275"/>
        <v>0</v>
      </c>
      <c r="CB724" s="127">
        <f t="shared" si="276"/>
        <v>0</v>
      </c>
    </row>
    <row r="725" spans="1:81" ht="19.149999999999999" hidden="1" customHeight="1" outlineLevel="3" collapsed="1" x14ac:dyDescent="0.25">
      <c r="C725" s="10" t="s">
        <v>83</v>
      </c>
      <c r="D725" s="10" t="s">
        <v>84</v>
      </c>
      <c r="E725" s="10" t="s">
        <v>73</v>
      </c>
      <c r="F725" s="10" t="s">
        <v>74</v>
      </c>
      <c r="G725" s="10" t="s">
        <v>673</v>
      </c>
      <c r="H725" s="10" t="s">
        <v>73</v>
      </c>
      <c r="I725" s="10" t="s">
        <v>73</v>
      </c>
      <c r="J725" s="10" t="s">
        <v>73</v>
      </c>
      <c r="K725" s="12" t="s">
        <v>73</v>
      </c>
      <c r="L725" s="10" t="s">
        <v>133</v>
      </c>
      <c r="M725" s="5" t="str">
        <f t="array" ref="M725">Y458</f>
        <v>1ВО::1.1</v>
      </c>
      <c r="AB725" s="403" t="str">
        <f>AB721&amp;".2"</f>
        <v>3.3.2</v>
      </c>
      <c r="AC725" s="413" t="s">
        <v>673</v>
      </c>
      <c r="AD725" s="32" t="s">
        <v>111</v>
      </c>
      <c r="AE725" s="95"/>
      <c r="AF725" s="178"/>
      <c r="AG725" s="178"/>
      <c r="AH725" s="96"/>
      <c r="AI725" s="187"/>
      <c r="AJ725" s="178"/>
      <c r="AK725" s="178"/>
      <c r="AL725" s="181"/>
      <c r="AM725" s="95"/>
      <c r="AN725" s="178"/>
      <c r="AO725" s="178"/>
      <c r="AP725" s="181"/>
      <c r="AQ725" s="95"/>
      <c r="AR725" s="178"/>
      <c r="AS725" s="178"/>
      <c r="AT725" s="181"/>
      <c r="AU725" s="95"/>
      <c r="AV725" s="178"/>
      <c r="AW725" s="178"/>
      <c r="AX725" s="181"/>
      <c r="AY725" s="95"/>
      <c r="AZ725" s="178"/>
      <c r="BA725" s="178"/>
      <c r="BB725" s="181"/>
      <c r="BC725" s="95"/>
      <c r="BD725" s="178"/>
      <c r="BE725" s="178"/>
      <c r="BF725" s="210"/>
      <c r="BG725" s="95"/>
      <c r="BH725" s="178"/>
      <c r="BI725" s="178"/>
      <c r="BJ725" s="181"/>
      <c r="BK725" s="95"/>
      <c r="BL725" s="178"/>
      <c r="BM725" s="178"/>
      <c r="BN725" s="181"/>
      <c r="BO725" s="95"/>
      <c r="BP725" s="178"/>
      <c r="BQ725" s="178"/>
      <c r="BR725" s="181"/>
      <c r="BS725" s="95"/>
      <c r="BT725" s="178"/>
      <c r="BU725" s="178"/>
      <c r="BV725" s="96"/>
      <c r="BY725" s="125">
        <f t="shared" si="273"/>
        <v>0</v>
      </c>
      <c r="BZ725" s="126">
        <f t="shared" si="274"/>
        <v>0</v>
      </c>
      <c r="CA725" s="126">
        <f t="shared" si="275"/>
        <v>0</v>
      </c>
      <c r="CB725" s="127">
        <f t="shared" si="276"/>
        <v>0</v>
      </c>
    </row>
    <row r="726" spans="1:81" ht="31.5" hidden="1" customHeight="1" outlineLevel="3" x14ac:dyDescent="0.25">
      <c r="C726" s="10" t="s">
        <v>83</v>
      </c>
      <c r="D726" s="10" t="s">
        <v>84</v>
      </c>
      <c r="E726" s="10" t="s">
        <v>73</v>
      </c>
      <c r="F726" s="10" t="s">
        <v>74</v>
      </c>
      <c r="G726" s="10" t="s">
        <v>499</v>
      </c>
      <c r="H726" s="10" t="s">
        <v>73</v>
      </c>
      <c r="I726" s="10" t="s">
        <v>73</v>
      </c>
      <c r="J726" s="10" t="s">
        <v>73</v>
      </c>
      <c r="K726" s="12" t="s">
        <v>73</v>
      </c>
      <c r="L726" s="10" t="s">
        <v>133</v>
      </c>
      <c r="M726" s="5" t="str">
        <f t="array" ref="M726">Y458</f>
        <v>1ВО::1.1</v>
      </c>
      <c r="AB726" s="403" t="str">
        <f>AB721&amp;".3"</f>
        <v>3.3.3</v>
      </c>
      <c r="AC726" s="413" t="s">
        <v>500</v>
      </c>
      <c r="AD726" s="32" t="s">
        <v>111</v>
      </c>
      <c r="AE726" s="95"/>
      <c r="AF726" s="178">
        <v>9995.5439999999999</v>
      </c>
      <c r="AG726" s="178">
        <f>14946.57-7830.28</f>
        <v>7116.29</v>
      </c>
      <c r="AH726" s="96">
        <v>14946.57</v>
      </c>
      <c r="AI726" s="187"/>
      <c r="AJ726" s="178"/>
      <c r="AK726" s="178"/>
      <c r="AL726" s="181"/>
      <c r="AM726" s="95"/>
      <c r="AN726" s="178"/>
      <c r="AO726" s="178"/>
      <c r="AP726" s="181"/>
      <c r="AQ726" s="95"/>
      <c r="AR726" s="178"/>
      <c r="AS726" s="178">
        <v>377.16</v>
      </c>
      <c r="AT726" s="181">
        <v>303.91000000000003</v>
      </c>
      <c r="AU726" s="95"/>
      <c r="AV726" s="178"/>
      <c r="AW726" s="178">
        <v>225.09</v>
      </c>
      <c r="AX726" s="181"/>
      <c r="AY726" s="95"/>
      <c r="AZ726" s="178">
        <v>51.2</v>
      </c>
      <c r="BA726" s="178">
        <v>116.48</v>
      </c>
      <c r="BB726" s="181"/>
      <c r="BC726" s="95">
        <v>185.04</v>
      </c>
      <c r="BD726" s="178"/>
      <c r="BE726" s="178">
        <v>339.32</v>
      </c>
      <c r="BF726" s="210">
        <v>324.08999999999997</v>
      </c>
      <c r="BG726" s="95">
        <v>786.31500000000005</v>
      </c>
      <c r="BH726" s="178"/>
      <c r="BI726" s="178">
        <v>1395.174</v>
      </c>
      <c r="BJ726" s="181">
        <v>0</v>
      </c>
      <c r="BK726" s="95"/>
      <c r="BL726" s="178"/>
      <c r="BM726" s="178"/>
      <c r="BN726" s="181"/>
      <c r="BO726" s="185">
        <v>19.494</v>
      </c>
      <c r="BP726" s="183"/>
      <c r="BQ726" s="183">
        <v>37.619999999999997</v>
      </c>
      <c r="BR726" s="184"/>
      <c r="BS726" s="185">
        <v>188.244</v>
      </c>
      <c r="BT726" s="183"/>
      <c r="BU726" s="183">
        <v>363.61500000000001</v>
      </c>
      <c r="BV726" s="186">
        <v>265.81</v>
      </c>
      <c r="BY726" s="125">
        <f t="shared" si="273"/>
        <v>1179.0930000000001</v>
      </c>
      <c r="BZ726" s="126">
        <f t="shared" si="274"/>
        <v>10046.744000000001</v>
      </c>
      <c r="CA726" s="126">
        <f t="shared" si="275"/>
        <v>9970.7489999999998</v>
      </c>
      <c r="CB726" s="127">
        <f t="shared" si="276"/>
        <v>15840.38</v>
      </c>
    </row>
    <row r="727" spans="1:81" ht="31.5" hidden="1" customHeight="1" outlineLevel="3" x14ac:dyDescent="0.25">
      <c r="A727" s="10" t="b">
        <f>[4]Титульный!$AD$40="да"</f>
        <v>0</v>
      </c>
      <c r="B727" s="5" t="b">
        <f t="array" ref="B727">A727</f>
        <v>0</v>
      </c>
      <c r="C727" s="10" t="s">
        <v>674</v>
      </c>
      <c r="D727" s="297" t="s">
        <v>675</v>
      </c>
      <c r="E727" s="297" t="s">
        <v>73</v>
      </c>
      <c r="F727" s="10" t="s">
        <v>74</v>
      </c>
      <c r="G727" s="297" t="s">
        <v>73</v>
      </c>
      <c r="H727" s="297" t="s">
        <v>73</v>
      </c>
      <c r="I727" s="297" t="s">
        <v>73</v>
      </c>
      <c r="J727" s="297" t="s">
        <v>73</v>
      </c>
      <c r="K727" s="298" t="s">
        <v>73</v>
      </c>
      <c r="L727" s="10" t="s">
        <v>133</v>
      </c>
      <c r="M727" s="5" t="str">
        <f t="array" ref="M727">Y458</f>
        <v>1ВО::1.1</v>
      </c>
      <c r="Z727" s="6"/>
      <c r="AA727" s="6"/>
      <c r="AB727" s="403"/>
      <c r="AC727" s="413"/>
      <c r="AD727" s="32"/>
      <c r="AE727" s="72"/>
      <c r="AF727" s="73"/>
      <c r="AG727" s="73"/>
      <c r="AH727" s="74"/>
      <c r="AI727" s="179"/>
      <c r="AJ727" s="73"/>
      <c r="AK727" s="73"/>
      <c r="AL727" s="138"/>
      <c r="AM727" s="72"/>
      <c r="AN727" s="73"/>
      <c r="AO727" s="73"/>
      <c r="AP727" s="138"/>
      <c r="AQ727" s="72"/>
      <c r="AR727" s="73"/>
      <c r="AS727" s="73"/>
      <c r="AT727" s="138"/>
      <c r="AU727" s="72"/>
      <c r="AV727" s="73"/>
      <c r="AW727" s="73"/>
      <c r="AX727" s="138"/>
      <c r="AY727" s="72"/>
      <c r="AZ727" s="73"/>
      <c r="BA727" s="73"/>
      <c r="BB727" s="138"/>
      <c r="BC727" s="72"/>
      <c r="BD727" s="73"/>
      <c r="BE727" s="73"/>
      <c r="BF727" s="774"/>
      <c r="BG727" s="72"/>
      <c r="BH727" s="73"/>
      <c r="BI727" s="73"/>
      <c r="BJ727" s="138"/>
      <c r="BK727" s="72"/>
      <c r="BL727" s="73"/>
      <c r="BM727" s="73"/>
      <c r="BN727" s="138"/>
      <c r="BO727" s="72"/>
      <c r="BP727" s="73"/>
      <c r="BQ727" s="73"/>
      <c r="BR727" s="138"/>
      <c r="BS727" s="72"/>
      <c r="BT727" s="73"/>
      <c r="BU727" s="73"/>
      <c r="BV727" s="74"/>
      <c r="BY727" s="125">
        <f t="shared" si="273"/>
        <v>0</v>
      </c>
      <c r="BZ727" s="126">
        <f t="shared" si="274"/>
        <v>0</v>
      </c>
      <c r="CA727" s="126">
        <f t="shared" si="275"/>
        <v>0</v>
      </c>
      <c r="CB727" s="127">
        <f t="shared" si="276"/>
        <v>0</v>
      </c>
    </row>
    <row r="728" spans="1:81" ht="31.5" hidden="1" customHeight="1" outlineLevel="3" x14ac:dyDescent="0.25">
      <c r="A728" s="10" t="b">
        <f t="array" ref="A728">A727</f>
        <v>0</v>
      </c>
      <c r="B728" s="5" t="b">
        <f t="array" ref="B728">A728</f>
        <v>0</v>
      </c>
      <c r="C728" s="10" t="s">
        <v>83</v>
      </c>
      <c r="D728" s="297" t="s">
        <v>84</v>
      </c>
      <c r="E728" s="297" t="s">
        <v>73</v>
      </c>
      <c r="F728" s="10" t="s">
        <v>74</v>
      </c>
      <c r="G728" s="297" t="s">
        <v>676</v>
      </c>
      <c r="H728" s="297" t="s">
        <v>73</v>
      </c>
      <c r="I728" s="297" t="s">
        <v>73</v>
      </c>
      <c r="J728" s="297" t="s">
        <v>73</v>
      </c>
      <c r="K728" s="298" t="s">
        <v>73</v>
      </c>
      <c r="L728" s="10" t="s">
        <v>133</v>
      </c>
      <c r="M728" s="5" t="str">
        <f t="array" ref="M728">Y458</f>
        <v>1ВО::1.1</v>
      </c>
      <c r="Z728" s="6"/>
      <c r="AA728" s="6"/>
      <c r="AB728" s="403"/>
      <c r="AC728" s="497"/>
      <c r="AD728" s="32"/>
      <c r="AE728" s="72"/>
      <c r="AF728" s="73"/>
      <c r="AG728" s="73"/>
      <c r="AH728" s="74"/>
      <c r="AI728" s="179"/>
      <c r="AJ728" s="73"/>
      <c r="AK728" s="73"/>
      <c r="AL728" s="138"/>
      <c r="AM728" s="72"/>
      <c r="AN728" s="73"/>
      <c r="AO728" s="73"/>
      <c r="AP728" s="138"/>
      <c r="AQ728" s="72"/>
      <c r="AR728" s="73"/>
      <c r="AS728" s="73"/>
      <c r="AT728" s="138"/>
      <c r="AU728" s="72"/>
      <c r="AV728" s="73"/>
      <c r="AW728" s="73"/>
      <c r="AX728" s="138"/>
      <c r="AY728" s="72"/>
      <c r="AZ728" s="73"/>
      <c r="BA728" s="73"/>
      <c r="BB728" s="138"/>
      <c r="BC728" s="72"/>
      <c r="BD728" s="73"/>
      <c r="BE728" s="73"/>
      <c r="BF728" s="774"/>
      <c r="BG728" s="72"/>
      <c r="BH728" s="73"/>
      <c r="BI728" s="73"/>
      <c r="BJ728" s="138"/>
      <c r="BK728" s="72"/>
      <c r="BL728" s="73"/>
      <c r="BM728" s="73"/>
      <c r="BN728" s="138"/>
      <c r="BO728" s="72"/>
      <c r="BP728" s="73"/>
      <c r="BQ728" s="73"/>
      <c r="BR728" s="138"/>
      <c r="BS728" s="72"/>
      <c r="BT728" s="73"/>
      <c r="BU728" s="73"/>
      <c r="BV728" s="74"/>
      <c r="BY728" s="125">
        <f t="shared" si="273"/>
        <v>0</v>
      </c>
      <c r="BZ728" s="126">
        <f t="shared" si="274"/>
        <v>0</v>
      </c>
      <c r="CA728" s="126">
        <f t="shared" si="275"/>
        <v>0</v>
      </c>
      <c r="CB728" s="127">
        <f t="shared" si="276"/>
        <v>0</v>
      </c>
    </row>
    <row r="729" spans="1:81" ht="31.5" customHeight="1" outlineLevel="3" x14ac:dyDescent="0.25">
      <c r="C729" s="10" t="s">
        <v>83</v>
      </c>
      <c r="D729" s="297" t="s">
        <v>84</v>
      </c>
      <c r="E729" s="297" t="s">
        <v>73</v>
      </c>
      <c r="F729" s="10" t="s">
        <v>74</v>
      </c>
      <c r="G729" s="297" t="s">
        <v>501</v>
      </c>
      <c r="H729" s="297" t="s">
        <v>73</v>
      </c>
      <c r="I729" s="297" t="s">
        <v>73</v>
      </c>
      <c r="J729" s="297" t="s">
        <v>73</v>
      </c>
      <c r="K729" s="298" t="s">
        <v>73</v>
      </c>
      <c r="L729" s="10" t="s">
        <v>133</v>
      </c>
      <c r="M729" s="5" t="str">
        <f t="array" ref="M729">Y458</f>
        <v>1ВО::1.1</v>
      </c>
      <c r="AB729" s="403" t="str">
        <f>IF(AB727="",AB721&amp;".4",AB721&amp;".5")</f>
        <v>3.3.4</v>
      </c>
      <c r="AC729" s="497" t="s">
        <v>503</v>
      </c>
      <c r="AD729" s="32" t="s">
        <v>119</v>
      </c>
      <c r="AE729" s="175">
        <f>AE721*100/(AE767-AE732-AE756-AE761)</f>
        <v>0</v>
      </c>
      <c r="AF729" s="73">
        <f>AF721*100/(AF767-AF732-AF756-AF761)</f>
        <v>0.90580249977933658</v>
      </c>
      <c r="AG729" s="73">
        <f t="shared" ref="AG729:AH729" si="277">AG721*100/(AG767-AG732-AG756-AG761)</f>
        <v>0.45754857159327555</v>
      </c>
      <c r="AH729" s="179">
        <f t="shared" si="277"/>
        <v>1.1317055890357457</v>
      </c>
      <c r="AI729" s="175">
        <f>AI721*100/(AI767-AI732-AI756-AI761)</f>
        <v>0</v>
      </c>
      <c r="AJ729" s="73">
        <f>AJ721*100/(AJ767-AJ732-AJ756-AJ761)</f>
        <v>0</v>
      </c>
      <c r="AK729" s="73">
        <f t="shared" ref="AK729:AL729" si="278">AK721*100/(AK767-AK732-AK756-AK761)</f>
        <v>0</v>
      </c>
      <c r="AL729" s="179">
        <f t="shared" si="278"/>
        <v>0</v>
      </c>
      <c r="AM729" s="175" t="e">
        <f>AM721*100/(AM767-AM732-AM756-AM761)</f>
        <v>#DIV/0!</v>
      </c>
      <c r="AN729" s="73" t="e">
        <f>AN721*100/(AN767-AN732-AN756-AN761)</f>
        <v>#DIV/0!</v>
      </c>
      <c r="AO729" s="73" t="e">
        <f t="shared" ref="AO729:AP729" si="279">AO721*100/(AO767-AO732-AO756-AO761)</f>
        <v>#DIV/0!</v>
      </c>
      <c r="AP729" s="179" t="e">
        <f t="shared" si="279"/>
        <v>#DIV/0!</v>
      </c>
      <c r="AQ729" s="175">
        <f>AQ721*100/(AQ767-AQ732-AQ756-AQ761)</f>
        <v>0</v>
      </c>
      <c r="AR729" s="73">
        <f>AR721*100/(AR767-AR732-AR756-AR761)</f>
        <v>0</v>
      </c>
      <c r="AS729" s="73">
        <f t="shared" ref="AS729:AT729" si="280">AS721*100/(AS767-AS732-AS756-AS761)</f>
        <v>1.6817709160113372</v>
      </c>
      <c r="AT729" s="179">
        <f t="shared" si="280"/>
        <v>-18.666193567831549</v>
      </c>
      <c r="AU729" s="175">
        <f>AU721*100/(AU767-AU732-AU756-AU761)</f>
        <v>0</v>
      </c>
      <c r="AV729" s="73">
        <f>AV721*100/(AV767-AV732-AV756-AV761)</f>
        <v>0</v>
      </c>
      <c r="AW729" s="73">
        <f t="shared" ref="AW729:AX729" si="281">AW721*100/(AW767-AW732-AW756-AW761)</f>
        <v>0.82629761574939997</v>
      </c>
      <c r="AX729" s="179">
        <f t="shared" si="281"/>
        <v>-2.8628905140273955</v>
      </c>
      <c r="AY729" s="175">
        <f>AY721*100/(AY767-AY732-AY756-AY761)</f>
        <v>0</v>
      </c>
      <c r="AZ729" s="73">
        <f>AZ721*100/(AZ767-AZ732-AZ756-AZ761)</f>
        <v>0.15155708625581474</v>
      </c>
      <c r="BA729" s="73">
        <f t="shared" ref="BA729:BB729" si="282">BA721*100/(BA767-BA732-BA756-BA761)</f>
        <v>0.36394927456985687</v>
      </c>
      <c r="BB729" s="179">
        <f t="shared" si="282"/>
        <v>0</v>
      </c>
      <c r="BC729" s="175">
        <f>BC721*100/(BC767-BC732-BC756-BC761)</f>
        <v>0.58230918386647823</v>
      </c>
      <c r="BD729" s="73">
        <f>BD721*100/(BD767-BD732-BD756-BD761)</f>
        <v>0</v>
      </c>
      <c r="BE729" s="73">
        <f t="shared" ref="BE729:BF729" si="283">BE721*100/(BE767-BE732-BE756-BE761)</f>
        <v>0.725461468348507</v>
      </c>
      <c r="BF729" s="179">
        <f t="shared" si="283"/>
        <v>-1.4241055605876236</v>
      </c>
      <c r="BG729" s="175">
        <f>BG721*100/(BG767-BG732-BG756-BG761)</f>
        <v>0.67342482237731038</v>
      </c>
      <c r="BH729" s="73">
        <f>BH721*100/(BH767-BH732-BH756-BH761)</f>
        <v>0</v>
      </c>
      <c r="BI729" s="73">
        <f t="shared" ref="BI729:BJ729" si="284">BI721*100/(BI767-BI732-BI756-BI761)</f>
        <v>0.72977639861714216</v>
      </c>
      <c r="BJ729" s="179">
        <f t="shared" si="284"/>
        <v>0</v>
      </c>
      <c r="BK729" s="175">
        <f>BK721*100/(BK767-BK732-BK756-BK761)</f>
        <v>0</v>
      </c>
      <c r="BL729" s="73">
        <f>BL721*100/(BL767-BL732-BL756-BL761)</f>
        <v>0</v>
      </c>
      <c r="BM729" s="73">
        <f t="shared" ref="BM729:BN729" si="285">BM721*100/(BM767-BM732-BM756-BM761)</f>
        <v>0</v>
      </c>
      <c r="BN729" s="179">
        <f t="shared" si="285"/>
        <v>0</v>
      </c>
      <c r="BO729" s="175">
        <f>BO721*100/(BO767-BO732-BO756-BO761)</f>
        <v>0.2567652452553289</v>
      </c>
      <c r="BP729" s="73">
        <f>BP721*100/(BP767-BP732-BP756-BP761)</f>
        <v>0</v>
      </c>
      <c r="BQ729" s="73">
        <f t="shared" ref="BQ729:BR729" si="286">BQ721*100/(BQ767-BQ732-BQ756-BQ761)</f>
        <v>0.36779478576100366</v>
      </c>
      <c r="BR729" s="179">
        <f t="shared" si="286"/>
        <v>0</v>
      </c>
      <c r="BS729" s="175">
        <f>BS721*100/(BS767-BS732-BS756-BS761)</f>
        <v>0.45704543980122736</v>
      </c>
      <c r="BT729" s="73">
        <f>BT721*100/(BT767-BT732-BT756-BT761)</f>
        <v>0</v>
      </c>
      <c r="BU729" s="73">
        <f t="shared" ref="BU729:BV729" si="287">BU721*100/(BU767-BU732-BU756-BU761)</f>
        <v>0.66238281513215602</v>
      </c>
      <c r="BV729" s="176">
        <f t="shared" si="287"/>
        <v>1.0945412529349319</v>
      </c>
      <c r="BY729" s="72">
        <f>BY721*100/(BY767-BY732-BY756-BY761)</f>
        <v>6.7827836649834231E-2</v>
      </c>
      <c r="BZ729" s="73">
        <f>BZ721*100/(BZ767-BZ732-BZ756-BZ761)</f>
        <v>0.78557365881354202</v>
      </c>
      <c r="CA729" s="73">
        <f t="shared" ref="CA729:CB729" si="288">CA721*100/(CA767-CA732-CA756-CA761)</f>
        <v>0.46544891469171973</v>
      </c>
      <c r="CB729" s="74">
        <f t="shared" si="288"/>
        <v>1.1410871642917693</v>
      </c>
    </row>
    <row r="730" spans="1:81" ht="31.5" hidden="1" customHeight="1" outlineLevel="1" x14ac:dyDescent="0.25">
      <c r="B730" s="10" t="b">
        <f>S458="да"</f>
        <v>1</v>
      </c>
      <c r="C730" s="10" t="s">
        <v>83</v>
      </c>
      <c r="D730" s="10" t="s">
        <v>84</v>
      </c>
      <c r="E730" s="10" t="s">
        <v>73</v>
      </c>
      <c r="F730" s="10" t="s">
        <v>74</v>
      </c>
      <c r="G730" s="10" t="s">
        <v>677</v>
      </c>
      <c r="H730" s="10" t="s">
        <v>73</v>
      </c>
      <c r="I730" s="10" t="s">
        <v>73</v>
      </c>
      <c r="J730" s="10" t="s">
        <v>73</v>
      </c>
      <c r="K730" s="12" t="s">
        <v>73</v>
      </c>
      <c r="L730" s="10" t="s">
        <v>133</v>
      </c>
      <c r="M730" s="5" t="str">
        <f t="array" ref="M730">Y458</f>
        <v>1ВО::1.1</v>
      </c>
      <c r="AB730" s="403" t="str">
        <f>AB507&amp;".4"</f>
        <v>3.4</v>
      </c>
      <c r="AC730" s="305" t="s">
        <v>677</v>
      </c>
      <c r="AD730" s="32" t="s">
        <v>111</v>
      </c>
      <c r="AE730" s="72"/>
      <c r="AF730" s="178"/>
      <c r="AG730" s="178"/>
      <c r="AH730" s="96"/>
      <c r="AI730" s="179"/>
      <c r="AJ730" s="178"/>
      <c r="AK730" s="178"/>
      <c r="AL730" s="181"/>
      <c r="AM730" s="72"/>
      <c r="AN730" s="178"/>
      <c r="AO730" s="178"/>
      <c r="AP730" s="181"/>
      <c r="AQ730" s="72"/>
      <c r="AR730" s="178"/>
      <c r="AS730" s="178"/>
      <c r="AT730" s="181"/>
      <c r="AU730" s="72"/>
      <c r="AV730" s="178"/>
      <c r="AW730" s="178"/>
      <c r="AX730" s="181"/>
      <c r="AY730" s="72"/>
      <c r="AZ730" s="178"/>
      <c r="BA730" s="178"/>
      <c r="BB730" s="181"/>
      <c r="BC730" s="72"/>
      <c r="BD730" s="178"/>
      <c r="BE730" s="178"/>
      <c r="BF730" s="210"/>
      <c r="BG730" s="72"/>
      <c r="BH730" s="178"/>
      <c r="BI730" s="178"/>
      <c r="BJ730" s="181"/>
      <c r="BK730" s="72"/>
      <c r="BL730" s="178"/>
      <c r="BM730" s="178"/>
      <c r="BN730" s="181"/>
      <c r="BO730" s="72"/>
      <c r="BP730" s="178"/>
      <c r="BQ730" s="178"/>
      <c r="BR730" s="181"/>
      <c r="BS730" s="72"/>
      <c r="BT730" s="178"/>
      <c r="BU730" s="178"/>
      <c r="BV730" s="96"/>
      <c r="BY730" s="125">
        <f t="shared" si="273"/>
        <v>0</v>
      </c>
      <c r="BZ730" s="126">
        <f t="shared" si="274"/>
        <v>0</v>
      </c>
      <c r="CA730" s="126">
        <f t="shared" si="275"/>
        <v>0</v>
      </c>
      <c r="CB730" s="127">
        <f t="shared" si="276"/>
        <v>0</v>
      </c>
    </row>
    <row r="731" spans="1:81" ht="30" hidden="1" customHeight="1" outlineLevel="2" x14ac:dyDescent="0.25">
      <c r="B731" s="10" t="b">
        <f t="array" ref="B731">B730</f>
        <v>1</v>
      </c>
      <c r="C731" s="10" t="s">
        <v>678</v>
      </c>
      <c r="D731" s="10" t="s">
        <v>679</v>
      </c>
      <c r="E731" s="10" t="s">
        <v>73</v>
      </c>
      <c r="F731" s="10" t="s">
        <v>74</v>
      </c>
      <c r="G731" s="10" t="s">
        <v>73</v>
      </c>
      <c r="H731" s="10" t="s">
        <v>73</v>
      </c>
      <c r="I731" s="10" t="s">
        <v>73</v>
      </c>
      <c r="J731" s="10" t="s">
        <v>73</v>
      </c>
      <c r="K731" s="12" t="s">
        <v>73</v>
      </c>
      <c r="L731" s="10" t="s">
        <v>133</v>
      </c>
      <c r="M731" s="5" t="str">
        <f t="array" ref="M731">Y458</f>
        <v>1ВО::1.1</v>
      </c>
      <c r="AB731" s="403" t="str">
        <f>AB730&amp;".1"</f>
        <v>3.4.1</v>
      </c>
      <c r="AC731" s="305" t="s">
        <v>679</v>
      </c>
      <c r="AD731" s="32" t="s">
        <v>119</v>
      </c>
      <c r="AE731" s="95"/>
      <c r="AF731" s="178"/>
      <c r="AG731" s="73"/>
      <c r="AH731" s="74"/>
      <c r="AI731" s="187"/>
      <c r="AJ731" s="178"/>
      <c r="AK731" s="73"/>
      <c r="AL731" s="138"/>
      <c r="AM731" s="95"/>
      <c r="AN731" s="178"/>
      <c r="AO731" s="73"/>
      <c r="AP731" s="138"/>
      <c r="AQ731" s="95"/>
      <c r="AR731" s="178"/>
      <c r="AS731" s="73"/>
      <c r="AT731" s="138"/>
      <c r="AU731" s="95"/>
      <c r="AV731" s="178"/>
      <c r="AW731" s="73"/>
      <c r="AX731" s="138"/>
      <c r="AY731" s="95"/>
      <c r="AZ731" s="178"/>
      <c r="BA731" s="73"/>
      <c r="BB731" s="138"/>
      <c r="BC731" s="95"/>
      <c r="BD731" s="178"/>
      <c r="BE731" s="73"/>
      <c r="BF731" s="774"/>
      <c r="BG731" s="95"/>
      <c r="BH731" s="178"/>
      <c r="BI731" s="73"/>
      <c r="BJ731" s="138"/>
      <c r="BK731" s="95"/>
      <c r="BL731" s="178"/>
      <c r="BM731" s="73"/>
      <c r="BN731" s="138"/>
      <c r="BO731" s="95"/>
      <c r="BP731" s="178"/>
      <c r="BQ731" s="73"/>
      <c r="BR731" s="138"/>
      <c r="BS731" s="95"/>
      <c r="BT731" s="178"/>
      <c r="BU731" s="73"/>
      <c r="BV731" s="74"/>
      <c r="BY731" s="125">
        <f t="shared" si="273"/>
        <v>0</v>
      </c>
      <c r="BZ731" s="126">
        <f t="shared" si="274"/>
        <v>0</v>
      </c>
      <c r="CA731" s="126">
        <f t="shared" si="275"/>
        <v>0</v>
      </c>
      <c r="CB731" s="127">
        <f t="shared" si="276"/>
        <v>0</v>
      </c>
    </row>
    <row r="732" spans="1:81" s="171" customFormat="1" ht="30.75" customHeight="1" x14ac:dyDescent="0.25">
      <c r="A732" s="167" t="b">
        <f>REGULATION_METHODS="Метод индексации"</f>
        <v>1</v>
      </c>
      <c r="B732" s="166" t="b">
        <f t="array" ref="B732">A732</f>
        <v>1</v>
      </c>
      <c r="C732" s="167" t="s">
        <v>83</v>
      </c>
      <c r="D732" s="167" t="s">
        <v>84</v>
      </c>
      <c r="E732" s="167" t="s">
        <v>73</v>
      </c>
      <c r="F732" s="167" t="s">
        <v>74</v>
      </c>
      <c r="G732" s="167" t="s">
        <v>504</v>
      </c>
      <c r="H732" s="167" t="s">
        <v>73</v>
      </c>
      <c r="I732" s="167" t="s">
        <v>73</v>
      </c>
      <c r="J732" s="167" t="s">
        <v>73</v>
      </c>
      <c r="K732" s="168" t="s">
        <v>73</v>
      </c>
      <c r="L732" s="167" t="s">
        <v>133</v>
      </c>
      <c r="M732" s="166" t="str">
        <f t="array" ref="M732">Y458</f>
        <v>1ВО::1.1</v>
      </c>
      <c r="N732" s="166"/>
      <c r="O732" s="166"/>
      <c r="P732" s="166"/>
      <c r="Q732" s="166"/>
      <c r="R732" s="166"/>
      <c r="S732" s="166"/>
      <c r="T732" s="166"/>
      <c r="U732" s="166"/>
      <c r="V732" s="166"/>
      <c r="W732" s="166"/>
      <c r="X732" s="166"/>
      <c r="Y732" s="166"/>
      <c r="Z732" s="166"/>
      <c r="AA732" s="166"/>
      <c r="AB732" s="429">
        <f>AB507+1</f>
        <v>4</v>
      </c>
      <c r="AC732" s="430" t="s">
        <v>504</v>
      </c>
      <c r="AD732" s="431" t="s">
        <v>111</v>
      </c>
      <c r="AE732" s="476"/>
      <c r="AF732" s="433">
        <f>AF736-AF739+AF752</f>
        <v>-212158.32399999999</v>
      </c>
      <c r="AG732" s="433">
        <f>AG736-AG739+AG740</f>
        <v>321979.78999999998</v>
      </c>
      <c r="AH732" s="490">
        <f>AH736-AH739+AH740</f>
        <v>-413867.64</v>
      </c>
      <c r="AI732" s="475"/>
      <c r="AJ732" s="433">
        <f>SUM(AJ740:AJ742)</f>
        <v>0</v>
      </c>
      <c r="AK732" s="433">
        <f>AK736-AK739+AK740</f>
        <v>0</v>
      </c>
      <c r="AL732" s="477">
        <v>-8806.5</v>
      </c>
      <c r="AM732" s="476"/>
      <c r="AN732" s="433"/>
      <c r="AO732" s="433"/>
      <c r="AP732" s="477"/>
      <c r="AQ732" s="476"/>
      <c r="AR732" s="433">
        <f>AR742+AR746</f>
        <v>583.30999999999995</v>
      </c>
      <c r="AS732" s="433">
        <f>AS736-AS739+AS740</f>
        <v>13684.71</v>
      </c>
      <c r="AT732" s="477">
        <v>-4294.49</v>
      </c>
      <c r="AU732" s="476"/>
      <c r="AV732" s="433">
        <f>AV736-AV739+AV740</f>
        <v>0</v>
      </c>
      <c r="AW732" s="433">
        <f>AW736-AW739+AW740</f>
        <v>12826.46</v>
      </c>
      <c r="AX732" s="477">
        <v>-3979.61</v>
      </c>
      <c r="AY732" s="476"/>
      <c r="AZ732" s="433">
        <f>AZ736-AZ739+AZ740</f>
        <v>0</v>
      </c>
      <c r="BA732" s="433">
        <f>BA736-BA739+BA740</f>
        <v>2883.16</v>
      </c>
      <c r="BB732" s="477">
        <v>-6296.2</v>
      </c>
      <c r="BC732" s="476"/>
      <c r="BD732" s="433">
        <f>SUM(BD740:BD744)</f>
        <v>-252.85</v>
      </c>
      <c r="BE732" s="433">
        <f>BE736-BE739+BE740</f>
        <v>0</v>
      </c>
      <c r="BF732" s="983">
        <f>BF744</f>
        <v>-4964.42</v>
      </c>
      <c r="BG732" s="476"/>
      <c r="BH732" s="433">
        <f>BH736-BH739+BH740</f>
        <v>0</v>
      </c>
      <c r="BI732" s="433">
        <f>BI736-BI739+BI740</f>
        <v>0</v>
      </c>
      <c r="BJ732" s="477">
        <f>BJ744</f>
        <v>6939.45</v>
      </c>
      <c r="BK732" s="476">
        <f>BK736-BK739+BK740</f>
        <v>66174.77</v>
      </c>
      <c r="BL732" s="433">
        <f>BL742+BL744</f>
        <v>10961.220000000001</v>
      </c>
      <c r="BM732" s="433">
        <f>BM736-BM739+BM740</f>
        <v>0</v>
      </c>
      <c r="BN732" s="477">
        <v>-18285.66</v>
      </c>
      <c r="BO732" s="476"/>
      <c r="BP732" s="433">
        <f>SUM(BP740:BP750)</f>
        <v>2618.92</v>
      </c>
      <c r="BQ732" s="433">
        <f>BQ736-BQ739+BQ740</f>
        <v>3007.6</v>
      </c>
      <c r="BR732" s="477">
        <f>BR736-BR739+BR740</f>
        <v>-929.56</v>
      </c>
      <c r="BS732" s="476"/>
      <c r="BT732" s="433">
        <f>SUM(BT740:BT750)</f>
        <v>925.09000000000015</v>
      </c>
      <c r="BU732" s="433">
        <f>BU736-BU739+BU740</f>
        <v>0</v>
      </c>
      <c r="BV732" s="490">
        <f>SUM(BV733:BV740)</f>
        <v>-1951.1</v>
      </c>
      <c r="BW732" s="170"/>
      <c r="BX732" s="166"/>
      <c r="BY732" s="436">
        <f t="shared" si="273"/>
        <v>66174.77</v>
      </c>
      <c r="BZ732" s="437">
        <f t="shared" si="274"/>
        <v>-197322.63399999999</v>
      </c>
      <c r="CA732" s="437">
        <f t="shared" si="275"/>
        <v>354381.72</v>
      </c>
      <c r="CB732" s="438">
        <f>AH732+AL732+AP732+AT732+AX732+BB732+BF732+BJ732+BN732+BR732+BV732</f>
        <v>-456435.72999999992</v>
      </c>
      <c r="CC732" s="776">
        <f t="shared" ref="CC732:CC749" si="289">AF732+AJ732+AN732+AR732+AV732+AZ732+BD732++BH732+BL732+BP732+BT732</f>
        <v>-197322.63399999999</v>
      </c>
    </row>
    <row r="733" spans="1:81" ht="43.5" hidden="1" customHeight="1" outlineLevel="1" x14ac:dyDescent="0.25">
      <c r="A733" s="10" t="b">
        <f t="array" ref="A733">A732</f>
        <v>1</v>
      </c>
      <c r="B733" s="5" t="b">
        <f t="array" ref="B733">A733</f>
        <v>1</v>
      </c>
      <c r="C733" s="10" t="s">
        <v>83</v>
      </c>
      <c r="D733" s="10" t="s">
        <v>84</v>
      </c>
      <c r="E733" s="10" t="s">
        <v>73</v>
      </c>
      <c r="F733" s="10" t="s">
        <v>74</v>
      </c>
      <c r="G733" s="10" t="s">
        <v>680</v>
      </c>
      <c r="H733" s="10" t="s">
        <v>73</v>
      </c>
      <c r="I733" s="10" t="s">
        <v>73</v>
      </c>
      <c r="J733" s="10" t="s">
        <v>73</v>
      </c>
      <c r="K733" s="12" t="s">
        <v>73</v>
      </c>
      <c r="L733" s="10" t="s">
        <v>133</v>
      </c>
      <c r="M733" s="5" t="str">
        <f t="array" ref="M733">Y458</f>
        <v>1ВО::1.1</v>
      </c>
      <c r="AB733" s="403" t="str">
        <f>AB732&amp;".1"</f>
        <v>4.1</v>
      </c>
      <c r="AC733" s="305" t="s">
        <v>680</v>
      </c>
      <c r="AD733" s="32" t="s">
        <v>111</v>
      </c>
      <c r="AE733" s="95"/>
      <c r="AF733" s="178"/>
      <c r="AG733" s="178"/>
      <c r="AH733" s="96"/>
      <c r="AI733" s="187"/>
      <c r="AJ733" s="178"/>
      <c r="AK733" s="178"/>
      <c r="AL733" s="181"/>
      <c r="AM733" s="95"/>
      <c r="AN733" s="178"/>
      <c r="AO733" s="178"/>
      <c r="AP733" s="181"/>
      <c r="AQ733" s="95"/>
      <c r="AR733" s="178"/>
      <c r="AS733" s="178"/>
      <c r="AT733" s="181"/>
      <c r="AU733" s="95"/>
      <c r="AV733" s="178"/>
      <c r="AW733" s="178"/>
      <c r="AX733" s="181"/>
      <c r="AY733" s="95"/>
      <c r="AZ733" s="178"/>
      <c r="BA733" s="178"/>
      <c r="BB733" s="181"/>
      <c r="BC733" s="95"/>
      <c r="BD733" s="178"/>
      <c r="BE733" s="178"/>
      <c r="BF733" s="210"/>
      <c r="BG733" s="95"/>
      <c r="BH733" s="178"/>
      <c r="BI733" s="178"/>
      <c r="BJ733" s="181"/>
      <c r="BK733" s="95"/>
      <c r="BL733" s="178"/>
      <c r="BM733" s="178"/>
      <c r="BN733" s="181"/>
      <c r="BO733" s="95"/>
      <c r="BP733" s="178"/>
      <c r="BQ733" s="178"/>
      <c r="BR733" s="181"/>
      <c r="BS733" s="95"/>
      <c r="BT733" s="178"/>
      <c r="BU733" s="178"/>
      <c r="BV733" s="96"/>
      <c r="BY733" s="125">
        <f t="shared" si="273"/>
        <v>0</v>
      </c>
      <c r="BZ733" s="126">
        <f t="shared" si="274"/>
        <v>0</v>
      </c>
      <c r="CA733" s="126">
        <f t="shared" si="275"/>
        <v>0</v>
      </c>
      <c r="CB733" s="127">
        <f t="shared" si="276"/>
        <v>0</v>
      </c>
      <c r="CC733" s="776">
        <f t="shared" si="289"/>
        <v>0</v>
      </c>
    </row>
    <row r="734" spans="1:81" ht="54" hidden="1" customHeight="1" outlineLevel="1" x14ac:dyDescent="0.25">
      <c r="A734" s="10" t="b">
        <f t="array" ref="A734">A733</f>
        <v>1</v>
      </c>
      <c r="B734" s="5" t="b">
        <f t="array" ref="B734">A734</f>
        <v>1</v>
      </c>
      <c r="C734" s="10" t="s">
        <v>83</v>
      </c>
      <c r="D734" s="10" t="s">
        <v>84</v>
      </c>
      <c r="E734" s="10" t="s">
        <v>73</v>
      </c>
      <c r="F734" s="10" t="s">
        <v>74</v>
      </c>
      <c r="G734" s="10" t="s">
        <v>681</v>
      </c>
      <c r="H734" s="10" t="s">
        <v>73</v>
      </c>
      <c r="I734" s="10" t="s">
        <v>73</v>
      </c>
      <c r="J734" s="10" t="s">
        <v>73</v>
      </c>
      <c r="K734" s="12" t="s">
        <v>73</v>
      </c>
      <c r="L734" s="10" t="s">
        <v>133</v>
      </c>
      <c r="M734" s="5" t="str">
        <f t="array" ref="M734">Y458</f>
        <v>1ВО::1.1</v>
      </c>
      <c r="AB734" s="403" t="str">
        <f>AB732&amp;".2"</f>
        <v>4.2</v>
      </c>
      <c r="AC734" s="305" t="s">
        <v>682</v>
      </c>
      <c r="AD734" s="32" t="s">
        <v>111</v>
      </c>
      <c r="AE734" s="95"/>
      <c r="AF734" s="178"/>
      <c r="AG734" s="178"/>
      <c r="AH734" s="96"/>
      <c r="AI734" s="187"/>
      <c r="AJ734" s="178"/>
      <c r="AK734" s="178"/>
      <c r="AL734" s="181"/>
      <c r="AM734" s="95"/>
      <c r="AN734" s="178"/>
      <c r="AO734" s="178"/>
      <c r="AP734" s="181"/>
      <c r="AQ734" s="95"/>
      <c r="AR734" s="178"/>
      <c r="AS734" s="178"/>
      <c r="AT734" s="181"/>
      <c r="AU734" s="95"/>
      <c r="AV734" s="178"/>
      <c r="AW734" s="178"/>
      <c r="AX734" s="181"/>
      <c r="AY734" s="95"/>
      <c r="AZ734" s="178"/>
      <c r="BA734" s="178"/>
      <c r="BB734" s="181"/>
      <c r="BC734" s="95"/>
      <c r="BD734" s="178"/>
      <c r="BE734" s="178"/>
      <c r="BF734" s="210"/>
      <c r="BG734" s="95"/>
      <c r="BH734" s="178"/>
      <c r="BI734" s="178"/>
      <c r="BJ734" s="181"/>
      <c r="BK734" s="95"/>
      <c r="BL734" s="178"/>
      <c r="BM734" s="178"/>
      <c r="BN734" s="181"/>
      <c r="BO734" s="95"/>
      <c r="BP734" s="178"/>
      <c r="BQ734" s="178"/>
      <c r="BR734" s="181"/>
      <c r="BS734" s="95"/>
      <c r="BT734" s="178"/>
      <c r="BU734" s="178"/>
      <c r="BV734" s="96"/>
      <c r="BY734" s="125">
        <f t="shared" si="273"/>
        <v>0</v>
      </c>
      <c r="BZ734" s="126">
        <f t="shared" si="274"/>
        <v>0</v>
      </c>
      <c r="CA734" s="126">
        <f t="shared" si="275"/>
        <v>0</v>
      </c>
      <c r="CB734" s="127">
        <f t="shared" si="276"/>
        <v>0</v>
      </c>
      <c r="CC734" s="776">
        <f t="shared" si="289"/>
        <v>0</v>
      </c>
    </row>
    <row r="735" spans="1:81" ht="40.5" hidden="1" customHeight="1" outlineLevel="1" x14ac:dyDescent="0.25">
      <c r="A735" s="10" t="b">
        <f t="array" ref="A735">A734</f>
        <v>1</v>
      </c>
      <c r="B735" s="5" t="b">
        <f t="array" ref="B735">A735</f>
        <v>1</v>
      </c>
      <c r="C735" s="10" t="s">
        <v>83</v>
      </c>
      <c r="D735" s="10" t="s">
        <v>84</v>
      </c>
      <c r="E735" s="10" t="s">
        <v>73</v>
      </c>
      <c r="F735" s="10" t="s">
        <v>74</v>
      </c>
      <c r="G735" s="10" t="s">
        <v>683</v>
      </c>
      <c r="H735" s="10" t="s">
        <v>73</v>
      </c>
      <c r="I735" s="10" t="s">
        <v>73</v>
      </c>
      <c r="J735" s="10" t="s">
        <v>73</v>
      </c>
      <c r="K735" s="12" t="s">
        <v>73</v>
      </c>
      <c r="L735" s="10" t="s">
        <v>133</v>
      </c>
      <c r="M735" s="5" t="str">
        <f t="array" ref="M735">Y458</f>
        <v>1ВО::1.1</v>
      </c>
      <c r="AB735" s="403" t="str">
        <f>AB732&amp;".3"</f>
        <v>4.3</v>
      </c>
      <c r="AC735" s="305" t="s">
        <v>683</v>
      </c>
      <c r="AD735" s="32" t="s">
        <v>111</v>
      </c>
      <c r="AE735" s="95"/>
      <c r="AF735" s="178"/>
      <c r="AG735" s="178"/>
      <c r="AH735" s="96"/>
      <c r="AI735" s="187"/>
      <c r="AJ735" s="178"/>
      <c r="AK735" s="178"/>
      <c r="AL735" s="181"/>
      <c r="AM735" s="95"/>
      <c r="AN735" s="178"/>
      <c r="AO735" s="178"/>
      <c r="AP735" s="181"/>
      <c r="AQ735" s="95"/>
      <c r="AR735" s="178"/>
      <c r="AS735" s="178"/>
      <c r="AT735" s="181"/>
      <c r="AU735" s="95"/>
      <c r="AV735" s="178"/>
      <c r="AW735" s="178"/>
      <c r="AX735" s="181"/>
      <c r="AY735" s="95"/>
      <c r="AZ735" s="178"/>
      <c r="BA735" s="178"/>
      <c r="BB735" s="181"/>
      <c r="BC735" s="95"/>
      <c r="BD735" s="178"/>
      <c r="BE735" s="178"/>
      <c r="BF735" s="210"/>
      <c r="BG735" s="95"/>
      <c r="BH735" s="178"/>
      <c r="BI735" s="178"/>
      <c r="BJ735" s="181"/>
      <c r="BK735" s="95"/>
      <c r="BL735" s="178"/>
      <c r="BM735" s="178"/>
      <c r="BN735" s="181"/>
      <c r="BO735" s="95"/>
      <c r="BP735" s="178"/>
      <c r="BQ735" s="178"/>
      <c r="BR735" s="181"/>
      <c r="BS735" s="95"/>
      <c r="BT735" s="178"/>
      <c r="BU735" s="178"/>
      <c r="BV735" s="96"/>
      <c r="BY735" s="125">
        <f t="shared" si="273"/>
        <v>0</v>
      </c>
      <c r="BZ735" s="126">
        <f t="shared" si="274"/>
        <v>0</v>
      </c>
      <c r="CA735" s="126">
        <f t="shared" si="275"/>
        <v>0</v>
      </c>
      <c r="CB735" s="127">
        <f t="shared" si="276"/>
        <v>0</v>
      </c>
      <c r="CC735" s="776">
        <f t="shared" si="289"/>
        <v>0</v>
      </c>
    </row>
    <row r="736" spans="1:81" ht="57.75" hidden="1" customHeight="1" outlineLevel="1" x14ac:dyDescent="0.25">
      <c r="A736" s="10" t="b">
        <f t="array" ref="A736">A735</f>
        <v>1</v>
      </c>
      <c r="B736" s="5" t="b">
        <f t="array" ref="B736">A736</f>
        <v>1</v>
      </c>
      <c r="C736" s="10" t="s">
        <v>83</v>
      </c>
      <c r="D736" s="10" t="s">
        <v>84</v>
      </c>
      <c r="E736" s="10" t="s">
        <v>73</v>
      </c>
      <c r="F736" s="10" t="s">
        <v>74</v>
      </c>
      <c r="G736" s="10" t="s">
        <v>505</v>
      </c>
      <c r="H736" s="10" t="s">
        <v>73</v>
      </c>
      <c r="I736" s="10" t="s">
        <v>73</v>
      </c>
      <c r="J736" s="10" t="s">
        <v>73</v>
      </c>
      <c r="K736" s="12" t="s">
        <v>73</v>
      </c>
      <c r="L736" s="10" t="s">
        <v>133</v>
      </c>
      <c r="M736" s="5" t="str">
        <f t="array" ref="M736">Y458</f>
        <v>1ВО::1.1</v>
      </c>
      <c r="AB736" s="403" t="str">
        <f>AB732&amp;".4"</f>
        <v>4.4</v>
      </c>
      <c r="AC736" s="305" t="s">
        <v>505</v>
      </c>
      <c r="AD736" s="32" t="s">
        <v>111</v>
      </c>
      <c r="AE736" s="95"/>
      <c r="AF736" s="178"/>
      <c r="AG736" s="178"/>
      <c r="AH736" s="96"/>
      <c r="AI736" s="187"/>
      <c r="AJ736" s="178"/>
      <c r="AK736" s="178"/>
      <c r="AL736" s="181"/>
      <c r="AM736" s="95"/>
      <c r="AN736" s="178"/>
      <c r="AO736" s="178"/>
      <c r="AP736" s="181"/>
      <c r="AQ736" s="95"/>
      <c r="AR736" s="178"/>
      <c r="AS736" s="178"/>
      <c r="AT736" s="181"/>
      <c r="AU736" s="95"/>
      <c r="AV736" s="178"/>
      <c r="AW736" s="178"/>
      <c r="AX736" s="181"/>
      <c r="AY736" s="95"/>
      <c r="AZ736" s="178"/>
      <c r="BA736" s="178"/>
      <c r="BB736" s="181"/>
      <c r="BC736" s="95"/>
      <c r="BD736" s="178"/>
      <c r="BE736" s="178"/>
      <c r="BF736" s="210"/>
      <c r="BG736" s="95"/>
      <c r="BH736" s="178"/>
      <c r="BI736" s="178"/>
      <c r="BJ736" s="181"/>
      <c r="BK736" s="95"/>
      <c r="BL736" s="178"/>
      <c r="BM736" s="178"/>
      <c r="BN736" s="181"/>
      <c r="BO736" s="95"/>
      <c r="BP736" s="178"/>
      <c r="BQ736" s="178"/>
      <c r="BR736" s="181"/>
      <c r="BS736" s="95"/>
      <c r="BT736" s="178"/>
      <c r="BU736" s="178"/>
      <c r="BV736" s="96"/>
      <c r="BY736" s="125">
        <f t="shared" si="273"/>
        <v>0</v>
      </c>
      <c r="BZ736" s="126">
        <f t="shared" si="274"/>
        <v>0</v>
      </c>
      <c r="CA736" s="126">
        <f t="shared" si="275"/>
        <v>0</v>
      </c>
      <c r="CB736" s="127">
        <f t="shared" si="276"/>
        <v>0</v>
      </c>
      <c r="CC736" s="776">
        <f t="shared" si="289"/>
        <v>0</v>
      </c>
    </row>
    <row r="737" spans="1:81" ht="143.25" hidden="1" customHeight="1" outlineLevel="2" x14ac:dyDescent="0.25">
      <c r="A737" s="10" t="b">
        <f t="array" ref="A737">A736</f>
        <v>1</v>
      </c>
      <c r="B737" s="5" t="b">
        <f t="array" ref="B737">A737</f>
        <v>1</v>
      </c>
      <c r="C737" s="10" t="s">
        <v>83</v>
      </c>
      <c r="D737" s="10" t="s">
        <v>84</v>
      </c>
      <c r="E737" s="10" t="s">
        <v>73</v>
      </c>
      <c r="F737" s="10" t="s">
        <v>74</v>
      </c>
      <c r="G737" s="10" t="s">
        <v>684</v>
      </c>
      <c r="H737" s="10" t="s">
        <v>73</v>
      </c>
      <c r="I737" s="10" t="s">
        <v>73</v>
      </c>
      <c r="J737" s="10" t="s">
        <v>73</v>
      </c>
      <c r="K737" s="12" t="s">
        <v>73</v>
      </c>
      <c r="L737" s="10" t="s">
        <v>133</v>
      </c>
      <c r="M737" s="5" t="str">
        <f t="array" ref="M737">Y458</f>
        <v>1ВО::1.1</v>
      </c>
      <c r="AB737" s="403" t="str">
        <f>AB736&amp;".1"</f>
        <v>4.4.1</v>
      </c>
      <c r="AC737" s="413" t="s">
        <v>685</v>
      </c>
      <c r="AD737" s="32" t="s">
        <v>111</v>
      </c>
      <c r="AE737" s="95"/>
      <c r="AF737" s="178"/>
      <c r="AG737" s="178"/>
      <c r="AH737" s="96"/>
      <c r="AI737" s="187"/>
      <c r="AJ737" s="178"/>
      <c r="AK737" s="178"/>
      <c r="AL737" s="181"/>
      <c r="AM737" s="95"/>
      <c r="AN737" s="178"/>
      <c r="AO737" s="178"/>
      <c r="AP737" s="181"/>
      <c r="AQ737" s="95"/>
      <c r="AR737" s="178"/>
      <c r="AS737" s="178"/>
      <c r="AT737" s="181"/>
      <c r="AU737" s="95"/>
      <c r="AV737" s="178"/>
      <c r="AW737" s="178"/>
      <c r="AX737" s="181"/>
      <c r="AY737" s="95"/>
      <c r="AZ737" s="178"/>
      <c r="BA737" s="178"/>
      <c r="BB737" s="181"/>
      <c r="BC737" s="95"/>
      <c r="BD737" s="178"/>
      <c r="BE737" s="178"/>
      <c r="BF737" s="210"/>
      <c r="BG737" s="95"/>
      <c r="BH737" s="178"/>
      <c r="BI737" s="178"/>
      <c r="BJ737" s="181"/>
      <c r="BK737" s="95"/>
      <c r="BL737" s="178"/>
      <c r="BM737" s="178"/>
      <c r="BN737" s="181"/>
      <c r="BO737" s="95"/>
      <c r="BP737" s="178"/>
      <c r="BQ737" s="178"/>
      <c r="BR737" s="181"/>
      <c r="BS737" s="95"/>
      <c r="BT737" s="178"/>
      <c r="BU737" s="178"/>
      <c r="BV737" s="96"/>
      <c r="BY737" s="125">
        <f t="shared" si="273"/>
        <v>0</v>
      </c>
      <c r="BZ737" s="126">
        <f t="shared" si="274"/>
        <v>0</v>
      </c>
      <c r="CA737" s="126">
        <f t="shared" si="275"/>
        <v>0</v>
      </c>
      <c r="CB737" s="127">
        <f t="shared" si="276"/>
        <v>0</v>
      </c>
      <c r="CC737" s="776">
        <f t="shared" si="289"/>
        <v>0</v>
      </c>
    </row>
    <row r="738" spans="1:81" ht="91.5" hidden="1" customHeight="1" outlineLevel="2" x14ac:dyDescent="0.25">
      <c r="A738" s="10" t="b">
        <f t="array" ref="A738">A737</f>
        <v>1</v>
      </c>
      <c r="B738" s="5" t="b">
        <f t="array" ref="B738">A738</f>
        <v>1</v>
      </c>
      <c r="C738" s="10" t="s">
        <v>83</v>
      </c>
      <c r="D738" s="10" t="s">
        <v>84</v>
      </c>
      <c r="E738" s="10" t="s">
        <v>73</v>
      </c>
      <c r="F738" s="10" t="s">
        <v>74</v>
      </c>
      <c r="G738" s="10" t="s">
        <v>686</v>
      </c>
      <c r="H738" s="10" t="s">
        <v>73</v>
      </c>
      <c r="I738" s="10" t="s">
        <v>73</v>
      </c>
      <c r="J738" s="10" t="s">
        <v>73</v>
      </c>
      <c r="K738" s="12" t="s">
        <v>73</v>
      </c>
      <c r="L738" s="10" t="s">
        <v>133</v>
      </c>
      <c r="M738" s="5" t="str">
        <f t="array" ref="M738">Y458</f>
        <v>1ВО::1.1</v>
      </c>
      <c r="AB738" s="403" t="str">
        <f>AB736&amp;".2"</f>
        <v>4.4.2</v>
      </c>
      <c r="AC738" s="413" t="s">
        <v>687</v>
      </c>
      <c r="AD738" s="32" t="s">
        <v>111</v>
      </c>
      <c r="AE738" s="95"/>
      <c r="AF738" s="178"/>
      <c r="AG738" s="178"/>
      <c r="AH738" s="96"/>
      <c r="AI738" s="187"/>
      <c r="AJ738" s="178"/>
      <c r="AK738" s="178"/>
      <c r="AL738" s="181"/>
      <c r="AM738" s="95"/>
      <c r="AN738" s="178"/>
      <c r="AO738" s="178"/>
      <c r="AP738" s="181"/>
      <c r="AQ738" s="95"/>
      <c r="AR738" s="178"/>
      <c r="AS738" s="178"/>
      <c r="AT738" s="181"/>
      <c r="AU738" s="95"/>
      <c r="AV738" s="178"/>
      <c r="AW738" s="178"/>
      <c r="AX738" s="181"/>
      <c r="AY738" s="95"/>
      <c r="AZ738" s="178"/>
      <c r="BA738" s="178"/>
      <c r="BB738" s="181"/>
      <c r="BC738" s="95"/>
      <c r="BD738" s="178"/>
      <c r="BE738" s="178"/>
      <c r="BF738" s="210"/>
      <c r="BG738" s="95"/>
      <c r="BH738" s="178"/>
      <c r="BI738" s="178"/>
      <c r="BJ738" s="181"/>
      <c r="BK738" s="95"/>
      <c r="BL738" s="178"/>
      <c r="BM738" s="178"/>
      <c r="BN738" s="181"/>
      <c r="BO738" s="95"/>
      <c r="BP738" s="178"/>
      <c r="BQ738" s="178"/>
      <c r="BR738" s="181"/>
      <c r="BS738" s="95"/>
      <c r="BT738" s="178"/>
      <c r="BU738" s="178"/>
      <c r="BV738" s="96"/>
      <c r="BY738" s="125">
        <f t="shared" si="273"/>
        <v>0</v>
      </c>
      <c r="BZ738" s="126">
        <f t="shared" si="274"/>
        <v>0</v>
      </c>
      <c r="CA738" s="126">
        <f t="shared" si="275"/>
        <v>0</v>
      </c>
      <c r="CB738" s="127">
        <f t="shared" si="276"/>
        <v>0</v>
      </c>
      <c r="CC738" s="776">
        <f t="shared" si="289"/>
        <v>0</v>
      </c>
    </row>
    <row r="739" spans="1:81" ht="141" hidden="1" customHeight="1" outlineLevel="1" collapsed="1" x14ac:dyDescent="0.25">
      <c r="A739" s="10" t="b">
        <f t="array" ref="A739">A738</f>
        <v>1</v>
      </c>
      <c r="B739" s="5" t="b">
        <f t="array" ref="B739">A739</f>
        <v>1</v>
      </c>
      <c r="C739" s="10" t="s">
        <v>83</v>
      </c>
      <c r="D739" s="10" t="s">
        <v>84</v>
      </c>
      <c r="E739" s="10" t="s">
        <v>73</v>
      </c>
      <c r="F739" s="10" t="s">
        <v>74</v>
      </c>
      <c r="G739" s="10" t="s">
        <v>688</v>
      </c>
      <c r="H739" s="10" t="s">
        <v>73</v>
      </c>
      <c r="I739" s="10" t="s">
        <v>73</v>
      </c>
      <c r="J739" s="10" t="s">
        <v>73</v>
      </c>
      <c r="K739" s="12" t="s">
        <v>73</v>
      </c>
      <c r="L739" s="10" t="s">
        <v>133</v>
      </c>
      <c r="M739" s="5" t="str">
        <f t="array" ref="M739">Y458</f>
        <v>1ВО::1.1</v>
      </c>
      <c r="AB739" s="403" t="str">
        <f>AB732&amp;".5"</f>
        <v>4.5</v>
      </c>
      <c r="AC739" s="305" t="s">
        <v>689</v>
      </c>
      <c r="AD739" s="32" t="s">
        <v>111</v>
      </c>
      <c r="AE739" s="95"/>
      <c r="AF739" s="178"/>
      <c r="AG739" s="178"/>
      <c r="AH739" s="96"/>
      <c r="AI739" s="187"/>
      <c r="AJ739" s="178"/>
      <c r="AK739" s="178"/>
      <c r="AL739" s="181"/>
      <c r="AM739" s="95"/>
      <c r="AN739" s="178"/>
      <c r="AO739" s="178"/>
      <c r="AP739" s="181"/>
      <c r="AQ739" s="95"/>
      <c r="AR739" s="178"/>
      <c r="AS739" s="178"/>
      <c r="AT739" s="181"/>
      <c r="AU739" s="95"/>
      <c r="AV739" s="178"/>
      <c r="AW739" s="178"/>
      <c r="AX739" s="181"/>
      <c r="AY739" s="95"/>
      <c r="AZ739" s="178"/>
      <c r="BA739" s="178"/>
      <c r="BB739" s="181"/>
      <c r="BC739" s="95"/>
      <c r="BD739" s="178"/>
      <c r="BE739" s="178"/>
      <c r="BF739" s="210"/>
      <c r="BG739" s="95"/>
      <c r="BH739" s="178"/>
      <c r="BI739" s="178"/>
      <c r="BJ739" s="181"/>
      <c r="BK739" s="95"/>
      <c r="BL739" s="178"/>
      <c r="BM739" s="178"/>
      <c r="BN739" s="181"/>
      <c r="BO739" s="95"/>
      <c r="BP739" s="178"/>
      <c r="BQ739" s="178"/>
      <c r="BR739" s="181"/>
      <c r="BS739" s="95"/>
      <c r="BT739" s="178"/>
      <c r="BU739" s="178"/>
      <c r="BV739" s="96"/>
      <c r="BY739" s="125">
        <f t="shared" si="273"/>
        <v>0</v>
      </c>
      <c r="BZ739" s="126">
        <f t="shared" si="274"/>
        <v>0</v>
      </c>
      <c r="CA739" s="126">
        <f t="shared" si="275"/>
        <v>0</v>
      </c>
      <c r="CB739" s="127">
        <f t="shared" si="276"/>
        <v>0</v>
      </c>
      <c r="CC739" s="776">
        <f t="shared" si="289"/>
        <v>0</v>
      </c>
    </row>
    <row r="740" spans="1:81" ht="46.5" hidden="1" customHeight="1" outlineLevel="1" x14ac:dyDescent="0.25">
      <c r="A740" s="10" t="b">
        <f t="array" ref="A740">A739</f>
        <v>1</v>
      </c>
      <c r="B740" s="5" t="b">
        <f t="array" ref="B740">A740</f>
        <v>1</v>
      </c>
      <c r="C740" s="10" t="s">
        <v>83</v>
      </c>
      <c r="D740" s="10" t="s">
        <v>84</v>
      </c>
      <c r="E740" s="10" t="s">
        <v>73</v>
      </c>
      <c r="F740" s="10" t="s">
        <v>74</v>
      </c>
      <c r="G740" s="10" t="s">
        <v>513</v>
      </c>
      <c r="H740" s="10" t="s">
        <v>73</v>
      </c>
      <c r="I740" s="10" t="s">
        <v>73</v>
      </c>
      <c r="J740" s="10" t="s">
        <v>73</v>
      </c>
      <c r="K740" s="12" t="s">
        <v>73</v>
      </c>
      <c r="L740" s="10" t="s">
        <v>133</v>
      </c>
      <c r="M740" s="5" t="str">
        <f t="array" ref="M740">Y458</f>
        <v>1ВО::1.1</v>
      </c>
      <c r="AB740" s="403" t="str">
        <f>AB732&amp;".6"</f>
        <v>4.6</v>
      </c>
      <c r="AC740" s="305" t="s">
        <v>513</v>
      </c>
      <c r="AD740" s="32" t="s">
        <v>111</v>
      </c>
      <c r="AE740" s="95"/>
      <c r="AF740" s="178">
        <v>0</v>
      </c>
      <c r="AG740" s="178">
        <v>321979.78999999998</v>
      </c>
      <c r="AH740" s="96">
        <v>-413867.64</v>
      </c>
      <c r="AI740" s="187"/>
      <c r="AJ740" s="178"/>
      <c r="AK740" s="178"/>
      <c r="AL740" s="181"/>
      <c r="AM740" s="95"/>
      <c r="AN740" s="178"/>
      <c r="AO740" s="178"/>
      <c r="AP740" s="181"/>
      <c r="AQ740" s="95"/>
      <c r="AR740" s="178"/>
      <c r="AS740" s="178">
        <v>13684.71</v>
      </c>
      <c r="AT740" s="181">
        <v>-4294.49</v>
      </c>
      <c r="AU740" s="95"/>
      <c r="AV740" s="178"/>
      <c r="AW740" s="178">
        <v>12826.46</v>
      </c>
      <c r="AX740" s="181">
        <v>-3979.61</v>
      </c>
      <c r="AY740" s="95"/>
      <c r="AZ740" s="178"/>
      <c r="BA740" s="178">
        <v>2883.16</v>
      </c>
      <c r="BB740" s="181">
        <v>-6296.2</v>
      </c>
      <c r="BC740" s="95"/>
      <c r="BD740" s="178"/>
      <c r="BE740" s="178"/>
      <c r="BF740" s="210"/>
      <c r="BG740" s="95"/>
      <c r="BH740" s="178"/>
      <c r="BI740" s="178"/>
      <c r="BJ740" s="181"/>
      <c r="BK740" s="95">
        <v>66174.77</v>
      </c>
      <c r="BL740" s="178"/>
      <c r="BM740" s="178"/>
      <c r="BN740" s="181">
        <v>-18285.66</v>
      </c>
      <c r="BO740" s="185"/>
      <c r="BP740" s="183"/>
      <c r="BQ740" s="183">
        <v>3007.6</v>
      </c>
      <c r="BR740" s="184">
        <v>-929.56</v>
      </c>
      <c r="BS740" s="185"/>
      <c r="BT740" s="183">
        <v>0</v>
      </c>
      <c r="BU740" s="183"/>
      <c r="BV740" s="186">
        <v>-1951.1</v>
      </c>
      <c r="BY740" s="125">
        <f>AE740+AI740+AM740+AQ740+AU740+AY740+BC740+BG740+BK740+BO740+BS740</f>
        <v>66174.77</v>
      </c>
      <c r="BZ740" s="126">
        <f t="shared" si="274"/>
        <v>0</v>
      </c>
      <c r="CA740" s="126">
        <f>AG740+AK740+AO740+AS740+AW740+BA740+BE740+BI740+BM740+BQ740+BU740</f>
        <v>354381.72</v>
      </c>
      <c r="CB740" s="127">
        <f>AH740+AL740+AP740+AT740+AX740+BB740+BF740+BJ740+BN740+BR740+BV740</f>
        <v>-449604.25999999995</v>
      </c>
      <c r="CC740" s="776">
        <f t="shared" si="289"/>
        <v>0</v>
      </c>
    </row>
    <row r="741" spans="1:81" ht="52.5" hidden="1" customHeight="1" outlineLevel="1" x14ac:dyDescent="0.25">
      <c r="A741" s="10"/>
      <c r="C741" s="10"/>
      <c r="D741" s="10"/>
      <c r="E741" s="10"/>
      <c r="F741" s="10"/>
      <c r="G741" s="10"/>
      <c r="H741" s="10"/>
      <c r="I741" s="10"/>
      <c r="J741" s="10"/>
      <c r="K741" s="12"/>
      <c r="L741" s="10"/>
      <c r="AB741" s="403"/>
      <c r="AC741" s="305"/>
      <c r="AD741" s="51" t="s">
        <v>111</v>
      </c>
      <c r="AE741" s="95"/>
      <c r="AF741" s="178"/>
      <c r="AG741" s="178"/>
      <c r="AH741" s="96"/>
      <c r="AI741" s="187"/>
      <c r="AJ741" s="178"/>
      <c r="AK741" s="178"/>
      <c r="AL741" s="181"/>
      <c r="AM741" s="95"/>
      <c r="AN741" s="178"/>
      <c r="AO741" s="178"/>
      <c r="AP741" s="181"/>
      <c r="AQ741" s="95"/>
      <c r="AR741" s="178"/>
      <c r="AS741" s="178"/>
      <c r="AT741" s="181"/>
      <c r="AU741" s="95"/>
      <c r="AV741" s="178"/>
      <c r="AW741" s="178"/>
      <c r="AX741" s="181"/>
      <c r="AY741" s="95"/>
      <c r="AZ741" s="178"/>
      <c r="BA741" s="178"/>
      <c r="BB741" s="181"/>
      <c r="BC741" s="95"/>
      <c r="BD741" s="178"/>
      <c r="BE741" s="178"/>
      <c r="BF741" s="210"/>
      <c r="BG741" s="95"/>
      <c r="BH741" s="178"/>
      <c r="BI741" s="178"/>
      <c r="BJ741" s="181"/>
      <c r="BK741" s="95"/>
      <c r="BL741" s="178"/>
      <c r="BM741" s="178"/>
      <c r="BN741" s="181"/>
      <c r="BO741" s="185"/>
      <c r="BP741" s="183"/>
      <c r="BQ741" s="183"/>
      <c r="BR741" s="184"/>
      <c r="BS741" s="185"/>
      <c r="BT741" s="183"/>
      <c r="BU741" s="183"/>
      <c r="BV741" s="186"/>
      <c r="BY741" s="125">
        <f t="shared" ref="BY741:BY755" si="290">AE741+AI741+AM741+AQ741+AU741+AY741+BC741+BG741+BK741+BO741+BS741</f>
        <v>0</v>
      </c>
      <c r="BZ741" s="126">
        <f t="shared" ref="BZ741:BZ772" si="291">AF741+AJ741+AN741+AR741+AV741+AZ741+BD741+BH741+BL741+BP741+BT741</f>
        <v>0</v>
      </c>
      <c r="CA741" s="126">
        <f t="shared" ref="CA741:CA755" si="292">AG741+AK741+AO741+AS741+AW741+BA741+BE741+BI741+BM741+BQ741+BU741</f>
        <v>0</v>
      </c>
      <c r="CB741" s="127">
        <f t="shared" ref="CB741:CB755" si="293">AH741+AL741+AP741+AT741+AX741+BB741+BF741+BJ741+BN741+BR741+BV741</f>
        <v>0</v>
      </c>
      <c r="CC741" s="776">
        <f t="shared" si="289"/>
        <v>0</v>
      </c>
    </row>
    <row r="742" spans="1:81" ht="49.5" hidden="1" customHeight="1" outlineLevel="1" x14ac:dyDescent="0.25">
      <c r="A742" s="10"/>
      <c r="C742" s="10"/>
      <c r="D742" s="10"/>
      <c r="E742" s="10"/>
      <c r="F742" s="10"/>
      <c r="G742" s="10"/>
      <c r="H742" s="10"/>
      <c r="I742" s="10"/>
      <c r="J742" s="10"/>
      <c r="K742" s="12"/>
      <c r="L742" s="10"/>
      <c r="AB742" s="403"/>
      <c r="AC742" s="80" t="s">
        <v>747</v>
      </c>
      <c r="AD742" s="51"/>
      <c r="AE742" s="95"/>
      <c r="AF742" s="178"/>
      <c r="AG742" s="178"/>
      <c r="AH742" s="96"/>
      <c r="AI742" s="187"/>
      <c r="AJ742" s="178"/>
      <c r="AK742" s="178"/>
      <c r="AL742" s="181"/>
      <c r="AM742" s="95"/>
      <c r="AN742" s="178"/>
      <c r="AO742" s="178"/>
      <c r="AP742" s="181"/>
      <c r="AQ742" s="95"/>
      <c r="AR742" s="178">
        <v>-145.21</v>
      </c>
      <c r="AS742" s="178"/>
      <c r="AT742" s="181"/>
      <c r="AU742" s="95"/>
      <c r="AV742" s="178">
        <v>-98.51</v>
      </c>
      <c r="AW742" s="178"/>
      <c r="AX742" s="181"/>
      <c r="AY742" s="95"/>
      <c r="AZ742" s="178"/>
      <c r="BA742" s="178"/>
      <c r="BB742" s="181"/>
      <c r="BC742" s="95"/>
      <c r="BD742" s="178"/>
      <c r="BE742" s="178"/>
      <c r="BF742" s="210"/>
      <c r="BG742" s="95"/>
      <c r="BH742" s="178"/>
      <c r="BI742" s="178"/>
      <c r="BJ742" s="181"/>
      <c r="BK742" s="95"/>
      <c r="BL742" s="178">
        <v>-1627.81</v>
      </c>
      <c r="BM742" s="178"/>
      <c r="BN742" s="181"/>
      <c r="BO742" s="185"/>
      <c r="BP742" s="183">
        <f>-65.73</f>
        <v>-65.73</v>
      </c>
      <c r="BQ742" s="183"/>
      <c r="BR742" s="184"/>
      <c r="BS742" s="185"/>
      <c r="BT742" s="183"/>
      <c r="BU742" s="183"/>
      <c r="BV742" s="186"/>
      <c r="BY742" s="125">
        <f t="shared" si="290"/>
        <v>0</v>
      </c>
      <c r="BZ742" s="126">
        <f t="shared" si="291"/>
        <v>-1937.26</v>
      </c>
      <c r="CA742" s="126">
        <f t="shared" si="292"/>
        <v>0</v>
      </c>
      <c r="CB742" s="127">
        <f t="shared" si="293"/>
        <v>0</v>
      </c>
      <c r="CC742" s="776">
        <f t="shared" si="289"/>
        <v>-1937.26</v>
      </c>
    </row>
    <row r="743" spans="1:81" ht="29.1" hidden="1" customHeight="1" outlineLevel="1" x14ac:dyDescent="0.25">
      <c r="A743" s="10"/>
      <c r="C743" s="10"/>
      <c r="D743" s="10"/>
      <c r="E743" s="10"/>
      <c r="F743" s="10"/>
      <c r="G743" s="10"/>
      <c r="H743" s="10"/>
      <c r="I743" s="10"/>
      <c r="J743" s="10"/>
      <c r="K743" s="12"/>
      <c r="L743" s="10"/>
      <c r="AB743" s="403"/>
      <c r="AC743" s="80" t="s">
        <v>691</v>
      </c>
      <c r="AD743" s="51" t="s">
        <v>111</v>
      </c>
      <c r="AE743" s="95"/>
      <c r="AF743" s="178">
        <v>-96059.02</v>
      </c>
      <c r="AG743" s="178"/>
      <c r="AH743" s="96"/>
      <c r="AI743" s="187"/>
      <c r="AJ743" s="178"/>
      <c r="AK743" s="178"/>
      <c r="AL743" s="181"/>
      <c r="AM743" s="95"/>
      <c r="AN743" s="178"/>
      <c r="AO743" s="178"/>
      <c r="AP743" s="181"/>
      <c r="AQ743" s="95"/>
      <c r="AR743" s="178"/>
      <c r="AS743" s="178"/>
      <c r="AT743" s="181"/>
      <c r="AU743" s="95"/>
      <c r="AV743" s="178">
        <v>-1.48</v>
      </c>
      <c r="AW743" s="178"/>
      <c r="AX743" s="181"/>
      <c r="AY743" s="95"/>
      <c r="AZ743" s="178"/>
      <c r="BA743" s="178"/>
      <c r="BB743" s="181"/>
      <c r="BC743" s="95"/>
      <c r="BD743" s="178"/>
      <c r="BE743" s="178"/>
      <c r="BF743" s="210"/>
      <c r="BG743" s="95"/>
      <c r="BH743" s="178"/>
      <c r="BI743" s="178"/>
      <c r="BJ743" s="181"/>
      <c r="BK743" s="95"/>
      <c r="BL743" s="178"/>
      <c r="BM743" s="178"/>
      <c r="BN743" s="181"/>
      <c r="BO743" s="185"/>
      <c r="BP743" s="183"/>
      <c r="BQ743" s="183"/>
      <c r="BR743" s="184"/>
      <c r="BS743" s="185"/>
      <c r="BT743" s="183"/>
      <c r="BU743" s="183"/>
      <c r="BV743" s="186"/>
      <c r="BY743" s="125">
        <f t="shared" si="290"/>
        <v>0</v>
      </c>
      <c r="BZ743" s="126">
        <f t="shared" si="291"/>
        <v>-96060.5</v>
      </c>
      <c r="CA743" s="126">
        <f t="shared" si="292"/>
        <v>0</v>
      </c>
      <c r="CB743" s="127">
        <f t="shared" si="293"/>
        <v>0</v>
      </c>
      <c r="CC743" s="776">
        <f t="shared" si="289"/>
        <v>-96060.5</v>
      </c>
    </row>
    <row r="744" spans="1:81" ht="42.2" hidden="1" customHeight="1" outlineLevel="1" x14ac:dyDescent="0.25">
      <c r="A744" s="10"/>
      <c r="C744" s="10"/>
      <c r="D744" s="10"/>
      <c r="E744" s="10"/>
      <c r="F744" s="10"/>
      <c r="G744" s="10"/>
      <c r="H744" s="10"/>
      <c r="I744" s="10"/>
      <c r="J744" s="10"/>
      <c r="K744" s="12"/>
      <c r="L744" s="10"/>
      <c r="AB744" s="403"/>
      <c r="AC744" s="80" t="s">
        <v>692</v>
      </c>
      <c r="AD744" s="51" t="s">
        <v>111</v>
      </c>
      <c r="AE744" s="95"/>
      <c r="AF744" s="178">
        <v>-111142.52</v>
      </c>
      <c r="AG744" s="178"/>
      <c r="AH744" s="96"/>
      <c r="AI744" s="187"/>
      <c r="AJ744" s="178">
        <f>AJ752</f>
        <v>-431.64499999999998</v>
      </c>
      <c r="AK744" s="178"/>
      <c r="AL744" s="181"/>
      <c r="AM744" s="95"/>
      <c r="AN744" s="178"/>
      <c r="AO744" s="178"/>
      <c r="AP744" s="181"/>
      <c r="AQ744" s="95"/>
      <c r="AR744" s="178">
        <f>-(3861.2-3538.38)</f>
        <v>-322.81999999999971</v>
      </c>
      <c r="AS744" s="178"/>
      <c r="AT744" s="181"/>
      <c r="AU744" s="95"/>
      <c r="AV744" s="178">
        <f>-(471.66*6.55-2802.18)</f>
        <v>-287.19300000000021</v>
      </c>
      <c r="AW744" s="178"/>
      <c r="AX744" s="181"/>
      <c r="AY744" s="95"/>
      <c r="AZ744" s="178"/>
      <c r="BA744" s="178"/>
      <c r="BB744" s="181"/>
      <c r="BC744" s="95"/>
      <c r="BD744" s="178">
        <v>-252.85</v>
      </c>
      <c r="BE744" s="178"/>
      <c r="BF744" s="210">
        <v>-4964.42</v>
      </c>
      <c r="BG744" s="95"/>
      <c r="BH744" s="178"/>
      <c r="BI744" s="178"/>
      <c r="BJ744" s="181">
        <v>6939.45</v>
      </c>
      <c r="BK744" s="95"/>
      <c r="BL744" s="178">
        <v>12589.03</v>
      </c>
      <c r="BM744" s="178"/>
      <c r="BN744" s="181"/>
      <c r="BO744" s="185"/>
      <c r="BP744" s="183">
        <f>3372.58-687.93</f>
        <v>2684.65</v>
      </c>
      <c r="BQ744" s="183"/>
      <c r="BR744" s="184"/>
      <c r="BS744" s="185"/>
      <c r="BT744" s="183">
        <f>5248.59-4323.5</f>
        <v>925.09000000000015</v>
      </c>
      <c r="BU744" s="183"/>
      <c r="BV744" s="186"/>
      <c r="BY744" s="125">
        <f t="shared" si="290"/>
        <v>0</v>
      </c>
      <c r="BZ744" s="126">
        <f t="shared" si="291"/>
        <v>-96238.258000000031</v>
      </c>
      <c r="CA744" s="126">
        <f t="shared" si="292"/>
        <v>0</v>
      </c>
      <c r="CB744" s="127">
        <f t="shared" si="293"/>
        <v>1975.0299999999997</v>
      </c>
      <c r="CC744" s="776">
        <f t="shared" si="289"/>
        <v>-96238.258000000031</v>
      </c>
    </row>
    <row r="745" spans="1:81" ht="22.5" hidden="1" customHeight="1" outlineLevel="1" x14ac:dyDescent="0.25">
      <c r="A745" s="10"/>
      <c r="C745" s="10"/>
      <c r="D745" s="10"/>
      <c r="E745" s="10"/>
      <c r="F745" s="10"/>
      <c r="G745" s="10"/>
      <c r="H745" s="10"/>
      <c r="I745" s="10"/>
      <c r="J745" s="10"/>
      <c r="K745" s="12"/>
      <c r="L745" s="10"/>
      <c r="AB745" s="523"/>
      <c r="AC745" s="524">
        <v>2026</v>
      </c>
      <c r="AD745" s="877"/>
      <c r="AE745" s="526"/>
      <c r="AF745" s="527"/>
      <c r="AG745" s="178"/>
      <c r="AH745" s="96"/>
      <c r="AI745" s="187"/>
      <c r="AJ745" s="178"/>
      <c r="AK745" s="178"/>
      <c r="AL745" s="181"/>
      <c r="AM745" s="95"/>
      <c r="AN745" s="178"/>
      <c r="AO745" s="178"/>
      <c r="AP745" s="181"/>
      <c r="AQ745" s="95"/>
      <c r="AR745" s="527">
        <f>AR744</f>
        <v>-322.81999999999971</v>
      </c>
      <c r="AS745" s="178"/>
      <c r="AT745" s="181"/>
      <c r="AU745" s="95"/>
      <c r="AV745" s="178"/>
      <c r="AW745" s="178"/>
      <c r="AX745" s="181"/>
      <c r="AY745" s="95"/>
      <c r="AZ745" s="178"/>
      <c r="BA745" s="178"/>
      <c r="BB745" s="181"/>
      <c r="BC745" s="95"/>
      <c r="BD745" s="178"/>
      <c r="BE745" s="178"/>
      <c r="BF745" s="210"/>
      <c r="BG745" s="95"/>
      <c r="BH745" s="178"/>
      <c r="BI745" s="178"/>
      <c r="BJ745" s="181"/>
      <c r="BK745" s="95"/>
      <c r="BL745" s="178"/>
      <c r="BM745" s="178"/>
      <c r="BN745" s="181"/>
      <c r="BO745" s="185"/>
      <c r="BP745" s="183"/>
      <c r="BQ745" s="183"/>
      <c r="BR745" s="184"/>
      <c r="BS745" s="185"/>
      <c r="BT745" s="183"/>
      <c r="BU745" s="183"/>
      <c r="BV745" s="186"/>
      <c r="BY745" s="125">
        <f t="shared" si="290"/>
        <v>0</v>
      </c>
      <c r="BZ745" s="126">
        <f t="shared" si="291"/>
        <v>-322.81999999999971</v>
      </c>
      <c r="CA745" s="126">
        <f t="shared" si="292"/>
        <v>0</v>
      </c>
      <c r="CB745" s="127">
        <f t="shared" si="293"/>
        <v>0</v>
      </c>
      <c r="CC745" s="776">
        <f t="shared" si="289"/>
        <v>-322.81999999999971</v>
      </c>
    </row>
    <row r="746" spans="1:81" ht="22.5" hidden="1" customHeight="1" outlineLevel="1" x14ac:dyDescent="0.25">
      <c r="A746" s="10"/>
      <c r="C746" s="10"/>
      <c r="D746" s="10"/>
      <c r="E746" s="10"/>
      <c r="F746" s="10"/>
      <c r="G746" s="10"/>
      <c r="H746" s="10"/>
      <c r="I746" s="10"/>
      <c r="J746" s="10"/>
      <c r="K746" s="12"/>
      <c r="L746" s="10"/>
      <c r="AB746" s="523"/>
      <c r="AC746" s="529" t="s">
        <v>693</v>
      </c>
      <c r="AD746" s="877"/>
      <c r="AE746" s="526"/>
      <c r="AF746" s="527"/>
      <c r="AG746" s="178"/>
      <c r="AH746" s="96"/>
      <c r="AI746" s="187"/>
      <c r="AJ746" s="178"/>
      <c r="AK746" s="178"/>
      <c r="AL746" s="181"/>
      <c r="AM746" s="95"/>
      <c r="AN746" s="178"/>
      <c r="AO746" s="178"/>
      <c r="AP746" s="181"/>
      <c r="AQ746" s="95"/>
      <c r="AR746" s="527">
        <f>191.72+536.8</f>
        <v>728.52</v>
      </c>
      <c r="AS746" s="178"/>
      <c r="AT746" s="181"/>
      <c r="AU746" s="95"/>
      <c r="AV746" s="178"/>
      <c r="AW746" s="178"/>
      <c r="AX746" s="181"/>
      <c r="AY746" s="95"/>
      <c r="AZ746" s="178"/>
      <c r="BA746" s="178"/>
      <c r="BB746" s="181"/>
      <c r="BC746" s="95"/>
      <c r="BD746" s="178"/>
      <c r="BE746" s="178"/>
      <c r="BF746" s="210"/>
      <c r="BG746" s="95"/>
      <c r="BH746" s="178"/>
      <c r="BI746" s="178"/>
      <c r="BJ746" s="181"/>
      <c r="BK746" s="95"/>
      <c r="BL746" s="178"/>
      <c r="BM746" s="178"/>
      <c r="BN746" s="181"/>
      <c r="BO746" s="185"/>
      <c r="BP746" s="183"/>
      <c r="BQ746" s="183"/>
      <c r="BR746" s="184"/>
      <c r="BS746" s="185"/>
      <c r="BT746" s="183"/>
      <c r="BU746" s="183"/>
      <c r="BV746" s="186"/>
      <c r="BY746" s="125">
        <f t="shared" si="290"/>
        <v>0</v>
      </c>
      <c r="BZ746" s="126">
        <f t="shared" si="291"/>
        <v>728.52</v>
      </c>
      <c r="CA746" s="126">
        <f t="shared" si="292"/>
        <v>0</v>
      </c>
      <c r="CB746" s="127">
        <f t="shared" si="293"/>
        <v>0</v>
      </c>
      <c r="CC746" s="776">
        <f t="shared" si="289"/>
        <v>728.52</v>
      </c>
    </row>
    <row r="747" spans="1:81" ht="56.25" hidden="1" customHeight="1" outlineLevel="1" x14ac:dyDescent="0.25">
      <c r="A747" s="10"/>
      <c r="C747" s="10"/>
      <c r="D747" s="10"/>
      <c r="E747" s="10"/>
      <c r="F747" s="10"/>
      <c r="G747" s="10"/>
      <c r="H747" s="10"/>
      <c r="I747" s="10"/>
      <c r="J747" s="10"/>
      <c r="K747" s="12"/>
      <c r="L747" s="10"/>
      <c r="AB747" s="1103" t="s">
        <v>694</v>
      </c>
      <c r="AC747" s="80" t="s">
        <v>695</v>
      </c>
      <c r="AD747" s="51" t="s">
        <v>111</v>
      </c>
      <c r="AE747" s="95"/>
      <c r="AF747" s="178">
        <v>-114347.91</v>
      </c>
      <c r="AG747" s="178"/>
      <c r="AH747" s="96"/>
      <c r="AI747" s="187"/>
      <c r="AJ747" s="178"/>
      <c r="AK747" s="178"/>
      <c r="AL747" s="181"/>
      <c r="AM747" s="95"/>
      <c r="AN747" s="178"/>
      <c r="AO747" s="178"/>
      <c r="AP747" s="181"/>
      <c r="AQ747" s="95"/>
      <c r="AR747" s="178"/>
      <c r="AS747" s="178"/>
      <c r="AT747" s="181"/>
      <c r="AU747" s="95"/>
      <c r="AV747" s="178"/>
      <c r="AW747" s="178"/>
      <c r="AX747" s="181"/>
      <c r="AY747" s="95"/>
      <c r="AZ747" s="178"/>
      <c r="BA747" s="178"/>
      <c r="BB747" s="181"/>
      <c r="BC747" s="95"/>
      <c r="BD747" s="178"/>
      <c r="BE747" s="178"/>
      <c r="BF747" s="210"/>
      <c r="BG747" s="95"/>
      <c r="BH747" s="178"/>
      <c r="BI747" s="178"/>
      <c r="BJ747" s="181"/>
      <c r="BK747" s="95"/>
      <c r="BL747" s="178"/>
      <c r="BM747" s="178"/>
      <c r="BN747" s="181"/>
      <c r="BO747" s="185"/>
      <c r="BP747" s="183"/>
      <c r="BQ747" s="183"/>
      <c r="BR747" s="184"/>
      <c r="BS747" s="185"/>
      <c r="BT747" s="183"/>
      <c r="BU747" s="183"/>
      <c r="BV747" s="186"/>
      <c r="BY747" s="125">
        <f t="shared" si="290"/>
        <v>0</v>
      </c>
      <c r="BZ747" s="126">
        <f t="shared" si="291"/>
        <v>-114347.91</v>
      </c>
      <c r="CA747" s="126">
        <f t="shared" si="292"/>
        <v>0</v>
      </c>
      <c r="CB747" s="127">
        <f t="shared" si="293"/>
        <v>0</v>
      </c>
      <c r="CC747" s="776">
        <f t="shared" si="289"/>
        <v>-114347.91</v>
      </c>
    </row>
    <row r="748" spans="1:81" ht="94.5" hidden="1" customHeight="1" outlineLevel="1" x14ac:dyDescent="0.25">
      <c r="A748" s="10"/>
      <c r="C748" s="10"/>
      <c r="D748" s="10"/>
      <c r="E748" s="10"/>
      <c r="F748" s="10"/>
      <c r="G748" s="10"/>
      <c r="H748" s="10"/>
      <c r="I748" s="10"/>
      <c r="J748" s="10"/>
      <c r="K748" s="12"/>
      <c r="L748" s="10"/>
      <c r="AB748" s="1103"/>
      <c r="AC748" s="80" t="s">
        <v>696</v>
      </c>
      <c r="AD748" s="51" t="s">
        <v>111</v>
      </c>
      <c r="AE748" s="95"/>
      <c r="AF748" s="178">
        <f>-(225582.49-50442.38)</f>
        <v>-175140.11</v>
      </c>
      <c r="AG748" s="178"/>
      <c r="AH748" s="96"/>
      <c r="AI748" s="187"/>
      <c r="AJ748" s="178"/>
      <c r="AK748" s="178"/>
      <c r="AL748" s="181"/>
      <c r="AM748" s="95"/>
      <c r="AN748" s="178"/>
      <c r="AO748" s="178"/>
      <c r="AP748" s="181"/>
      <c r="AQ748" s="95"/>
      <c r="AR748" s="178"/>
      <c r="AS748" s="178"/>
      <c r="AT748" s="181"/>
      <c r="AU748" s="95"/>
      <c r="AV748" s="178"/>
      <c r="AW748" s="178"/>
      <c r="AX748" s="181"/>
      <c r="AY748" s="95"/>
      <c r="AZ748" s="178"/>
      <c r="BA748" s="178"/>
      <c r="BB748" s="181"/>
      <c r="BC748" s="95"/>
      <c r="BD748" s="178"/>
      <c r="BE748" s="178"/>
      <c r="BF748" s="210"/>
      <c r="BG748" s="95"/>
      <c r="BH748" s="178"/>
      <c r="BI748" s="178"/>
      <c r="BJ748" s="181"/>
      <c r="BK748" s="95"/>
      <c r="BL748" s="178"/>
      <c r="BM748" s="178"/>
      <c r="BN748" s="181"/>
      <c r="BO748" s="185"/>
      <c r="BP748" s="183"/>
      <c r="BQ748" s="183"/>
      <c r="BR748" s="184"/>
      <c r="BS748" s="185"/>
      <c r="BT748" s="183"/>
      <c r="BU748" s="183"/>
      <c r="BV748" s="186"/>
      <c r="BY748" s="125">
        <f t="shared" si="290"/>
        <v>0</v>
      </c>
      <c r="BZ748" s="126">
        <f t="shared" si="291"/>
        <v>-175140.11</v>
      </c>
      <c r="CA748" s="126">
        <f t="shared" si="292"/>
        <v>0</v>
      </c>
      <c r="CB748" s="127">
        <f t="shared" si="293"/>
        <v>0</v>
      </c>
      <c r="CC748" s="776">
        <f t="shared" si="289"/>
        <v>-175140.11</v>
      </c>
    </row>
    <row r="749" spans="1:81" ht="47.25" hidden="1" customHeight="1" outlineLevel="1" x14ac:dyDescent="0.25">
      <c r="A749" s="10"/>
      <c r="C749" s="10"/>
      <c r="D749" s="10"/>
      <c r="E749" s="10"/>
      <c r="F749" s="10"/>
      <c r="G749" s="10"/>
      <c r="H749" s="10"/>
      <c r="I749" s="10"/>
      <c r="J749" s="10"/>
      <c r="K749" s="12"/>
      <c r="L749" s="10"/>
      <c r="AB749" s="530"/>
      <c r="AC749" s="80" t="s">
        <v>697</v>
      </c>
      <c r="AD749" s="51" t="s">
        <v>111</v>
      </c>
      <c r="AE749" s="95"/>
      <c r="AF749" s="178">
        <f>-88430.1</f>
        <v>-88430.1</v>
      </c>
      <c r="AG749" s="178"/>
      <c r="AH749" s="96"/>
      <c r="AI749" s="187"/>
      <c r="AJ749" s="178"/>
      <c r="AK749" s="178"/>
      <c r="AL749" s="181"/>
      <c r="AM749" s="95"/>
      <c r="AN749" s="178"/>
      <c r="AO749" s="178"/>
      <c r="AP749" s="181"/>
      <c r="AQ749" s="95"/>
      <c r="AR749" s="178"/>
      <c r="AS749" s="178"/>
      <c r="AT749" s="181"/>
      <c r="AU749" s="95"/>
      <c r="AV749" s="178"/>
      <c r="AW749" s="178"/>
      <c r="AX749" s="181"/>
      <c r="AY749" s="95"/>
      <c r="AZ749" s="178"/>
      <c r="BA749" s="178"/>
      <c r="BB749" s="181"/>
      <c r="BC749" s="95"/>
      <c r="BD749" s="178"/>
      <c r="BE749" s="178"/>
      <c r="BF749" s="210"/>
      <c r="BG749" s="95"/>
      <c r="BH749" s="178"/>
      <c r="BI749" s="178"/>
      <c r="BJ749" s="181"/>
      <c r="BK749" s="95"/>
      <c r="BL749" s="178"/>
      <c r="BM749" s="178"/>
      <c r="BN749" s="181"/>
      <c r="BO749" s="185"/>
      <c r="BP749" s="183"/>
      <c r="BQ749" s="183"/>
      <c r="BR749" s="184"/>
      <c r="BS749" s="185"/>
      <c r="BT749" s="183"/>
      <c r="BU749" s="183"/>
      <c r="BV749" s="186"/>
      <c r="BY749" s="125">
        <f t="shared" si="290"/>
        <v>0</v>
      </c>
      <c r="BZ749" s="126">
        <f t="shared" si="291"/>
        <v>-88430.1</v>
      </c>
      <c r="CA749" s="126">
        <f t="shared" si="292"/>
        <v>0</v>
      </c>
      <c r="CB749" s="127">
        <f t="shared" si="293"/>
        <v>0</v>
      </c>
      <c r="CC749" s="776">
        <f t="shared" si="289"/>
        <v>-88430.1</v>
      </c>
    </row>
    <row r="750" spans="1:81" ht="48" hidden="1" customHeight="1" outlineLevel="1" x14ac:dyDescent="0.25">
      <c r="A750" s="10"/>
      <c r="C750" s="10"/>
      <c r="D750" s="10"/>
      <c r="E750" s="10"/>
      <c r="F750" s="10"/>
      <c r="G750" s="10"/>
      <c r="H750" s="10"/>
      <c r="I750" s="10"/>
      <c r="J750" s="10"/>
      <c r="K750" s="12"/>
      <c r="L750" s="10"/>
      <c r="AB750" s="530"/>
      <c r="AC750" s="80" t="s">
        <v>698</v>
      </c>
      <c r="AD750" s="51" t="s">
        <v>111</v>
      </c>
      <c r="AE750" s="95"/>
      <c r="AF750" s="178">
        <v>-71219.47</v>
      </c>
      <c r="AG750" s="178"/>
      <c r="AH750" s="96"/>
      <c r="AI750" s="187"/>
      <c r="AJ750" s="178"/>
      <c r="AK750" s="178"/>
      <c r="AL750" s="181"/>
      <c r="AM750" s="95"/>
      <c r="AN750" s="178"/>
      <c r="AO750" s="178"/>
      <c r="AP750" s="181"/>
      <c r="AQ750" s="95"/>
      <c r="AR750" s="178"/>
      <c r="AS750" s="178"/>
      <c r="AT750" s="181"/>
      <c r="AU750" s="95"/>
      <c r="AV750" s="178"/>
      <c r="AW750" s="178"/>
      <c r="AX750" s="181"/>
      <c r="AY750" s="95"/>
      <c r="AZ750" s="178"/>
      <c r="BA750" s="178"/>
      <c r="BB750" s="181"/>
      <c r="BC750" s="95"/>
      <c r="BD750" s="178"/>
      <c r="BE750" s="178"/>
      <c r="BF750" s="210"/>
      <c r="BG750" s="95"/>
      <c r="BH750" s="178"/>
      <c r="BI750" s="178"/>
      <c r="BJ750" s="181"/>
      <c r="BK750" s="95"/>
      <c r="BL750" s="178"/>
      <c r="BM750" s="178"/>
      <c r="BN750" s="181"/>
      <c r="BO750" s="185"/>
      <c r="BP750" s="183"/>
      <c r="BQ750" s="183"/>
      <c r="BR750" s="184"/>
      <c r="BS750" s="185"/>
      <c r="BT750" s="183"/>
      <c r="BU750" s="183"/>
      <c r="BV750" s="186"/>
      <c r="BY750" s="125">
        <f t="shared" si="290"/>
        <v>0</v>
      </c>
      <c r="BZ750" s="126">
        <f t="shared" si="291"/>
        <v>-71219.47</v>
      </c>
      <c r="CA750" s="126">
        <f t="shared" si="292"/>
        <v>0</v>
      </c>
      <c r="CB750" s="127">
        <f t="shared" si="293"/>
        <v>0</v>
      </c>
    </row>
    <row r="751" spans="1:81" ht="32.25" hidden="1" customHeight="1" outlineLevel="1" x14ac:dyDescent="0.25">
      <c r="A751" s="10"/>
      <c r="C751" s="10"/>
      <c r="D751" s="10"/>
      <c r="E751" s="10"/>
      <c r="F751" s="10"/>
      <c r="G751" s="10"/>
      <c r="H751" s="10"/>
      <c r="I751" s="10"/>
      <c r="J751" s="10"/>
      <c r="K751" s="12"/>
      <c r="L751" s="10"/>
      <c r="AB751" s="403"/>
      <c r="AC751" s="301" t="s">
        <v>699</v>
      </c>
      <c r="AD751" s="534" t="s">
        <v>111</v>
      </c>
      <c r="AE751" s="532"/>
      <c r="AF751" s="533">
        <f>SUM(AF743:AF750)</f>
        <v>-656339.13</v>
      </c>
      <c r="AG751" s="178"/>
      <c r="AH751" s="96"/>
      <c r="AI751" s="187"/>
      <c r="AJ751" s="533">
        <f>AJ752+AJ753+AJ754</f>
        <v>-4316.4490000000005</v>
      </c>
      <c r="AK751" s="178"/>
      <c r="AL751" s="181"/>
      <c r="AM751" s="95"/>
      <c r="AN751" s="178"/>
      <c r="AO751" s="178"/>
      <c r="AP751" s="181"/>
      <c r="AQ751" s="95"/>
      <c r="AR751" s="178"/>
      <c r="AS751" s="178"/>
      <c r="AT751" s="181"/>
      <c r="AU751" s="95"/>
      <c r="AV751" s="178">
        <f>AV742+AV743+AV744</f>
        <v>-387.18300000000022</v>
      </c>
      <c r="AW751" s="178"/>
      <c r="AX751" s="181"/>
      <c r="AY751" s="95"/>
      <c r="AZ751" s="178"/>
      <c r="BA751" s="178"/>
      <c r="BB751" s="181"/>
      <c r="BC751" s="95"/>
      <c r="BD751" s="178"/>
      <c r="BE751" s="178"/>
      <c r="BF751" s="210"/>
      <c r="BG751" s="95"/>
      <c r="BH751" s="178"/>
      <c r="BI751" s="178"/>
      <c r="BJ751" s="181"/>
      <c r="BK751" s="95"/>
      <c r="BL751" s="178"/>
      <c r="BM751" s="178"/>
      <c r="BN751" s="181"/>
      <c r="BO751" s="185"/>
      <c r="BP751" s="183"/>
      <c r="BQ751" s="183"/>
      <c r="BR751" s="184"/>
      <c r="BS751" s="185"/>
      <c r="BT751" s="183"/>
      <c r="BU751" s="183"/>
      <c r="BV751" s="186"/>
      <c r="BY751" s="125">
        <f t="shared" si="290"/>
        <v>0</v>
      </c>
      <c r="BZ751" s="126">
        <f t="shared" si="291"/>
        <v>-661042.76199999999</v>
      </c>
      <c r="CA751" s="126">
        <f t="shared" si="292"/>
        <v>0</v>
      </c>
      <c r="CB751" s="127">
        <f t="shared" si="293"/>
        <v>0</v>
      </c>
    </row>
    <row r="752" spans="1:81" ht="17.25" hidden="1" customHeight="1" outlineLevel="1" x14ac:dyDescent="0.25">
      <c r="A752" s="10"/>
      <c r="C752" s="10"/>
      <c r="D752" s="10"/>
      <c r="E752" s="10"/>
      <c r="F752" s="10"/>
      <c r="G752" s="10"/>
      <c r="H752" s="10"/>
      <c r="I752" s="10"/>
      <c r="J752" s="10"/>
      <c r="K752" s="12"/>
      <c r="L752" s="10"/>
      <c r="AB752" s="403"/>
      <c r="AC752" s="301" t="s">
        <v>510</v>
      </c>
      <c r="AD752" s="534"/>
      <c r="AE752" s="532"/>
      <c r="AF752" s="533">
        <v>-212158.32399999999</v>
      </c>
      <c r="AG752" s="178"/>
      <c r="AH752" s="96"/>
      <c r="AI752" s="187"/>
      <c r="AJ752" s="533">
        <v>-431.64499999999998</v>
      </c>
      <c r="AK752" s="178"/>
      <c r="AL752" s="181"/>
      <c r="AM752" s="95"/>
      <c r="AN752" s="178"/>
      <c r="AO752" s="178"/>
      <c r="AP752" s="181"/>
      <c r="AQ752" s="95"/>
      <c r="AR752" s="178"/>
      <c r="AS752" s="178"/>
      <c r="AT752" s="181"/>
      <c r="AU752" s="95"/>
      <c r="AV752" s="178"/>
      <c r="AW752" s="178"/>
      <c r="AX752" s="181"/>
      <c r="AY752" s="95"/>
      <c r="AZ752" s="178"/>
      <c r="BA752" s="178"/>
      <c r="BB752" s="181"/>
      <c r="BC752" s="95"/>
      <c r="BD752" s="178"/>
      <c r="BE752" s="178"/>
      <c r="BF752" s="210"/>
      <c r="BG752" s="95"/>
      <c r="BH752" s="178"/>
      <c r="BI752" s="178"/>
      <c r="BJ752" s="181"/>
      <c r="BK752" s="95"/>
      <c r="BL752" s="178"/>
      <c r="BM752" s="178"/>
      <c r="BN752" s="181"/>
      <c r="BO752" s="185"/>
      <c r="BP752" s="183"/>
      <c r="BQ752" s="183"/>
      <c r="BR752" s="184"/>
      <c r="BS752" s="185"/>
      <c r="BT752" s="183"/>
      <c r="BU752" s="183"/>
      <c r="BV752" s="186"/>
      <c r="BY752" s="125">
        <f t="shared" si="290"/>
        <v>0</v>
      </c>
      <c r="BZ752" s="126">
        <f t="shared" si="291"/>
        <v>-212589.96899999998</v>
      </c>
      <c r="CA752" s="126">
        <f t="shared" si="292"/>
        <v>0</v>
      </c>
      <c r="CB752" s="127">
        <f t="shared" si="293"/>
        <v>0</v>
      </c>
    </row>
    <row r="753" spans="1:82" ht="17.25" hidden="1" customHeight="1" outlineLevel="1" x14ac:dyDescent="0.25">
      <c r="A753" s="10"/>
      <c r="C753" s="10"/>
      <c r="D753" s="10"/>
      <c r="E753" s="10"/>
      <c r="F753" s="10"/>
      <c r="G753" s="10"/>
      <c r="H753" s="10"/>
      <c r="I753" s="10"/>
      <c r="J753" s="10"/>
      <c r="K753" s="12"/>
      <c r="L753" s="10"/>
      <c r="AB753" s="403"/>
      <c r="AC753" s="301" t="s">
        <v>511</v>
      </c>
      <c r="AD753" s="534"/>
      <c r="AE753" s="532"/>
      <c r="AF753" s="533">
        <v>-94843.744000000006</v>
      </c>
      <c r="AG753" s="178"/>
      <c r="AH753" s="96">
        <v>-4500</v>
      </c>
      <c r="AI753" s="187"/>
      <c r="AJ753" s="533">
        <v>-863.29</v>
      </c>
      <c r="AK753" s="178"/>
      <c r="AL753" s="181"/>
      <c r="AM753" s="95"/>
      <c r="AN753" s="178"/>
      <c r="AO753" s="178"/>
      <c r="AP753" s="181"/>
      <c r="AQ753" s="95"/>
      <c r="AR753" s="178"/>
      <c r="AS753" s="178"/>
      <c r="AT753" s="181"/>
      <c r="AU753" s="95"/>
      <c r="AV753" s="878">
        <f>AV751</f>
        <v>-387.18300000000022</v>
      </c>
      <c r="AW753" s="178"/>
      <c r="AX753" s="181"/>
      <c r="AY753" s="95"/>
      <c r="AZ753" s="178"/>
      <c r="BA753" s="178"/>
      <c r="BB753" s="181"/>
      <c r="BC753" s="95"/>
      <c r="BD753" s="178"/>
      <c r="BE753" s="178"/>
      <c r="BF753" s="210"/>
      <c r="BG753" s="95"/>
      <c r="BH753" s="178"/>
      <c r="BI753" s="178"/>
      <c r="BJ753" s="181"/>
      <c r="BK753" s="95"/>
      <c r="BL753" s="178"/>
      <c r="BM753" s="178"/>
      <c r="BN753" s="181"/>
      <c r="BO753" s="185"/>
      <c r="BP753" s="183"/>
      <c r="BQ753" s="183"/>
      <c r="BR753" s="184"/>
      <c r="BS753" s="185"/>
      <c r="BT753" s="183"/>
      <c r="BU753" s="183"/>
      <c r="BV753" s="186"/>
      <c r="BY753" s="125">
        <f t="shared" si="290"/>
        <v>0</v>
      </c>
      <c r="BZ753" s="126">
        <f t="shared" si="291"/>
        <v>-96094.217000000004</v>
      </c>
      <c r="CA753" s="126">
        <f t="shared" si="292"/>
        <v>0</v>
      </c>
      <c r="CB753" s="127">
        <f t="shared" si="293"/>
        <v>-4500</v>
      </c>
    </row>
    <row r="754" spans="1:82" ht="17.25" hidden="1" customHeight="1" outlineLevel="1" x14ac:dyDescent="0.25">
      <c r="A754" s="10"/>
      <c r="C754" s="10"/>
      <c r="D754" s="10"/>
      <c r="E754" s="10"/>
      <c r="F754" s="10"/>
      <c r="G754" s="10"/>
      <c r="H754" s="10"/>
      <c r="I754" s="10"/>
      <c r="J754" s="10"/>
      <c r="K754" s="12"/>
      <c r="L754" s="10"/>
      <c r="AB754" s="403"/>
      <c r="AC754" s="301" t="s">
        <v>700</v>
      </c>
      <c r="AD754" s="534"/>
      <c r="AE754" s="532"/>
      <c r="AF754" s="533">
        <v>-174668.524</v>
      </c>
      <c r="AG754" s="178"/>
      <c r="AH754" s="96">
        <v>-10500</v>
      </c>
      <c r="AI754" s="187"/>
      <c r="AJ754" s="533">
        <v>-3021.5140000000001</v>
      </c>
      <c r="AK754" s="178"/>
      <c r="AL754" s="181"/>
      <c r="AM754" s="95"/>
      <c r="AN754" s="178"/>
      <c r="AO754" s="178"/>
      <c r="AP754" s="181"/>
      <c r="AQ754" s="95"/>
      <c r="AR754" s="178"/>
      <c r="AS754" s="178"/>
      <c r="AT754" s="181"/>
      <c r="AU754" s="95"/>
      <c r="AV754" s="178"/>
      <c r="AW754" s="178"/>
      <c r="AX754" s="181"/>
      <c r="AY754" s="95"/>
      <c r="AZ754" s="178"/>
      <c r="BA754" s="178"/>
      <c r="BB754" s="181"/>
      <c r="BC754" s="95"/>
      <c r="BD754" s="178"/>
      <c r="BE754" s="178"/>
      <c r="BF754" s="210"/>
      <c r="BG754" s="95"/>
      <c r="BH754" s="178"/>
      <c r="BI754" s="178"/>
      <c r="BJ754" s="181"/>
      <c r="BK754" s="95"/>
      <c r="BL754" s="178"/>
      <c r="BM754" s="178"/>
      <c r="BN754" s="181"/>
      <c r="BO754" s="185"/>
      <c r="BP754" s="183"/>
      <c r="BQ754" s="183"/>
      <c r="BR754" s="184"/>
      <c r="BS754" s="185"/>
      <c r="BT754" s="183"/>
      <c r="BU754" s="183"/>
      <c r="BV754" s="186"/>
      <c r="BY754" s="125">
        <f t="shared" si="290"/>
        <v>0</v>
      </c>
      <c r="BZ754" s="126">
        <f t="shared" si="291"/>
        <v>-177690.038</v>
      </c>
      <c r="CA754" s="126">
        <f t="shared" si="292"/>
        <v>0</v>
      </c>
      <c r="CB754" s="127">
        <f t="shared" si="293"/>
        <v>-10500</v>
      </c>
    </row>
    <row r="755" spans="1:82" ht="17.25" hidden="1" customHeight="1" outlineLevel="1" x14ac:dyDescent="0.25">
      <c r="A755" s="10"/>
      <c r="C755" s="10"/>
      <c r="D755" s="10"/>
      <c r="E755" s="10"/>
      <c r="F755" s="10"/>
      <c r="G755" s="10"/>
      <c r="H755" s="10"/>
      <c r="I755" s="10"/>
      <c r="J755" s="10"/>
      <c r="K755" s="12"/>
      <c r="L755" s="10"/>
      <c r="AB755" s="403"/>
      <c r="AC755" s="301" t="s">
        <v>701</v>
      </c>
      <c r="AD755" s="534"/>
      <c r="AE755" s="532"/>
      <c r="AF755" s="533">
        <v>-174668.524</v>
      </c>
      <c r="AG755" s="178"/>
      <c r="AH755" s="96">
        <v>34000</v>
      </c>
      <c r="AI755" s="187"/>
      <c r="AJ755" s="178"/>
      <c r="AK755" s="178"/>
      <c r="AL755" s="181"/>
      <c r="AM755" s="95"/>
      <c r="AN755" s="178"/>
      <c r="AO755" s="178"/>
      <c r="AP755" s="181"/>
      <c r="AQ755" s="95"/>
      <c r="AR755" s="178"/>
      <c r="AS755" s="178"/>
      <c r="AT755" s="181"/>
      <c r="AU755" s="95"/>
      <c r="AV755" s="178"/>
      <c r="AW755" s="178"/>
      <c r="AX755" s="181"/>
      <c r="AY755" s="95"/>
      <c r="AZ755" s="178"/>
      <c r="BA755" s="178"/>
      <c r="BB755" s="181"/>
      <c r="BC755" s="95"/>
      <c r="BD755" s="178"/>
      <c r="BE755" s="178"/>
      <c r="BF755" s="210"/>
      <c r="BG755" s="95"/>
      <c r="BH755" s="178"/>
      <c r="BI755" s="178"/>
      <c r="BJ755" s="181"/>
      <c r="BK755" s="95"/>
      <c r="BL755" s="178"/>
      <c r="BM755" s="178"/>
      <c r="BN755" s="181"/>
      <c r="BO755" s="185"/>
      <c r="BP755" s="183"/>
      <c r="BQ755" s="183"/>
      <c r="BR755" s="184"/>
      <c r="BS755" s="185"/>
      <c r="BT755" s="183"/>
      <c r="BU755" s="183"/>
      <c r="BV755" s="186"/>
      <c r="BY755" s="125">
        <f t="shared" si="290"/>
        <v>0</v>
      </c>
      <c r="BZ755" s="126">
        <f t="shared" si="291"/>
        <v>-174668.524</v>
      </c>
      <c r="CA755" s="126">
        <f t="shared" si="292"/>
        <v>0</v>
      </c>
      <c r="CB755" s="127">
        <f t="shared" si="293"/>
        <v>34000</v>
      </c>
    </row>
    <row r="756" spans="1:82" s="171" customFormat="1" ht="30.75" customHeight="1" collapsed="1" x14ac:dyDescent="0.25">
      <c r="A756" s="167" t="b">
        <f>REGULATION_METHODS="Метод индексации"</f>
        <v>1</v>
      </c>
      <c r="B756" s="166" t="b">
        <f t="array" ref="B756">A756</f>
        <v>1</v>
      </c>
      <c r="C756" s="167" t="s">
        <v>83</v>
      </c>
      <c r="D756" s="167" t="s">
        <v>84</v>
      </c>
      <c r="E756" s="167" t="s">
        <v>73</v>
      </c>
      <c r="F756" s="167" t="s">
        <v>74</v>
      </c>
      <c r="G756" s="167" t="s">
        <v>514</v>
      </c>
      <c r="H756" s="167" t="s">
        <v>73</v>
      </c>
      <c r="I756" s="167" t="s">
        <v>73</v>
      </c>
      <c r="J756" s="167" t="s">
        <v>73</v>
      </c>
      <c r="K756" s="168" t="s">
        <v>73</v>
      </c>
      <c r="L756" s="167" t="s">
        <v>133</v>
      </c>
      <c r="M756" s="166" t="str">
        <f t="array" ref="M756">Y458</f>
        <v>1ВО::1.1</v>
      </c>
      <c r="N756" s="166"/>
      <c r="O756" s="166"/>
      <c r="P756" s="166"/>
      <c r="Q756" s="166"/>
      <c r="R756" s="166"/>
      <c r="S756" s="166"/>
      <c r="T756" s="166"/>
      <c r="U756" s="166"/>
      <c r="V756" s="166"/>
      <c r="W756" s="166"/>
      <c r="X756" s="166"/>
      <c r="Y756" s="166"/>
      <c r="Z756" s="166"/>
      <c r="AA756" s="166"/>
      <c r="AB756" s="429">
        <f>COUNT(AB732,AB507,AB461)+2</f>
        <v>5</v>
      </c>
      <c r="AC756" s="430" t="s">
        <v>515</v>
      </c>
      <c r="AD756" s="431" t="s">
        <v>111</v>
      </c>
      <c r="AE756" s="535"/>
      <c r="AF756" s="489">
        <v>11000</v>
      </c>
      <c r="AG756" s="489"/>
      <c r="AH756" s="536">
        <v>-4500</v>
      </c>
      <c r="AI756" s="1070"/>
      <c r="AJ756" s="489"/>
      <c r="AK756" s="489"/>
      <c r="AL756" s="537">
        <v>0</v>
      </c>
      <c r="AM756" s="535"/>
      <c r="AN756" s="489"/>
      <c r="AO756" s="489"/>
      <c r="AP756" s="537"/>
      <c r="AQ756" s="535"/>
      <c r="AR756" s="489"/>
      <c r="AS756" s="489"/>
      <c r="AT756" s="537"/>
      <c r="AU756" s="535"/>
      <c r="AV756" s="489">
        <v>350</v>
      </c>
      <c r="AW756" s="489"/>
      <c r="AX756" s="537"/>
      <c r="AY756" s="535"/>
      <c r="AZ756" s="489"/>
      <c r="BA756" s="489"/>
      <c r="BB756" s="537"/>
      <c r="BC756" s="535"/>
      <c r="BD756" s="489">
        <v>400</v>
      </c>
      <c r="BE756" s="489"/>
      <c r="BF756" s="988">
        <v>0</v>
      </c>
      <c r="BG756" s="535"/>
      <c r="BH756" s="489"/>
      <c r="BI756" s="489"/>
      <c r="BJ756" s="537">
        <v>0</v>
      </c>
      <c r="BK756" s="535"/>
      <c r="BL756" s="489">
        <v>-17000</v>
      </c>
      <c r="BM756" s="489"/>
      <c r="BN756" s="537">
        <v>17000</v>
      </c>
      <c r="BO756" s="538"/>
      <c r="BP756" s="539">
        <v>-1500</v>
      </c>
      <c r="BQ756" s="539"/>
      <c r="BR756" s="540">
        <v>1500</v>
      </c>
      <c r="BS756" s="538"/>
      <c r="BT756" s="539"/>
      <c r="BU756" s="539"/>
      <c r="BV756" s="541">
        <v>0</v>
      </c>
      <c r="BW756" s="170"/>
      <c r="BX756" s="166"/>
      <c r="BY756" s="436">
        <f t="shared" ref="BY756:BY772" si="294">AE756+AI756+AM756+AQ756+AU756+AY756+BC756+BG756+BK756+BO756+BS756</f>
        <v>0</v>
      </c>
      <c r="BZ756" s="437">
        <f t="shared" si="291"/>
        <v>-6750</v>
      </c>
      <c r="CA756" s="437">
        <f t="shared" ref="CA756:CA767" si="295">AG756+AK756+AO756+AS756+AW756+BA756+BE756+BI756+BM756+BQ756+BU756</f>
        <v>0</v>
      </c>
      <c r="CB756" s="438">
        <f t="shared" ref="CB756:CB767" si="296">AH756+AL756+AP756+AT756+AX756+BB756+BF756+BJ756+BN756+BR756+BV756</f>
        <v>14000</v>
      </c>
      <c r="CC756" s="760"/>
    </row>
    <row r="757" spans="1:82" s="171" customFormat="1" ht="14.25" hidden="1" customHeight="1" x14ac:dyDescent="0.25">
      <c r="A757" s="167" t="b">
        <f>REGULATION_METHODS="МЭОР"</f>
        <v>0</v>
      </c>
      <c r="B757" s="166" t="b">
        <f t="array" ref="B757">A757</f>
        <v>0</v>
      </c>
      <c r="C757" s="167" t="s">
        <v>83</v>
      </c>
      <c r="D757" s="167" t="s">
        <v>84</v>
      </c>
      <c r="E757" s="167" t="s">
        <v>73</v>
      </c>
      <c r="F757" s="167" t="s">
        <v>74</v>
      </c>
      <c r="G757" s="167" t="s">
        <v>702</v>
      </c>
      <c r="H757" s="167" t="s">
        <v>73</v>
      </c>
      <c r="I757" s="167" t="s">
        <v>73</v>
      </c>
      <c r="J757" s="167" t="s">
        <v>73</v>
      </c>
      <c r="K757" s="168" t="s">
        <v>73</v>
      </c>
      <c r="L757" s="167" t="s">
        <v>703</v>
      </c>
      <c r="M757" s="166" t="str">
        <f t="array" ref="M757">Y458</f>
        <v>1ВО::1.1</v>
      </c>
      <c r="N757" s="166"/>
      <c r="O757" s="166"/>
      <c r="P757" s="166"/>
      <c r="Q757" s="166"/>
      <c r="R757" s="166"/>
      <c r="S757" s="166"/>
      <c r="T757" s="166"/>
      <c r="U757" s="166"/>
      <c r="V757" s="166"/>
      <c r="W757" s="166"/>
      <c r="X757" s="166"/>
      <c r="Y757" s="166"/>
      <c r="Z757" s="170"/>
      <c r="AA757" s="170"/>
      <c r="AB757" s="429"/>
      <c r="AC757" s="430"/>
      <c r="AD757" s="431"/>
      <c r="AE757" s="542"/>
      <c r="AF757" s="543"/>
      <c r="AG757" s="543"/>
      <c r="AH757" s="544"/>
      <c r="AI757" s="1071"/>
      <c r="AJ757" s="543"/>
      <c r="AK757" s="543"/>
      <c r="AL757" s="545"/>
      <c r="AM757" s="542"/>
      <c r="AN757" s="543"/>
      <c r="AO757" s="543"/>
      <c r="AP757" s="545"/>
      <c r="AQ757" s="542"/>
      <c r="AR757" s="543"/>
      <c r="AS757" s="543"/>
      <c r="AT757" s="545"/>
      <c r="AU757" s="542"/>
      <c r="AV757" s="543"/>
      <c r="AW757" s="543"/>
      <c r="AX757" s="545"/>
      <c r="AY757" s="542"/>
      <c r="AZ757" s="543"/>
      <c r="BA757" s="543"/>
      <c r="BB757" s="545"/>
      <c r="BC757" s="542"/>
      <c r="BD757" s="543"/>
      <c r="BE757" s="543"/>
      <c r="BF757" s="989"/>
      <c r="BG757" s="542"/>
      <c r="BH757" s="543"/>
      <c r="BI757" s="543"/>
      <c r="BJ757" s="545"/>
      <c r="BK757" s="542"/>
      <c r="BL757" s="543"/>
      <c r="BM757" s="543"/>
      <c r="BN757" s="545"/>
      <c r="BO757" s="546"/>
      <c r="BP757" s="547"/>
      <c r="BQ757" s="547"/>
      <c r="BR757" s="548"/>
      <c r="BS757" s="546"/>
      <c r="BT757" s="547"/>
      <c r="BU757" s="547"/>
      <c r="BV757" s="549"/>
      <c r="BW757" s="170"/>
      <c r="BX757" s="166"/>
      <c r="BY757" s="436">
        <f t="shared" si="294"/>
        <v>0</v>
      </c>
      <c r="BZ757" s="437">
        <f t="shared" si="291"/>
        <v>0</v>
      </c>
      <c r="CA757" s="437">
        <f t="shared" si="295"/>
        <v>0</v>
      </c>
      <c r="CB757" s="438">
        <f t="shared" si="296"/>
        <v>0</v>
      </c>
      <c r="CC757" s="760"/>
    </row>
    <row r="758" spans="1:82" s="171" customFormat="1" ht="27" hidden="1" customHeight="1" outlineLevel="4" x14ac:dyDescent="0.25">
      <c r="A758" s="167" t="b">
        <f t="array" ref="A758">A757</f>
        <v>0</v>
      </c>
      <c r="B758" s="166" t="b">
        <f t="array" ref="B758">A758</f>
        <v>0</v>
      </c>
      <c r="C758" s="167" t="s">
        <v>83</v>
      </c>
      <c r="D758" s="167" t="s">
        <v>84</v>
      </c>
      <c r="E758" s="167" t="s">
        <v>73</v>
      </c>
      <c r="F758" s="167" t="s">
        <v>74</v>
      </c>
      <c r="G758" s="167" t="s">
        <v>704</v>
      </c>
      <c r="H758" s="167" t="s">
        <v>73</v>
      </c>
      <c r="I758" s="167" t="s">
        <v>73</v>
      </c>
      <c r="J758" s="167" t="s">
        <v>73</v>
      </c>
      <c r="K758" s="168" t="s">
        <v>73</v>
      </c>
      <c r="L758" s="167" t="s">
        <v>703</v>
      </c>
      <c r="M758" s="166" t="str">
        <f t="array" ref="M758">Y458</f>
        <v>1ВО::1.1</v>
      </c>
      <c r="N758" s="166"/>
      <c r="O758" s="166"/>
      <c r="P758" s="166"/>
      <c r="Q758" s="166"/>
      <c r="R758" s="166"/>
      <c r="S758" s="166"/>
      <c r="T758" s="166"/>
      <c r="U758" s="166"/>
      <c r="V758" s="166"/>
      <c r="W758" s="166"/>
      <c r="X758" s="166"/>
      <c r="Y758" s="166"/>
      <c r="Z758" s="170"/>
      <c r="AA758" s="170"/>
      <c r="AB758" s="429"/>
      <c r="AC758" s="439"/>
      <c r="AD758" s="431"/>
      <c r="AE758" s="550"/>
      <c r="AF758" s="551"/>
      <c r="AG758" s="551"/>
      <c r="AH758" s="552"/>
      <c r="AI758" s="1072"/>
      <c r="AJ758" s="551"/>
      <c r="AK758" s="551"/>
      <c r="AL758" s="553"/>
      <c r="AM758" s="550"/>
      <c r="AN758" s="551"/>
      <c r="AO758" s="551"/>
      <c r="AP758" s="553"/>
      <c r="AQ758" s="550"/>
      <c r="AR758" s="551"/>
      <c r="AS758" s="551"/>
      <c r="AT758" s="553"/>
      <c r="AU758" s="550"/>
      <c r="AV758" s="551"/>
      <c r="AW758" s="551"/>
      <c r="AX758" s="553"/>
      <c r="AY758" s="550"/>
      <c r="AZ758" s="551"/>
      <c r="BA758" s="551"/>
      <c r="BB758" s="553"/>
      <c r="BC758" s="550"/>
      <c r="BD758" s="551"/>
      <c r="BE758" s="551"/>
      <c r="BF758" s="990"/>
      <c r="BG758" s="550"/>
      <c r="BH758" s="551"/>
      <c r="BI758" s="551"/>
      <c r="BJ758" s="553"/>
      <c r="BK758" s="550"/>
      <c r="BL758" s="551"/>
      <c r="BM758" s="551"/>
      <c r="BN758" s="553"/>
      <c r="BO758" s="554"/>
      <c r="BP758" s="555"/>
      <c r="BQ758" s="555"/>
      <c r="BR758" s="556"/>
      <c r="BS758" s="554"/>
      <c r="BT758" s="555"/>
      <c r="BU758" s="555"/>
      <c r="BV758" s="557"/>
      <c r="BW758" s="170"/>
      <c r="BX758" s="166"/>
      <c r="BY758" s="436">
        <f t="shared" si="294"/>
        <v>0</v>
      </c>
      <c r="BZ758" s="437">
        <f t="shared" si="291"/>
        <v>0</v>
      </c>
      <c r="CA758" s="437">
        <f t="shared" si="295"/>
        <v>0</v>
      </c>
      <c r="CB758" s="438">
        <f t="shared" si="296"/>
        <v>0</v>
      </c>
      <c r="CC758" s="760"/>
    </row>
    <row r="759" spans="1:82" s="171" customFormat="1" ht="14.25" hidden="1" customHeight="1" outlineLevel="4" x14ac:dyDescent="0.25">
      <c r="A759" s="167" t="b">
        <f t="array" ref="A759">A758</f>
        <v>0</v>
      </c>
      <c r="B759" s="166" t="b">
        <f t="array" ref="B759">A759</f>
        <v>0</v>
      </c>
      <c r="C759" s="167" t="s">
        <v>83</v>
      </c>
      <c r="D759" s="167" t="s">
        <v>84</v>
      </c>
      <c r="E759" s="167" t="s">
        <v>73</v>
      </c>
      <c r="F759" s="167" t="s">
        <v>74</v>
      </c>
      <c r="G759" s="167" t="s">
        <v>705</v>
      </c>
      <c r="H759" s="167" t="s">
        <v>73</v>
      </c>
      <c r="I759" s="167" t="s">
        <v>73</v>
      </c>
      <c r="J759" s="167" t="s">
        <v>73</v>
      </c>
      <c r="K759" s="168" t="s">
        <v>73</v>
      </c>
      <c r="L759" s="167" t="s">
        <v>703</v>
      </c>
      <c r="M759" s="166" t="str">
        <f t="array" ref="M759">Y458</f>
        <v>1ВО::1.1</v>
      </c>
      <c r="N759" s="166"/>
      <c r="O759" s="166"/>
      <c r="P759" s="166"/>
      <c r="Q759" s="166"/>
      <c r="R759" s="166"/>
      <c r="S759" s="166"/>
      <c r="T759" s="166"/>
      <c r="U759" s="166"/>
      <c r="V759" s="166"/>
      <c r="W759" s="166"/>
      <c r="X759" s="166"/>
      <c r="Y759" s="166"/>
      <c r="Z759" s="170"/>
      <c r="AA759" s="170"/>
      <c r="AB759" s="429"/>
      <c r="AC759" s="439"/>
      <c r="AD759" s="431"/>
      <c r="AE759" s="476"/>
      <c r="AF759" s="433"/>
      <c r="AG759" s="433"/>
      <c r="AH759" s="490"/>
      <c r="AI759" s="475"/>
      <c r="AJ759" s="433"/>
      <c r="AK759" s="433"/>
      <c r="AL759" s="477"/>
      <c r="AM759" s="476"/>
      <c r="AN759" s="433"/>
      <c r="AO759" s="433"/>
      <c r="AP759" s="477"/>
      <c r="AQ759" s="476"/>
      <c r="AR759" s="433"/>
      <c r="AS759" s="433"/>
      <c r="AT759" s="477"/>
      <c r="AU759" s="476"/>
      <c r="AV759" s="433"/>
      <c r="AW759" s="433"/>
      <c r="AX759" s="477"/>
      <c r="AY759" s="476"/>
      <c r="AZ759" s="433"/>
      <c r="BA759" s="433"/>
      <c r="BB759" s="477"/>
      <c r="BC759" s="476"/>
      <c r="BD759" s="433"/>
      <c r="BE759" s="433"/>
      <c r="BF759" s="983"/>
      <c r="BG759" s="476"/>
      <c r="BH759" s="433"/>
      <c r="BI759" s="433"/>
      <c r="BJ759" s="477"/>
      <c r="BK759" s="476"/>
      <c r="BL759" s="433"/>
      <c r="BM759" s="433"/>
      <c r="BN759" s="477"/>
      <c r="BO759" s="491"/>
      <c r="BP759" s="492"/>
      <c r="BQ759" s="492"/>
      <c r="BR759" s="493"/>
      <c r="BS759" s="491"/>
      <c r="BT759" s="492"/>
      <c r="BU759" s="492"/>
      <c r="BV759" s="494"/>
      <c r="BW759" s="170"/>
      <c r="BX759" s="166"/>
      <c r="BY759" s="436">
        <f t="shared" si="294"/>
        <v>0</v>
      </c>
      <c r="BZ759" s="437">
        <f t="shared" si="291"/>
        <v>0</v>
      </c>
      <c r="CA759" s="437">
        <f t="shared" si="295"/>
        <v>0</v>
      </c>
      <c r="CB759" s="438">
        <f t="shared" si="296"/>
        <v>0</v>
      </c>
      <c r="CC759" s="760"/>
    </row>
    <row r="760" spans="1:82" s="171" customFormat="1" ht="28.5" hidden="1" customHeight="1" outlineLevel="4" x14ac:dyDescent="0.25">
      <c r="A760" s="167" t="b">
        <f t="array" ref="A760">A759</f>
        <v>0</v>
      </c>
      <c r="B760" s="166" t="b">
        <f t="array" ref="B760">A760</f>
        <v>0</v>
      </c>
      <c r="C760" s="167" t="s">
        <v>83</v>
      </c>
      <c r="D760" s="167" t="s">
        <v>84</v>
      </c>
      <c r="E760" s="167" t="s">
        <v>73</v>
      </c>
      <c r="F760" s="167" t="s">
        <v>74</v>
      </c>
      <c r="G760" s="167" t="s">
        <v>706</v>
      </c>
      <c r="H760" s="167" t="s">
        <v>73</v>
      </c>
      <c r="I760" s="167" t="s">
        <v>73</v>
      </c>
      <c r="J760" s="167" t="s">
        <v>73</v>
      </c>
      <c r="K760" s="168" t="s">
        <v>73</v>
      </c>
      <c r="L760" s="167" t="s">
        <v>703</v>
      </c>
      <c r="M760" s="166" t="str">
        <f t="array" ref="M760">Y458</f>
        <v>1ВО::1.1</v>
      </c>
      <c r="N760" s="166"/>
      <c r="O760" s="166"/>
      <c r="P760" s="166"/>
      <c r="Q760" s="166"/>
      <c r="R760" s="166"/>
      <c r="S760" s="166"/>
      <c r="T760" s="166"/>
      <c r="U760" s="166"/>
      <c r="V760" s="166"/>
      <c r="W760" s="166"/>
      <c r="X760" s="166"/>
      <c r="Y760" s="166"/>
      <c r="Z760" s="170"/>
      <c r="AA760" s="170"/>
      <c r="AB760" s="429"/>
      <c r="AC760" s="439"/>
      <c r="AD760" s="431"/>
      <c r="AE760" s="476"/>
      <c r="AF760" s="433"/>
      <c r="AG760" s="433"/>
      <c r="AH760" s="490"/>
      <c r="AI760" s="475"/>
      <c r="AJ760" s="433"/>
      <c r="AK760" s="433"/>
      <c r="AL760" s="477"/>
      <c r="AM760" s="476"/>
      <c r="AN760" s="433"/>
      <c r="AO760" s="433"/>
      <c r="AP760" s="477"/>
      <c r="AQ760" s="476"/>
      <c r="AR760" s="433"/>
      <c r="AS760" s="433"/>
      <c r="AT760" s="477"/>
      <c r="AU760" s="476"/>
      <c r="AV760" s="433"/>
      <c r="AW760" s="433"/>
      <c r="AX760" s="477"/>
      <c r="AY760" s="476"/>
      <c r="AZ760" s="433"/>
      <c r="BA760" s="433"/>
      <c r="BB760" s="477"/>
      <c r="BC760" s="476"/>
      <c r="BD760" s="433"/>
      <c r="BE760" s="433"/>
      <c r="BF760" s="983"/>
      <c r="BG760" s="476"/>
      <c r="BH760" s="433"/>
      <c r="BI760" s="433"/>
      <c r="BJ760" s="477"/>
      <c r="BK760" s="476"/>
      <c r="BL760" s="433"/>
      <c r="BM760" s="433"/>
      <c r="BN760" s="477"/>
      <c r="BO760" s="491"/>
      <c r="BP760" s="492"/>
      <c r="BQ760" s="492"/>
      <c r="BR760" s="493"/>
      <c r="BS760" s="491"/>
      <c r="BT760" s="492"/>
      <c r="BU760" s="492"/>
      <c r="BV760" s="494"/>
      <c r="BW760" s="170"/>
      <c r="BX760" s="166"/>
      <c r="BY760" s="436">
        <f t="shared" si="294"/>
        <v>0</v>
      </c>
      <c r="BZ760" s="437">
        <f t="shared" si="291"/>
        <v>0</v>
      </c>
      <c r="CA760" s="437">
        <f t="shared" si="295"/>
        <v>0</v>
      </c>
      <c r="CB760" s="438">
        <f t="shared" si="296"/>
        <v>0</v>
      </c>
      <c r="CC760" s="760"/>
    </row>
    <row r="761" spans="1:82" s="171" customFormat="1" ht="33.75" customHeight="1" collapsed="1" x14ac:dyDescent="0.25">
      <c r="A761" s="166"/>
      <c r="B761" s="166"/>
      <c r="C761" s="167" t="s">
        <v>83</v>
      </c>
      <c r="D761" s="167" t="s">
        <v>84</v>
      </c>
      <c r="E761" s="167" t="s">
        <v>73</v>
      </c>
      <c r="F761" s="167" t="s">
        <v>74</v>
      </c>
      <c r="G761" s="314" t="s">
        <v>516</v>
      </c>
      <c r="H761" s="167" t="s">
        <v>73</v>
      </c>
      <c r="I761" s="167" t="s">
        <v>73</v>
      </c>
      <c r="J761" s="167" t="s">
        <v>73</v>
      </c>
      <c r="K761" s="168" t="s">
        <v>73</v>
      </c>
      <c r="L761" s="315" t="s">
        <v>73</v>
      </c>
      <c r="M761" s="166" t="str">
        <f t="array" ref="M761">Y458</f>
        <v>1ВО::1.1</v>
      </c>
      <c r="N761" s="166"/>
      <c r="O761" s="166"/>
      <c r="P761" s="166"/>
      <c r="Q761" s="166"/>
      <c r="R761" s="166"/>
      <c r="S761" s="166"/>
      <c r="T761" s="166"/>
      <c r="U761" s="166"/>
      <c r="V761" s="166"/>
      <c r="W761" s="166"/>
      <c r="X761" s="166"/>
      <c r="Y761" s="166"/>
      <c r="Z761" s="166"/>
      <c r="AA761" s="166"/>
      <c r="AB761" s="429">
        <f>COUNT(AB732,AB507,AB461,AB756,AB757)+2</f>
        <v>6</v>
      </c>
      <c r="AC761" s="430" t="s">
        <v>517</v>
      </c>
      <c r="AD761" s="431" t="s">
        <v>111</v>
      </c>
      <c r="AE761" s="535"/>
      <c r="AF761" s="489"/>
      <c r="AG761" s="489"/>
      <c r="AH761" s="536"/>
      <c r="AI761" s="1070"/>
      <c r="AJ761" s="489"/>
      <c r="AK761" s="489"/>
      <c r="AL761" s="537">
        <v>0</v>
      </c>
      <c r="AM761" s="535"/>
      <c r="AN761" s="489"/>
      <c r="AO761" s="489"/>
      <c r="AP761" s="537"/>
      <c r="AQ761" s="535"/>
      <c r="AR761" s="489"/>
      <c r="AS761" s="489"/>
      <c r="AT761" s="537">
        <v>10467.129999999999</v>
      </c>
      <c r="AU761" s="535"/>
      <c r="AV761" s="489"/>
      <c r="AW761" s="489"/>
      <c r="AX761" s="537">
        <f>AX763</f>
        <v>13610.68</v>
      </c>
      <c r="AY761" s="535"/>
      <c r="AZ761" s="489">
        <f>AZ763</f>
        <v>-28473.88</v>
      </c>
      <c r="BA761" s="489"/>
      <c r="BB761" s="537">
        <f>BB763</f>
        <v>22801.4</v>
      </c>
      <c r="BC761" s="535"/>
      <c r="BD761" s="489">
        <f>BD763</f>
        <v>843.61</v>
      </c>
      <c r="BE761" s="489"/>
      <c r="BF761" s="988">
        <f>BF762+BF763</f>
        <v>32060.14</v>
      </c>
      <c r="BG761" s="535"/>
      <c r="BH761" s="489">
        <f>BH763</f>
        <v>48349.2</v>
      </c>
      <c r="BI761" s="489"/>
      <c r="BJ761" s="537">
        <f>BJ763</f>
        <v>82608.77</v>
      </c>
      <c r="BK761" s="535"/>
      <c r="BL761" s="489">
        <v>-23373.68</v>
      </c>
      <c r="BM761" s="489"/>
      <c r="BN761" s="537">
        <f>BN763</f>
        <v>-36712.14</v>
      </c>
      <c r="BO761" s="538"/>
      <c r="BP761" s="539">
        <f>BP763</f>
        <v>-3842.49</v>
      </c>
      <c r="BQ761" s="539">
        <f>BQ763</f>
        <v>0</v>
      </c>
      <c r="BR761" s="540">
        <f>BR763</f>
        <v>-7122.59</v>
      </c>
      <c r="BS761" s="538"/>
      <c r="BT761" s="539">
        <f>BT762+BT763</f>
        <v>-20117.52</v>
      </c>
      <c r="BU761" s="539"/>
      <c r="BV761" s="541">
        <f>BV762+BV763</f>
        <v>-17189.52</v>
      </c>
      <c r="BW761" s="170"/>
      <c r="BX761" s="166"/>
      <c r="BY761" s="436">
        <f t="shared" si="294"/>
        <v>0</v>
      </c>
      <c r="BZ761" s="437">
        <f t="shared" si="291"/>
        <v>-26614.760000000002</v>
      </c>
      <c r="CA761" s="437">
        <f t="shared" si="295"/>
        <v>0</v>
      </c>
      <c r="CB761" s="438">
        <f t="shared" si="296"/>
        <v>100523.87</v>
      </c>
      <c r="CC761" s="760"/>
    </row>
    <row r="762" spans="1:82" ht="37.5" customHeight="1" x14ac:dyDescent="0.25">
      <c r="C762" s="316" t="s">
        <v>83</v>
      </c>
      <c r="D762" s="316" t="s">
        <v>84</v>
      </c>
      <c r="E762" s="316" t="s">
        <v>73</v>
      </c>
      <c r="F762" s="316" t="s">
        <v>74</v>
      </c>
      <c r="G762" s="316" t="s">
        <v>518</v>
      </c>
      <c r="H762" s="316" t="s">
        <v>73</v>
      </c>
      <c r="I762" s="316" t="s">
        <v>73</v>
      </c>
      <c r="J762" s="316" t="s">
        <v>73</v>
      </c>
      <c r="K762" s="317" t="s">
        <v>73</v>
      </c>
      <c r="L762" s="316" t="s">
        <v>73</v>
      </c>
      <c r="M762" s="5" t="str">
        <f t="array" ref="M762">Y458</f>
        <v>1ВО::1.1</v>
      </c>
      <c r="AB762" s="403" t="str">
        <f>AB761&amp;".1"</f>
        <v>6.1</v>
      </c>
      <c r="AC762" s="558" t="s">
        <v>518</v>
      </c>
      <c r="AD762" s="32" t="s">
        <v>111</v>
      </c>
      <c r="AE762" s="95"/>
      <c r="AF762" s="178"/>
      <c r="AG762" s="178"/>
      <c r="AH762" s="96"/>
      <c r="AI762" s="187"/>
      <c r="AJ762" s="178"/>
      <c r="AK762" s="178"/>
      <c r="AL762" s="181"/>
      <c r="AM762" s="95"/>
      <c r="AN762" s="178"/>
      <c r="AO762" s="178"/>
      <c r="AP762" s="181"/>
      <c r="AQ762" s="95"/>
      <c r="AR762" s="178"/>
      <c r="AS762" s="178"/>
      <c r="AT762" s="181"/>
      <c r="AU762" s="95"/>
      <c r="AV762" s="178"/>
      <c r="AW762" s="178"/>
      <c r="AX762" s="181"/>
      <c r="AY762" s="95"/>
      <c r="AZ762" s="178"/>
      <c r="BA762" s="178"/>
      <c r="BB762" s="181"/>
      <c r="BC762" s="95"/>
      <c r="BD762" s="178"/>
      <c r="BE762" s="178"/>
      <c r="BF762" s="210"/>
      <c r="BG762" s="95"/>
      <c r="BH762" s="178"/>
      <c r="BI762" s="178"/>
      <c r="BJ762" s="181"/>
      <c r="BK762" s="95"/>
      <c r="BL762" s="178"/>
      <c r="BM762" s="178"/>
      <c r="BN762" s="181"/>
      <c r="BO762" s="185"/>
      <c r="BP762" s="183"/>
      <c r="BQ762" s="183"/>
      <c r="BR762" s="184"/>
      <c r="BS762" s="185"/>
      <c r="BT762" s="183"/>
      <c r="BU762" s="183"/>
      <c r="BV762" s="186"/>
      <c r="BY762" s="125">
        <f t="shared" si="294"/>
        <v>0</v>
      </c>
      <c r="BZ762" s="126">
        <f t="shared" si="291"/>
        <v>0</v>
      </c>
      <c r="CA762" s="126">
        <f t="shared" si="295"/>
        <v>0</v>
      </c>
      <c r="CB762" s="127">
        <f t="shared" si="296"/>
        <v>0</v>
      </c>
      <c r="CD762" s="1025"/>
    </row>
    <row r="763" spans="1:82" ht="42.75" customHeight="1" x14ac:dyDescent="0.25">
      <c r="C763" s="316" t="s">
        <v>83</v>
      </c>
      <c r="D763" s="316" t="s">
        <v>84</v>
      </c>
      <c r="E763" s="316" t="s">
        <v>73</v>
      </c>
      <c r="F763" s="316" t="s">
        <v>74</v>
      </c>
      <c r="G763" s="316" t="s">
        <v>519</v>
      </c>
      <c r="H763" s="316" t="s">
        <v>73</v>
      </c>
      <c r="I763" s="316" t="s">
        <v>73</v>
      </c>
      <c r="J763" s="316" t="s">
        <v>73</v>
      </c>
      <c r="K763" s="317" t="s">
        <v>73</v>
      </c>
      <c r="L763" s="316" t="s">
        <v>73</v>
      </c>
      <c r="M763" s="5" t="str">
        <f t="array" ref="M763">Y458</f>
        <v>1ВО::1.1</v>
      </c>
      <c r="AB763" s="403" t="str">
        <f>AB761&amp;".2"</f>
        <v>6.2</v>
      </c>
      <c r="AC763" s="80" t="s">
        <v>519</v>
      </c>
      <c r="AD763" s="32" t="s">
        <v>111</v>
      </c>
      <c r="AE763" s="95"/>
      <c r="AF763" s="178"/>
      <c r="AG763" s="178"/>
      <c r="AH763" s="96"/>
      <c r="AI763" s="187"/>
      <c r="AJ763" s="178"/>
      <c r="AK763" s="178"/>
      <c r="AL763" s="181"/>
      <c r="AM763" s="95"/>
      <c r="AN763" s="178"/>
      <c r="AO763" s="178"/>
      <c r="AP763" s="181"/>
      <c r="AQ763" s="95"/>
      <c r="AR763" s="178"/>
      <c r="AS763" s="178"/>
      <c r="AT763" s="181">
        <v>10467.129999999999</v>
      </c>
      <c r="AU763" s="95"/>
      <c r="AV763" s="178"/>
      <c r="AW763" s="178"/>
      <c r="AX763" s="181">
        <v>13610.68</v>
      </c>
      <c r="AY763" s="95"/>
      <c r="AZ763" s="330">
        <v>-28473.88</v>
      </c>
      <c r="BA763" s="178"/>
      <c r="BB763" s="181">
        <v>22801.4</v>
      </c>
      <c r="BC763" s="95"/>
      <c r="BD763" s="178">
        <v>843.61</v>
      </c>
      <c r="BE763" s="178"/>
      <c r="BF763" s="210">
        <v>32060.14</v>
      </c>
      <c r="BG763" s="95"/>
      <c r="BH763" s="178">
        <v>48349.2</v>
      </c>
      <c r="BI763" s="178"/>
      <c r="BJ763" s="181">
        <v>82608.77</v>
      </c>
      <c r="BK763" s="95"/>
      <c r="BL763" s="178">
        <v>-23373.68</v>
      </c>
      <c r="BM763" s="178"/>
      <c r="BN763" s="181">
        <v>-36712.14</v>
      </c>
      <c r="BO763" s="185"/>
      <c r="BP763" s="183">
        <v>-3842.49</v>
      </c>
      <c r="BQ763" s="183"/>
      <c r="BR763" s="184">
        <v>-7122.59</v>
      </c>
      <c r="BS763" s="185"/>
      <c r="BT763" s="183">
        <v>-20117.52</v>
      </c>
      <c r="BU763" s="183"/>
      <c r="BV763" s="186">
        <v>-17189.52</v>
      </c>
      <c r="BY763" s="125">
        <f t="shared" si="294"/>
        <v>0</v>
      </c>
      <c r="BZ763" s="126">
        <f t="shared" si="291"/>
        <v>-26614.760000000002</v>
      </c>
      <c r="CA763" s="126">
        <f t="shared" si="295"/>
        <v>0</v>
      </c>
      <c r="CB763" s="127">
        <f t="shared" si="296"/>
        <v>100523.87</v>
      </c>
    </row>
    <row r="764" spans="1:82" s="171" customFormat="1" ht="45" customHeight="1" x14ac:dyDescent="0.25">
      <c r="A764" s="167" t="b">
        <f>$U458="Водоотведение"</f>
        <v>1</v>
      </c>
      <c r="B764" s="166"/>
      <c r="C764" s="315" t="s">
        <v>83</v>
      </c>
      <c r="D764" s="315" t="s">
        <v>84</v>
      </c>
      <c r="E764" s="315" t="s">
        <v>73</v>
      </c>
      <c r="F764" s="315" t="s">
        <v>74</v>
      </c>
      <c r="G764" s="315" t="s">
        <v>707</v>
      </c>
      <c r="H764" s="315" t="s">
        <v>73</v>
      </c>
      <c r="I764" s="315" t="s">
        <v>73</v>
      </c>
      <c r="J764" s="315" t="s">
        <v>73</v>
      </c>
      <c r="K764" s="322" t="s">
        <v>73</v>
      </c>
      <c r="L764" s="315" t="s">
        <v>73</v>
      </c>
      <c r="M764" s="166" t="str">
        <f t="array" ref="M764">Y458</f>
        <v>1ВО::1.1</v>
      </c>
      <c r="N764" s="166"/>
      <c r="O764" s="166"/>
      <c r="P764" s="166"/>
      <c r="Q764" s="166"/>
      <c r="R764" s="166"/>
      <c r="S764" s="166"/>
      <c r="T764" s="166"/>
      <c r="U764" s="166"/>
      <c r="V764" s="166"/>
      <c r="W764" s="166"/>
      <c r="X764" s="166"/>
      <c r="Y764" s="166"/>
      <c r="Z764" s="166"/>
      <c r="AA764" s="166"/>
      <c r="AB764" s="559">
        <f>COUNT(AB732,AB507,AB461,AB756,AB757,AB761)+2</f>
        <v>7</v>
      </c>
      <c r="AC764" s="560" t="s">
        <v>708</v>
      </c>
      <c r="AD764" s="561" t="s">
        <v>111</v>
      </c>
      <c r="AE764" s="329"/>
      <c r="AF764" s="330"/>
      <c r="AG764" s="330"/>
      <c r="AH764" s="331"/>
      <c r="AI764" s="682"/>
      <c r="AJ764" s="330"/>
      <c r="AK764" s="330"/>
      <c r="AL764" s="332"/>
      <c r="AM764" s="329"/>
      <c r="AN764" s="330"/>
      <c r="AO764" s="330"/>
      <c r="AP764" s="332"/>
      <c r="AQ764" s="329"/>
      <c r="AR764" s="330"/>
      <c r="AS764" s="330"/>
      <c r="AT764" s="332"/>
      <c r="AU764" s="329"/>
      <c r="AV764" s="330"/>
      <c r="AW764" s="330"/>
      <c r="AX764" s="332"/>
      <c r="AY764" s="329"/>
      <c r="AZ764" s="330"/>
      <c r="BA764" s="330"/>
      <c r="BB764" s="332"/>
      <c r="BC764" s="329"/>
      <c r="BD764" s="330"/>
      <c r="BE764" s="330"/>
      <c r="BF764" s="991"/>
      <c r="BG764" s="329"/>
      <c r="BH764" s="330"/>
      <c r="BI764" s="330"/>
      <c r="BJ764" s="332"/>
      <c r="BK764" s="329"/>
      <c r="BL764" s="330"/>
      <c r="BM764" s="330"/>
      <c r="BN764" s="332"/>
      <c r="BO764" s="336"/>
      <c r="BP764" s="334"/>
      <c r="BQ764" s="334"/>
      <c r="BR764" s="335"/>
      <c r="BS764" s="336"/>
      <c r="BT764" s="334"/>
      <c r="BU764" s="334"/>
      <c r="BV764" s="337"/>
      <c r="BW764" s="170"/>
      <c r="BX764" s="166"/>
      <c r="BY764" s="562">
        <f t="shared" si="294"/>
        <v>0</v>
      </c>
      <c r="BZ764" s="563">
        <f t="shared" si="291"/>
        <v>0</v>
      </c>
      <c r="CA764" s="563">
        <f t="shared" si="295"/>
        <v>0</v>
      </c>
      <c r="CB764" s="564">
        <f t="shared" si="296"/>
        <v>0</v>
      </c>
      <c r="CC764" s="760"/>
    </row>
    <row r="765" spans="1:82" s="171" customFormat="1" ht="37.5" customHeight="1" x14ac:dyDescent="0.25">
      <c r="A765" s="166"/>
      <c r="B765" s="166"/>
      <c r="C765" s="321" t="s">
        <v>83</v>
      </c>
      <c r="D765" s="315" t="s">
        <v>84</v>
      </c>
      <c r="E765" s="315" t="s">
        <v>73</v>
      </c>
      <c r="F765" s="315" t="s">
        <v>74</v>
      </c>
      <c r="G765" s="315" t="s">
        <v>520</v>
      </c>
      <c r="H765" s="315" t="s">
        <v>73</v>
      </c>
      <c r="I765" s="315" t="s">
        <v>73</v>
      </c>
      <c r="J765" s="315" t="s">
        <v>73</v>
      </c>
      <c r="K765" s="322" t="s">
        <v>73</v>
      </c>
      <c r="L765" s="315" t="s">
        <v>73</v>
      </c>
      <c r="M765" s="166" t="str">
        <f t="array" ref="M765">Y458</f>
        <v>1ВО::1.1</v>
      </c>
      <c r="N765" s="166"/>
      <c r="O765" s="166"/>
      <c r="P765" s="166"/>
      <c r="Q765" s="166"/>
      <c r="R765" s="166"/>
      <c r="S765" s="166"/>
      <c r="T765" s="166"/>
      <c r="U765" s="166"/>
      <c r="V765" s="166"/>
      <c r="W765" s="166"/>
      <c r="X765" s="166"/>
      <c r="Y765" s="166"/>
      <c r="Z765" s="166"/>
      <c r="AA765" s="166"/>
      <c r="AB765" s="559">
        <f>COUNT(AB732,AB507,AB461,AB756,AB757,AB761,AB764)+2</f>
        <v>8</v>
      </c>
      <c r="AC765" s="560" t="s">
        <v>520</v>
      </c>
      <c r="AD765" s="561" t="s">
        <v>111</v>
      </c>
      <c r="AE765" s="329"/>
      <c r="AF765" s="330"/>
      <c r="AG765" s="330"/>
      <c r="AH765" s="331"/>
      <c r="AI765" s="682"/>
      <c r="AJ765" s="330"/>
      <c r="AK765" s="330"/>
      <c r="AL765" s="332"/>
      <c r="AM765" s="329"/>
      <c r="AN765" s="330"/>
      <c r="AO765" s="330"/>
      <c r="AP765" s="332"/>
      <c r="AQ765" s="329"/>
      <c r="AR765" s="330"/>
      <c r="AS765" s="330"/>
      <c r="AT765" s="332"/>
      <c r="AU765" s="329"/>
      <c r="AV765" s="330"/>
      <c r="AW765" s="330"/>
      <c r="AX765" s="332"/>
      <c r="AY765" s="329"/>
      <c r="AZ765" s="330"/>
      <c r="BA765" s="330"/>
      <c r="BB765" s="332"/>
      <c r="BC765" s="329"/>
      <c r="BD765" s="330"/>
      <c r="BE765" s="330"/>
      <c r="BF765" s="991"/>
      <c r="BG765" s="329"/>
      <c r="BH765" s="330"/>
      <c r="BI765" s="330"/>
      <c r="BJ765" s="332"/>
      <c r="BK765" s="329"/>
      <c r="BL765" s="330"/>
      <c r="BM765" s="330"/>
      <c r="BN765" s="332"/>
      <c r="BO765" s="336"/>
      <c r="BP765" s="334"/>
      <c r="BQ765" s="334"/>
      <c r="BR765" s="335"/>
      <c r="BS765" s="336"/>
      <c r="BT765" s="334"/>
      <c r="BU765" s="334"/>
      <c r="BV765" s="337"/>
      <c r="BW765" s="170"/>
      <c r="BX765" s="166"/>
      <c r="BY765" s="562">
        <f t="shared" si="294"/>
        <v>0</v>
      </c>
      <c r="BZ765" s="563">
        <f t="shared" si="291"/>
        <v>0</v>
      </c>
      <c r="CA765" s="563">
        <f t="shared" si="295"/>
        <v>0</v>
      </c>
      <c r="CB765" s="564">
        <f t="shared" si="296"/>
        <v>0</v>
      </c>
      <c r="CC765" s="760"/>
    </row>
    <row r="766" spans="1:82" s="171" customFormat="1" ht="44.25" customHeight="1" thickBot="1" x14ac:dyDescent="0.3">
      <c r="A766" s="166"/>
      <c r="B766" s="166"/>
      <c r="C766" s="321" t="s">
        <v>83</v>
      </c>
      <c r="D766" s="315" t="s">
        <v>84</v>
      </c>
      <c r="E766" s="315" t="s">
        <v>73</v>
      </c>
      <c r="F766" s="315" t="s">
        <v>74</v>
      </c>
      <c r="G766" s="315" t="s">
        <v>521</v>
      </c>
      <c r="H766" s="315" t="s">
        <v>73</v>
      </c>
      <c r="I766" s="315" t="s">
        <v>73</v>
      </c>
      <c r="J766" s="315" t="s">
        <v>73</v>
      </c>
      <c r="K766" s="322" t="s">
        <v>73</v>
      </c>
      <c r="L766" s="315" t="s">
        <v>73</v>
      </c>
      <c r="M766" s="166" t="str">
        <f t="array" ref="M766">Y458</f>
        <v>1ВО::1.1</v>
      </c>
      <c r="N766" s="166"/>
      <c r="O766" s="166"/>
      <c r="P766" s="166"/>
      <c r="Q766" s="166"/>
      <c r="R766" s="166"/>
      <c r="S766" s="166"/>
      <c r="T766" s="166"/>
      <c r="U766" s="166"/>
      <c r="V766" s="166"/>
      <c r="W766" s="166"/>
      <c r="X766" s="166"/>
      <c r="Y766" s="166"/>
      <c r="Z766" s="166"/>
      <c r="AA766" s="166"/>
      <c r="AB766" s="565">
        <f>COUNT(AB732,AB507,AB461,AB756,AB757,AB761,AB765,AB764)+2</f>
        <v>9</v>
      </c>
      <c r="AC766" s="566" t="s">
        <v>521</v>
      </c>
      <c r="AD766" s="567" t="s">
        <v>111</v>
      </c>
      <c r="AE766" s="879"/>
      <c r="AF766" s="880"/>
      <c r="AG766" s="880"/>
      <c r="AH766" s="939"/>
      <c r="AI766" s="940"/>
      <c r="AJ766" s="880"/>
      <c r="AK766" s="880"/>
      <c r="AL766" s="881"/>
      <c r="AM766" s="879"/>
      <c r="AN766" s="880"/>
      <c r="AO766" s="880"/>
      <c r="AP766" s="881"/>
      <c r="AQ766" s="879"/>
      <c r="AR766" s="880"/>
      <c r="AS766" s="880"/>
      <c r="AT766" s="881"/>
      <c r="AU766" s="879"/>
      <c r="AV766" s="880"/>
      <c r="AW766" s="880"/>
      <c r="AX766" s="881"/>
      <c r="AY766" s="879"/>
      <c r="AZ766" s="880"/>
      <c r="BA766" s="880"/>
      <c r="BB766" s="881"/>
      <c r="BC766" s="879"/>
      <c r="BD766" s="880"/>
      <c r="BE766" s="880"/>
      <c r="BF766" s="992"/>
      <c r="BG766" s="879"/>
      <c r="BH766" s="880"/>
      <c r="BI766" s="880"/>
      <c r="BJ766" s="881"/>
      <c r="BK766" s="879"/>
      <c r="BL766" s="880"/>
      <c r="BM766" s="880"/>
      <c r="BN766" s="881"/>
      <c r="BO766" s="882"/>
      <c r="BP766" s="883"/>
      <c r="BQ766" s="883"/>
      <c r="BR766" s="884"/>
      <c r="BS766" s="882"/>
      <c r="BT766" s="883"/>
      <c r="BU766" s="883"/>
      <c r="BV766" s="885"/>
      <c r="BW766" s="170"/>
      <c r="BX766" s="166"/>
      <c r="BY766" s="886">
        <f t="shared" si="294"/>
        <v>0</v>
      </c>
      <c r="BZ766" s="887">
        <f t="shared" si="291"/>
        <v>0</v>
      </c>
      <c r="CA766" s="887">
        <f t="shared" si="295"/>
        <v>0</v>
      </c>
      <c r="CB766" s="888">
        <f t="shared" si="296"/>
        <v>0</v>
      </c>
      <c r="CC766" s="760"/>
    </row>
    <row r="767" spans="1:82" s="171" customFormat="1" ht="22.5" customHeight="1" thickBot="1" x14ac:dyDescent="0.3">
      <c r="A767" s="166"/>
      <c r="B767" s="166"/>
      <c r="C767" s="167" t="s">
        <v>83</v>
      </c>
      <c r="D767" s="167" t="s">
        <v>84</v>
      </c>
      <c r="E767" s="167" t="s">
        <v>73</v>
      </c>
      <c r="F767" s="167" t="s">
        <v>74</v>
      </c>
      <c r="G767" s="167" t="s">
        <v>85</v>
      </c>
      <c r="H767" s="167" t="s">
        <v>73</v>
      </c>
      <c r="I767" s="167" t="s">
        <v>73</v>
      </c>
      <c r="J767" s="167" t="s">
        <v>73</v>
      </c>
      <c r="K767" s="168" t="s">
        <v>73</v>
      </c>
      <c r="L767" s="167" t="s">
        <v>133</v>
      </c>
      <c r="M767" s="166" t="str">
        <f t="array" ref="M767">Y458</f>
        <v>1ВО::1.1</v>
      </c>
      <c r="N767" s="166"/>
      <c r="O767" s="166"/>
      <c r="P767" s="166"/>
      <c r="Q767" s="166"/>
      <c r="R767" s="166"/>
      <c r="S767" s="166"/>
      <c r="T767" s="166"/>
      <c r="U767" s="166"/>
      <c r="V767" s="166"/>
      <c r="W767" s="166"/>
      <c r="X767" s="166"/>
      <c r="Y767" s="166"/>
      <c r="Z767" s="166"/>
      <c r="AA767" s="166"/>
      <c r="AB767" s="568">
        <f>COUNT(AB732,AB507,AB461,AB756,AB757,AB761,AB765,AB766,AB764)+2</f>
        <v>10</v>
      </c>
      <c r="AC767" s="569" t="s">
        <v>522</v>
      </c>
      <c r="AD767" s="570" t="s">
        <v>111</v>
      </c>
      <c r="AE767" s="889">
        <f t="shared" ref="AE767:AL767" si="297">AE507+AE756+AE757+AE761+AE732+AE765+AE766+AE764</f>
        <v>1311006.5431379999</v>
      </c>
      <c r="AF767" s="890">
        <f t="shared" si="297"/>
        <v>902343.15699999989</v>
      </c>
      <c r="AG767" s="1073">
        <f t="shared" si="297"/>
        <v>1877287.8910000001</v>
      </c>
      <c r="AH767" s="1037">
        <f t="shared" si="297"/>
        <v>902344.22577200003</v>
      </c>
      <c r="AI767" s="889">
        <f t="shared" si="297"/>
        <v>39392.546533999994</v>
      </c>
      <c r="AJ767" s="890">
        <f t="shared" si="297"/>
        <v>12048.095000000001</v>
      </c>
      <c r="AK767" s="890">
        <f t="shared" si="297"/>
        <v>33177.109735999999</v>
      </c>
      <c r="AL767" s="890">
        <f t="shared" si="297"/>
        <v>11964.200640999996</v>
      </c>
      <c r="AM767" s="889"/>
      <c r="AN767" s="890"/>
      <c r="AO767" s="890"/>
      <c r="AP767" s="891"/>
      <c r="AQ767" s="889">
        <f>AQ507+AQ756+AQ757+AQ761+AQ732+AQ765+AQ766+AQ764</f>
        <v>18577.570000000003</v>
      </c>
      <c r="AR767" s="890">
        <f>AR507+AR756+AR757+AR761+AR732+AR765+AR766+AR764</f>
        <v>5063.82</v>
      </c>
      <c r="AS767" s="890">
        <f>AS507+AS756+AS757+AS761+AS732+AS765+AS766+AS764</f>
        <v>36111.069999999992</v>
      </c>
      <c r="AT767" s="890">
        <f>AT507+AT756+AT757-AT761+AT732+AT765+AT766+AT764</f>
        <v>4544.5094500000014</v>
      </c>
      <c r="AU767" s="889">
        <f>AU507+AU756+AU757+AU761+AU732+AU765+AU766+AU764</f>
        <v>17474.441977080001</v>
      </c>
      <c r="AV767" s="890">
        <f>AV507+AV756+AV757+AV761+AV732+AV765+AV766+AV764</f>
        <v>3580.64003</v>
      </c>
      <c r="AW767" s="890">
        <f>AW507+AW756+AW757+AW761+AW732+AW765+AW766+AW764</f>
        <v>40067.250207999998</v>
      </c>
      <c r="AX767" s="890">
        <f>AX507+AX756+AX757-AX761+AX732+AX765+AX766+AX764</f>
        <v>4430.0328220000047</v>
      </c>
      <c r="AY767" s="889">
        <f>AY507+AY756+AY757+AY761+AY732+AY765+AY766+AY764</f>
        <v>13173.109999999999</v>
      </c>
      <c r="AZ767" s="890">
        <f>AZ507+AZ756+AZ757+AZ761+AZ732+AZ765+AZ766+AZ764</f>
        <v>5308.77</v>
      </c>
      <c r="BA767" s="890">
        <f>BA507+BA756+BA757+BA761+BA732+BA765+BA766+BA764</f>
        <v>34887.619999999995</v>
      </c>
      <c r="BB767" s="890">
        <f>BB507+BB756+BB757-BB761+BB732+BB765+BB766+BB764</f>
        <v>5973.8375301316019</v>
      </c>
      <c r="BC767" s="893">
        <f>BC507+BC756+BC757+BC761+BC732+BC765+BC766+BC764</f>
        <v>31776.933135650001</v>
      </c>
      <c r="BD767" s="890">
        <f>BD507+BD756+BD757-BD761+BD732+BD765+BD766+BD764</f>
        <v>4245.5489226</v>
      </c>
      <c r="BE767" s="891">
        <f>BE507+BE756+BE757+BE761+BE732+BE765+BE766+BE764</f>
        <v>46772.987237000001</v>
      </c>
      <c r="BF767" s="993">
        <f>BF508+BF714+BF721+BF732-BF761</f>
        <v>4338.2777872000006</v>
      </c>
      <c r="BG767" s="889">
        <f>BG507+BG756+BG757+BG761+BG732+BG765+BG766+BG764</f>
        <v>116763.590214</v>
      </c>
      <c r="BH767" s="890">
        <f>BH507+BH756+BH757-BH761+BH732+BH765+BH766+BH764</f>
        <v>54731.002234</v>
      </c>
      <c r="BI767" s="891">
        <f>BI507+BI756+BI757+BI761+BI732+BI765+BI766+BI764</f>
        <v>191178.28456</v>
      </c>
      <c r="BJ767" s="891">
        <f>BJ508+BJ714+BJ732-BJ761</f>
        <v>59114.542633552352</v>
      </c>
      <c r="BK767" s="889">
        <f t="shared" ref="BK767:BV767" si="298">BK507+BK756+BK757+BK761+BK732+BK765+BK766+BK764</f>
        <v>207592.23606000002</v>
      </c>
      <c r="BL767" s="890">
        <f t="shared" si="298"/>
        <v>55138.340000000004</v>
      </c>
      <c r="BM767" s="890">
        <f t="shared" si="298"/>
        <v>168947.4044</v>
      </c>
      <c r="BN767" s="892">
        <f t="shared" si="298"/>
        <v>60311.711740000013</v>
      </c>
      <c r="BO767" s="893">
        <f t="shared" si="298"/>
        <v>7592.1489999999994</v>
      </c>
      <c r="BP767" s="890">
        <f t="shared" si="298"/>
        <v>1055.5400000000004</v>
      </c>
      <c r="BQ767" s="891">
        <f t="shared" si="298"/>
        <v>13236.130000000003</v>
      </c>
      <c r="BR767" s="891">
        <f t="shared" si="298"/>
        <v>1154.4936079999984</v>
      </c>
      <c r="BS767" s="889">
        <f t="shared" si="298"/>
        <v>41187.152000000002</v>
      </c>
      <c r="BT767" s="890">
        <f t="shared" si="298"/>
        <v>4703.1000000000058</v>
      </c>
      <c r="BU767" s="892">
        <f t="shared" si="298"/>
        <v>54894.993000000002</v>
      </c>
      <c r="BV767" s="892">
        <f t="shared" si="298"/>
        <v>5144.4400000000005</v>
      </c>
      <c r="BW767" s="170"/>
      <c r="BX767" s="166"/>
      <c r="BY767" s="894">
        <f t="shared" si="294"/>
        <v>1804536.27205873</v>
      </c>
      <c r="BZ767" s="895">
        <f t="shared" si="291"/>
        <v>1048218.0131865998</v>
      </c>
      <c r="CA767" s="895">
        <f t="shared" si="295"/>
        <v>2496560.7401409997</v>
      </c>
      <c r="CB767" s="896">
        <f t="shared" si="296"/>
        <v>1059320.2719838838</v>
      </c>
      <c r="CC767" s="760"/>
    </row>
    <row r="768" spans="1:82" ht="14.25" hidden="1" customHeight="1" x14ac:dyDescent="0.25">
      <c r="A768" s="10" t="b">
        <f>$W458&lt;&gt;"одноставочный"</f>
        <v>0</v>
      </c>
      <c r="B768" s="5" t="b">
        <f t="array" ref="B768">A768</f>
        <v>0</v>
      </c>
      <c r="C768" s="10" t="s">
        <v>83</v>
      </c>
      <c r="D768" s="10" t="s">
        <v>84</v>
      </c>
      <c r="E768" s="10" t="s">
        <v>73</v>
      </c>
      <c r="F768" s="10" t="s">
        <v>74</v>
      </c>
      <c r="G768" s="5">
        <f>AC768</f>
        <v>0</v>
      </c>
      <c r="H768" s="10" t="s">
        <v>73</v>
      </c>
      <c r="I768" s="10" t="s">
        <v>73</v>
      </c>
      <c r="K768" s="12" t="s">
        <v>73</v>
      </c>
      <c r="L768" s="579"/>
      <c r="M768" s="5" t="str">
        <f t="array" ref="M768">Y458</f>
        <v>1ВО::1.1</v>
      </c>
      <c r="Z768" s="6"/>
      <c r="AA768" s="6"/>
      <c r="AB768" s="530"/>
      <c r="AC768" s="580"/>
      <c r="AD768" s="27"/>
      <c r="AE768" s="581"/>
      <c r="AF768" s="582"/>
      <c r="AG768" s="583"/>
      <c r="AH768" s="797"/>
      <c r="AI768" s="581"/>
      <c r="AJ768" s="582"/>
      <c r="AK768" s="582"/>
      <c r="AL768" s="584"/>
      <c r="AM768" s="581"/>
      <c r="AN768" s="582"/>
      <c r="AO768" s="582"/>
      <c r="AP768" s="584"/>
      <c r="AQ768" s="581"/>
      <c r="AR768" s="582"/>
      <c r="AS768" s="582"/>
      <c r="AT768" s="584"/>
      <c r="AU768" s="581"/>
      <c r="AV768" s="582"/>
      <c r="AW768" s="582"/>
      <c r="AX768" s="583"/>
      <c r="AY768" s="796"/>
      <c r="AZ768" s="582"/>
      <c r="BA768" s="582"/>
      <c r="BB768" s="583"/>
      <c r="BC768" s="796"/>
      <c r="BD768" s="582"/>
      <c r="BE768" s="584"/>
      <c r="BF768" s="994"/>
      <c r="BG768" s="581"/>
      <c r="BH768" s="582"/>
      <c r="BI768" s="584"/>
      <c r="BJ768" s="797"/>
      <c r="BK768" s="581"/>
      <c r="BL768" s="582"/>
      <c r="BM768" s="584"/>
      <c r="BN768" s="797"/>
      <c r="BO768" s="581"/>
      <c r="BP768" s="582"/>
      <c r="BQ768" s="584"/>
      <c r="BR768" s="797"/>
      <c r="BS768" s="581"/>
      <c r="BT768" s="582"/>
      <c r="BU768" s="583"/>
      <c r="BV768" s="391"/>
      <c r="BY768" s="383">
        <f t="shared" si="294"/>
        <v>0</v>
      </c>
      <c r="BZ768" s="585">
        <f t="shared" si="291"/>
        <v>0</v>
      </c>
      <c r="CA768" s="586">
        <f>AG768+AK768+AO768+AS768+AW768+BA768+BE768+BI768+BM768+BQ768+BU768</f>
        <v>0</v>
      </c>
      <c r="CB768" s="371"/>
    </row>
    <row r="769" spans="1:81" ht="14.25" hidden="1" customHeight="1" x14ac:dyDescent="0.25">
      <c r="A769" s="10" t="b">
        <f>$W458&lt;&gt;"одноставочный"</f>
        <v>0</v>
      </c>
      <c r="B769" s="5" t="b">
        <f t="array" ref="B769">A769</f>
        <v>0</v>
      </c>
      <c r="C769" s="10" t="s">
        <v>83</v>
      </c>
      <c r="D769" s="10" t="s">
        <v>84</v>
      </c>
      <c r="E769" s="10" t="s">
        <v>73</v>
      </c>
      <c r="F769" s="10" t="s">
        <v>74</v>
      </c>
      <c r="G769" s="5">
        <f>AC769</f>
        <v>0</v>
      </c>
      <c r="H769" s="10" t="s">
        <v>73</v>
      </c>
      <c r="I769" s="10" t="s">
        <v>73</v>
      </c>
      <c r="K769" s="12" t="s">
        <v>73</v>
      </c>
      <c r="L769" s="579"/>
      <c r="M769" s="5" t="str">
        <f t="array" ref="M769">Y458</f>
        <v>1ВО::1.1</v>
      </c>
      <c r="Z769" s="6"/>
      <c r="AA769" s="6"/>
      <c r="AB769" s="403"/>
      <c r="AC769" s="305"/>
      <c r="AD769" s="422"/>
      <c r="AE769" s="72"/>
      <c r="AF769" s="73"/>
      <c r="AG769" s="74"/>
      <c r="AH769" s="443"/>
      <c r="AI769" s="72"/>
      <c r="AJ769" s="73"/>
      <c r="AK769" s="73"/>
      <c r="AL769" s="138"/>
      <c r="AM769" s="72"/>
      <c r="AN769" s="73"/>
      <c r="AO769" s="73"/>
      <c r="AP769" s="138"/>
      <c r="AQ769" s="72"/>
      <c r="AR769" s="73"/>
      <c r="AS769" s="73"/>
      <c r="AT769" s="138"/>
      <c r="AU769" s="72"/>
      <c r="AV769" s="73"/>
      <c r="AW769" s="73"/>
      <c r="AX769" s="74"/>
      <c r="AY769" s="179"/>
      <c r="AZ769" s="73"/>
      <c r="BA769" s="73"/>
      <c r="BB769" s="74"/>
      <c r="BC769" s="179"/>
      <c r="BD769" s="73"/>
      <c r="BE769" s="138"/>
      <c r="BF769" s="995"/>
      <c r="BG769" s="72"/>
      <c r="BH769" s="73"/>
      <c r="BI769" s="138"/>
      <c r="BJ769" s="443"/>
      <c r="BK769" s="72"/>
      <c r="BL769" s="73"/>
      <c r="BM769" s="138"/>
      <c r="BN769" s="443"/>
      <c r="BO769" s="72"/>
      <c r="BP769" s="73"/>
      <c r="BQ769" s="138"/>
      <c r="BR769" s="443"/>
      <c r="BS769" s="72"/>
      <c r="BT769" s="73"/>
      <c r="BU769" s="74"/>
      <c r="BV769" s="391"/>
      <c r="BY769" s="125">
        <f t="shared" si="294"/>
        <v>0</v>
      </c>
      <c r="BZ769" s="126">
        <f t="shared" si="291"/>
        <v>0</v>
      </c>
      <c r="CA769" s="127">
        <f>AG769+AK769+AO769+AS769+AW769+BA769+BE769+BI769+BM769+BQ769+BU769</f>
        <v>0</v>
      </c>
      <c r="CB769" s="371"/>
    </row>
    <row r="770" spans="1:81" ht="27.75" hidden="1" customHeight="1" x14ac:dyDescent="0.25">
      <c r="A770" s="10" t="b">
        <f>$W458&lt;&gt;"одноставочный"</f>
        <v>0</v>
      </c>
      <c r="B770" s="5" t="b">
        <f t="array" ref="B770">A770</f>
        <v>0</v>
      </c>
      <c r="C770" s="10" t="s">
        <v>83</v>
      </c>
      <c r="D770" s="10" t="s">
        <v>84</v>
      </c>
      <c r="E770" s="10" t="s">
        <v>73</v>
      </c>
      <c r="F770" s="10" t="s">
        <v>74</v>
      </c>
      <c r="G770" s="5">
        <f>AC770</f>
        <v>0</v>
      </c>
      <c r="H770" s="10" t="s">
        <v>73</v>
      </c>
      <c r="I770" s="10" t="s">
        <v>73</v>
      </c>
      <c r="K770" s="12" t="s">
        <v>73</v>
      </c>
      <c r="L770" s="579"/>
      <c r="M770" s="5" t="str">
        <f t="array" ref="M770">Y458</f>
        <v>1ВО::1.1</v>
      </c>
      <c r="Z770" s="6"/>
      <c r="AA770" s="6"/>
      <c r="AB770" s="403"/>
      <c r="AC770" s="409"/>
      <c r="AD770" s="32"/>
      <c r="AE770" s="66"/>
      <c r="AF770" s="67"/>
      <c r="AG770" s="68"/>
      <c r="AH770" s="668"/>
      <c r="AI770" s="66"/>
      <c r="AJ770" s="67"/>
      <c r="AK770" s="67"/>
      <c r="AL770" s="119"/>
      <c r="AM770" s="66"/>
      <c r="AN770" s="67"/>
      <c r="AO770" s="67"/>
      <c r="AP770" s="119"/>
      <c r="AQ770" s="66"/>
      <c r="AR770" s="67"/>
      <c r="AS770" s="67"/>
      <c r="AT770" s="119"/>
      <c r="AU770" s="66"/>
      <c r="AV770" s="67"/>
      <c r="AW770" s="67"/>
      <c r="AX770" s="68"/>
      <c r="AY770" s="146"/>
      <c r="AZ770" s="67"/>
      <c r="BA770" s="67"/>
      <c r="BB770" s="68"/>
      <c r="BC770" s="146"/>
      <c r="BD770" s="67"/>
      <c r="BE770" s="119"/>
      <c r="BF770" s="996"/>
      <c r="BG770" s="66"/>
      <c r="BH770" s="67"/>
      <c r="BI770" s="119"/>
      <c r="BJ770" s="668"/>
      <c r="BK770" s="66"/>
      <c r="BL770" s="67"/>
      <c r="BM770" s="119"/>
      <c r="BN770" s="668"/>
      <c r="BO770" s="66"/>
      <c r="BP770" s="67"/>
      <c r="BQ770" s="119"/>
      <c r="BR770" s="668"/>
      <c r="BS770" s="66"/>
      <c r="BT770" s="67"/>
      <c r="BU770" s="68"/>
      <c r="BV770" s="897"/>
      <c r="BY770" s="125">
        <f t="shared" si="294"/>
        <v>0</v>
      </c>
      <c r="BZ770" s="126">
        <f t="shared" si="291"/>
        <v>0</v>
      </c>
      <c r="CA770" s="127">
        <f>AG770+AK770+AO770+AS770+AW770+BA770+BE770+BI770+BM770+BQ770+BU770</f>
        <v>0</v>
      </c>
      <c r="CB770" s="371"/>
    </row>
    <row r="771" spans="1:81" ht="14.25" hidden="1" customHeight="1" x14ac:dyDescent="0.25">
      <c r="A771" s="10" t="b">
        <f>region_name="Белгородская область"</f>
        <v>0</v>
      </c>
      <c r="B771" s="5" t="b">
        <f t="array" ref="B771">A771</f>
        <v>0</v>
      </c>
      <c r="C771" s="10" t="s">
        <v>83</v>
      </c>
      <c r="D771" s="10" t="s">
        <v>84</v>
      </c>
      <c r="E771" s="10" t="s">
        <v>73</v>
      </c>
      <c r="F771" s="10" t="s">
        <v>74</v>
      </c>
      <c r="G771" s="5">
        <f>AC771</f>
        <v>0</v>
      </c>
      <c r="H771" s="10" t="s">
        <v>73</v>
      </c>
      <c r="I771" s="10" t="s">
        <v>73</v>
      </c>
      <c r="K771" s="12" t="s">
        <v>73</v>
      </c>
      <c r="L771" s="579"/>
      <c r="M771" s="5" t="str">
        <f t="array" ref="M771">Y458</f>
        <v>1ВО::1.1</v>
      </c>
      <c r="Z771" s="6"/>
      <c r="AA771" s="6"/>
      <c r="AB771" s="403"/>
      <c r="AC771" s="409"/>
      <c r="AD771" s="32"/>
      <c r="AE771" s="72"/>
      <c r="AF771" s="73"/>
      <c r="AG771" s="74"/>
      <c r="AH771" s="443"/>
      <c r="AI771" s="72"/>
      <c r="AJ771" s="73"/>
      <c r="AK771" s="73"/>
      <c r="AL771" s="138"/>
      <c r="AM771" s="72"/>
      <c r="AN771" s="73"/>
      <c r="AO771" s="73"/>
      <c r="AP771" s="138"/>
      <c r="AQ771" s="72"/>
      <c r="AR771" s="73"/>
      <c r="AS771" s="73"/>
      <c r="AT771" s="138"/>
      <c r="AU771" s="72"/>
      <c r="AV771" s="73"/>
      <c r="AW771" s="73"/>
      <c r="AX771" s="74"/>
      <c r="AY771" s="179"/>
      <c r="AZ771" s="73"/>
      <c r="BA771" s="73"/>
      <c r="BB771" s="74"/>
      <c r="BC771" s="179"/>
      <c r="BD771" s="73"/>
      <c r="BE771" s="138"/>
      <c r="BF771" s="995"/>
      <c r="BG771" s="72"/>
      <c r="BH771" s="73"/>
      <c r="BI771" s="138"/>
      <c r="BJ771" s="443"/>
      <c r="BK771" s="72"/>
      <c r="BL771" s="73"/>
      <c r="BM771" s="138"/>
      <c r="BN771" s="443"/>
      <c r="BO771" s="72"/>
      <c r="BP771" s="73"/>
      <c r="BQ771" s="138"/>
      <c r="BR771" s="443"/>
      <c r="BS771" s="72"/>
      <c r="BT771" s="73"/>
      <c r="BU771" s="74"/>
      <c r="BV771" s="391"/>
      <c r="BY771" s="125">
        <f t="shared" si="294"/>
        <v>0</v>
      </c>
      <c r="BZ771" s="126">
        <f t="shared" si="291"/>
        <v>0</v>
      </c>
      <c r="CA771" s="127">
        <f>AG771+AK771+AO771+AS771+AW771+BA771+BE771+BI771+BM771+BQ771+BU771</f>
        <v>0</v>
      </c>
      <c r="CB771" s="371"/>
    </row>
    <row r="772" spans="1:81" ht="31.5" hidden="1" customHeight="1" thickBot="1" x14ac:dyDescent="0.3">
      <c r="A772" s="10" t="b">
        <f>region_name="Белгородская область"</f>
        <v>0</v>
      </c>
      <c r="B772" s="5" t="b">
        <f t="array" ref="B772">A772</f>
        <v>0</v>
      </c>
      <c r="C772" s="10" t="s">
        <v>83</v>
      </c>
      <c r="D772" s="10" t="s">
        <v>84</v>
      </c>
      <c r="E772" s="10" t="s">
        <v>73</v>
      </c>
      <c r="F772" s="10" t="s">
        <v>74</v>
      </c>
      <c r="G772" s="5">
        <f>AC772</f>
        <v>0</v>
      </c>
      <c r="H772" s="10" t="s">
        <v>73</v>
      </c>
      <c r="I772" s="10" t="s">
        <v>73</v>
      </c>
      <c r="K772" s="12" t="s">
        <v>73</v>
      </c>
      <c r="L772" s="579"/>
      <c r="M772" s="5" t="str">
        <f t="array" ref="M772">Y458</f>
        <v>1ВО::1.1</v>
      </c>
      <c r="Z772" s="6"/>
      <c r="AA772" s="6"/>
      <c r="AB772" s="403"/>
      <c r="AC772" s="409"/>
      <c r="AD772" s="32"/>
      <c r="AE772" s="898"/>
      <c r="AF772" s="811"/>
      <c r="AG772" s="899"/>
      <c r="AH772" s="812"/>
      <c r="AI772" s="72"/>
      <c r="AJ772" s="73"/>
      <c r="AK772" s="73"/>
      <c r="AL772" s="138"/>
      <c r="AM772" s="72"/>
      <c r="AN772" s="73"/>
      <c r="AO772" s="73"/>
      <c r="AP772" s="138"/>
      <c r="AQ772" s="72"/>
      <c r="AR772" s="73"/>
      <c r="AS772" s="73"/>
      <c r="AT772" s="138"/>
      <c r="AU772" s="72"/>
      <c r="AV772" s="73"/>
      <c r="AW772" s="73"/>
      <c r="AX772" s="74"/>
      <c r="AY772" s="179"/>
      <c r="AZ772" s="73"/>
      <c r="BA772" s="73"/>
      <c r="BB772" s="74"/>
      <c r="BC772" s="810"/>
      <c r="BD772" s="811"/>
      <c r="BE772" s="900"/>
      <c r="BF772" s="997"/>
      <c r="BG772" s="898"/>
      <c r="BH772" s="811"/>
      <c r="BI772" s="900"/>
      <c r="BJ772" s="812"/>
      <c r="BK772" s="898"/>
      <c r="BL772" s="811"/>
      <c r="BM772" s="900"/>
      <c r="BN772" s="812"/>
      <c r="BO772" s="898"/>
      <c r="BP772" s="811"/>
      <c r="BQ772" s="900"/>
      <c r="BR772" s="812"/>
      <c r="BS772" s="898"/>
      <c r="BT772" s="811"/>
      <c r="BU772" s="899"/>
      <c r="BV772" s="391"/>
      <c r="BY772" s="587">
        <f t="shared" si="294"/>
        <v>0</v>
      </c>
      <c r="BZ772" s="588">
        <f t="shared" si="291"/>
        <v>0</v>
      </c>
      <c r="CA772" s="589">
        <f>AG772+AK772+AO772+AS772+AW772+BA772+BE772+BI772+BM772+BQ772+BU772</f>
        <v>0</v>
      </c>
      <c r="CB772" s="371"/>
    </row>
    <row r="773" spans="1:81" ht="17.25" customHeight="1" x14ac:dyDescent="0.25">
      <c r="A773" s="10" t="b">
        <f>$W458="одноставочный"</f>
        <v>1</v>
      </c>
      <c r="B773" s="5" t="b">
        <f t="array" ref="B773">A773</f>
        <v>1</v>
      </c>
      <c r="C773" s="10" t="s">
        <v>90</v>
      </c>
      <c r="D773" s="10" t="s">
        <v>91</v>
      </c>
      <c r="E773" s="10" t="s">
        <v>73</v>
      </c>
      <c r="F773" s="10" t="s">
        <v>74</v>
      </c>
      <c r="G773" s="10" t="s">
        <v>73</v>
      </c>
      <c r="H773" s="10" t="s">
        <v>73</v>
      </c>
      <c r="I773" s="10" t="s">
        <v>73</v>
      </c>
      <c r="J773" s="10" t="s">
        <v>73</v>
      </c>
      <c r="K773" s="12" t="s">
        <v>73</v>
      </c>
      <c r="L773" s="10" t="s">
        <v>133</v>
      </c>
      <c r="M773" s="5" t="str">
        <f t="array" ref="M773">Y458</f>
        <v>1ВО::1.1</v>
      </c>
      <c r="AB773" s="403">
        <f>COUNT(AB732,AB507,AB461,AB756,AB757,AB761,AB767,AB765,AB766,AB770,AB771,AB772,AB764)+2</f>
        <v>11</v>
      </c>
      <c r="AC773" s="411" t="s">
        <v>770</v>
      </c>
      <c r="AD773" s="32" t="s">
        <v>524</v>
      </c>
      <c r="AE773" s="793">
        <f t="shared" ref="AE773:AL773" si="299">AE767/AE489</f>
        <v>33.607091156664936</v>
      </c>
      <c r="AF773" s="794">
        <f t="shared" si="299"/>
        <v>23.991201528684638</v>
      </c>
      <c r="AG773" s="794">
        <f t="shared" si="299"/>
        <v>47.393058034768138</v>
      </c>
      <c r="AH773" s="794">
        <f t="shared" si="299"/>
        <v>23.991229944841223</v>
      </c>
      <c r="AI773" s="72">
        <f t="shared" si="299"/>
        <v>910.5576842032267</v>
      </c>
      <c r="AJ773" s="73">
        <f t="shared" si="299"/>
        <v>97.381951180084073</v>
      </c>
      <c r="AK773" s="73">
        <f t="shared" si="299"/>
        <v>698.92160643788577</v>
      </c>
      <c r="AL773" s="73">
        <f t="shared" si="299"/>
        <v>96.703852578402817</v>
      </c>
      <c r="AM773" s="72"/>
      <c r="AN773" s="73"/>
      <c r="AO773" s="73"/>
      <c r="AP773" s="138"/>
      <c r="AQ773" s="72">
        <f t="shared" ref="AQ773:BM773" si="300">AQ767/AQ489</f>
        <v>91.528649554121316</v>
      </c>
      <c r="AR773" s="73">
        <f t="shared" si="300"/>
        <v>21.385278094514128</v>
      </c>
      <c r="AS773" s="73">
        <f t="shared" si="300"/>
        <v>181.46266331658288</v>
      </c>
      <c r="AT773" s="73">
        <f t="shared" si="300"/>
        <v>21.834956277326679</v>
      </c>
      <c r="AU773" s="72">
        <f t="shared" si="300"/>
        <v>34.797861236394048</v>
      </c>
      <c r="AV773" s="73">
        <f t="shared" si="300"/>
        <v>8.1572844970953415</v>
      </c>
      <c r="AW773" s="73">
        <f t="shared" si="300"/>
        <v>83.078813568881145</v>
      </c>
      <c r="AX773" s="73">
        <f t="shared" si="300"/>
        <v>8.2649866082089645</v>
      </c>
      <c r="AY773" s="179">
        <f t="shared" si="300"/>
        <v>47.940570638328843</v>
      </c>
      <c r="AZ773" s="73">
        <f t="shared" si="300"/>
        <v>16.603396509664105</v>
      </c>
      <c r="BA773" s="73">
        <f t="shared" si="300"/>
        <v>139.55047999999999</v>
      </c>
      <c r="BB773" s="73">
        <f t="shared" si="300"/>
        <v>18.683422562493281</v>
      </c>
      <c r="BC773" s="793">
        <f t="shared" si="300"/>
        <v>117.91507341886526</v>
      </c>
      <c r="BD773" s="794">
        <f t="shared" si="300"/>
        <v>13.522579062937954</v>
      </c>
      <c r="BE773" s="794">
        <f t="shared" si="300"/>
        <v>173.56112374114068</v>
      </c>
      <c r="BF773" s="998">
        <f>BF767/BF489</f>
        <v>16.122631883454737</v>
      </c>
      <c r="BG773" s="856">
        <f t="shared" si="300"/>
        <v>47.068029356551129</v>
      </c>
      <c r="BH773" s="794">
        <f t="shared" si="300"/>
        <v>25.970003005499489</v>
      </c>
      <c r="BI773" s="794">
        <f t="shared" si="300"/>
        <v>75.173222615869165</v>
      </c>
      <c r="BJ773" s="795">
        <f t="shared" si="300"/>
        <v>28.050004333894364</v>
      </c>
      <c r="BK773" s="856">
        <f t="shared" si="300"/>
        <v>78.747039216809426</v>
      </c>
      <c r="BL773" s="794">
        <f t="shared" si="300"/>
        <v>138.10963941127554</v>
      </c>
      <c r="BM773" s="794">
        <f t="shared" si="300"/>
        <v>63.937830205459498</v>
      </c>
      <c r="BN773" s="794">
        <f>BN767/BN489</f>
        <v>25.664558187234046</v>
      </c>
      <c r="BO773" s="793">
        <f t="shared" ref="BO773:BV773" si="301">BO767/BO489</f>
        <v>94.878142964258927</v>
      </c>
      <c r="BP773" s="794">
        <f t="shared" si="301"/>
        <v>11.814864562346099</v>
      </c>
      <c r="BQ773" s="794">
        <f t="shared" si="301"/>
        <v>162.32285202717622</v>
      </c>
      <c r="BR773" s="795">
        <f t="shared" si="301"/>
        <v>12.922471546899466</v>
      </c>
      <c r="BS773" s="856">
        <f t="shared" si="301"/>
        <v>168.94520694039954</v>
      </c>
      <c r="BT773" s="794">
        <f t="shared" si="301"/>
        <v>15.664990174199799</v>
      </c>
      <c r="BU773" s="794">
        <f t="shared" si="301"/>
        <v>217.36287071866957</v>
      </c>
      <c r="BV773" s="795">
        <f t="shared" si="301"/>
        <v>17.134996502681279</v>
      </c>
      <c r="BY773" s="371"/>
      <c r="BZ773" s="371"/>
      <c r="CA773" s="371"/>
      <c r="CB773" s="371"/>
    </row>
    <row r="774" spans="1:81" ht="17.25" customHeight="1" outlineLevel="1" x14ac:dyDescent="0.25">
      <c r="B774" s="10" t="b">
        <f>AND(OR(isFIRST_PERIOD="да",$AD$56="нет"),$W458="одноставочный")</f>
        <v>1</v>
      </c>
      <c r="C774" s="10" t="s">
        <v>92</v>
      </c>
      <c r="D774" s="10" t="s">
        <v>93</v>
      </c>
      <c r="E774" s="10" t="s">
        <v>73</v>
      </c>
      <c r="F774" s="10" t="s">
        <v>74</v>
      </c>
      <c r="G774" s="10" t="s">
        <v>73</v>
      </c>
      <c r="H774" s="10" t="s">
        <v>73</v>
      </c>
      <c r="I774" s="10" t="s">
        <v>73</v>
      </c>
      <c r="J774" s="10" t="s">
        <v>73</v>
      </c>
      <c r="K774" s="12" t="s">
        <v>73</v>
      </c>
      <c r="L774" s="10" t="s">
        <v>133</v>
      </c>
      <c r="M774" s="5" t="str">
        <f t="array" ref="M774">Y458</f>
        <v>1ВО::1.1</v>
      </c>
      <c r="AB774" s="403" t="str">
        <f>AB773&amp;".1"</f>
        <v>11.1</v>
      </c>
      <c r="AC774" s="80" t="s">
        <v>727</v>
      </c>
      <c r="AD774" s="32" t="s">
        <v>524</v>
      </c>
      <c r="AE774" s="95">
        <f>AE773</f>
        <v>33.607091156664936</v>
      </c>
      <c r="AF774" s="178">
        <v>23.99</v>
      </c>
      <c r="AG774" s="178">
        <v>23.99</v>
      </c>
      <c r="AH774" s="181">
        <v>23.99</v>
      </c>
      <c r="AI774" s="95">
        <f>AI773</f>
        <v>910.5576842032267</v>
      </c>
      <c r="AJ774" s="178">
        <v>91.53</v>
      </c>
      <c r="AK774" s="178">
        <v>96.25</v>
      </c>
      <c r="AL774" s="181">
        <v>96.25</v>
      </c>
      <c r="AM774" s="95"/>
      <c r="AN774" s="178"/>
      <c r="AO774" s="178"/>
      <c r="AP774" s="181"/>
      <c r="AQ774" s="95">
        <f>AQ773</f>
        <v>91.528649554121316</v>
      </c>
      <c r="AR774" s="178">
        <v>21.21</v>
      </c>
      <c r="AS774" s="178">
        <v>21.56</v>
      </c>
      <c r="AT774" s="181">
        <v>21.56</v>
      </c>
      <c r="AU774" s="95">
        <f>AU773</f>
        <v>34.797861236394048</v>
      </c>
      <c r="AV774" s="178">
        <v>8.16</v>
      </c>
      <c r="AW774" s="178">
        <v>83.08</v>
      </c>
      <c r="AX774" s="96">
        <v>8.16</v>
      </c>
      <c r="AY774" s="187">
        <f>AY773</f>
        <v>47.940570638328843</v>
      </c>
      <c r="AZ774" s="178">
        <v>14.76</v>
      </c>
      <c r="BA774" s="178">
        <v>18.45</v>
      </c>
      <c r="BB774" s="181">
        <v>18.45</v>
      </c>
      <c r="BC774" s="95">
        <f>BC773</f>
        <v>117.91507341886526</v>
      </c>
      <c r="BD774" s="178">
        <v>13.56</v>
      </c>
      <c r="BE774" s="178">
        <v>15.92</v>
      </c>
      <c r="BF774" s="999">
        <v>15.92</v>
      </c>
      <c r="BG774" s="187">
        <f>BG773</f>
        <v>47.068029356551129</v>
      </c>
      <c r="BH774" s="178">
        <v>23.89</v>
      </c>
      <c r="BI774" s="178">
        <v>28.05</v>
      </c>
      <c r="BJ774" s="96">
        <v>28.05</v>
      </c>
      <c r="BK774" s="901">
        <f>BK773</f>
        <v>78.747039216809426</v>
      </c>
      <c r="BL774" s="178">
        <v>22.45</v>
      </c>
      <c r="BM774" s="178">
        <v>26.36</v>
      </c>
      <c r="BN774" s="181">
        <v>26.36</v>
      </c>
      <c r="BO774" s="185">
        <f>BO773</f>
        <v>94.878142964258927</v>
      </c>
      <c r="BP774" s="183">
        <v>10.87</v>
      </c>
      <c r="BQ774" s="183">
        <v>12.76</v>
      </c>
      <c r="BR774" s="186">
        <v>12.76</v>
      </c>
      <c r="BS774" s="182">
        <f>BS773</f>
        <v>168.94520694039954</v>
      </c>
      <c r="BT774" s="183">
        <v>14.41</v>
      </c>
      <c r="BU774" s="183">
        <v>16.920000000000002</v>
      </c>
      <c r="BV774" s="186">
        <v>16.920000000000002</v>
      </c>
      <c r="BY774" s="371"/>
      <c r="BZ774" s="371"/>
      <c r="CA774" s="371"/>
      <c r="CB774" s="371"/>
    </row>
    <row r="775" spans="1:81" ht="17.25" customHeight="1" outlineLevel="1" x14ac:dyDescent="0.25">
      <c r="B775" s="10" t="b">
        <f>AND(OR(isFIRST_PERIOD="да",$AD$56="нет"),$W458="одноставочный")</f>
        <v>1</v>
      </c>
      <c r="C775" s="10" t="s">
        <v>94</v>
      </c>
      <c r="D775" s="10" t="s">
        <v>95</v>
      </c>
      <c r="E775" s="10" t="s">
        <v>73</v>
      </c>
      <c r="F775" s="10" t="s">
        <v>74</v>
      </c>
      <c r="G775" s="10" t="s">
        <v>73</v>
      </c>
      <c r="H775" s="10" t="s">
        <v>73</v>
      </c>
      <c r="I775" s="10" t="s">
        <v>73</v>
      </c>
      <c r="J775" s="10" t="s">
        <v>73</v>
      </c>
      <c r="K775" s="12" t="s">
        <v>73</v>
      </c>
      <c r="L775" s="10" t="s">
        <v>133</v>
      </c>
      <c r="M775" s="5" t="str">
        <f t="array" ref="M775">Y458</f>
        <v>1ВО::1.1</v>
      </c>
      <c r="AB775" s="403" t="str">
        <f>AB773&amp;".2"</f>
        <v>11.2</v>
      </c>
      <c r="AC775" s="80" t="s">
        <v>728</v>
      </c>
      <c r="AD775" s="32" t="s">
        <v>524</v>
      </c>
      <c r="AE775" s="95">
        <f>AE774</f>
        <v>33.607091156664936</v>
      </c>
      <c r="AF775" s="178">
        <v>48.43</v>
      </c>
      <c r="AG775" s="73">
        <v>70.8</v>
      </c>
      <c r="AH775" s="138">
        <v>23.99</v>
      </c>
      <c r="AI775" s="95">
        <f>AI774</f>
        <v>910.5576842032267</v>
      </c>
      <c r="AJ775" s="178">
        <v>96.25</v>
      </c>
      <c r="AK775" s="73">
        <v>1301.5899999999999</v>
      </c>
      <c r="AL775" s="138">
        <v>98.05</v>
      </c>
      <c r="AM775" s="95"/>
      <c r="AN775" s="178"/>
      <c r="AO775" s="73"/>
      <c r="AP775" s="138"/>
      <c r="AQ775" s="95">
        <f>AQ774</f>
        <v>91.528649554121316</v>
      </c>
      <c r="AR775" s="178">
        <v>21.56</v>
      </c>
      <c r="AS775" s="73">
        <v>341.37</v>
      </c>
      <c r="AT775" s="138">
        <v>22.66</v>
      </c>
      <c r="AU775" s="95">
        <f>AU774</f>
        <v>34.797861236394048</v>
      </c>
      <c r="AV775" s="178">
        <v>8.16</v>
      </c>
      <c r="AW775" s="73">
        <v>83.08</v>
      </c>
      <c r="AX775" s="74">
        <v>8.58</v>
      </c>
      <c r="AY775" s="187">
        <f>AY774</f>
        <v>47.940570638328843</v>
      </c>
      <c r="AZ775" s="178">
        <v>18.45</v>
      </c>
      <c r="BA775" s="73">
        <v>260.64999999999998</v>
      </c>
      <c r="BB775" s="138">
        <v>19.39</v>
      </c>
      <c r="BC775" s="95">
        <f>BC774</f>
        <v>117.91507341886526</v>
      </c>
      <c r="BD775" s="178">
        <v>15.92</v>
      </c>
      <c r="BE775" s="73">
        <v>331.2</v>
      </c>
      <c r="BF775" s="1000">
        <v>16.73</v>
      </c>
      <c r="BG775" s="187">
        <f>BG774</f>
        <v>47.068029356551129</v>
      </c>
      <c r="BH775" s="178">
        <v>28.05</v>
      </c>
      <c r="BI775" s="73">
        <v>122.3</v>
      </c>
      <c r="BJ775" s="74">
        <v>28.05</v>
      </c>
      <c r="BK775" s="901">
        <f>BK774</f>
        <v>78.747039216809426</v>
      </c>
      <c r="BL775" s="178">
        <v>26.36</v>
      </c>
      <c r="BM775" s="73">
        <v>101.52</v>
      </c>
      <c r="BN775" s="138">
        <v>27.7</v>
      </c>
      <c r="BO775" s="185">
        <f>BO774</f>
        <v>94.878142964258927</v>
      </c>
      <c r="BP775" s="183">
        <v>12.76</v>
      </c>
      <c r="BQ775" s="140">
        <v>311.89</v>
      </c>
      <c r="BR775" s="143">
        <v>13.41</v>
      </c>
      <c r="BS775" s="182">
        <f>BS774</f>
        <v>168.94520694039954</v>
      </c>
      <c r="BT775" s="183">
        <v>16.920000000000002</v>
      </c>
      <c r="BU775" s="140">
        <v>417.81</v>
      </c>
      <c r="BV775" s="143">
        <v>17.78</v>
      </c>
      <c r="BY775" s="371">
        <f>BY767-BY792</f>
        <v>0</v>
      </c>
      <c r="BZ775" s="371">
        <f>BZ767-BZ792</f>
        <v>0</v>
      </c>
      <c r="CA775" s="371">
        <f>CA767-CA792</f>
        <v>0</v>
      </c>
      <c r="CB775" s="371">
        <f>CB767-CB792</f>
        <v>0</v>
      </c>
    </row>
    <row r="776" spans="1:81" ht="17.25" customHeight="1" outlineLevel="1" thickBot="1" x14ac:dyDescent="0.3">
      <c r="A776" s="10" t="b">
        <f>$W458="одноставочный"</f>
        <v>1</v>
      </c>
      <c r="B776" s="5" t="b">
        <f t="array" ref="B776">A776</f>
        <v>1</v>
      </c>
      <c r="C776" s="10" t="s">
        <v>96</v>
      </c>
      <c r="D776" s="10" t="s">
        <v>97</v>
      </c>
      <c r="E776" s="10" t="s">
        <v>73</v>
      </c>
      <c r="F776" s="10" t="s">
        <v>74</v>
      </c>
      <c r="G776" s="10" t="s">
        <v>73</v>
      </c>
      <c r="H776" s="10" t="s">
        <v>73</v>
      </c>
      <c r="I776" s="10" t="s">
        <v>73</v>
      </c>
      <c r="J776" s="10" t="s">
        <v>73</v>
      </c>
      <c r="K776" s="12" t="s">
        <v>73</v>
      </c>
      <c r="L776" s="10" t="s">
        <v>133</v>
      </c>
      <c r="M776" s="5" t="str">
        <f t="array" ref="M776">Y458</f>
        <v>1ВО::1.1</v>
      </c>
      <c r="AB776" s="590" t="str">
        <f>AB773&amp;".3"</f>
        <v>11.3</v>
      </c>
      <c r="AC776" s="591" t="s">
        <v>97</v>
      </c>
      <c r="AD776" s="592" t="s">
        <v>119</v>
      </c>
      <c r="AE776" s="375">
        <f t="shared" ref="AE776:AL776" si="302">AE775/AE774*100</f>
        <v>100</v>
      </c>
      <c r="AF776" s="376">
        <f t="shared" si="302"/>
        <v>201.87578157565653</v>
      </c>
      <c r="AG776" s="376">
        <f t="shared" si="302"/>
        <v>295.12296790329304</v>
      </c>
      <c r="AH776" s="376">
        <f t="shared" si="302"/>
        <v>100</v>
      </c>
      <c r="AI776" s="375">
        <f t="shared" si="302"/>
        <v>100</v>
      </c>
      <c r="AJ776" s="376">
        <f t="shared" si="302"/>
        <v>105.15677919807713</v>
      </c>
      <c r="AK776" s="376">
        <f t="shared" si="302"/>
        <v>1352.3012987012987</v>
      </c>
      <c r="AL776" s="376">
        <f t="shared" si="302"/>
        <v>101.87012987012987</v>
      </c>
      <c r="AM776" s="375"/>
      <c r="AN776" s="376"/>
      <c r="AO776" s="376"/>
      <c r="AP776" s="378"/>
      <c r="AQ776" s="375">
        <f t="shared" ref="AQ776:BN776" si="303">AQ775/AQ774*100</f>
        <v>100</v>
      </c>
      <c r="AR776" s="376">
        <f t="shared" si="303"/>
        <v>101.65016501650163</v>
      </c>
      <c r="AS776" s="376">
        <f t="shared" si="303"/>
        <v>1583.34879406308</v>
      </c>
      <c r="AT776" s="376">
        <f t="shared" si="303"/>
        <v>105.10204081632655</v>
      </c>
      <c r="AU776" s="375">
        <f t="shared" si="303"/>
        <v>100</v>
      </c>
      <c r="AV776" s="376">
        <f t="shared" si="303"/>
        <v>100</v>
      </c>
      <c r="AW776" s="376">
        <f t="shared" si="303"/>
        <v>100</v>
      </c>
      <c r="AX776" s="376">
        <f t="shared" si="303"/>
        <v>105.14705882352942</v>
      </c>
      <c r="AY776" s="379">
        <f t="shared" si="303"/>
        <v>100</v>
      </c>
      <c r="AZ776" s="376">
        <f t="shared" si="303"/>
        <v>125</v>
      </c>
      <c r="BA776" s="376">
        <f t="shared" si="303"/>
        <v>1412.7371273712736</v>
      </c>
      <c r="BB776" s="376">
        <f t="shared" si="303"/>
        <v>105.0948509485095</v>
      </c>
      <c r="BC776" s="375">
        <f t="shared" si="303"/>
        <v>100</v>
      </c>
      <c r="BD776" s="376">
        <f t="shared" si="303"/>
        <v>117.40412979351032</v>
      </c>
      <c r="BE776" s="376">
        <f t="shared" si="303"/>
        <v>2080.4020100502512</v>
      </c>
      <c r="BF776" s="1001">
        <f t="shared" si="303"/>
        <v>105.08793969849246</v>
      </c>
      <c r="BG776" s="379">
        <f t="shared" si="303"/>
        <v>100</v>
      </c>
      <c r="BH776" s="376">
        <f t="shared" si="303"/>
        <v>117.41314357471747</v>
      </c>
      <c r="BI776" s="376">
        <f t="shared" si="303"/>
        <v>436.00713012477712</v>
      </c>
      <c r="BJ776" s="377">
        <f t="shared" si="303"/>
        <v>100</v>
      </c>
      <c r="BK776" s="379">
        <f t="shared" si="303"/>
        <v>100</v>
      </c>
      <c r="BL776" s="376">
        <f t="shared" si="303"/>
        <v>117.41648106904232</v>
      </c>
      <c r="BM776" s="376">
        <f t="shared" si="303"/>
        <v>385.12898330804245</v>
      </c>
      <c r="BN776" s="376">
        <f t="shared" si="303"/>
        <v>105.0834597875569</v>
      </c>
      <c r="BO776" s="375">
        <f t="shared" ref="BO776:BV776" si="304">BO775/BO774*100</f>
        <v>100</v>
      </c>
      <c r="BP776" s="376">
        <f t="shared" si="304"/>
        <v>117.38730450781969</v>
      </c>
      <c r="BQ776" s="376">
        <f t="shared" si="304"/>
        <v>2444.2789968652037</v>
      </c>
      <c r="BR776" s="377">
        <f t="shared" si="304"/>
        <v>105.09404388714734</v>
      </c>
      <c r="BS776" s="379">
        <f t="shared" si="304"/>
        <v>100</v>
      </c>
      <c r="BT776" s="376">
        <f t="shared" si="304"/>
        <v>117.41845940319224</v>
      </c>
      <c r="BU776" s="376">
        <f t="shared" si="304"/>
        <v>2469.3262411347514</v>
      </c>
      <c r="BV776" s="377">
        <f t="shared" si="304"/>
        <v>105.08274231678487</v>
      </c>
      <c r="BY776" s="371"/>
      <c r="BZ776" s="371"/>
      <c r="CA776" s="371"/>
      <c r="CB776" s="371"/>
    </row>
    <row r="777" spans="1:81" ht="17.25" customHeight="1" outlineLevel="1" x14ac:dyDescent="0.25">
      <c r="A777" s="10"/>
      <c r="C777" s="10"/>
      <c r="D777" s="10"/>
      <c r="E777" s="10"/>
      <c r="F777" s="10"/>
      <c r="G777" s="10"/>
      <c r="H777" s="10"/>
      <c r="I777" s="10"/>
      <c r="J777" s="10"/>
      <c r="K777" s="12"/>
      <c r="L777" s="10"/>
      <c r="AB777" s="902"/>
      <c r="AC777" s="903"/>
      <c r="AD777" s="902"/>
      <c r="AE777" s="391"/>
      <c r="AF777" s="391"/>
      <c r="AG777" s="391"/>
      <c r="AH777" s="391"/>
      <c r="AI777" s="391"/>
      <c r="AJ777" s="391"/>
      <c r="AK777" s="391"/>
      <c r="AL777" s="391"/>
      <c r="AM777" s="391"/>
      <c r="AN777" s="391"/>
      <c r="AO777" s="391"/>
      <c r="AP777" s="391"/>
      <c r="AQ777" s="391"/>
      <c r="AR777" s="391"/>
      <c r="AS777" s="391"/>
      <c r="AT777" s="391"/>
      <c r="AU777" s="391"/>
      <c r="AV777" s="391"/>
      <c r="AW777" s="391"/>
      <c r="AX777" s="391"/>
      <c r="AY777" s="391"/>
      <c r="AZ777" s="391"/>
      <c r="BA777" s="391"/>
      <c r="BB777" s="391"/>
      <c r="BC777" s="391"/>
      <c r="BD777" s="391"/>
      <c r="BE777" s="391"/>
      <c r="BF777" s="391"/>
      <c r="BG777" s="391"/>
      <c r="BH777" s="391"/>
      <c r="BI777" s="391"/>
      <c r="BJ777" s="391"/>
      <c r="BK777" s="391"/>
      <c r="BL777" s="391"/>
      <c r="BM777" s="391"/>
      <c r="BN777" s="391"/>
      <c r="BO777" s="391"/>
      <c r="BP777" s="391"/>
      <c r="BQ777" s="391"/>
      <c r="BR777" s="391"/>
      <c r="BS777" s="391"/>
      <c r="BT777" s="391"/>
      <c r="BU777" s="391"/>
      <c r="BV777" s="391"/>
      <c r="BY777" s="371"/>
      <c r="BZ777" s="371"/>
      <c r="CA777" s="371"/>
      <c r="CB777" s="371"/>
    </row>
    <row r="778" spans="1:81" s="904" customFormat="1" ht="28.15" customHeight="1" outlineLevel="1" x14ac:dyDescent="0.25">
      <c r="A778" s="10"/>
      <c r="B778" s="5"/>
      <c r="C778" s="10"/>
      <c r="D778" s="10"/>
      <c r="E778" s="10"/>
      <c r="F778" s="10"/>
      <c r="G778" s="10"/>
      <c r="H778" s="10"/>
      <c r="I778" s="10"/>
      <c r="J778" s="10"/>
      <c r="K778" s="12"/>
      <c r="L778" s="10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1128" t="s">
        <v>748</v>
      </c>
      <c r="AC778" s="1128"/>
      <c r="AD778" s="1128"/>
      <c r="AE778" s="1128"/>
      <c r="AF778" s="1128"/>
      <c r="AG778" s="1128"/>
      <c r="AH778" s="1128"/>
      <c r="AI778" s="1128"/>
      <c r="AJ778" s="391"/>
      <c r="AK778" s="391"/>
      <c r="AL778" s="391"/>
      <c r="AM778" s="391"/>
      <c r="AN778" s="391"/>
      <c r="AO778" s="391"/>
      <c r="AP778" s="391"/>
      <c r="AQ778" s="391"/>
      <c r="AR778" s="391"/>
      <c r="AS778" s="391"/>
      <c r="AT778" s="391"/>
      <c r="AU778" s="391"/>
      <c r="AV778" s="391"/>
      <c r="AW778" s="391"/>
      <c r="AX778" s="391"/>
      <c r="AY778" s="391"/>
      <c r="AZ778" s="391"/>
      <c r="BA778" s="391"/>
      <c r="BB778" s="391"/>
      <c r="BC778" s="391"/>
      <c r="BD778" s="391"/>
      <c r="BE778" s="391"/>
      <c r="BF778" s="391"/>
      <c r="BG778" s="391"/>
      <c r="BH778" s="391"/>
      <c r="BI778" s="391"/>
      <c r="BJ778" s="391"/>
      <c r="BK778" s="391"/>
      <c r="BL778" s="391"/>
      <c r="BM778" s="391"/>
      <c r="BN778" s="391"/>
      <c r="BO778" s="391"/>
      <c r="BP778" s="391"/>
      <c r="BQ778" s="391"/>
      <c r="BR778" s="391"/>
      <c r="BS778" s="391"/>
      <c r="BT778" s="391"/>
      <c r="BU778" s="391"/>
      <c r="BV778" s="391"/>
      <c r="BW778" s="6"/>
      <c r="BX778" s="5"/>
      <c r="BY778" s="371"/>
      <c r="BZ778" s="371"/>
      <c r="CA778" s="371"/>
      <c r="CB778" s="371"/>
      <c r="CC778" s="5"/>
    </row>
    <row r="779" spans="1:81" s="904" customFormat="1" ht="11.25" customHeight="1" outlineLevel="1" thickBot="1" x14ac:dyDescent="0.3">
      <c r="A779" s="10"/>
      <c r="B779" s="5"/>
      <c r="C779" s="10"/>
      <c r="D779" s="10"/>
      <c r="E779" s="10"/>
      <c r="F779" s="10"/>
      <c r="G779" s="10"/>
      <c r="H779" s="10"/>
      <c r="I779" s="10"/>
      <c r="J779" s="10"/>
      <c r="K779" s="12"/>
      <c r="L779" s="10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905"/>
      <c r="AC779" s="905"/>
      <c r="AD779" s="905"/>
      <c r="AE779" s="905"/>
      <c r="AF779" s="905"/>
      <c r="AG779" s="905"/>
      <c r="AH779" s="905"/>
      <c r="AI779" s="905"/>
      <c r="AJ779" s="391"/>
      <c r="AK779" s="391"/>
      <c r="AL779" s="391"/>
      <c r="AM779" s="391"/>
      <c r="AN779" s="391"/>
      <c r="AO779" s="391"/>
      <c r="AP779" s="391"/>
      <c r="AQ779" s="391"/>
      <c r="AR779" s="391"/>
      <c r="AS779" s="391"/>
      <c r="AT779" s="391"/>
      <c r="AU779" s="391"/>
      <c r="AV779" s="391"/>
      <c r="AW779" s="391"/>
      <c r="AX779" s="391"/>
      <c r="AY779" s="391"/>
      <c r="AZ779" s="391"/>
      <c r="BA779" s="391"/>
      <c r="BB779" s="391"/>
      <c r="BC779" s="391"/>
      <c r="BD779" s="391"/>
      <c r="BE779" s="391"/>
      <c r="BF779" s="391"/>
      <c r="BG779" s="391"/>
      <c r="BH779" s="391"/>
      <c r="BI779" s="391"/>
      <c r="BJ779" s="391"/>
      <c r="BK779" s="391"/>
      <c r="BL779" s="391"/>
      <c r="BM779" s="391"/>
      <c r="BN779" s="391"/>
      <c r="BO779" s="391"/>
      <c r="BP779" s="391"/>
      <c r="BQ779" s="391"/>
      <c r="BR779" s="391"/>
      <c r="BS779" s="391"/>
      <c r="BT779" s="391"/>
      <c r="BU779" s="391"/>
      <c r="BV779" s="391"/>
      <c r="BW779" s="6"/>
      <c r="BX779" s="5"/>
      <c r="BY779" s="371"/>
      <c r="BZ779" s="371"/>
      <c r="CA779" s="371"/>
      <c r="CB779" s="371"/>
      <c r="CC779" s="5"/>
    </row>
    <row r="780" spans="1:81" s="904" customFormat="1" ht="19.149999999999999" customHeight="1" outlineLevel="1" thickBot="1" x14ac:dyDescent="0.3">
      <c r="A780" s="10"/>
      <c r="B780" s="5"/>
      <c r="C780" s="10"/>
      <c r="D780" s="10"/>
      <c r="E780" s="10"/>
      <c r="F780" s="10"/>
      <c r="G780" s="10"/>
      <c r="H780" s="10"/>
      <c r="I780" s="10"/>
      <c r="J780" s="10"/>
      <c r="K780" s="12"/>
      <c r="L780" s="10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1129" t="s">
        <v>749</v>
      </c>
      <c r="AC780" s="1129"/>
      <c r="AD780" s="1129"/>
      <c r="AE780" s="1129"/>
      <c r="AF780" s="1129"/>
      <c r="AG780" s="1129"/>
      <c r="AH780" s="1129"/>
      <c r="AI780" s="1129"/>
      <c r="AJ780" s="1129"/>
      <c r="AK780" s="1129"/>
      <c r="AL780" s="1129"/>
      <c r="AM780" s="1129"/>
      <c r="AN780" s="1129"/>
      <c r="AO780" s="1129"/>
      <c r="AP780" s="1129"/>
      <c r="AQ780" s="1129"/>
      <c r="AR780" s="1129"/>
      <c r="AS780" s="1129"/>
      <c r="AT780" s="1129"/>
      <c r="AU780" s="1129"/>
      <c r="AV780" s="1129"/>
      <c r="AW780" s="1129"/>
      <c r="AX780" s="1129"/>
      <c r="AY780" s="1129"/>
      <c r="AZ780" s="1129"/>
      <c r="BA780" s="1129"/>
      <c r="BB780" s="1129"/>
      <c r="BC780" s="1129"/>
      <c r="BD780" s="1129"/>
      <c r="BE780" s="1129"/>
      <c r="BF780" s="1129"/>
      <c r="BG780" s="1129"/>
      <c r="BH780" s="1129"/>
      <c r="BI780" s="1129"/>
      <c r="BJ780" s="1129"/>
      <c r="BK780" s="1129"/>
      <c r="BL780" s="1129"/>
      <c r="BM780" s="1129"/>
      <c r="BN780" s="1129"/>
      <c r="BO780" s="1129"/>
      <c r="BP780" s="1129"/>
      <c r="BQ780" s="1129"/>
      <c r="BR780" s="1129"/>
      <c r="BS780" s="1129"/>
      <c r="BT780" s="1129"/>
      <c r="BU780" s="1129"/>
      <c r="BV780" s="1129"/>
      <c r="BW780" s="6"/>
      <c r="BX780" s="5"/>
      <c r="BY780" s="371"/>
      <c r="BZ780" s="371"/>
      <c r="CA780" s="371"/>
      <c r="CB780" s="371"/>
      <c r="CC780" s="5"/>
    </row>
    <row r="781" spans="1:81" s="904" customFormat="1" ht="45.75" customHeight="1" outlineLevel="1" thickBot="1" x14ac:dyDescent="0.3">
      <c r="A781" s="10"/>
      <c r="B781" s="5"/>
      <c r="C781" s="10"/>
      <c r="D781" s="10"/>
      <c r="E781" s="10"/>
      <c r="F781" s="10"/>
      <c r="G781" s="10"/>
      <c r="H781" s="10"/>
      <c r="I781" s="10"/>
      <c r="J781" s="10"/>
      <c r="K781" s="12"/>
      <c r="L781" s="10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906" t="s">
        <v>731</v>
      </c>
      <c r="AC781" s="907" t="s">
        <v>750</v>
      </c>
      <c r="AD781" s="908" t="s">
        <v>738</v>
      </c>
      <c r="AE781" s="840">
        <v>3.01</v>
      </c>
      <c r="AF781" s="841">
        <v>3.0110000000000001</v>
      </c>
      <c r="AG781" s="841">
        <v>3.6440000000000001</v>
      </c>
      <c r="AH781" s="909">
        <v>3.0110000000000001</v>
      </c>
      <c r="AI781" s="840">
        <v>0</v>
      </c>
      <c r="AJ781" s="841">
        <v>0</v>
      </c>
      <c r="AK781" s="841">
        <v>3.2229999999999999</v>
      </c>
      <c r="AL781" s="909">
        <v>0</v>
      </c>
      <c r="AM781" s="840"/>
      <c r="AN781" s="841"/>
      <c r="AO781" s="841"/>
      <c r="AP781" s="909"/>
      <c r="AQ781" s="840">
        <v>0.83</v>
      </c>
      <c r="AR781" s="841">
        <v>0</v>
      </c>
      <c r="AS781" s="841">
        <v>0.58099999999999996</v>
      </c>
      <c r="AT781" s="909">
        <v>8.8999999999999996E-2</v>
      </c>
      <c r="AU781" s="840">
        <v>0</v>
      </c>
      <c r="AV781" s="841">
        <v>0</v>
      </c>
      <c r="AW781" s="841">
        <v>0</v>
      </c>
      <c r="AX781" s="909">
        <v>0</v>
      </c>
      <c r="AY781" s="840">
        <v>0</v>
      </c>
      <c r="AZ781" s="841">
        <v>0</v>
      </c>
      <c r="BA781" s="841">
        <v>0</v>
      </c>
      <c r="BB781" s="909">
        <v>0</v>
      </c>
      <c r="BC781" s="840">
        <v>6.7080000000000002</v>
      </c>
      <c r="BD781" s="841">
        <v>0</v>
      </c>
      <c r="BE781" s="841">
        <v>6.81</v>
      </c>
      <c r="BF781" s="842">
        <v>6.71</v>
      </c>
      <c r="BG781" s="843">
        <v>7.1449999999999996</v>
      </c>
      <c r="BH781" s="841">
        <v>0</v>
      </c>
      <c r="BI781" s="841">
        <v>7.1449999999999996</v>
      </c>
      <c r="BJ781" s="842">
        <v>0</v>
      </c>
      <c r="BK781" s="910">
        <v>9.9649999999999999</v>
      </c>
      <c r="BL781" s="841">
        <v>6.4</v>
      </c>
      <c r="BM781" s="841">
        <v>9.5869999999999997</v>
      </c>
      <c r="BN781" s="909">
        <v>6.4</v>
      </c>
      <c r="BO781" s="911">
        <v>3.85</v>
      </c>
      <c r="BP781" s="912">
        <v>0</v>
      </c>
      <c r="BQ781" s="912">
        <v>4.6150000000000002</v>
      </c>
      <c r="BR781" s="913">
        <v>0</v>
      </c>
      <c r="BS781" s="840">
        <v>3.81</v>
      </c>
      <c r="BT781" s="841">
        <v>8.9700000000000006</v>
      </c>
      <c r="BU781" s="841">
        <v>3.9950000000000001</v>
      </c>
      <c r="BV781" s="842">
        <v>8.9700000000000006</v>
      </c>
      <c r="BW781" s="6"/>
      <c r="BX781" s="5"/>
      <c r="BY781" s="371"/>
      <c r="BZ781" s="371"/>
      <c r="CA781" s="371"/>
      <c r="CB781" s="371"/>
      <c r="CC781" s="5"/>
    </row>
    <row r="782" spans="1:81" s="904" customFormat="1" ht="30" customHeight="1" outlineLevel="1" thickBot="1" x14ac:dyDescent="0.3">
      <c r="A782" s="10"/>
      <c r="B782" s="5"/>
      <c r="C782" s="10"/>
      <c r="D782" s="10"/>
      <c r="E782" s="10"/>
      <c r="F782" s="10"/>
      <c r="G782" s="10"/>
      <c r="H782" s="10"/>
      <c r="I782" s="10"/>
      <c r="J782" s="10"/>
      <c r="K782" s="12"/>
      <c r="L782" s="10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1129" t="s">
        <v>751</v>
      </c>
      <c r="AC782" s="1129"/>
      <c r="AD782" s="1129"/>
      <c r="AE782" s="1129"/>
      <c r="AF782" s="1129"/>
      <c r="AG782" s="1129"/>
      <c r="AH782" s="1129"/>
      <c r="AI782" s="1129"/>
      <c r="AJ782" s="1129"/>
      <c r="AK782" s="1129"/>
      <c r="AL782" s="1129"/>
      <c r="AM782" s="1129"/>
      <c r="AN782" s="1129"/>
      <c r="AO782" s="1129"/>
      <c r="AP782" s="1129"/>
      <c r="AQ782" s="1129"/>
      <c r="AR782" s="1129"/>
      <c r="AS782" s="1129"/>
      <c r="AT782" s="1129"/>
      <c r="AU782" s="1129"/>
      <c r="AV782" s="1129"/>
      <c r="AW782" s="1129"/>
      <c r="AX782" s="1129"/>
      <c r="AY782" s="1129"/>
      <c r="AZ782" s="1129"/>
      <c r="BA782" s="1129"/>
      <c r="BB782" s="1129"/>
      <c r="BC782" s="1129"/>
      <c r="BD782" s="1129"/>
      <c r="BE782" s="1129"/>
      <c r="BF782" s="1129"/>
      <c r="BG782" s="1129"/>
      <c r="BH782" s="1129"/>
      <c r="BI782" s="1129"/>
      <c r="BJ782" s="1129"/>
      <c r="BK782" s="1129"/>
      <c r="BL782" s="1129"/>
      <c r="BM782" s="1129"/>
      <c r="BN782" s="1129"/>
      <c r="BO782" s="1129"/>
      <c r="BP782" s="1129"/>
      <c r="BQ782" s="1129"/>
      <c r="BR782" s="1129"/>
      <c r="BS782" s="1129"/>
      <c r="BT782" s="1129"/>
      <c r="BU782" s="1129"/>
      <c r="BV782" s="1129"/>
      <c r="BW782" s="6"/>
      <c r="BX782" s="5"/>
      <c r="BY782" s="371"/>
      <c r="BZ782" s="371"/>
      <c r="CA782" s="371"/>
      <c r="CB782" s="371"/>
      <c r="CC782" s="5"/>
    </row>
    <row r="783" spans="1:81" s="904" customFormat="1" ht="54.75" customHeight="1" outlineLevel="1" x14ac:dyDescent="0.25">
      <c r="A783" s="10"/>
      <c r="B783" s="5"/>
      <c r="C783" s="10"/>
      <c r="D783" s="10"/>
      <c r="E783" s="10"/>
      <c r="F783" s="10"/>
      <c r="G783" s="10"/>
      <c r="H783" s="10"/>
      <c r="I783" s="10"/>
      <c r="J783" s="10"/>
      <c r="K783" s="12"/>
      <c r="L783" s="10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914" t="s">
        <v>733</v>
      </c>
      <c r="AC783" s="915" t="s">
        <v>752</v>
      </c>
      <c r="AD783" s="1" t="s">
        <v>119</v>
      </c>
      <c r="AE783" s="581">
        <v>0</v>
      </c>
      <c r="AF783" s="582">
        <v>0</v>
      </c>
      <c r="AG783" s="582">
        <v>0</v>
      </c>
      <c r="AH783" s="584">
        <v>0</v>
      </c>
      <c r="AI783" s="916">
        <v>100</v>
      </c>
      <c r="AJ783" s="582">
        <v>0</v>
      </c>
      <c r="AK783" s="582">
        <v>0</v>
      </c>
      <c r="AL783" s="582">
        <v>0</v>
      </c>
      <c r="AM783" s="581"/>
      <c r="AN783" s="582"/>
      <c r="AO783" s="582"/>
      <c r="AP783" s="584"/>
      <c r="AQ783" s="581">
        <v>0</v>
      </c>
      <c r="AR783" s="582">
        <v>0</v>
      </c>
      <c r="AS783" s="582">
        <v>0</v>
      </c>
      <c r="AT783" s="584">
        <v>0</v>
      </c>
      <c r="AU783" s="581">
        <v>100</v>
      </c>
      <c r="AV783" s="582">
        <v>100</v>
      </c>
      <c r="AW783" s="582">
        <v>100</v>
      </c>
      <c r="AX783" s="584">
        <v>100</v>
      </c>
      <c r="AY783" s="581">
        <v>0</v>
      </c>
      <c r="AZ783" s="582">
        <v>0</v>
      </c>
      <c r="BA783" s="582">
        <v>0</v>
      </c>
      <c r="BB783" s="584">
        <v>0</v>
      </c>
      <c r="BC783" s="917">
        <v>100</v>
      </c>
      <c r="BD783" s="794">
        <v>100</v>
      </c>
      <c r="BE783" s="794">
        <v>100</v>
      </c>
      <c r="BF783" s="795">
        <v>100</v>
      </c>
      <c r="BG783" s="856">
        <v>0</v>
      </c>
      <c r="BH783" s="794">
        <v>0</v>
      </c>
      <c r="BI783" s="794">
        <v>0</v>
      </c>
      <c r="BJ783" s="795">
        <v>0</v>
      </c>
      <c r="BK783" s="856">
        <v>56.17</v>
      </c>
      <c r="BL783" s="794">
        <v>5.96</v>
      </c>
      <c r="BM783" s="794">
        <v>15.91</v>
      </c>
      <c r="BN783" s="806">
        <v>5.96</v>
      </c>
      <c r="BO783" s="793">
        <v>100</v>
      </c>
      <c r="BP783" s="794">
        <v>100</v>
      </c>
      <c r="BQ783" s="794">
        <v>100</v>
      </c>
      <c r="BR783" s="795">
        <v>100</v>
      </c>
      <c r="BS783" s="856">
        <v>100</v>
      </c>
      <c r="BT783" s="794">
        <v>100</v>
      </c>
      <c r="BU783" s="794">
        <v>0</v>
      </c>
      <c r="BV783" s="795">
        <v>100</v>
      </c>
      <c r="BW783" s="6"/>
      <c r="BX783" s="5"/>
      <c r="BY783" s="371"/>
      <c r="BZ783" s="371"/>
      <c r="CA783" s="371"/>
      <c r="CB783" s="371"/>
      <c r="CC783" s="5"/>
    </row>
    <row r="784" spans="1:81" s="904" customFormat="1" ht="65.25" customHeight="1" outlineLevel="1" x14ac:dyDescent="0.25">
      <c r="A784" s="10"/>
      <c r="B784" s="5"/>
      <c r="C784" s="10"/>
      <c r="D784" s="10"/>
      <c r="E784" s="10"/>
      <c r="F784" s="10"/>
      <c r="G784" s="10"/>
      <c r="H784" s="10"/>
      <c r="I784" s="10"/>
      <c r="J784" s="10"/>
      <c r="K784" s="12"/>
      <c r="L784" s="10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918" t="s">
        <v>736</v>
      </c>
      <c r="AC784" s="78" t="s">
        <v>753</v>
      </c>
      <c r="AD784" s="118" t="s">
        <v>119</v>
      </c>
      <c r="AE784" s="72">
        <v>0</v>
      </c>
      <c r="AF784" s="73">
        <v>0</v>
      </c>
      <c r="AG784" s="73">
        <v>0</v>
      </c>
      <c r="AH784" s="138">
        <v>0</v>
      </c>
      <c r="AI784" s="72">
        <v>0</v>
      </c>
      <c r="AJ784" s="73">
        <v>0</v>
      </c>
      <c r="AK784" s="73">
        <v>0</v>
      </c>
      <c r="AL784" s="73">
        <v>0</v>
      </c>
      <c r="AM784" s="72"/>
      <c r="AN784" s="73"/>
      <c r="AO784" s="73"/>
      <c r="AP784" s="138"/>
      <c r="AQ784" s="72">
        <v>0</v>
      </c>
      <c r="AR784" s="73">
        <v>0</v>
      </c>
      <c r="AS784" s="73">
        <v>0</v>
      </c>
      <c r="AT784" s="138">
        <v>0</v>
      </c>
      <c r="AU784" s="72">
        <v>0</v>
      </c>
      <c r="AV784" s="73">
        <v>0</v>
      </c>
      <c r="AW784" s="73">
        <v>0</v>
      </c>
      <c r="AX784" s="138">
        <v>0</v>
      </c>
      <c r="AY784" s="72">
        <v>0</v>
      </c>
      <c r="AZ784" s="73">
        <v>0</v>
      </c>
      <c r="BA784" s="73">
        <v>0</v>
      </c>
      <c r="BB784" s="138">
        <v>0</v>
      </c>
      <c r="BC784" s="72">
        <v>0</v>
      </c>
      <c r="BD784" s="73">
        <v>0</v>
      </c>
      <c r="BE784" s="73">
        <v>0</v>
      </c>
      <c r="BF784" s="74">
        <v>0</v>
      </c>
      <c r="BG784" s="179">
        <v>0</v>
      </c>
      <c r="BH784" s="73">
        <v>0</v>
      </c>
      <c r="BI784" s="73">
        <v>0</v>
      </c>
      <c r="BJ784" s="74">
        <v>0</v>
      </c>
      <c r="BK784" s="179">
        <v>0</v>
      </c>
      <c r="BL784" s="73">
        <v>0</v>
      </c>
      <c r="BM784" s="73">
        <v>0</v>
      </c>
      <c r="BN784" s="138">
        <v>0</v>
      </c>
      <c r="BO784" s="72">
        <v>0</v>
      </c>
      <c r="BP784" s="73">
        <v>0</v>
      </c>
      <c r="BQ784" s="73">
        <v>0</v>
      </c>
      <c r="BR784" s="74">
        <v>0</v>
      </c>
      <c r="BS784" s="179">
        <v>0</v>
      </c>
      <c r="BT784" s="73">
        <v>0</v>
      </c>
      <c r="BU784" s="73">
        <v>0</v>
      </c>
      <c r="BV784" s="74">
        <v>0</v>
      </c>
      <c r="BW784" s="6"/>
      <c r="BX784" s="5"/>
      <c r="BY784" s="371"/>
      <c r="BZ784" s="371"/>
      <c r="CA784" s="371"/>
      <c r="CB784" s="371"/>
      <c r="CC784" s="5"/>
    </row>
    <row r="785" spans="1:81" s="904" customFormat="1" ht="93" customHeight="1" outlineLevel="1" thickBot="1" x14ac:dyDescent="0.3">
      <c r="A785" s="10"/>
      <c r="B785" s="5"/>
      <c r="C785" s="10"/>
      <c r="D785" s="10"/>
      <c r="E785" s="10"/>
      <c r="F785" s="10"/>
      <c r="G785" s="10"/>
      <c r="H785" s="10"/>
      <c r="I785" s="10"/>
      <c r="J785" s="10"/>
      <c r="K785" s="12"/>
      <c r="L785" s="10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919" t="s">
        <v>740</v>
      </c>
      <c r="AC785" s="920" t="s">
        <v>754</v>
      </c>
      <c r="AD785" s="921" t="s">
        <v>119</v>
      </c>
      <c r="AE785" s="375">
        <v>30.05</v>
      </c>
      <c r="AF785" s="376">
        <v>46.41</v>
      </c>
      <c r="AG785" s="376">
        <v>36.31</v>
      </c>
      <c r="AH785" s="378">
        <v>46.41</v>
      </c>
      <c r="AI785" s="375">
        <v>0</v>
      </c>
      <c r="AJ785" s="376">
        <v>0</v>
      </c>
      <c r="AK785" s="376">
        <v>0</v>
      </c>
      <c r="AL785" s="376">
        <v>0</v>
      </c>
      <c r="AM785" s="375"/>
      <c r="AN785" s="376"/>
      <c r="AO785" s="376"/>
      <c r="AP785" s="378"/>
      <c r="AQ785" s="375">
        <v>52.27</v>
      </c>
      <c r="AR785" s="376">
        <v>49.65</v>
      </c>
      <c r="AS785" s="376">
        <v>53.75</v>
      </c>
      <c r="AT785" s="378">
        <v>0</v>
      </c>
      <c r="AU785" s="375">
        <v>0</v>
      </c>
      <c r="AV785" s="376">
        <v>0</v>
      </c>
      <c r="AW785" s="376">
        <v>35.71</v>
      </c>
      <c r="AX785" s="378">
        <v>0</v>
      </c>
      <c r="AY785" s="375">
        <v>0</v>
      </c>
      <c r="AZ785" s="376">
        <v>0</v>
      </c>
      <c r="BA785" s="376">
        <v>0</v>
      </c>
      <c r="BB785" s="378">
        <v>0</v>
      </c>
      <c r="BC785" s="821">
        <v>51.07</v>
      </c>
      <c r="BD785" s="376">
        <v>0</v>
      </c>
      <c r="BE785" s="376">
        <v>51.07</v>
      </c>
      <c r="BF785" s="377">
        <v>0</v>
      </c>
      <c r="BG785" s="379">
        <v>0</v>
      </c>
      <c r="BH785" s="376">
        <v>0</v>
      </c>
      <c r="BI785" s="376">
        <v>0</v>
      </c>
      <c r="BJ785" s="377">
        <v>0</v>
      </c>
      <c r="BK785" s="379">
        <v>31.44</v>
      </c>
      <c r="BL785" s="376">
        <v>30</v>
      </c>
      <c r="BM785" s="376">
        <v>31.25</v>
      </c>
      <c r="BN785" s="378">
        <v>30</v>
      </c>
      <c r="BO785" s="375">
        <v>0</v>
      </c>
      <c r="BP785" s="376">
        <v>0</v>
      </c>
      <c r="BQ785" s="376">
        <v>0</v>
      </c>
      <c r="BR785" s="377">
        <v>0</v>
      </c>
      <c r="BS785" s="379">
        <v>0</v>
      </c>
      <c r="BT785" s="376">
        <v>0</v>
      </c>
      <c r="BU785" s="376">
        <v>0</v>
      </c>
      <c r="BV785" s="377">
        <v>0</v>
      </c>
      <c r="BW785" s="6"/>
      <c r="BX785" s="5"/>
      <c r="BY785" s="371"/>
      <c r="BZ785" s="371"/>
      <c r="CA785" s="371"/>
      <c r="CB785" s="371"/>
      <c r="CC785" s="5"/>
    </row>
    <row r="786" spans="1:81" s="904" customFormat="1" ht="19.149999999999999" customHeight="1" outlineLevel="1" thickBot="1" x14ac:dyDescent="0.3">
      <c r="A786" s="10"/>
      <c r="B786" s="5"/>
      <c r="C786" s="10"/>
      <c r="D786" s="10"/>
      <c r="E786" s="10"/>
      <c r="F786" s="10"/>
      <c r="G786" s="10"/>
      <c r="H786" s="10"/>
      <c r="I786" s="10"/>
      <c r="J786" s="10"/>
      <c r="K786" s="12"/>
      <c r="L786" s="10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1129" t="s">
        <v>755</v>
      </c>
      <c r="AC786" s="1129"/>
      <c r="AD786" s="1129"/>
      <c r="AE786" s="1129"/>
      <c r="AF786" s="1129"/>
      <c r="AG786" s="1129"/>
      <c r="AH786" s="1129"/>
      <c r="AI786" s="1129"/>
      <c r="AJ786" s="1129"/>
      <c r="AK786" s="1129"/>
      <c r="AL786" s="1129"/>
      <c r="AM786" s="1129"/>
      <c r="AN786" s="1129"/>
      <c r="AO786" s="1129"/>
      <c r="AP786" s="1129"/>
      <c r="AQ786" s="1129"/>
      <c r="AR786" s="1129"/>
      <c r="AS786" s="1129"/>
      <c r="AT786" s="1129"/>
      <c r="AU786" s="1129"/>
      <c r="AV786" s="1129"/>
      <c r="AW786" s="1129"/>
      <c r="AX786" s="1129"/>
      <c r="AY786" s="1129"/>
      <c r="AZ786" s="1129"/>
      <c r="BA786" s="1129"/>
      <c r="BB786" s="1129"/>
      <c r="BC786" s="1129"/>
      <c r="BD786" s="1129"/>
      <c r="BE786" s="1129"/>
      <c r="BF786" s="1129"/>
      <c r="BG786" s="1129"/>
      <c r="BH786" s="1129"/>
      <c r="BI786" s="1129"/>
      <c r="BJ786" s="1129"/>
      <c r="BK786" s="1129"/>
      <c r="BL786" s="1129"/>
      <c r="BM786" s="1129"/>
      <c r="BN786" s="1129"/>
      <c r="BO786" s="1129"/>
      <c r="BP786" s="1129"/>
      <c r="BQ786" s="1129"/>
      <c r="BR786" s="1129"/>
      <c r="BS786" s="1129"/>
      <c r="BT786" s="1129"/>
      <c r="BU786" s="1129"/>
      <c r="BV786" s="1129"/>
      <c r="BW786" s="6"/>
      <c r="BX786" s="5"/>
      <c r="BY786" s="371"/>
      <c r="BZ786" s="371"/>
      <c r="CA786" s="371"/>
      <c r="CB786" s="371"/>
      <c r="CC786" s="5"/>
    </row>
    <row r="787" spans="1:81" s="904" customFormat="1" ht="47.25" customHeight="1" outlineLevel="1" x14ac:dyDescent="0.25">
      <c r="A787" s="10"/>
      <c r="B787" s="5"/>
      <c r="C787" s="10"/>
      <c r="D787" s="10"/>
      <c r="E787" s="10"/>
      <c r="F787" s="10"/>
      <c r="G787" s="10"/>
      <c r="H787" s="10"/>
      <c r="I787" s="10"/>
      <c r="J787" s="10"/>
      <c r="K787" s="12"/>
      <c r="L787" s="10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914" t="s">
        <v>742</v>
      </c>
      <c r="AC787" s="915" t="s">
        <v>756</v>
      </c>
      <c r="AD787" s="1" t="s">
        <v>757</v>
      </c>
      <c r="AE787" s="922">
        <v>0.14000000000000001</v>
      </c>
      <c r="AF787" s="923">
        <v>0.16900000000000001</v>
      </c>
      <c r="AG787" s="923">
        <v>0.13400000000000001</v>
      </c>
      <c r="AH787" s="923">
        <v>0.16900000000000001</v>
      </c>
      <c r="AI787" s="922">
        <v>1.6879999999999999</v>
      </c>
      <c r="AJ787" s="923">
        <v>3.27</v>
      </c>
      <c r="AK787" s="923">
        <v>1.5740000000000001</v>
      </c>
      <c r="AL787" s="924">
        <v>3.27</v>
      </c>
      <c r="AM787" s="922"/>
      <c r="AN787" s="923"/>
      <c r="AO787" s="923"/>
      <c r="AP787" s="924"/>
      <c r="AQ787" s="922">
        <v>0</v>
      </c>
      <c r="AR787" s="923">
        <v>0</v>
      </c>
      <c r="AS787" s="923">
        <v>0</v>
      </c>
      <c r="AT787" s="924">
        <v>0</v>
      </c>
      <c r="AU787" s="922">
        <v>0</v>
      </c>
      <c r="AV787" s="923">
        <v>0</v>
      </c>
      <c r="AW787" s="923">
        <v>0</v>
      </c>
      <c r="AX787" s="924">
        <v>0</v>
      </c>
      <c r="AY787" s="922">
        <v>0</v>
      </c>
      <c r="AZ787" s="923">
        <v>0</v>
      </c>
      <c r="BA787" s="923">
        <v>0</v>
      </c>
      <c r="BB787" s="924">
        <v>0</v>
      </c>
      <c r="BC787" s="925">
        <v>0</v>
      </c>
      <c r="BD787" s="926">
        <v>0</v>
      </c>
      <c r="BE787" s="926">
        <v>0</v>
      </c>
      <c r="BF787" s="927">
        <v>0</v>
      </c>
      <c r="BG787" s="928">
        <v>0.39100000000000001</v>
      </c>
      <c r="BH787" s="926">
        <v>0.71099999999999997</v>
      </c>
      <c r="BI787" s="926">
        <v>0.36599999999999999</v>
      </c>
      <c r="BJ787" s="927">
        <v>0.71099999999999997</v>
      </c>
      <c r="BK787" s="928">
        <v>1.1599999999999999</v>
      </c>
      <c r="BL787" s="926">
        <v>0.71399999999999997</v>
      </c>
      <c r="BM787" s="926">
        <v>0.73299999999999998</v>
      </c>
      <c r="BN787" s="926">
        <v>0.71399999999999997</v>
      </c>
      <c r="BO787" s="793">
        <v>0</v>
      </c>
      <c r="BP787" s="794">
        <v>0</v>
      </c>
      <c r="BQ787" s="794">
        <v>0</v>
      </c>
      <c r="BR787" s="795">
        <v>0</v>
      </c>
      <c r="BS787" s="856">
        <v>0</v>
      </c>
      <c r="BT787" s="794">
        <v>0</v>
      </c>
      <c r="BU787" s="794">
        <v>0</v>
      </c>
      <c r="BV787" s="795">
        <v>0</v>
      </c>
      <c r="BW787" s="6"/>
      <c r="BX787" s="5"/>
      <c r="BY787" s="371"/>
      <c r="BZ787" s="371"/>
      <c r="CA787" s="371"/>
      <c r="CB787" s="371"/>
      <c r="CC787" s="5"/>
    </row>
    <row r="788" spans="1:81" s="904" customFormat="1" ht="54" customHeight="1" outlineLevel="1" thickBot="1" x14ac:dyDescent="0.3">
      <c r="A788" s="10"/>
      <c r="B788" s="5"/>
      <c r="C788" s="10"/>
      <c r="D788" s="10"/>
      <c r="E788" s="10"/>
      <c r="F788" s="10"/>
      <c r="G788" s="10"/>
      <c r="H788" s="10"/>
      <c r="I788" s="10"/>
      <c r="J788" s="10"/>
      <c r="K788" s="12"/>
      <c r="L788" s="10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919" t="s">
        <v>745</v>
      </c>
      <c r="AC788" s="920" t="s">
        <v>758</v>
      </c>
      <c r="AD788" s="921" t="s">
        <v>757</v>
      </c>
      <c r="AE788" s="860">
        <v>0.24</v>
      </c>
      <c r="AF788" s="861">
        <v>0.25900000000000001</v>
      </c>
      <c r="AG788" s="861">
        <v>0.23799999999999999</v>
      </c>
      <c r="AH788" s="861">
        <v>0.25900000000000001</v>
      </c>
      <c r="AI788" s="860">
        <v>0.04</v>
      </c>
      <c r="AJ788" s="861">
        <v>0</v>
      </c>
      <c r="AK788" s="861">
        <v>0.215</v>
      </c>
      <c r="AL788" s="862">
        <v>0</v>
      </c>
      <c r="AM788" s="860"/>
      <c r="AN788" s="861"/>
      <c r="AO788" s="861"/>
      <c r="AP788" s="862"/>
      <c r="AQ788" s="860">
        <v>1.36</v>
      </c>
      <c r="AR788" s="861">
        <v>0.27</v>
      </c>
      <c r="AS788" s="861">
        <v>1.387</v>
      </c>
      <c r="AT788" s="862">
        <v>0.27</v>
      </c>
      <c r="AU788" s="860">
        <v>0.16</v>
      </c>
      <c r="AV788" s="861">
        <v>0.03</v>
      </c>
      <c r="AW788" s="861">
        <v>0.128</v>
      </c>
      <c r="AX788" s="862">
        <v>0.03</v>
      </c>
      <c r="AY788" s="860">
        <v>0.17</v>
      </c>
      <c r="AZ788" s="861">
        <v>0.22</v>
      </c>
      <c r="BA788" s="861">
        <v>0.22</v>
      </c>
      <c r="BB788" s="862">
        <v>0.22</v>
      </c>
      <c r="BC788" s="860">
        <v>0.16500000000000001</v>
      </c>
      <c r="BD788" s="861">
        <v>0.01</v>
      </c>
      <c r="BE788" s="861">
        <v>0.28199999999999997</v>
      </c>
      <c r="BF788" s="870">
        <f>BF658</f>
        <v>9.9970269064962106E-3</v>
      </c>
      <c r="BG788" s="929">
        <v>0.28100000000000003</v>
      </c>
      <c r="BH788" s="861">
        <v>0.39200000000000002</v>
      </c>
      <c r="BI788" s="861">
        <v>0.29299999999999998</v>
      </c>
      <c r="BJ788" s="870">
        <v>0.39200000000000002</v>
      </c>
      <c r="BK788" s="929">
        <v>0.12</v>
      </c>
      <c r="BL788" s="861">
        <v>9.0999999999999998E-2</v>
      </c>
      <c r="BM788" s="861">
        <v>0</v>
      </c>
      <c r="BN788" s="861">
        <v>9.0999999999999998E-2</v>
      </c>
      <c r="BO788" s="860">
        <v>0.16</v>
      </c>
      <c r="BP788" s="861">
        <v>0</v>
      </c>
      <c r="BQ788" s="861">
        <v>0.154</v>
      </c>
      <c r="BR788" s="870">
        <v>0</v>
      </c>
      <c r="BS788" s="929">
        <v>0.83</v>
      </c>
      <c r="BT788" s="861">
        <v>0.161</v>
      </c>
      <c r="BU788" s="861">
        <v>0.161</v>
      </c>
      <c r="BV788" s="870">
        <v>0.161</v>
      </c>
      <c r="BW788" s="6"/>
      <c r="BX788" s="5"/>
      <c r="BY788" s="371"/>
      <c r="BZ788" s="371"/>
      <c r="CA788" s="371"/>
      <c r="CB788" s="371"/>
      <c r="CC788" s="5"/>
    </row>
    <row r="789" spans="1:81" ht="17.25" customHeight="1" outlineLevel="1" x14ac:dyDescent="0.25">
      <c r="A789" s="10"/>
      <c r="C789" s="10"/>
      <c r="D789" s="10"/>
      <c r="E789" s="10"/>
      <c r="F789" s="10"/>
      <c r="G789" s="10"/>
      <c r="H789" s="10"/>
      <c r="I789" s="10"/>
      <c r="J789" s="10"/>
      <c r="K789" s="12"/>
      <c r="L789" s="10"/>
      <c r="AB789" s="902"/>
      <c r="AC789" s="903"/>
      <c r="AD789" s="902"/>
      <c r="AE789" s="391"/>
      <c r="AF789" s="391"/>
      <c r="AG789" s="391"/>
      <c r="AH789" s="391"/>
      <c r="AI789" s="391"/>
      <c r="AJ789" s="391"/>
      <c r="AK789" s="391"/>
      <c r="AL789" s="391"/>
      <c r="AM789" s="391"/>
      <c r="AN789" s="391"/>
      <c r="AO789" s="391"/>
      <c r="AP789" s="391"/>
      <c r="AQ789" s="391"/>
      <c r="AR789" s="391"/>
      <c r="AS789" s="391"/>
      <c r="AT789" s="391"/>
      <c r="AU789" s="391"/>
      <c r="AV789" s="391"/>
      <c r="AW789" s="391"/>
      <c r="AX789" s="391"/>
      <c r="AY789" s="391"/>
      <c r="AZ789" s="391"/>
      <c r="BA789" s="391"/>
      <c r="BB789" s="391"/>
      <c r="BC789" s="391"/>
      <c r="BD789" s="391"/>
      <c r="BE789" s="391"/>
      <c r="BF789" s="391"/>
      <c r="BG789" s="391"/>
      <c r="BH789" s="897"/>
      <c r="BI789" s="391"/>
      <c r="BJ789" s="391"/>
      <c r="BK789" s="391"/>
      <c r="BL789" s="391"/>
      <c r="BM789" s="391"/>
      <c r="BN789" s="391"/>
      <c r="BO789" s="391"/>
      <c r="BP789" s="391"/>
      <c r="BQ789" s="391"/>
      <c r="BR789" s="391"/>
      <c r="BS789" s="391"/>
      <c r="BT789" s="391"/>
      <c r="BU789" s="391"/>
      <c r="BV789" s="391"/>
      <c r="BY789" s="371"/>
      <c r="BZ789" s="371"/>
      <c r="CA789" s="371"/>
      <c r="CB789" s="371"/>
    </row>
    <row r="790" spans="1:81" ht="17.25" customHeight="1" outlineLevel="1" x14ac:dyDescent="0.25">
      <c r="A790" s="10"/>
      <c r="C790" s="10"/>
      <c r="D790" s="10"/>
      <c r="E790" s="10"/>
      <c r="F790" s="10"/>
      <c r="G790" s="10"/>
      <c r="H790" s="10"/>
      <c r="I790" s="10"/>
      <c r="J790" s="10"/>
      <c r="K790" s="12"/>
      <c r="L790" s="10"/>
      <c r="AB790" s="902"/>
      <c r="AC790" s="903"/>
      <c r="AD790" s="902"/>
      <c r="AE790" s="391"/>
      <c r="AF790" s="391"/>
      <c r="AG790" s="391"/>
      <c r="AH790" s="391"/>
      <c r="AI790" s="391"/>
      <c r="AJ790" s="391"/>
      <c r="AK790" s="391"/>
      <c r="AL790" s="391"/>
      <c r="AM790" s="391"/>
      <c r="AN790" s="391"/>
      <c r="AO790" s="391"/>
      <c r="AP790" s="391"/>
      <c r="AQ790" s="391"/>
      <c r="AR790" s="391"/>
      <c r="AS790" s="391"/>
      <c r="AT790" s="391"/>
      <c r="AU790" s="391"/>
      <c r="AV790" s="391"/>
      <c r="AW790" s="391"/>
      <c r="AX790" s="391"/>
      <c r="AY790" s="391"/>
      <c r="AZ790" s="391"/>
      <c r="BA790" s="391"/>
      <c r="BB790" s="391"/>
      <c r="BC790" s="391"/>
      <c r="BD790" s="391"/>
      <c r="BE790" s="391"/>
      <c r="BF790" s="391"/>
      <c r="BG790" s="391"/>
      <c r="BH790" s="391"/>
      <c r="BI790" s="391"/>
      <c r="BJ790" s="391"/>
      <c r="BK790" s="391"/>
      <c r="BL790" s="391"/>
      <c r="BM790" s="391"/>
      <c r="BN790" s="391"/>
      <c r="BO790" s="391"/>
      <c r="BP790" s="391"/>
      <c r="BQ790" s="391"/>
      <c r="BR790" s="391"/>
      <c r="BS790" s="391"/>
      <c r="BT790" s="391"/>
      <c r="BU790" s="391"/>
      <c r="BV790" s="391"/>
      <c r="BY790" s="371"/>
      <c r="BZ790" s="371"/>
      <c r="CA790" s="371"/>
      <c r="CB790" s="371"/>
    </row>
    <row r="791" spans="1:81" ht="14.25" customHeight="1" x14ac:dyDescent="0.25">
      <c r="AB791" s="6"/>
      <c r="AC791" s="6"/>
      <c r="AD791" s="6"/>
      <c r="BY791" s="398"/>
      <c r="BZ791" s="398"/>
      <c r="CA791" s="398"/>
      <c r="CB791" s="398"/>
    </row>
    <row r="792" spans="1:81" ht="15" customHeight="1" x14ac:dyDescent="0.25">
      <c r="AB792" s="6"/>
      <c r="AC792" s="6"/>
      <c r="AD792" s="6"/>
      <c r="AE792" s="6"/>
      <c r="AF792" s="6"/>
      <c r="AG792" s="6"/>
      <c r="AH792" s="6"/>
      <c r="BX792" s="5" t="s">
        <v>580</v>
      </c>
      <c r="BY792" s="7">
        <f>AE767+AI767+AM767+AQ767+AU767+AY767+BC767+BG767+BK767+BO767+BS767</f>
        <v>1804536.27205873</v>
      </c>
      <c r="BZ792" s="7">
        <f>AF767+AJ767+AN767+AR767+AV767+AZ767+BD767+BH767+BL767+BP767+BT767</f>
        <v>1048218.0131865998</v>
      </c>
      <c r="CA792" s="7">
        <f>AG767+AK767+AO767+AS767+AW767+BA767+BE767+BI767+BM767+BQ767+BU767</f>
        <v>2496560.7401409997</v>
      </c>
      <c r="CB792" s="7">
        <f>AH767+AL767+AP767+AT767+AX767+BB767+BF767+BJ767+BN767+BR767+BV767</f>
        <v>1059320.2719838838</v>
      </c>
    </row>
    <row r="793" spans="1:81" ht="29.25" customHeight="1" x14ac:dyDescent="0.25">
      <c r="AB793" s="6" t="s">
        <v>49</v>
      </c>
      <c r="AC793" s="6"/>
      <c r="AD793" s="6"/>
      <c r="AE793" s="6"/>
      <c r="AF793" s="6"/>
      <c r="AG793" s="6"/>
      <c r="AH793" s="6"/>
      <c r="BY793" s="20"/>
    </row>
    <row r="794" spans="1:81" ht="16.5" customHeight="1" thickBot="1" x14ac:dyDescent="0.3">
      <c r="AB794" s="6"/>
      <c r="AC794" s="6"/>
      <c r="AD794" s="6"/>
      <c r="AE794" s="6"/>
      <c r="AF794" s="6"/>
      <c r="AG794" s="6"/>
      <c r="AH794" s="6"/>
      <c r="BY794" s="20"/>
    </row>
    <row r="795" spans="1:81" ht="35.25" customHeight="1" thickBot="1" x14ac:dyDescent="0.3">
      <c r="AB795" s="1104" t="s">
        <v>709</v>
      </c>
      <c r="AC795" s="1104"/>
      <c r="AD795" s="1104"/>
      <c r="AE795" s="1125" t="s">
        <v>51</v>
      </c>
      <c r="AF795" s="1125"/>
      <c r="AG795" s="1125"/>
      <c r="AH795" s="1125"/>
      <c r="AI795" s="1125" t="s">
        <v>52</v>
      </c>
      <c r="AJ795" s="1125"/>
      <c r="AK795" s="1125"/>
      <c r="AL795" s="1125"/>
      <c r="AM795" s="1125" t="s">
        <v>53</v>
      </c>
      <c r="AN795" s="1125"/>
      <c r="AO795" s="1125"/>
      <c r="AP795" s="1125"/>
      <c r="AQ795" s="1125" t="s">
        <v>54</v>
      </c>
      <c r="AR795" s="1125"/>
      <c r="AS795" s="1125"/>
      <c r="AT795" s="1125"/>
      <c r="AU795" s="1125" t="s">
        <v>55</v>
      </c>
      <c r="AV795" s="1125"/>
      <c r="AW795" s="1125"/>
      <c r="AX795" s="1125"/>
      <c r="AY795" s="1125" t="s">
        <v>56</v>
      </c>
      <c r="AZ795" s="1125"/>
      <c r="BA795" s="1125"/>
      <c r="BB795" s="1125"/>
      <c r="BC795" s="1126" t="s">
        <v>57</v>
      </c>
      <c r="BD795" s="1126"/>
      <c r="BE795" s="1126"/>
      <c r="BF795" s="1126"/>
      <c r="BG795" s="1098" t="s">
        <v>58</v>
      </c>
      <c r="BH795" s="1098"/>
      <c r="BI795" s="1098"/>
      <c r="BJ795" s="1098"/>
      <c r="BK795" s="1125" t="s">
        <v>59</v>
      </c>
      <c r="BL795" s="1125"/>
      <c r="BM795" s="1125"/>
      <c r="BN795" s="1125"/>
      <c r="BO795" s="1125" t="s">
        <v>60</v>
      </c>
      <c r="BP795" s="1125"/>
      <c r="BQ795" s="1125"/>
      <c r="BR795" s="1125"/>
      <c r="BS795" s="1125" t="s">
        <v>61</v>
      </c>
      <c r="BT795" s="1125"/>
      <c r="BU795" s="1125"/>
      <c r="BV795" s="1125"/>
      <c r="BY795" s="1130" t="s">
        <v>710</v>
      </c>
      <c r="BZ795" s="1130"/>
      <c r="CA795" s="1130"/>
      <c r="CB795" s="1130"/>
    </row>
    <row r="796" spans="1:81" ht="30.75" hidden="1" customHeight="1" x14ac:dyDescent="0.25">
      <c r="AB796" s="1100" t="s">
        <v>63</v>
      </c>
      <c r="AC796" s="1101" t="s">
        <v>64</v>
      </c>
      <c r="AD796" s="1113" t="s">
        <v>65</v>
      </c>
      <c r="AE796" s="21">
        <f>god-2</f>
        <v>2024</v>
      </c>
      <c r="AF796" s="22">
        <v>2025</v>
      </c>
      <c r="AG796" s="741">
        <f>god</f>
        <v>2026</v>
      </c>
      <c r="AH796" s="743">
        <v>2026</v>
      </c>
      <c r="AI796" s="930">
        <f>god-2</f>
        <v>2024</v>
      </c>
      <c r="AJ796" s="22">
        <f>god-1</f>
        <v>2025</v>
      </c>
      <c r="AK796" s="741">
        <f>god</f>
        <v>2026</v>
      </c>
      <c r="AL796" s="743">
        <v>2026</v>
      </c>
      <c r="AM796" s="930">
        <f>god-2</f>
        <v>2024</v>
      </c>
      <c r="AN796" s="22">
        <f>god-1</f>
        <v>2025</v>
      </c>
      <c r="AO796" s="741">
        <f>god</f>
        <v>2026</v>
      </c>
      <c r="AP796" s="743">
        <v>2026</v>
      </c>
      <c r="AQ796" s="930">
        <f>god-2</f>
        <v>2024</v>
      </c>
      <c r="AR796" s="22">
        <f>god-1</f>
        <v>2025</v>
      </c>
      <c r="AS796" s="741">
        <f>god</f>
        <v>2026</v>
      </c>
      <c r="AT796" s="743">
        <v>2026</v>
      </c>
      <c r="AU796" s="930">
        <f>god-2</f>
        <v>2024</v>
      </c>
      <c r="AV796" s="22">
        <f>god-1</f>
        <v>2025</v>
      </c>
      <c r="AW796" s="741">
        <f>god</f>
        <v>2026</v>
      </c>
      <c r="AX796" s="743">
        <v>2026</v>
      </c>
      <c r="AY796" s="930">
        <f>god-2</f>
        <v>2024</v>
      </c>
      <c r="AZ796" s="22">
        <f>god-1</f>
        <v>2025</v>
      </c>
      <c r="BA796" s="741">
        <f>god</f>
        <v>2026</v>
      </c>
      <c r="BB796" s="742">
        <v>2026</v>
      </c>
      <c r="BC796" s="21">
        <v>2024</v>
      </c>
      <c r="BD796" s="22">
        <v>2025</v>
      </c>
      <c r="BE796" s="741">
        <v>2026</v>
      </c>
      <c r="BF796" s="742">
        <v>2026</v>
      </c>
      <c r="BG796" s="21">
        <v>2024</v>
      </c>
      <c r="BH796" s="22">
        <v>2025</v>
      </c>
      <c r="BI796" s="741">
        <v>2026</v>
      </c>
      <c r="BJ796" s="742">
        <v>2026</v>
      </c>
      <c r="BK796" s="21">
        <f>god-2</f>
        <v>2024</v>
      </c>
      <c r="BL796" s="22">
        <f>god-1</f>
        <v>2025</v>
      </c>
      <c r="BM796" s="741">
        <f>god</f>
        <v>2026</v>
      </c>
      <c r="BN796" s="742">
        <v>2026</v>
      </c>
      <c r="BO796" s="21">
        <f>god-2</f>
        <v>2024</v>
      </c>
      <c r="BP796" s="22">
        <f>god-1</f>
        <v>2025</v>
      </c>
      <c r="BQ796" s="741">
        <f>god</f>
        <v>2026</v>
      </c>
      <c r="BR796" s="742">
        <v>2026</v>
      </c>
      <c r="BS796" s="21">
        <f>god-2</f>
        <v>2024</v>
      </c>
      <c r="BT796" s="22">
        <f>god-1</f>
        <v>2025</v>
      </c>
      <c r="BU796" s="741">
        <f>god</f>
        <v>2026</v>
      </c>
      <c r="BV796" s="743">
        <v>2026</v>
      </c>
      <c r="BY796" s="21">
        <v>2024</v>
      </c>
      <c r="BZ796" s="22">
        <v>2025</v>
      </c>
      <c r="CA796" s="741">
        <v>2026</v>
      </c>
      <c r="CB796" s="743">
        <v>2026</v>
      </c>
    </row>
    <row r="797" spans="1:81" ht="60" hidden="1" customHeight="1" x14ac:dyDescent="0.25">
      <c r="AB797" s="1100"/>
      <c r="AC797" s="1101"/>
      <c r="AD797" s="1113"/>
      <c r="AE797" s="29" t="s">
        <v>66</v>
      </c>
      <c r="AF797" s="30" t="s">
        <v>67</v>
      </c>
      <c r="AG797" s="1002" t="str">
        <f>"план организации"&amp;IF(TYPE="Корректировка"," (корректировка)","")</f>
        <v>план организации (корректировка)</v>
      </c>
      <c r="AH797" s="619" t="s">
        <v>67</v>
      </c>
      <c r="AI797" s="33" t="s">
        <v>66</v>
      </c>
      <c r="AJ797" s="30" t="s">
        <v>67</v>
      </c>
      <c r="AK797" s="1002" t="str">
        <f>"план организации"&amp;IF(TYPE="Корректировка"," (корректировка)","")</f>
        <v>план организации (корректировка)</v>
      </c>
      <c r="AL797" s="619" t="s">
        <v>67</v>
      </c>
      <c r="AM797" s="33" t="s">
        <v>66</v>
      </c>
      <c r="AN797" s="30" t="s">
        <v>67</v>
      </c>
      <c r="AO797" s="1002" t="str">
        <f>"план организации"&amp;IF(TYPE="Корректировка"," (корректировка)","")</f>
        <v>план организации (корректировка)</v>
      </c>
      <c r="AP797" s="619" t="s">
        <v>67</v>
      </c>
      <c r="AQ797" s="33" t="s">
        <v>66</v>
      </c>
      <c r="AR797" s="30" t="s">
        <v>67</v>
      </c>
      <c r="AS797" s="1002" t="str">
        <f>"план организации"&amp;IF(TYPE="Корректировка"," (корректировка)","")</f>
        <v>план организации (корректировка)</v>
      </c>
      <c r="AT797" s="619" t="s">
        <v>67</v>
      </c>
      <c r="AU797" s="33" t="s">
        <v>66</v>
      </c>
      <c r="AV797" s="30" t="s">
        <v>67</v>
      </c>
      <c r="AW797" s="1002" t="str">
        <f>"план организации"&amp;IF(TYPE="Корректировка"," (корректировка)","")</f>
        <v>план организации (корректировка)</v>
      </c>
      <c r="AX797" s="619" t="s">
        <v>67</v>
      </c>
      <c r="AY797" s="33" t="s">
        <v>66</v>
      </c>
      <c r="AZ797" s="30" t="s">
        <v>67</v>
      </c>
      <c r="BA797" s="1002" t="str">
        <f>"план организации"&amp;IF(TYPE="Корректировка"," (корректировка)","")</f>
        <v>план организации (корректировка)</v>
      </c>
      <c r="BB797" s="118" t="s">
        <v>67</v>
      </c>
      <c r="BC797" s="29" t="s">
        <v>66</v>
      </c>
      <c r="BD797" s="30" t="s">
        <v>67</v>
      </c>
      <c r="BE797" s="1002" t="str">
        <f>"план организации"&amp;IF(TYPE="Корректировка"," (корректировка)","")</f>
        <v>план организации (корректировка)</v>
      </c>
      <c r="BF797" s="118" t="s">
        <v>67</v>
      </c>
      <c r="BG797" s="29" t="s">
        <v>66</v>
      </c>
      <c r="BH797" s="30" t="s">
        <v>67</v>
      </c>
      <c r="BI797" s="1002" t="str">
        <f>"план организации"&amp;IF(TYPE="Корректировка"," (корректировка)","")</f>
        <v>план организации (корректировка)</v>
      </c>
      <c r="BJ797" s="118" t="s">
        <v>67</v>
      </c>
      <c r="BK797" s="29" t="s">
        <v>66</v>
      </c>
      <c r="BL797" s="30" t="s">
        <v>67</v>
      </c>
      <c r="BM797" s="1002" t="str">
        <f>"план организации"&amp;IF(TYPE="Корректировка"," (корректировка)","")</f>
        <v>план организации (корректировка)</v>
      </c>
      <c r="BN797" s="118" t="s">
        <v>67</v>
      </c>
      <c r="BO797" s="29" t="s">
        <v>66</v>
      </c>
      <c r="BP797" s="30" t="s">
        <v>67</v>
      </c>
      <c r="BQ797" s="1002" t="str">
        <f>"план организации"&amp;IF(TYPE="Корректировка"," (корректировка)","")</f>
        <v>план организации (корректировка)</v>
      </c>
      <c r="BR797" s="118" t="s">
        <v>67</v>
      </c>
      <c r="BS797" s="29" t="s">
        <v>66</v>
      </c>
      <c r="BT797" s="30" t="s">
        <v>67</v>
      </c>
      <c r="BU797" s="1002" t="str">
        <f>"план организации"&amp;IF(TYPE="Корректировка"," (корректировка)","")</f>
        <v>план организации (корректировка)</v>
      </c>
      <c r="BV797" s="619" t="s">
        <v>67</v>
      </c>
      <c r="BY797" s="34" t="s">
        <v>66</v>
      </c>
      <c r="BZ797" s="35" t="s">
        <v>67</v>
      </c>
      <c r="CA797" s="1002" t="str">
        <f>"план организации"&amp;IF(TYPE="Корректировка"," (корректировка)","")</f>
        <v>план организации (корректировка)</v>
      </c>
      <c r="CB797" s="619" t="s">
        <v>67</v>
      </c>
    </row>
    <row r="798" spans="1:81" ht="17.25" hidden="1" customHeight="1" x14ac:dyDescent="0.25">
      <c r="B798" s="5" t="b">
        <f>$AD$56="да"</f>
        <v>0</v>
      </c>
      <c r="AB798" s="1100"/>
      <c r="AC798" s="1101"/>
      <c r="AD798" s="1113"/>
      <c r="AE798" s="37" t="s">
        <v>68</v>
      </c>
      <c r="AF798" s="38" t="s">
        <v>68</v>
      </c>
      <c r="AG798" s="38" t="s">
        <v>68</v>
      </c>
      <c r="AH798" s="39" t="s">
        <v>68</v>
      </c>
      <c r="AI798" s="44"/>
      <c r="AJ798" s="41"/>
      <c r="AK798" s="41"/>
      <c r="AL798" s="42"/>
      <c r="AM798" s="44"/>
      <c r="AN798" s="41"/>
      <c r="AO798" s="41"/>
      <c r="AP798" s="42"/>
      <c r="AQ798" s="44"/>
      <c r="AR798" s="41"/>
      <c r="AS798" s="41"/>
      <c r="AT798" s="42"/>
      <c r="AU798" s="44"/>
      <c r="AV798" s="41"/>
      <c r="AW798" s="41"/>
      <c r="AX798" s="42"/>
      <c r="AY798" s="44"/>
      <c r="AZ798" s="41"/>
      <c r="BA798" s="41"/>
      <c r="BB798" s="43"/>
      <c r="BC798" s="40"/>
      <c r="BD798" s="41"/>
      <c r="BE798" s="41"/>
      <c r="BF798" s="43"/>
      <c r="BG798" s="40"/>
      <c r="BH798" s="41"/>
      <c r="BI798" s="41"/>
      <c r="BJ798" s="43"/>
      <c r="BK798" s="40"/>
      <c r="BL798" s="41"/>
      <c r="BM798" s="41"/>
      <c r="BN798" s="43"/>
      <c r="BO798" s="40"/>
      <c r="BP798" s="41"/>
      <c r="BQ798" s="41"/>
      <c r="BR798" s="43"/>
      <c r="BS798" s="40"/>
      <c r="BT798" s="41"/>
      <c r="BU798" s="41"/>
      <c r="BV798" s="42"/>
      <c r="BY798" s="45"/>
      <c r="BZ798" s="46"/>
      <c r="CA798" s="46"/>
      <c r="CB798" s="47"/>
    </row>
    <row r="799" spans="1:81" ht="2.25" hidden="1" customHeight="1" x14ac:dyDescent="0.25">
      <c r="B799" s="10" t="b">
        <f>FALSE()</f>
        <v>0</v>
      </c>
      <c r="AB799" s="1100"/>
      <c r="AC799" s="1101"/>
      <c r="AD799" s="1113"/>
      <c r="AE799" s="48" t="b">
        <f>OR(AE$74&lt;god_reagenty,AND(FIRST_PERIOD_IN_LT&lt;god_reagenty,AE$74&gt;=FIRST_PERIOD_IN_LT),AND(FIRST_PERIOD_IN_LT-PREVIOUS_PERIOD_LENGTH&lt;god_reagenty,AE$74&lt;FIRST_PERIOD_IN_LT))</f>
        <v>0</v>
      </c>
      <c r="AF799" s="49" t="b">
        <f>OR(AF$74&lt;god_reagenty,AND(FIRST_PERIOD_IN_LT&lt;god_reagenty,AF$74&gt;=FIRST_PERIOD_IN_LT),AND(FIRST_PERIOD_IN_LT-PREVIOUS_PERIOD_LENGTH&lt;god_reagenty,AF$74&lt;FIRST_PERIOD_IN_LT))</f>
        <v>0</v>
      </c>
      <c r="AG799" s="49" t="b">
        <f>OR(AG$74&lt;god_reagenty,AND(FIRST_PERIOD_IN_LT&lt;god_reagenty,AG$74&gt;=FIRST_PERIOD_IN_LT),AND(FIRST_PERIOD_IN_LT-PREVIOUS_PERIOD_LENGTH&lt;god_reagenty,AG$74&lt;FIRST_PERIOD_IN_LT))</f>
        <v>0</v>
      </c>
      <c r="AH799" s="50" t="b">
        <f>OR(AH$74&lt;god_reagenty,AND(FIRST_PERIOD_IN_LT&lt;god_reagenty,AH$74&gt;=FIRST_PERIOD_IN_LT),AND(FIRST_PERIOD_IN_LT-PREVIOUS_PERIOD_LENGTH&lt;god_reagenty,AH$74&lt;FIRST_PERIOD_IN_LT))</f>
        <v>0</v>
      </c>
      <c r="AI799" s="44"/>
      <c r="AJ799" s="41"/>
      <c r="AK799" s="41"/>
      <c r="AL799" s="42"/>
      <c r="AM799" s="44"/>
      <c r="AN799" s="41"/>
      <c r="AO799" s="41"/>
      <c r="AP799" s="42"/>
      <c r="AQ799" s="44"/>
      <c r="AR799" s="41"/>
      <c r="AS799" s="41"/>
      <c r="AT799" s="42"/>
      <c r="AU799" s="44"/>
      <c r="AV799" s="41"/>
      <c r="AW799" s="41"/>
      <c r="AX799" s="42"/>
      <c r="AY799" s="44"/>
      <c r="AZ799" s="41"/>
      <c r="BA799" s="41"/>
      <c r="BB799" s="43"/>
      <c r="BC799" s="40"/>
      <c r="BD799" s="41"/>
      <c r="BE799" s="41"/>
      <c r="BF799" s="43"/>
      <c r="BG799" s="40"/>
      <c r="BH799" s="41"/>
      <c r="BI799" s="41"/>
      <c r="BJ799" s="43"/>
      <c r="BK799" s="40"/>
      <c r="BL799" s="41"/>
      <c r="BM799" s="41"/>
      <c r="BN799" s="43"/>
      <c r="BO799" s="40"/>
      <c r="BP799" s="41"/>
      <c r="BQ799" s="41"/>
      <c r="BR799" s="43"/>
      <c r="BS799" s="40"/>
      <c r="BT799" s="41"/>
      <c r="BU799" s="41"/>
      <c r="BV799" s="42"/>
      <c r="BY799" s="45"/>
      <c r="BZ799" s="46"/>
      <c r="CA799" s="46"/>
      <c r="CB799" s="47"/>
    </row>
    <row r="800" spans="1:81" ht="12" hidden="1" customHeight="1" x14ac:dyDescent="0.25">
      <c r="B800" s="10" t="b">
        <f>FALSE()</f>
        <v>0</v>
      </c>
      <c r="AB800" s="29"/>
      <c r="AC800" s="38" t="s">
        <v>69</v>
      </c>
      <c r="AD800" s="51"/>
      <c r="AE800" s="48" t="b">
        <f>FALSE()</f>
        <v>0</v>
      </c>
      <c r="AF800" s="49" t="b">
        <f>OR(AND(PREVIOUS_REGULATION_METHODS="Метод индексации",TYPE="Базовый"),AND(AF796&gt;FIRST_PERIOD_IN_LT,TYPE="Корректировка",AF796&lt;&gt;[1]Титульный!$AD$93))</f>
        <v>1</v>
      </c>
      <c r="AG800" s="49" t="b">
        <f>AND(TYPE="Корректировка",AG796&lt;&gt;[1]Титульный!$AD$93)</f>
        <v>1</v>
      </c>
      <c r="AH800" s="50"/>
      <c r="AI800" s="44"/>
      <c r="AJ800" s="41"/>
      <c r="AK800" s="41"/>
      <c r="AL800" s="42"/>
      <c r="AM800" s="44"/>
      <c r="AN800" s="41"/>
      <c r="AO800" s="41"/>
      <c r="AP800" s="42"/>
      <c r="AQ800" s="44"/>
      <c r="AR800" s="41"/>
      <c r="AS800" s="41"/>
      <c r="AT800" s="42"/>
      <c r="AU800" s="44"/>
      <c r="AV800" s="41"/>
      <c r="AW800" s="41"/>
      <c r="AX800" s="42"/>
      <c r="AY800" s="44"/>
      <c r="AZ800" s="41"/>
      <c r="BA800" s="41"/>
      <c r="BB800" s="43"/>
      <c r="BC800" s="40"/>
      <c r="BD800" s="41"/>
      <c r="BE800" s="41"/>
      <c r="BF800" s="43"/>
      <c r="BG800" s="40"/>
      <c r="BH800" s="41"/>
      <c r="BI800" s="41"/>
      <c r="BJ800" s="43"/>
      <c r="BK800" s="40"/>
      <c r="BL800" s="41"/>
      <c r="BM800" s="41"/>
      <c r="BN800" s="43"/>
      <c r="BO800" s="40"/>
      <c r="BP800" s="41"/>
      <c r="BQ800" s="41"/>
      <c r="BR800" s="43"/>
      <c r="BS800" s="40"/>
      <c r="BT800" s="41"/>
      <c r="BU800" s="41"/>
      <c r="BV800" s="42"/>
      <c r="BY800" s="45"/>
      <c r="BZ800" s="46"/>
      <c r="CA800" s="46"/>
      <c r="CB800" s="47"/>
    </row>
    <row r="801" spans="1:80" ht="12" hidden="1" customHeight="1" x14ac:dyDescent="0.25">
      <c r="B801" s="10" t="b">
        <f>FALSE()</f>
        <v>0</v>
      </c>
      <c r="AB801" s="29"/>
      <c r="AC801" s="52" t="s">
        <v>70</v>
      </c>
      <c r="AD801" s="51"/>
      <c r="AE801" s="53">
        <f t="array" ref="AE801">[1]Индексы!$AH$92</f>
        <v>12</v>
      </c>
      <c r="AF801" s="54">
        <f t="array" ref="AF801">[1]Индексы!$AI$92</f>
        <v>12</v>
      </c>
      <c r="AG801" s="54">
        <f t="array" ref="AG801">[1]Индексы!$AK$92</f>
        <v>12</v>
      </c>
      <c r="AH801" s="55"/>
      <c r="AI801" s="44"/>
      <c r="AJ801" s="41"/>
      <c r="AK801" s="41"/>
      <c r="AL801" s="42"/>
      <c r="AM801" s="44"/>
      <c r="AN801" s="41"/>
      <c r="AO801" s="41"/>
      <c r="AP801" s="42"/>
      <c r="AQ801" s="44"/>
      <c r="AR801" s="41"/>
      <c r="AS801" s="41"/>
      <c r="AT801" s="42"/>
      <c r="AU801" s="44"/>
      <c r="AV801" s="41"/>
      <c r="AW801" s="41"/>
      <c r="AX801" s="42"/>
      <c r="AY801" s="44"/>
      <c r="AZ801" s="41"/>
      <c r="BA801" s="41"/>
      <c r="BB801" s="43"/>
      <c r="BC801" s="40"/>
      <c r="BD801" s="41"/>
      <c r="BE801" s="41"/>
      <c r="BF801" s="43"/>
      <c r="BG801" s="40"/>
      <c r="BH801" s="41"/>
      <c r="BI801" s="41"/>
      <c r="BJ801" s="43"/>
      <c r="BK801" s="40"/>
      <c r="BL801" s="41"/>
      <c r="BM801" s="41"/>
      <c r="BN801" s="43"/>
      <c r="BO801" s="40"/>
      <c r="BP801" s="41"/>
      <c r="BQ801" s="41"/>
      <c r="BR801" s="43"/>
      <c r="BS801" s="40"/>
      <c r="BT801" s="41"/>
      <c r="BU801" s="41"/>
      <c r="BV801" s="42"/>
      <c r="BY801" s="45"/>
      <c r="BZ801" s="46"/>
      <c r="CA801" s="46"/>
      <c r="CB801" s="47"/>
    </row>
    <row r="802" spans="1:80" ht="6.75" hidden="1" customHeight="1" x14ac:dyDescent="0.25">
      <c r="A802" s="5" t="b">
        <f>$AD$56="да"</f>
        <v>0</v>
      </c>
      <c r="B802" s="5" t="b">
        <f t="array" ref="B802">A802</f>
        <v>0</v>
      </c>
      <c r="C802" s="5" t="s">
        <v>71</v>
      </c>
      <c r="D802" s="5" t="s">
        <v>72</v>
      </c>
      <c r="E802" s="5" t="s">
        <v>73</v>
      </c>
      <c r="F802" s="5" t="s">
        <v>74</v>
      </c>
      <c r="G802" s="5" t="s">
        <v>73</v>
      </c>
      <c r="H802" s="5" t="s">
        <v>73</v>
      </c>
      <c r="I802" s="5" t="s">
        <v>73</v>
      </c>
      <c r="J802" s="5" t="s">
        <v>73</v>
      </c>
      <c r="K802" s="5" t="s">
        <v>73</v>
      </c>
      <c r="M802" s="5">
        <f t="shared" ref="M802:M817" si="305">$AC$80</f>
        <v>0</v>
      </c>
      <c r="Z802" s="6"/>
      <c r="AA802" s="6"/>
      <c r="AB802" s="56"/>
      <c r="AC802" s="52"/>
      <c r="AD802" s="57"/>
      <c r="AE802" s="58"/>
      <c r="AF802" s="59"/>
      <c r="AG802" s="59"/>
      <c r="AH802" s="60"/>
      <c r="AI802" s="44"/>
      <c r="AJ802" s="41"/>
      <c r="AK802" s="41"/>
      <c r="AL802" s="42"/>
      <c r="AM802" s="44"/>
      <c r="AN802" s="41"/>
      <c r="AO802" s="41"/>
      <c r="AP802" s="42"/>
      <c r="AQ802" s="44"/>
      <c r="AR802" s="41"/>
      <c r="AS802" s="41"/>
      <c r="AT802" s="42"/>
      <c r="AU802" s="44"/>
      <c r="AV802" s="41"/>
      <c r="AW802" s="41"/>
      <c r="AX802" s="42"/>
      <c r="AY802" s="44"/>
      <c r="AZ802" s="41"/>
      <c r="BA802" s="41"/>
      <c r="BB802" s="43"/>
      <c r="BC802" s="40"/>
      <c r="BD802" s="41"/>
      <c r="BE802" s="41"/>
      <c r="BF802" s="43"/>
      <c r="BG802" s="40"/>
      <c r="BH802" s="41"/>
      <c r="BI802" s="41"/>
      <c r="BJ802" s="43"/>
      <c r="BK802" s="40"/>
      <c r="BL802" s="41"/>
      <c r="BM802" s="41"/>
      <c r="BN802" s="43"/>
      <c r="BO802" s="40"/>
      <c r="BP802" s="41"/>
      <c r="BQ802" s="41"/>
      <c r="BR802" s="43"/>
      <c r="BS802" s="40"/>
      <c r="BT802" s="41"/>
      <c r="BU802" s="41"/>
      <c r="BV802" s="42"/>
      <c r="BY802" s="45"/>
      <c r="BZ802" s="46"/>
      <c r="CA802" s="46"/>
      <c r="CB802" s="47"/>
    </row>
    <row r="803" spans="1:80" ht="13.5" hidden="1" customHeight="1" x14ac:dyDescent="0.25">
      <c r="A803" s="10" t="e">
        <f>COUNTIF([1]Тарифы!$AK$87:$AK$90,"с дифференциацией (несколько смет)")&gt;0</f>
        <v>#VALUE!</v>
      </c>
      <c r="B803" s="10" t="e">
        <f t="array" ref="B803">A803</f>
        <v>#VALUE!</v>
      </c>
      <c r="M803" s="5">
        <f t="shared" si="305"/>
        <v>0</v>
      </c>
      <c r="Z803" s="6"/>
      <c r="AA803" s="6"/>
      <c r="AB803" s="61"/>
      <c r="AC803" s="62"/>
      <c r="AD803" s="63"/>
      <c r="AE803" s="61"/>
      <c r="AF803" s="62"/>
      <c r="AG803" s="62"/>
      <c r="AH803" s="64"/>
      <c r="AI803" s="44"/>
      <c r="AJ803" s="41"/>
      <c r="AK803" s="41"/>
      <c r="AL803" s="42"/>
      <c r="AM803" s="44"/>
      <c r="AN803" s="41"/>
      <c r="AO803" s="41"/>
      <c r="AP803" s="42"/>
      <c r="AQ803" s="44"/>
      <c r="AR803" s="41"/>
      <c r="AS803" s="41"/>
      <c r="AT803" s="42"/>
      <c r="AU803" s="44"/>
      <c r="AV803" s="41"/>
      <c r="AW803" s="41"/>
      <c r="AX803" s="42"/>
      <c r="AY803" s="44"/>
      <c r="AZ803" s="41"/>
      <c r="BA803" s="41"/>
      <c r="BB803" s="43"/>
      <c r="BC803" s="40"/>
      <c r="BD803" s="41"/>
      <c r="BE803" s="41"/>
      <c r="BF803" s="43"/>
      <c r="BG803" s="40"/>
      <c r="BH803" s="41"/>
      <c r="BI803" s="41"/>
      <c r="BJ803" s="43"/>
      <c r="BK803" s="40"/>
      <c r="BL803" s="41"/>
      <c r="BM803" s="41"/>
      <c r="BN803" s="43"/>
      <c r="BO803" s="40"/>
      <c r="BP803" s="41"/>
      <c r="BQ803" s="41"/>
      <c r="BR803" s="43"/>
      <c r="BS803" s="40"/>
      <c r="BT803" s="41"/>
      <c r="BU803" s="41"/>
      <c r="BV803" s="42"/>
      <c r="BY803" s="45"/>
      <c r="BZ803" s="46"/>
      <c r="CA803" s="46"/>
      <c r="CB803" s="47"/>
    </row>
    <row r="804" spans="1:80" ht="14.25" hidden="1" customHeight="1" outlineLevel="1" x14ac:dyDescent="0.25">
      <c r="A804" s="10" t="e">
        <f>COUNTIF([1]Тарифы!$AK$87:$AK$90,"с дифференциацией (несколько смет)")&gt;0</f>
        <v>#VALUE!</v>
      </c>
      <c r="B804" s="10" t="e">
        <f t="array" ref="B804">A804</f>
        <v>#VALUE!</v>
      </c>
      <c r="C804" s="5" t="s">
        <v>75</v>
      </c>
      <c r="D804" s="10" t="s">
        <v>76</v>
      </c>
      <c r="E804" s="5" t="s">
        <v>73</v>
      </c>
      <c r="F804" s="5" t="s">
        <v>73</v>
      </c>
      <c r="G804" s="5" t="s">
        <v>73</v>
      </c>
      <c r="H804" s="5" t="s">
        <v>73</v>
      </c>
      <c r="I804" s="5" t="s">
        <v>73</v>
      </c>
      <c r="J804" s="5" t="s">
        <v>73</v>
      </c>
      <c r="K804" s="5" t="s">
        <v>77</v>
      </c>
      <c r="M804" s="5">
        <f t="shared" si="305"/>
        <v>0</v>
      </c>
      <c r="Z804" s="6"/>
      <c r="AA804" s="6"/>
      <c r="AB804" s="65"/>
      <c r="AC804" s="62"/>
      <c r="AD804" s="51"/>
      <c r="AE804" s="66"/>
      <c r="AF804" s="67"/>
      <c r="AG804" s="67"/>
      <c r="AH804" s="68"/>
      <c r="AI804" s="44"/>
      <c r="AJ804" s="41"/>
      <c r="AK804" s="41"/>
      <c r="AL804" s="42"/>
      <c r="AM804" s="44"/>
      <c r="AN804" s="41"/>
      <c r="AO804" s="41"/>
      <c r="AP804" s="42"/>
      <c r="AQ804" s="44"/>
      <c r="AR804" s="41"/>
      <c r="AS804" s="41"/>
      <c r="AT804" s="42"/>
      <c r="AU804" s="44"/>
      <c r="AV804" s="41"/>
      <c r="AW804" s="41"/>
      <c r="AX804" s="42"/>
      <c r="AY804" s="44"/>
      <c r="AZ804" s="41"/>
      <c r="BA804" s="41"/>
      <c r="BB804" s="43"/>
      <c r="BC804" s="40"/>
      <c r="BD804" s="41"/>
      <c r="BE804" s="41"/>
      <c r="BF804" s="43"/>
      <c r="BG804" s="40"/>
      <c r="BH804" s="41"/>
      <c r="BI804" s="41"/>
      <c r="BJ804" s="43"/>
      <c r="BK804" s="40"/>
      <c r="BL804" s="41"/>
      <c r="BM804" s="41"/>
      <c r="BN804" s="43"/>
      <c r="BO804" s="40"/>
      <c r="BP804" s="41"/>
      <c r="BQ804" s="41"/>
      <c r="BR804" s="43"/>
      <c r="BS804" s="40"/>
      <c r="BT804" s="41"/>
      <c r="BU804" s="41"/>
      <c r="BV804" s="42"/>
      <c r="BY804" s="45"/>
      <c r="BZ804" s="46"/>
      <c r="CA804" s="46"/>
      <c r="CB804" s="47"/>
    </row>
    <row r="805" spans="1:80" ht="14.25" hidden="1" customHeight="1" outlineLevel="1" x14ac:dyDescent="0.25">
      <c r="A805" s="10" t="e">
        <f>COUNTIF([1]Тарифы!$AK$87:$AK$90,"с дифференциацией (несколько смет)")&gt;0</f>
        <v>#VALUE!</v>
      </c>
      <c r="B805" s="10" t="e">
        <f t="array" ref="B805">A805</f>
        <v>#VALUE!</v>
      </c>
      <c r="C805" s="69" t="s">
        <v>78</v>
      </c>
      <c r="D805" s="70" t="s">
        <v>79</v>
      </c>
      <c r="E805" s="70" t="s">
        <v>80</v>
      </c>
      <c r="F805" s="70" t="s">
        <v>80</v>
      </c>
      <c r="G805" s="70" t="s">
        <v>80</v>
      </c>
      <c r="H805" s="70" t="s">
        <v>80</v>
      </c>
      <c r="I805" s="70" t="s">
        <v>80</v>
      </c>
      <c r="J805" s="70" t="s">
        <v>80</v>
      </c>
      <c r="K805" s="5" t="s">
        <v>77</v>
      </c>
      <c r="M805" s="5">
        <f t="shared" si="305"/>
        <v>0</v>
      </c>
      <c r="Z805" s="6"/>
      <c r="AA805" s="6"/>
      <c r="AB805" s="29"/>
      <c r="AC805" s="71"/>
      <c r="AD805" s="51"/>
      <c r="AE805" s="66"/>
      <c r="AF805" s="67"/>
      <c r="AG805" s="67"/>
      <c r="AH805" s="68"/>
      <c r="AI805" s="44"/>
      <c r="AJ805" s="41"/>
      <c r="AK805" s="41"/>
      <c r="AL805" s="42"/>
      <c r="AM805" s="44"/>
      <c r="AN805" s="41"/>
      <c r="AO805" s="41"/>
      <c r="AP805" s="42"/>
      <c r="AQ805" s="44"/>
      <c r="AR805" s="41"/>
      <c r="AS805" s="41"/>
      <c r="AT805" s="42"/>
      <c r="AU805" s="44"/>
      <c r="AV805" s="41"/>
      <c r="AW805" s="41"/>
      <c r="AX805" s="42"/>
      <c r="AY805" s="44"/>
      <c r="AZ805" s="41"/>
      <c r="BA805" s="41"/>
      <c r="BB805" s="43"/>
      <c r="BC805" s="40"/>
      <c r="BD805" s="41"/>
      <c r="BE805" s="41"/>
      <c r="BF805" s="43"/>
      <c r="BG805" s="40"/>
      <c r="BH805" s="41"/>
      <c r="BI805" s="41"/>
      <c r="BJ805" s="43"/>
      <c r="BK805" s="40"/>
      <c r="BL805" s="41"/>
      <c r="BM805" s="41"/>
      <c r="BN805" s="43"/>
      <c r="BO805" s="40"/>
      <c r="BP805" s="41"/>
      <c r="BQ805" s="41"/>
      <c r="BR805" s="43"/>
      <c r="BS805" s="40"/>
      <c r="BT805" s="41"/>
      <c r="BU805" s="41"/>
      <c r="BV805" s="42"/>
      <c r="BY805" s="45"/>
      <c r="BZ805" s="46"/>
      <c r="CA805" s="46"/>
      <c r="CB805" s="47"/>
    </row>
    <row r="806" spans="1:80" ht="14.25" hidden="1" customHeight="1" outlineLevel="1" x14ac:dyDescent="0.25">
      <c r="A806" s="10" t="e">
        <f>COUNTIF([1]Тарифы!$AK$87:$AK$90,"с дифференциацией (несколько смет)")&gt;0</f>
        <v>#VALUE!</v>
      </c>
      <c r="B806" s="10" t="e">
        <f t="array" ref="B806">A806</f>
        <v>#VALUE!</v>
      </c>
      <c r="C806" s="69" t="s">
        <v>81</v>
      </c>
      <c r="D806" s="70" t="s">
        <v>82</v>
      </c>
      <c r="E806" s="70" t="s">
        <v>73</v>
      </c>
      <c r="F806" s="70" t="s">
        <v>73</v>
      </c>
      <c r="G806" s="70" t="s">
        <v>73</v>
      </c>
      <c r="H806" s="70" t="s">
        <v>73</v>
      </c>
      <c r="I806" s="70" t="s">
        <v>73</v>
      </c>
      <c r="J806" s="70" t="s">
        <v>73</v>
      </c>
      <c r="K806" s="5" t="s">
        <v>77</v>
      </c>
      <c r="M806" s="5">
        <f t="shared" si="305"/>
        <v>0</v>
      </c>
      <c r="Z806" s="6"/>
      <c r="AA806" s="6"/>
      <c r="AB806" s="29"/>
      <c r="AC806" s="71"/>
      <c r="AD806" s="51"/>
      <c r="AE806" s="66"/>
      <c r="AF806" s="67"/>
      <c r="AG806" s="67"/>
      <c r="AH806" s="68"/>
      <c r="AI806" s="44"/>
      <c r="AJ806" s="41"/>
      <c r="AK806" s="41"/>
      <c r="AL806" s="42"/>
      <c r="AM806" s="44"/>
      <c r="AN806" s="41"/>
      <c r="AO806" s="41"/>
      <c r="AP806" s="42"/>
      <c r="AQ806" s="44"/>
      <c r="AR806" s="41"/>
      <c r="AS806" s="41"/>
      <c r="AT806" s="42"/>
      <c r="AU806" s="44"/>
      <c r="AV806" s="41"/>
      <c r="AW806" s="41"/>
      <c r="AX806" s="42"/>
      <c r="AY806" s="44"/>
      <c r="AZ806" s="41"/>
      <c r="BA806" s="41"/>
      <c r="BB806" s="43"/>
      <c r="BC806" s="40"/>
      <c r="BD806" s="41"/>
      <c r="BE806" s="41"/>
      <c r="BF806" s="43"/>
      <c r="BG806" s="40"/>
      <c r="BH806" s="41"/>
      <c r="BI806" s="41"/>
      <c r="BJ806" s="43"/>
      <c r="BK806" s="40"/>
      <c r="BL806" s="41"/>
      <c r="BM806" s="41"/>
      <c r="BN806" s="43"/>
      <c r="BO806" s="40"/>
      <c r="BP806" s="41"/>
      <c r="BQ806" s="41"/>
      <c r="BR806" s="43"/>
      <c r="BS806" s="40"/>
      <c r="BT806" s="41"/>
      <c r="BU806" s="41"/>
      <c r="BV806" s="42"/>
      <c r="BY806" s="45"/>
      <c r="BZ806" s="46"/>
      <c r="CA806" s="46"/>
      <c r="CB806" s="47"/>
    </row>
    <row r="807" spans="1:80" ht="14.25" hidden="1" customHeight="1" outlineLevel="1" x14ac:dyDescent="0.25">
      <c r="A807" s="10" t="e">
        <f>COUNTIF([1]Тарифы!$AK$87:$AK$90,"с дифференциацией (несколько смет)")&gt;0</f>
        <v>#VALUE!</v>
      </c>
      <c r="B807" s="10" t="e">
        <f t="array" ref="B807">A807</f>
        <v>#VALUE!</v>
      </c>
      <c r="C807" s="10" t="s">
        <v>83</v>
      </c>
      <c r="D807" s="10" t="s">
        <v>84</v>
      </c>
      <c r="E807" s="10" t="s">
        <v>73</v>
      </c>
      <c r="F807" s="10" t="s">
        <v>74</v>
      </c>
      <c r="G807" s="10" t="s">
        <v>85</v>
      </c>
      <c r="H807" s="10" t="s">
        <v>73</v>
      </c>
      <c r="I807" s="10" t="s">
        <v>73</v>
      </c>
      <c r="J807" s="10" t="s">
        <v>73</v>
      </c>
      <c r="K807" s="5" t="s">
        <v>77</v>
      </c>
      <c r="M807" s="5">
        <f t="shared" si="305"/>
        <v>0</v>
      </c>
      <c r="Z807" s="6"/>
      <c r="AA807" s="6"/>
      <c r="AB807" s="65"/>
      <c r="AC807" s="62"/>
      <c r="AD807" s="51"/>
      <c r="AE807" s="72"/>
      <c r="AF807" s="73"/>
      <c r="AG807" s="73"/>
      <c r="AH807" s="74"/>
      <c r="AI807" s="44"/>
      <c r="AJ807" s="41"/>
      <c r="AK807" s="41"/>
      <c r="AL807" s="42"/>
      <c r="AM807" s="44"/>
      <c r="AN807" s="41"/>
      <c r="AO807" s="41"/>
      <c r="AP807" s="42"/>
      <c r="AQ807" s="44"/>
      <c r="AR807" s="41"/>
      <c r="AS807" s="41"/>
      <c r="AT807" s="42"/>
      <c r="AU807" s="44"/>
      <c r="AV807" s="41"/>
      <c r="AW807" s="41"/>
      <c r="AX807" s="42"/>
      <c r="AY807" s="44"/>
      <c r="AZ807" s="41"/>
      <c r="BA807" s="41"/>
      <c r="BB807" s="43"/>
      <c r="BC807" s="40"/>
      <c r="BD807" s="41"/>
      <c r="BE807" s="41"/>
      <c r="BF807" s="43"/>
      <c r="BG807" s="40"/>
      <c r="BH807" s="41"/>
      <c r="BI807" s="41"/>
      <c r="BJ807" s="43"/>
      <c r="BK807" s="40"/>
      <c r="BL807" s="41"/>
      <c r="BM807" s="41"/>
      <c r="BN807" s="43"/>
      <c r="BO807" s="40"/>
      <c r="BP807" s="41"/>
      <c r="BQ807" s="41"/>
      <c r="BR807" s="43"/>
      <c r="BS807" s="40"/>
      <c r="BT807" s="41"/>
      <c r="BU807" s="41"/>
      <c r="BV807" s="42"/>
      <c r="BY807" s="45"/>
      <c r="BZ807" s="46"/>
      <c r="CA807" s="46"/>
      <c r="CB807" s="47"/>
    </row>
    <row r="808" spans="1:80" ht="14.25" hidden="1" customHeight="1" outlineLevel="1" x14ac:dyDescent="0.25">
      <c r="A808" s="10" t="e">
        <f>COUNTIF([1]Тарифы!$AK$87:$AK$90,"с дифференциацией (несколько смет)")&gt;0</f>
        <v>#VALUE!</v>
      </c>
      <c r="B808" s="10" t="e">
        <f t="array" ref="B808">A808</f>
        <v>#VALUE!</v>
      </c>
      <c r="C808" s="75" t="s">
        <v>86</v>
      </c>
      <c r="D808" s="5" t="s">
        <v>87</v>
      </c>
      <c r="E808" s="10" t="s">
        <v>73</v>
      </c>
      <c r="F808" s="10" t="s">
        <v>74</v>
      </c>
      <c r="G808" s="10" t="s">
        <v>73</v>
      </c>
      <c r="H808" s="10" t="s">
        <v>73</v>
      </c>
      <c r="I808" s="10" t="s">
        <v>73</v>
      </c>
      <c r="J808" s="10" t="s">
        <v>73</v>
      </c>
      <c r="K808" s="5" t="s">
        <v>77</v>
      </c>
      <c r="M808" s="5">
        <f t="shared" si="305"/>
        <v>0</v>
      </c>
      <c r="Z808" s="6"/>
      <c r="AA808" s="6"/>
      <c r="AB808" s="29"/>
      <c r="AC808" s="71"/>
      <c r="AD808" s="51"/>
      <c r="AE808" s="56"/>
      <c r="AF808" s="73"/>
      <c r="AG808" s="73"/>
      <c r="AH808" s="74"/>
      <c r="AI808" s="44"/>
      <c r="AJ808" s="41"/>
      <c r="AK808" s="41"/>
      <c r="AL808" s="42"/>
      <c r="AM808" s="44"/>
      <c r="AN808" s="41"/>
      <c r="AO808" s="41"/>
      <c r="AP808" s="42"/>
      <c r="AQ808" s="44"/>
      <c r="AR808" s="41"/>
      <c r="AS808" s="41"/>
      <c r="AT808" s="42"/>
      <c r="AU808" s="44"/>
      <c r="AV808" s="41"/>
      <c r="AW808" s="41"/>
      <c r="AX808" s="42"/>
      <c r="AY808" s="44"/>
      <c r="AZ808" s="41"/>
      <c r="BA808" s="41"/>
      <c r="BB808" s="43"/>
      <c r="BC808" s="40"/>
      <c r="BD808" s="41"/>
      <c r="BE808" s="41"/>
      <c r="BF808" s="43"/>
      <c r="BG808" s="40"/>
      <c r="BH808" s="41"/>
      <c r="BI808" s="41"/>
      <c r="BJ808" s="43"/>
      <c r="BK808" s="40"/>
      <c r="BL808" s="41"/>
      <c r="BM808" s="41"/>
      <c r="BN808" s="43"/>
      <c r="BO808" s="40"/>
      <c r="BP808" s="41"/>
      <c r="BQ808" s="41"/>
      <c r="BR808" s="43"/>
      <c r="BS808" s="40"/>
      <c r="BT808" s="41"/>
      <c r="BU808" s="41"/>
      <c r="BV808" s="42"/>
      <c r="BY808" s="45"/>
      <c r="BZ808" s="46"/>
      <c r="CA808" s="46"/>
      <c r="CB808" s="47"/>
    </row>
    <row r="809" spans="1:80" ht="14.25" hidden="1" customHeight="1" outlineLevel="1" x14ac:dyDescent="0.25">
      <c r="A809" s="10" t="e">
        <f>COUNTIF([1]Тарифы!$AK$87:$AK$90,"с дифференциацией (несколько смет)")&gt;0</f>
        <v>#VALUE!</v>
      </c>
      <c r="B809" s="10" t="e">
        <f t="array" ref="B809">A809</f>
        <v>#VALUE!</v>
      </c>
      <c r="C809" s="75" t="s">
        <v>88</v>
      </c>
      <c r="D809" s="5" t="s">
        <v>89</v>
      </c>
      <c r="E809" s="10" t="s">
        <v>73</v>
      </c>
      <c r="F809" s="10" t="s">
        <v>74</v>
      </c>
      <c r="G809" s="10" t="s">
        <v>73</v>
      </c>
      <c r="H809" s="10" t="s">
        <v>73</v>
      </c>
      <c r="I809" s="10" t="s">
        <v>73</v>
      </c>
      <c r="J809" s="10" t="s">
        <v>73</v>
      </c>
      <c r="K809" s="5" t="s">
        <v>77</v>
      </c>
      <c r="M809" s="5">
        <f t="shared" si="305"/>
        <v>0</v>
      </c>
      <c r="Z809" s="6"/>
      <c r="AA809" s="6"/>
      <c r="AB809" s="29"/>
      <c r="AC809" s="71"/>
      <c r="AD809" s="51"/>
      <c r="AE809" s="56"/>
      <c r="AF809" s="73"/>
      <c r="AG809" s="73"/>
      <c r="AH809" s="74"/>
      <c r="AI809" s="44"/>
      <c r="AJ809" s="41"/>
      <c r="AK809" s="41"/>
      <c r="AL809" s="42"/>
      <c r="AM809" s="44"/>
      <c r="AN809" s="41"/>
      <c r="AO809" s="41"/>
      <c r="AP809" s="42"/>
      <c r="AQ809" s="44"/>
      <c r="AR809" s="41"/>
      <c r="AS809" s="41"/>
      <c r="AT809" s="42"/>
      <c r="AU809" s="44"/>
      <c r="AV809" s="41"/>
      <c r="AW809" s="41"/>
      <c r="AX809" s="42"/>
      <c r="AY809" s="44"/>
      <c r="AZ809" s="41"/>
      <c r="BA809" s="41"/>
      <c r="BB809" s="43"/>
      <c r="BC809" s="40"/>
      <c r="BD809" s="41"/>
      <c r="BE809" s="41"/>
      <c r="BF809" s="43"/>
      <c r="BG809" s="40"/>
      <c r="BH809" s="41"/>
      <c r="BI809" s="41"/>
      <c r="BJ809" s="43"/>
      <c r="BK809" s="40"/>
      <c r="BL809" s="41"/>
      <c r="BM809" s="41"/>
      <c r="BN809" s="43"/>
      <c r="BO809" s="40"/>
      <c r="BP809" s="41"/>
      <c r="BQ809" s="41"/>
      <c r="BR809" s="43"/>
      <c r="BS809" s="40"/>
      <c r="BT809" s="41"/>
      <c r="BU809" s="41"/>
      <c r="BV809" s="42"/>
      <c r="BY809" s="45"/>
      <c r="BZ809" s="46"/>
      <c r="CA809" s="46"/>
      <c r="CB809" s="47"/>
    </row>
    <row r="810" spans="1:80" ht="14.25" hidden="1" customHeight="1" outlineLevel="1" x14ac:dyDescent="0.25">
      <c r="A810" s="10" t="e">
        <f>COUNTIF([1]Тарифы!$AK$87:$AK$90,"с дифференциацией (несколько смет)")&gt;0</f>
        <v>#VALUE!</v>
      </c>
      <c r="B810" s="10" t="e">
        <f t="array" ref="B810">A810</f>
        <v>#VALUE!</v>
      </c>
      <c r="C810" s="10" t="s">
        <v>90</v>
      </c>
      <c r="D810" s="10" t="s">
        <v>91</v>
      </c>
      <c r="E810" s="10" t="s">
        <v>73</v>
      </c>
      <c r="F810" s="10" t="s">
        <v>74</v>
      </c>
      <c r="G810" s="10" t="s">
        <v>73</v>
      </c>
      <c r="H810" s="10" t="s">
        <v>73</v>
      </c>
      <c r="I810" s="10" t="s">
        <v>73</v>
      </c>
      <c r="J810" s="10" t="s">
        <v>73</v>
      </c>
      <c r="K810" s="5" t="s">
        <v>77</v>
      </c>
      <c r="M810" s="5">
        <f t="shared" si="305"/>
        <v>0</v>
      </c>
      <c r="Z810" s="6"/>
      <c r="AA810" s="6"/>
      <c r="AB810" s="65"/>
      <c r="AC810" s="62"/>
      <c r="AD810" s="51"/>
      <c r="AE810" s="72"/>
      <c r="AF810" s="73"/>
      <c r="AG810" s="73"/>
      <c r="AH810" s="74"/>
      <c r="AI810" s="44"/>
      <c r="AJ810" s="41"/>
      <c r="AK810" s="41"/>
      <c r="AL810" s="42"/>
      <c r="AM810" s="44"/>
      <c r="AN810" s="41"/>
      <c r="AO810" s="41"/>
      <c r="AP810" s="42"/>
      <c r="AQ810" s="44"/>
      <c r="AR810" s="41"/>
      <c r="AS810" s="41"/>
      <c r="AT810" s="42"/>
      <c r="AU810" s="44"/>
      <c r="AV810" s="41"/>
      <c r="AW810" s="41"/>
      <c r="AX810" s="42"/>
      <c r="AY810" s="44"/>
      <c r="AZ810" s="41"/>
      <c r="BA810" s="41"/>
      <c r="BB810" s="43"/>
      <c r="BC810" s="40"/>
      <c r="BD810" s="41"/>
      <c r="BE810" s="41"/>
      <c r="BF810" s="43"/>
      <c r="BG810" s="40"/>
      <c r="BH810" s="41"/>
      <c r="BI810" s="41"/>
      <c r="BJ810" s="43"/>
      <c r="BK810" s="40"/>
      <c r="BL810" s="41"/>
      <c r="BM810" s="41"/>
      <c r="BN810" s="43"/>
      <c r="BO810" s="40"/>
      <c r="BP810" s="41"/>
      <c r="BQ810" s="41"/>
      <c r="BR810" s="43"/>
      <c r="BS810" s="40"/>
      <c r="BT810" s="41"/>
      <c r="BU810" s="41"/>
      <c r="BV810" s="42"/>
      <c r="BY810" s="45"/>
      <c r="BZ810" s="46"/>
      <c r="CA810" s="46"/>
      <c r="CB810" s="47"/>
    </row>
    <row r="811" spans="1:80" ht="14.25" hidden="1" customHeight="1" outlineLevel="1" x14ac:dyDescent="0.25">
      <c r="A811" s="10" t="e">
        <f>COUNTIF([1]Тарифы!$AK$87:$AK$90,"с дифференциацией (несколько смет)")&gt;0</f>
        <v>#VALUE!</v>
      </c>
      <c r="B811" s="10" t="e">
        <f t="array" ref="B811">A811</f>
        <v>#VALUE!</v>
      </c>
      <c r="C811" s="10" t="s">
        <v>92</v>
      </c>
      <c r="D811" s="10" t="s">
        <v>93</v>
      </c>
      <c r="E811" s="10" t="s">
        <v>73</v>
      </c>
      <c r="F811" s="10" t="s">
        <v>74</v>
      </c>
      <c r="G811" s="10" t="s">
        <v>73</v>
      </c>
      <c r="H811" s="10" t="s">
        <v>73</v>
      </c>
      <c r="I811" s="10" t="s">
        <v>73</v>
      </c>
      <c r="J811" s="10" t="s">
        <v>73</v>
      </c>
      <c r="K811" s="5" t="s">
        <v>77</v>
      </c>
      <c r="M811" s="5">
        <f t="shared" si="305"/>
        <v>0</v>
      </c>
      <c r="Z811" s="6"/>
      <c r="AA811" s="6"/>
      <c r="AB811" s="29"/>
      <c r="AC811" s="71"/>
      <c r="AD811" s="51"/>
      <c r="AE811" s="56"/>
      <c r="AF811" s="73"/>
      <c r="AG811" s="73"/>
      <c r="AH811" s="74"/>
      <c r="AI811" s="44"/>
      <c r="AJ811" s="41"/>
      <c r="AK811" s="41"/>
      <c r="AL811" s="42"/>
      <c r="AM811" s="44"/>
      <c r="AN811" s="41"/>
      <c r="AO811" s="41"/>
      <c r="AP811" s="42"/>
      <c r="AQ811" s="44"/>
      <c r="AR811" s="41"/>
      <c r="AS811" s="41"/>
      <c r="AT811" s="42"/>
      <c r="AU811" s="44"/>
      <c r="AV811" s="41"/>
      <c r="AW811" s="41"/>
      <c r="AX811" s="42"/>
      <c r="AY811" s="44"/>
      <c r="AZ811" s="41"/>
      <c r="BA811" s="41"/>
      <c r="BB811" s="43"/>
      <c r="BC811" s="40"/>
      <c r="BD811" s="41"/>
      <c r="BE811" s="41"/>
      <c r="BF811" s="43"/>
      <c r="BG811" s="40"/>
      <c r="BH811" s="41"/>
      <c r="BI811" s="41"/>
      <c r="BJ811" s="43"/>
      <c r="BK811" s="40"/>
      <c r="BL811" s="41"/>
      <c r="BM811" s="41"/>
      <c r="BN811" s="43"/>
      <c r="BO811" s="40"/>
      <c r="BP811" s="41"/>
      <c r="BQ811" s="41"/>
      <c r="BR811" s="43"/>
      <c r="BS811" s="40"/>
      <c r="BT811" s="41"/>
      <c r="BU811" s="41"/>
      <c r="BV811" s="42"/>
      <c r="BY811" s="45"/>
      <c r="BZ811" s="46"/>
      <c r="CA811" s="46"/>
      <c r="CB811" s="47"/>
    </row>
    <row r="812" spans="1:80" ht="14.25" hidden="1" customHeight="1" outlineLevel="1" x14ac:dyDescent="0.25">
      <c r="A812" s="10" t="e">
        <f>COUNTIF([1]Тарифы!$AK$87:$AK$90,"с дифференциацией (несколько смет)")&gt;0</f>
        <v>#VALUE!</v>
      </c>
      <c r="B812" s="10" t="e">
        <f t="array" ref="B812">A812</f>
        <v>#VALUE!</v>
      </c>
      <c r="C812" s="10" t="s">
        <v>94</v>
      </c>
      <c r="D812" s="10" t="s">
        <v>95</v>
      </c>
      <c r="E812" s="10" t="s">
        <v>73</v>
      </c>
      <c r="F812" s="10" t="s">
        <v>74</v>
      </c>
      <c r="G812" s="10" t="s">
        <v>73</v>
      </c>
      <c r="H812" s="10" t="s">
        <v>73</v>
      </c>
      <c r="I812" s="10" t="s">
        <v>73</v>
      </c>
      <c r="J812" s="10" t="s">
        <v>73</v>
      </c>
      <c r="K812" s="5" t="s">
        <v>77</v>
      </c>
      <c r="M812" s="5">
        <f t="shared" si="305"/>
        <v>0</v>
      </c>
      <c r="Z812" s="6"/>
      <c r="AA812" s="6"/>
      <c r="AB812" s="29"/>
      <c r="AC812" s="71"/>
      <c r="AD812" s="51"/>
      <c r="AE812" s="56"/>
      <c r="AF812" s="73"/>
      <c r="AG812" s="73"/>
      <c r="AH812" s="74"/>
      <c r="AI812" s="44"/>
      <c r="AJ812" s="41"/>
      <c r="AK812" s="41"/>
      <c r="AL812" s="42"/>
      <c r="AM812" s="44"/>
      <c r="AN812" s="41"/>
      <c r="AO812" s="41"/>
      <c r="AP812" s="42"/>
      <c r="AQ812" s="44"/>
      <c r="AR812" s="41"/>
      <c r="AS812" s="41"/>
      <c r="AT812" s="42"/>
      <c r="AU812" s="44"/>
      <c r="AV812" s="41"/>
      <c r="AW812" s="41"/>
      <c r="AX812" s="42"/>
      <c r="AY812" s="44"/>
      <c r="AZ812" s="41"/>
      <c r="BA812" s="41"/>
      <c r="BB812" s="43"/>
      <c r="BC812" s="40"/>
      <c r="BD812" s="41"/>
      <c r="BE812" s="41"/>
      <c r="BF812" s="43"/>
      <c r="BG812" s="40"/>
      <c r="BH812" s="41"/>
      <c r="BI812" s="41"/>
      <c r="BJ812" s="43"/>
      <c r="BK812" s="40"/>
      <c r="BL812" s="41"/>
      <c r="BM812" s="41"/>
      <c r="BN812" s="43"/>
      <c r="BO812" s="40"/>
      <c r="BP812" s="41"/>
      <c r="BQ812" s="41"/>
      <c r="BR812" s="43"/>
      <c r="BS812" s="40"/>
      <c r="BT812" s="41"/>
      <c r="BU812" s="41"/>
      <c r="BV812" s="42"/>
      <c r="BY812" s="45"/>
      <c r="BZ812" s="46"/>
      <c r="CA812" s="46"/>
      <c r="CB812" s="47"/>
    </row>
    <row r="813" spans="1:80" ht="14.25" hidden="1" customHeight="1" outlineLevel="1" x14ac:dyDescent="0.25">
      <c r="A813" s="10" t="e">
        <f>COUNTIF([1]Тарифы!$AK$87:$AK$90,"с дифференциацией (несколько смет)")&gt;0</f>
        <v>#VALUE!</v>
      </c>
      <c r="B813" s="10" t="e">
        <f t="array" ref="B813">A813</f>
        <v>#VALUE!</v>
      </c>
      <c r="C813" s="10" t="s">
        <v>96</v>
      </c>
      <c r="D813" s="10" t="s">
        <v>97</v>
      </c>
      <c r="E813" s="10" t="s">
        <v>73</v>
      </c>
      <c r="F813" s="10" t="s">
        <v>74</v>
      </c>
      <c r="G813" s="10" t="s">
        <v>73</v>
      </c>
      <c r="H813" s="10" t="s">
        <v>73</v>
      </c>
      <c r="I813" s="10" t="s">
        <v>73</v>
      </c>
      <c r="J813" s="10" t="s">
        <v>73</v>
      </c>
      <c r="K813" s="5" t="s">
        <v>77</v>
      </c>
      <c r="M813" s="5">
        <f t="shared" si="305"/>
        <v>0</v>
      </c>
      <c r="Z813" s="6"/>
      <c r="AA813" s="6"/>
      <c r="AB813" s="29"/>
      <c r="AC813" s="71"/>
      <c r="AD813" s="51"/>
      <c r="AE813" s="72"/>
      <c r="AF813" s="73"/>
      <c r="AG813" s="73"/>
      <c r="AH813" s="74"/>
      <c r="AI813" s="44"/>
      <c r="AJ813" s="41"/>
      <c r="AK813" s="41"/>
      <c r="AL813" s="42"/>
      <c r="AM813" s="44"/>
      <c r="AN813" s="41"/>
      <c r="AO813" s="41"/>
      <c r="AP813" s="42"/>
      <c r="AQ813" s="44"/>
      <c r="AR813" s="41"/>
      <c r="AS813" s="41"/>
      <c r="AT813" s="42"/>
      <c r="AU813" s="44"/>
      <c r="AV813" s="41"/>
      <c r="AW813" s="41"/>
      <c r="AX813" s="42"/>
      <c r="AY813" s="44"/>
      <c r="AZ813" s="41"/>
      <c r="BA813" s="41"/>
      <c r="BB813" s="43"/>
      <c r="BC813" s="40"/>
      <c r="BD813" s="41"/>
      <c r="BE813" s="41"/>
      <c r="BF813" s="43"/>
      <c r="BG813" s="40"/>
      <c r="BH813" s="41"/>
      <c r="BI813" s="41"/>
      <c r="BJ813" s="43"/>
      <c r="BK813" s="40"/>
      <c r="BL813" s="41"/>
      <c r="BM813" s="41"/>
      <c r="BN813" s="43"/>
      <c r="BO813" s="40"/>
      <c r="BP813" s="41"/>
      <c r="BQ813" s="41"/>
      <c r="BR813" s="43"/>
      <c r="BS813" s="40"/>
      <c r="BT813" s="41"/>
      <c r="BU813" s="41"/>
      <c r="BV813" s="42"/>
      <c r="BY813" s="45"/>
      <c r="BZ813" s="46"/>
      <c r="CA813" s="46"/>
      <c r="CB813" s="47"/>
    </row>
    <row r="814" spans="1:80" ht="14.25" hidden="1" customHeight="1" outlineLevel="1" x14ac:dyDescent="0.25">
      <c r="A814" s="10" t="e">
        <f>COUNTIF([1]Тарифы!$AK$87:$AK$90,"с дифференциацией (несколько смет)")&gt;0</f>
        <v>#VALUE!</v>
      </c>
      <c r="B814" s="76" t="e">
        <f>AND(NOT(NDS="нет"),A814)</f>
        <v>#VALUE!</v>
      </c>
      <c r="C814" s="10" t="s">
        <v>98</v>
      </c>
      <c r="D814" s="10" t="s">
        <v>99</v>
      </c>
      <c r="E814" s="10" t="s">
        <v>73</v>
      </c>
      <c r="F814" s="10" t="s">
        <v>74</v>
      </c>
      <c r="G814" s="10" t="s">
        <v>73</v>
      </c>
      <c r="H814" s="10" t="s">
        <v>73</v>
      </c>
      <c r="I814" s="10" t="s">
        <v>73</v>
      </c>
      <c r="J814" s="10" t="s">
        <v>73</v>
      </c>
      <c r="K814" s="5" t="s">
        <v>77</v>
      </c>
      <c r="M814" s="5">
        <f t="shared" si="305"/>
        <v>0</v>
      </c>
      <c r="Z814" s="6"/>
      <c r="AA814" s="6"/>
      <c r="AB814" s="65"/>
      <c r="AC814" s="62"/>
      <c r="AD814" s="51"/>
      <c r="AE814" s="72"/>
      <c r="AF814" s="73"/>
      <c r="AG814" s="73"/>
      <c r="AH814" s="74"/>
      <c r="AI814" s="44"/>
      <c r="AJ814" s="41"/>
      <c r="AK814" s="41"/>
      <c r="AL814" s="42"/>
      <c r="AM814" s="44"/>
      <c r="AN814" s="41"/>
      <c r="AO814" s="41"/>
      <c r="AP814" s="42"/>
      <c r="AQ814" s="44"/>
      <c r="AR814" s="41"/>
      <c r="AS814" s="41"/>
      <c r="AT814" s="42"/>
      <c r="AU814" s="44"/>
      <c r="AV814" s="41"/>
      <c r="AW814" s="41"/>
      <c r="AX814" s="42"/>
      <c r="AY814" s="44"/>
      <c r="AZ814" s="41"/>
      <c r="BA814" s="41"/>
      <c r="BB814" s="43"/>
      <c r="BC814" s="40"/>
      <c r="BD814" s="41"/>
      <c r="BE814" s="41"/>
      <c r="BF814" s="43"/>
      <c r="BG814" s="40"/>
      <c r="BH814" s="41"/>
      <c r="BI814" s="41"/>
      <c r="BJ814" s="43"/>
      <c r="BK814" s="40"/>
      <c r="BL814" s="41"/>
      <c r="BM814" s="41"/>
      <c r="BN814" s="43"/>
      <c r="BO814" s="40"/>
      <c r="BP814" s="41"/>
      <c r="BQ814" s="41"/>
      <c r="BR814" s="43"/>
      <c r="BS814" s="40"/>
      <c r="BT814" s="41"/>
      <c r="BU814" s="41"/>
      <c r="BV814" s="42"/>
      <c r="BY814" s="45"/>
      <c r="BZ814" s="46"/>
      <c r="CA814" s="46"/>
      <c r="CB814" s="47"/>
    </row>
    <row r="815" spans="1:80" ht="14.25" hidden="1" customHeight="1" outlineLevel="1" x14ac:dyDescent="0.25">
      <c r="A815" s="10" t="e">
        <f>COUNTIF([1]Тарифы!$AK$87:$AK$90,"с дифференциацией (несколько смет)")&gt;0</f>
        <v>#VALUE!</v>
      </c>
      <c r="B815" s="76" t="e">
        <f>AND(NOT(NDS="нет"),A815)</f>
        <v>#VALUE!</v>
      </c>
      <c r="C815" s="10" t="s">
        <v>100</v>
      </c>
      <c r="D815" s="10" t="s">
        <v>101</v>
      </c>
      <c r="E815" s="10" t="s">
        <v>73</v>
      </c>
      <c r="F815" s="10" t="s">
        <v>74</v>
      </c>
      <c r="G815" s="10" t="s">
        <v>73</v>
      </c>
      <c r="H815" s="10" t="s">
        <v>73</v>
      </c>
      <c r="I815" s="10" t="s">
        <v>73</v>
      </c>
      <c r="J815" s="10" t="s">
        <v>73</v>
      </c>
      <c r="K815" s="5" t="s">
        <v>77</v>
      </c>
      <c r="M815" s="5">
        <f t="shared" si="305"/>
        <v>0</v>
      </c>
      <c r="Z815" s="6"/>
      <c r="AA815" s="6"/>
      <c r="AB815" s="29"/>
      <c r="AC815" s="71"/>
      <c r="AD815" s="51"/>
      <c r="AE815" s="72"/>
      <c r="AF815" s="73"/>
      <c r="AG815" s="73"/>
      <c r="AH815" s="74"/>
      <c r="AI815" s="44"/>
      <c r="AJ815" s="41"/>
      <c r="AK815" s="41"/>
      <c r="AL815" s="42"/>
      <c r="AM815" s="44"/>
      <c r="AN815" s="41"/>
      <c r="AO815" s="41"/>
      <c r="AP815" s="42"/>
      <c r="AQ815" s="44"/>
      <c r="AR815" s="41"/>
      <c r="AS815" s="41"/>
      <c r="AT815" s="42"/>
      <c r="AU815" s="44"/>
      <c r="AV815" s="41"/>
      <c r="AW815" s="41"/>
      <c r="AX815" s="42"/>
      <c r="AY815" s="44"/>
      <c r="AZ815" s="41"/>
      <c r="BA815" s="41"/>
      <c r="BB815" s="43"/>
      <c r="BC815" s="40"/>
      <c r="BD815" s="41"/>
      <c r="BE815" s="41"/>
      <c r="BF815" s="43"/>
      <c r="BG815" s="40"/>
      <c r="BH815" s="41"/>
      <c r="BI815" s="41"/>
      <c r="BJ815" s="43"/>
      <c r="BK815" s="40"/>
      <c r="BL815" s="41"/>
      <c r="BM815" s="41"/>
      <c r="BN815" s="43"/>
      <c r="BO815" s="40"/>
      <c r="BP815" s="41"/>
      <c r="BQ815" s="41"/>
      <c r="BR815" s="43"/>
      <c r="BS815" s="40"/>
      <c r="BT815" s="41"/>
      <c r="BU815" s="41"/>
      <c r="BV815" s="42"/>
      <c r="BY815" s="45"/>
      <c r="BZ815" s="46"/>
      <c r="CA815" s="46"/>
      <c r="CB815" s="47"/>
    </row>
    <row r="816" spans="1:80" ht="14.25" hidden="1" customHeight="1" outlineLevel="1" x14ac:dyDescent="0.25">
      <c r="A816" s="10" t="e">
        <f>COUNTIF([1]Тарифы!$AK$87:$AK$90,"с дифференциацией (несколько смет)")&gt;0</f>
        <v>#VALUE!</v>
      </c>
      <c r="B816" s="76" t="e">
        <f>AND(NOT(NDS="нет"),A816)</f>
        <v>#VALUE!</v>
      </c>
      <c r="C816" s="10" t="s">
        <v>102</v>
      </c>
      <c r="D816" s="10" t="s">
        <v>103</v>
      </c>
      <c r="E816" s="10" t="s">
        <v>73</v>
      </c>
      <c r="F816" s="10" t="s">
        <v>74</v>
      </c>
      <c r="G816" s="10" t="s">
        <v>73</v>
      </c>
      <c r="H816" s="10" t="s">
        <v>73</v>
      </c>
      <c r="I816" s="10" t="s">
        <v>73</v>
      </c>
      <c r="J816" s="10" t="s">
        <v>73</v>
      </c>
      <c r="K816" s="5" t="s">
        <v>77</v>
      </c>
      <c r="M816" s="5">
        <f t="shared" si="305"/>
        <v>0</v>
      </c>
      <c r="Z816" s="6"/>
      <c r="AA816" s="6"/>
      <c r="AB816" s="29"/>
      <c r="AC816" s="71"/>
      <c r="AD816" s="51"/>
      <c r="AE816" s="72"/>
      <c r="AF816" s="73"/>
      <c r="AG816" s="73"/>
      <c r="AH816" s="74"/>
      <c r="AI816" s="44"/>
      <c r="AJ816" s="41"/>
      <c r="AK816" s="41"/>
      <c r="AL816" s="42"/>
      <c r="AM816" s="44"/>
      <c r="AN816" s="41"/>
      <c r="AO816" s="41"/>
      <c r="AP816" s="42"/>
      <c r="AQ816" s="44"/>
      <c r="AR816" s="41"/>
      <c r="AS816" s="41"/>
      <c r="AT816" s="42"/>
      <c r="AU816" s="44"/>
      <c r="AV816" s="41"/>
      <c r="AW816" s="41"/>
      <c r="AX816" s="42"/>
      <c r="AY816" s="44"/>
      <c r="AZ816" s="41"/>
      <c r="BA816" s="41"/>
      <c r="BB816" s="43"/>
      <c r="BC816" s="40"/>
      <c r="BD816" s="41"/>
      <c r="BE816" s="41"/>
      <c r="BF816" s="43"/>
      <c r="BG816" s="40"/>
      <c r="BH816" s="41"/>
      <c r="BI816" s="41"/>
      <c r="BJ816" s="43"/>
      <c r="BK816" s="40"/>
      <c r="BL816" s="41"/>
      <c r="BM816" s="41"/>
      <c r="BN816" s="43"/>
      <c r="BO816" s="40"/>
      <c r="BP816" s="41"/>
      <c r="BQ816" s="41"/>
      <c r="BR816" s="43"/>
      <c r="BS816" s="40"/>
      <c r="BT816" s="41"/>
      <c r="BU816" s="41"/>
      <c r="BV816" s="42"/>
      <c r="BY816" s="45"/>
      <c r="BZ816" s="46"/>
      <c r="CA816" s="46"/>
      <c r="CB816" s="47"/>
    </row>
    <row r="817" spans="1:81" ht="14.25" hidden="1" customHeight="1" outlineLevel="1" x14ac:dyDescent="0.25">
      <c r="A817" s="10" t="e">
        <f>COUNTIF([1]Тарифы!$AK$87:$AK$90,"с дифференциацией (несколько смет)")&gt;0</f>
        <v>#VALUE!</v>
      </c>
      <c r="B817" s="76" t="e">
        <f>AND(NOT(NDS="нет"),A817)</f>
        <v>#VALUE!</v>
      </c>
      <c r="C817" s="10" t="s">
        <v>104</v>
      </c>
      <c r="D817" s="10" t="s">
        <v>105</v>
      </c>
      <c r="E817" s="10" t="s">
        <v>73</v>
      </c>
      <c r="F817" s="10" t="s">
        <v>74</v>
      </c>
      <c r="G817" s="10" t="s">
        <v>73</v>
      </c>
      <c r="H817" s="10" t="s">
        <v>73</v>
      </c>
      <c r="I817" s="10" t="s">
        <v>73</v>
      </c>
      <c r="J817" s="10" t="s">
        <v>73</v>
      </c>
      <c r="K817" s="5" t="s">
        <v>77</v>
      </c>
      <c r="M817" s="5">
        <f t="shared" si="305"/>
        <v>0</v>
      </c>
      <c r="Z817" s="6"/>
      <c r="AA817" s="6"/>
      <c r="AB817" s="29"/>
      <c r="AC817" s="71"/>
      <c r="AD817" s="51"/>
      <c r="AE817" s="72"/>
      <c r="AF817" s="73"/>
      <c r="AG817" s="73"/>
      <c r="AH817" s="74"/>
      <c r="AI817" s="44"/>
      <c r="AJ817" s="41"/>
      <c r="AK817" s="41"/>
      <c r="AL817" s="42"/>
      <c r="AM817" s="44"/>
      <c r="AN817" s="41"/>
      <c r="AO817" s="41"/>
      <c r="AP817" s="42"/>
      <c r="AQ817" s="44"/>
      <c r="AR817" s="41"/>
      <c r="AS817" s="41"/>
      <c r="AT817" s="42"/>
      <c r="AU817" s="44"/>
      <c r="AV817" s="41"/>
      <c r="AW817" s="41"/>
      <c r="AX817" s="42"/>
      <c r="AY817" s="44"/>
      <c r="AZ817" s="41"/>
      <c r="BA817" s="41"/>
      <c r="BB817" s="43"/>
      <c r="BC817" s="40"/>
      <c r="BD817" s="41"/>
      <c r="BE817" s="41"/>
      <c r="BF817" s="43"/>
      <c r="BG817" s="40"/>
      <c r="BH817" s="41"/>
      <c r="BI817" s="41"/>
      <c r="BJ817" s="43"/>
      <c r="BK817" s="40"/>
      <c r="BL817" s="41"/>
      <c r="BM817" s="41"/>
      <c r="BN817" s="43"/>
      <c r="BO817" s="40"/>
      <c r="BP817" s="41"/>
      <c r="BQ817" s="41"/>
      <c r="BR817" s="43"/>
      <c r="BS817" s="40"/>
      <c r="BT817" s="41"/>
      <c r="BU817" s="41"/>
      <c r="BV817" s="42"/>
      <c r="BY817" s="45"/>
      <c r="BZ817" s="46"/>
      <c r="CA817" s="46"/>
      <c r="CB817" s="47"/>
    </row>
    <row r="818" spans="1:81" ht="13.5" hidden="1" customHeight="1" x14ac:dyDescent="0.25">
      <c r="B818" s="10" t="b">
        <f>SETTING_BASE="да"</f>
        <v>0</v>
      </c>
      <c r="M818" s="5" t="str">
        <f t="array" ref="M818">Y818</f>
        <v>1ХВС::1.1</v>
      </c>
      <c r="S818" s="10" t="str">
        <f t="array" ref="S818">INDEX([1]Тарифы!$AM$86:$AM$99,MATCH($X818,[1]Тарифы!$Y$86:$Y$99,0))</f>
        <v>да</v>
      </c>
      <c r="T818" s="10" t="str">
        <f t="array" ref="T818">INDEX([1]Тарифы!$AC$86:$AC$99,MATCH($X818,[1]Тарифы!$Y$86:$Y$99,0))</f>
        <v>Тариф на питьевую воду</v>
      </c>
      <c r="U818" s="10" t="str">
        <f t="array" ref="U818">INDEX([1]Тарифы!$AB$86:$AB$99,MATCH($X818,[1]Тарифы!$Y$86:$Y$99,0))</f>
        <v>Водоснабжение</v>
      </c>
      <c r="V818" s="10" t="str">
        <f t="array" ref="V818">INDEX([1]Тарифы!$AK$86:$AK$99,MATCH($X818,[1]Тарифы!$Y$86:$Y$99,0))</f>
        <v>без дифференциации</v>
      </c>
      <c r="W818" s="10" t="str">
        <f t="array" ref="W818">INDEX([1]Тарифы!$AD$86:$AD$99,MATCH($X818,[1]Тарифы!$Y$86:$Y$99,0))</f>
        <v>одноставочный</v>
      </c>
      <c r="X818" s="10" t="str">
        <f t="array" ref="X818">INDEX([1]Тарифы!$Y$86:$Y$99,MATCH($Y818,[1]Тарифы!$X$86:$X$99,0))</f>
        <v>1ХВС</v>
      </c>
      <c r="Y818" s="77" t="str">
        <f t="array" ref="Y818">[1]Тарифы!$X$87</f>
        <v>1ХВС::1.1</v>
      </c>
      <c r="AB818" s="61"/>
      <c r="AC818" s="62" t="str">
        <f t="array" ref="AC818">INDEX([1]Тарифы!$U$86:$U$99,MATCH($Y818,[1]Тарифы!$X$86:$X$99,0))</f>
        <v>1ХВС - Тариф на питьевую воду</v>
      </c>
      <c r="AD818" s="63"/>
      <c r="AE818" s="61"/>
      <c r="AF818" s="62"/>
      <c r="AG818" s="62"/>
      <c r="AH818" s="64"/>
      <c r="AI818" s="44"/>
      <c r="AJ818" s="41"/>
      <c r="AK818" s="41"/>
      <c r="AL818" s="42"/>
      <c r="AM818" s="44"/>
      <c r="AN818" s="41"/>
      <c r="AO818" s="41"/>
      <c r="AP818" s="42"/>
      <c r="AQ818" s="44"/>
      <c r="AR818" s="41"/>
      <c r="AS818" s="41"/>
      <c r="AT818" s="42"/>
      <c r="AU818" s="44"/>
      <c r="AV818" s="41"/>
      <c r="AW818" s="41"/>
      <c r="AX818" s="42"/>
      <c r="AY818" s="44"/>
      <c r="AZ818" s="41"/>
      <c r="BA818" s="41"/>
      <c r="BB818" s="43"/>
      <c r="BC818" s="40"/>
      <c r="BD818" s="41"/>
      <c r="BE818" s="41"/>
      <c r="BF818" s="43"/>
      <c r="BG818" s="40"/>
      <c r="BH818" s="41"/>
      <c r="BI818" s="41"/>
      <c r="BJ818" s="43"/>
      <c r="BK818" s="40"/>
      <c r="BL818" s="41"/>
      <c r="BM818" s="41"/>
      <c r="BN818" s="43"/>
      <c r="BO818" s="40"/>
      <c r="BP818" s="41"/>
      <c r="BQ818" s="41"/>
      <c r="BR818" s="43"/>
      <c r="BS818" s="40"/>
      <c r="BT818" s="41"/>
      <c r="BU818" s="41"/>
      <c r="BV818" s="42"/>
      <c r="BY818" s="45"/>
      <c r="BZ818" s="46"/>
      <c r="CA818" s="46"/>
      <c r="CB818" s="47"/>
    </row>
    <row r="819" spans="1:81" ht="14.25" hidden="1" customHeight="1" x14ac:dyDescent="0.25">
      <c r="A819" s="10" t="b">
        <f>REGULATION_METHODS="Метод индексации"</f>
        <v>1</v>
      </c>
      <c r="B819" s="5" t="b">
        <f t="array" ref="B819">A819</f>
        <v>1</v>
      </c>
      <c r="M819" s="5" t="str">
        <f t="array" ref="M819">Y818</f>
        <v>1ХВС::1.1</v>
      </c>
      <c r="AB819" s="29">
        <v>0</v>
      </c>
      <c r="AC819" s="78" t="s">
        <v>106</v>
      </c>
      <c r="AD819" s="63"/>
      <c r="AE819" s="61"/>
      <c r="AF819" s="62"/>
      <c r="AG819" s="62"/>
      <c r="AH819" s="64"/>
      <c r="AI819" s="44"/>
      <c r="AJ819" s="41"/>
      <c r="AK819" s="41"/>
      <c r="AL819" s="42"/>
      <c r="AM819" s="44"/>
      <c r="AN819" s="41"/>
      <c r="AO819" s="41"/>
      <c r="AP819" s="42"/>
      <c r="AQ819" s="44"/>
      <c r="AR819" s="41"/>
      <c r="AS819" s="41"/>
      <c r="AT819" s="42"/>
      <c r="AU819" s="44"/>
      <c r="AV819" s="41"/>
      <c r="AW819" s="41"/>
      <c r="AX819" s="42"/>
      <c r="AY819" s="44"/>
      <c r="AZ819" s="41"/>
      <c r="BA819" s="41"/>
      <c r="BB819" s="43"/>
      <c r="BC819" s="40"/>
      <c r="BD819" s="41"/>
      <c r="BE819" s="41"/>
      <c r="BF819" s="43"/>
      <c r="BG819" s="40"/>
      <c r="BH819" s="41"/>
      <c r="BI819" s="41"/>
      <c r="BJ819" s="43"/>
      <c r="BK819" s="40"/>
      <c r="BL819" s="41"/>
      <c r="BM819" s="41"/>
      <c r="BN819" s="43"/>
      <c r="BO819" s="40"/>
      <c r="BP819" s="41"/>
      <c r="BQ819" s="41"/>
      <c r="BR819" s="43"/>
      <c r="BS819" s="40"/>
      <c r="BT819" s="41"/>
      <c r="BU819" s="41"/>
      <c r="BV819" s="42"/>
      <c r="BY819" s="45"/>
      <c r="BZ819" s="46"/>
      <c r="CA819" s="46"/>
      <c r="CB819" s="47"/>
    </row>
    <row r="820" spans="1:81" ht="14.25" hidden="1" customHeight="1" outlineLevel="1" x14ac:dyDescent="0.25">
      <c r="A820" s="10" t="b">
        <f t="array" ref="A820">A819</f>
        <v>1</v>
      </c>
      <c r="C820" s="79" t="s">
        <v>107</v>
      </c>
      <c r="D820" s="79" t="s">
        <v>108</v>
      </c>
      <c r="E820" s="10" t="s">
        <v>73</v>
      </c>
      <c r="F820" s="11" t="s">
        <v>74</v>
      </c>
      <c r="G820" s="79" t="s">
        <v>109</v>
      </c>
      <c r="H820" s="10" t="s">
        <v>73</v>
      </c>
      <c r="I820" s="10" t="s">
        <v>73</v>
      </c>
      <c r="K820" s="12" t="s">
        <v>73</v>
      </c>
      <c r="M820" s="5" t="str">
        <f t="array" ref="M820">Y818</f>
        <v>1ХВС::1.1</v>
      </c>
      <c r="AB820" s="29" t="str">
        <f>AB819&amp;".1"</f>
        <v>0.1</v>
      </c>
      <c r="AC820" s="80" t="s">
        <v>110</v>
      </c>
      <c r="AD820" s="51" t="s">
        <v>111</v>
      </c>
      <c r="AE820" s="72">
        <f>AE870+AE1044+AE985+AE994-AE869</f>
        <v>0</v>
      </c>
      <c r="AF820" s="73">
        <f>AF870+AF1044+AF985+AF994-AF869</f>
        <v>0</v>
      </c>
      <c r="AG820" s="73">
        <f>AG870+AG1044+AG985+AG994-AG869</f>
        <v>0</v>
      </c>
      <c r="AH820" s="74"/>
      <c r="AI820" s="44"/>
      <c r="AJ820" s="41"/>
      <c r="AK820" s="41"/>
      <c r="AL820" s="42"/>
      <c r="AM820" s="44"/>
      <c r="AN820" s="41"/>
      <c r="AO820" s="41"/>
      <c r="AP820" s="42"/>
      <c r="AQ820" s="44"/>
      <c r="AR820" s="41"/>
      <c r="AS820" s="41"/>
      <c r="AT820" s="42"/>
      <c r="AU820" s="44"/>
      <c r="AV820" s="41"/>
      <c r="AW820" s="41"/>
      <c r="AX820" s="42"/>
      <c r="AY820" s="44"/>
      <c r="AZ820" s="41"/>
      <c r="BA820" s="41"/>
      <c r="BB820" s="43"/>
      <c r="BC820" s="40"/>
      <c r="BD820" s="41"/>
      <c r="BE820" s="41"/>
      <c r="BF820" s="43"/>
      <c r="BG820" s="40"/>
      <c r="BH820" s="41"/>
      <c r="BI820" s="41"/>
      <c r="BJ820" s="43"/>
      <c r="BK820" s="40"/>
      <c r="BL820" s="41"/>
      <c r="BM820" s="41"/>
      <c r="BN820" s="43"/>
      <c r="BO820" s="40"/>
      <c r="BP820" s="41"/>
      <c r="BQ820" s="41"/>
      <c r="BR820" s="43"/>
      <c r="BS820" s="40"/>
      <c r="BT820" s="41"/>
      <c r="BU820" s="41"/>
      <c r="BV820" s="42"/>
      <c r="BY820" s="45"/>
      <c r="BZ820" s="46"/>
      <c r="CA820" s="46"/>
      <c r="CB820" s="47"/>
    </row>
    <row r="821" spans="1:81" ht="12" hidden="1" customHeight="1" x14ac:dyDescent="0.25">
      <c r="A821" s="10" t="b">
        <f t="array" ref="A821">A820</f>
        <v>1</v>
      </c>
      <c r="M821" s="5" t="str">
        <f t="array" ref="M821">Y818</f>
        <v>1ХВС::1.1</v>
      </c>
      <c r="AB821" s="29">
        <v>1</v>
      </c>
      <c r="AC821" s="78" t="s">
        <v>112</v>
      </c>
      <c r="AD821" s="63"/>
      <c r="AE821" s="61"/>
      <c r="AF821" s="62"/>
      <c r="AG821" s="62"/>
      <c r="AH821" s="64"/>
      <c r="AI821" s="44"/>
      <c r="AJ821" s="41"/>
      <c r="AK821" s="41"/>
      <c r="AL821" s="42"/>
      <c r="AM821" s="44"/>
      <c r="AN821" s="41"/>
      <c r="AO821" s="41"/>
      <c r="AP821" s="42"/>
      <c r="AQ821" s="44"/>
      <c r="AR821" s="41"/>
      <c r="AS821" s="41"/>
      <c r="AT821" s="42"/>
      <c r="AU821" s="44"/>
      <c r="AV821" s="41"/>
      <c r="AW821" s="41"/>
      <c r="AX821" s="42"/>
      <c r="AY821" s="44"/>
      <c r="AZ821" s="41"/>
      <c r="BA821" s="41"/>
      <c r="BB821" s="43"/>
      <c r="BC821" s="40"/>
      <c r="BD821" s="41"/>
      <c r="BE821" s="41"/>
      <c r="BF821" s="43"/>
      <c r="BG821" s="40"/>
      <c r="BH821" s="41"/>
      <c r="BI821" s="41"/>
      <c r="BJ821" s="43"/>
      <c r="BK821" s="40"/>
      <c r="BL821" s="41"/>
      <c r="BM821" s="41"/>
      <c r="BN821" s="43"/>
      <c r="BO821" s="40"/>
      <c r="BP821" s="41"/>
      <c r="BQ821" s="41"/>
      <c r="BR821" s="43"/>
      <c r="BS821" s="40"/>
      <c r="BT821" s="41"/>
      <c r="BU821" s="41"/>
      <c r="BV821" s="42"/>
      <c r="BY821" s="45"/>
      <c r="BZ821" s="46"/>
      <c r="CA821" s="46"/>
      <c r="CB821" s="47"/>
    </row>
    <row r="822" spans="1:81" ht="14.25" hidden="1" customHeight="1" outlineLevel="1" x14ac:dyDescent="0.25">
      <c r="A822" s="10" t="b">
        <f t="array" ref="A822">A821</f>
        <v>1</v>
      </c>
      <c r="C822" s="10" t="s">
        <v>113</v>
      </c>
      <c r="D822" s="10" t="s">
        <v>114</v>
      </c>
      <c r="E822" s="5" t="str">
        <f t="array" ref="E822">AC822</f>
        <v>Коэффициент операционных расходов</v>
      </c>
      <c r="F822" s="11" t="s">
        <v>74</v>
      </c>
      <c r="G822" s="10" t="s">
        <v>73</v>
      </c>
      <c r="H822" s="10" t="s">
        <v>73</v>
      </c>
      <c r="I822" s="10" t="s">
        <v>73</v>
      </c>
      <c r="K822" s="12" t="s">
        <v>73</v>
      </c>
      <c r="L822" s="10" t="s">
        <v>115</v>
      </c>
      <c r="M822" s="5" t="str">
        <f t="array" ref="M822">Y818</f>
        <v>1ХВС::1.1</v>
      </c>
      <c r="AB822" s="29" t="str">
        <f>AB821&amp;".1"</f>
        <v>1.1</v>
      </c>
      <c r="AC822" s="80" t="s">
        <v>116</v>
      </c>
      <c r="AD822" s="51"/>
      <c r="AE822" s="81" t="e">
        <f>(1-AE824)*(1+AE825)*(1+AE826)*AE830</f>
        <v>#REF!</v>
      </c>
      <c r="AF822" s="82" t="e">
        <f>(1-AF824)*(1+AF825)*(1+AF826)*AF830</f>
        <v>#REF!</v>
      </c>
      <c r="AG822" s="82" t="e">
        <f>(1-AG824)*(1+AG825)*(1+AG826)*AG830</f>
        <v>#REF!</v>
      </c>
      <c r="AH822" s="83"/>
      <c r="AI822" s="44"/>
      <c r="AJ822" s="41"/>
      <c r="AK822" s="41"/>
      <c r="AL822" s="42"/>
      <c r="AM822" s="44"/>
      <c r="AN822" s="41"/>
      <c r="AO822" s="41"/>
      <c r="AP822" s="42"/>
      <c r="AQ822" s="44"/>
      <c r="AR822" s="41"/>
      <c r="AS822" s="41"/>
      <c r="AT822" s="42"/>
      <c r="AU822" s="44"/>
      <c r="AV822" s="41"/>
      <c r="AW822" s="41"/>
      <c r="AX822" s="42"/>
      <c r="AY822" s="44"/>
      <c r="AZ822" s="41"/>
      <c r="BA822" s="41"/>
      <c r="BB822" s="43"/>
      <c r="BC822" s="40"/>
      <c r="BD822" s="41"/>
      <c r="BE822" s="41"/>
      <c r="BF822" s="43"/>
      <c r="BG822" s="40"/>
      <c r="BH822" s="41"/>
      <c r="BI822" s="41"/>
      <c r="BJ822" s="43"/>
      <c r="BK822" s="40"/>
      <c r="BL822" s="41"/>
      <c r="BM822" s="41"/>
      <c r="BN822" s="43"/>
      <c r="BO822" s="40"/>
      <c r="BP822" s="41"/>
      <c r="BQ822" s="41"/>
      <c r="BR822" s="43"/>
      <c r="BS822" s="40"/>
      <c r="BT822" s="41"/>
      <c r="BU822" s="41"/>
      <c r="BV822" s="42"/>
      <c r="BY822" s="45"/>
      <c r="BZ822" s="46"/>
      <c r="CA822" s="46"/>
      <c r="CB822" s="47"/>
    </row>
    <row r="823" spans="1:81" ht="14.25" hidden="1" customHeight="1" outlineLevel="1" x14ac:dyDescent="0.25">
      <c r="A823" s="10" t="b">
        <f t="array" ref="A823">A822</f>
        <v>1</v>
      </c>
      <c r="C823" s="84" t="s">
        <v>113</v>
      </c>
      <c r="D823" s="84" t="s">
        <v>114</v>
      </c>
      <c r="E823" s="85" t="str">
        <f t="array" ref="E823">AC823</f>
        <v>Коэффициент роста ОР к значению прошлого года</v>
      </c>
      <c r="F823" s="84" t="s">
        <v>74</v>
      </c>
      <c r="G823" s="84" t="s">
        <v>73</v>
      </c>
      <c r="H823" s="84" t="s">
        <v>73</v>
      </c>
      <c r="I823" s="84" t="s">
        <v>73</v>
      </c>
      <c r="J823" s="85"/>
      <c r="K823" s="86" t="s">
        <v>73</v>
      </c>
      <c r="L823" s="84" t="s">
        <v>115</v>
      </c>
      <c r="M823" s="5" t="str">
        <f t="array" ref="M823">Y818</f>
        <v>1ХВС::1.1</v>
      </c>
      <c r="AB823" s="29" t="str">
        <f>AB821&amp;".1*"</f>
        <v>1.1*</v>
      </c>
      <c r="AC823" s="80" t="s">
        <v>117</v>
      </c>
      <c r="AD823" s="51"/>
      <c r="AE823" s="81" t="e">
        <f>IF(#REF!=0,0,AE869/#REF!)</f>
        <v>#REF!</v>
      </c>
      <c r="AF823" s="82" t="e">
        <f>IF(#REF!=0,0,AF869/#REF!)</f>
        <v>#REF!</v>
      </c>
      <c r="AG823" s="82">
        <f>IF('ИТОГ (Утв. 2026-верно'!AF869=0,0,'ИТОГ (Утв. 2026-верно'!AG869/'ИТОГ (Утв. 2026-верно'!AF869)</f>
        <v>1.3134749817784459</v>
      </c>
      <c r="AH823" s="83"/>
      <c r="AI823" s="44"/>
      <c r="AJ823" s="41"/>
      <c r="AK823" s="41"/>
      <c r="AL823" s="42"/>
      <c r="AM823" s="44"/>
      <c r="AN823" s="41"/>
      <c r="AO823" s="41"/>
      <c r="AP823" s="42"/>
      <c r="AQ823" s="44"/>
      <c r="AR823" s="41"/>
      <c r="AS823" s="41"/>
      <c r="AT823" s="42"/>
      <c r="AU823" s="44"/>
      <c r="AV823" s="41"/>
      <c r="AW823" s="41"/>
      <c r="AX823" s="42"/>
      <c r="AY823" s="44"/>
      <c r="AZ823" s="41"/>
      <c r="BA823" s="41"/>
      <c r="BB823" s="43"/>
      <c r="BC823" s="40"/>
      <c r="BD823" s="41"/>
      <c r="BE823" s="41"/>
      <c r="BF823" s="43"/>
      <c r="BG823" s="40"/>
      <c r="BH823" s="41"/>
      <c r="BI823" s="41"/>
      <c r="BJ823" s="43"/>
      <c r="BK823" s="40"/>
      <c r="BL823" s="41"/>
      <c r="BM823" s="41"/>
      <c r="BN823" s="43"/>
      <c r="BO823" s="40"/>
      <c r="BP823" s="41"/>
      <c r="BQ823" s="41"/>
      <c r="BR823" s="43"/>
      <c r="BS823" s="40"/>
      <c r="BT823" s="41"/>
      <c r="BU823" s="41"/>
      <c r="BV823" s="42"/>
      <c r="BY823" s="45"/>
      <c r="BZ823" s="46"/>
      <c r="CA823" s="46"/>
      <c r="CB823" s="47"/>
    </row>
    <row r="824" spans="1:81" ht="14.25" hidden="1" customHeight="1" outlineLevel="2" x14ac:dyDescent="0.25">
      <c r="A824" s="10" t="b">
        <f t="array" ref="A824">A822</f>
        <v>1</v>
      </c>
      <c r="C824" s="10" t="s">
        <v>113</v>
      </c>
      <c r="D824" s="10" t="s">
        <v>114</v>
      </c>
      <c r="E824" s="10" t="s">
        <v>118</v>
      </c>
      <c r="F824" s="11" t="s">
        <v>74</v>
      </c>
      <c r="G824" s="10" t="s">
        <v>73</v>
      </c>
      <c r="H824" s="10" t="s">
        <v>73</v>
      </c>
      <c r="I824" s="10" t="s">
        <v>73</v>
      </c>
      <c r="K824" s="12" t="s">
        <v>73</v>
      </c>
      <c r="L824" s="10" t="s">
        <v>115</v>
      </c>
      <c r="M824" s="5" t="str">
        <f t="array" ref="M824">Y818</f>
        <v>1ХВС::1.1</v>
      </c>
      <c r="AB824" s="29" t="str">
        <f>AB822&amp;".1"</f>
        <v>1.1.1</v>
      </c>
      <c r="AC824" s="87" t="s">
        <v>118</v>
      </c>
      <c r="AD824" s="51" t="s">
        <v>119</v>
      </c>
      <c r="AE824" s="88" t="e">
        <f t="array" ref="AE824">#REF!</f>
        <v>#REF!</v>
      </c>
      <c r="AF824" s="89">
        <v>0.01</v>
      </c>
      <c r="AG824" s="89" t="e">
        <f t="array" ref="AG824">'ИТОГ (Утв. 2026-верно'!#REF!</f>
        <v>#REF!</v>
      </c>
      <c r="AH824" s="90"/>
      <c r="AI824" s="44"/>
      <c r="AJ824" s="41"/>
      <c r="AK824" s="41"/>
      <c r="AL824" s="42"/>
      <c r="AM824" s="44"/>
      <c r="AN824" s="41"/>
      <c r="AO824" s="41"/>
      <c r="AP824" s="42"/>
      <c r="AQ824" s="44"/>
      <c r="AR824" s="41"/>
      <c r="AS824" s="41"/>
      <c r="AT824" s="42"/>
      <c r="AU824" s="44"/>
      <c r="AV824" s="41"/>
      <c r="AW824" s="41"/>
      <c r="AX824" s="42"/>
      <c r="AY824" s="44"/>
      <c r="AZ824" s="41"/>
      <c r="BA824" s="41"/>
      <c r="BB824" s="43"/>
      <c r="BC824" s="40"/>
      <c r="BD824" s="41"/>
      <c r="BE824" s="41"/>
      <c r="BF824" s="43"/>
      <c r="BG824" s="40"/>
      <c r="BH824" s="41"/>
      <c r="BI824" s="41"/>
      <c r="BJ824" s="43"/>
      <c r="BK824" s="40"/>
      <c r="BL824" s="41"/>
      <c r="BM824" s="41"/>
      <c r="BN824" s="43"/>
      <c r="BO824" s="40"/>
      <c r="BP824" s="41"/>
      <c r="BQ824" s="41"/>
      <c r="BR824" s="43"/>
      <c r="BS824" s="40"/>
      <c r="BT824" s="41"/>
      <c r="BU824" s="41"/>
      <c r="BV824" s="42"/>
      <c r="BY824" s="45"/>
      <c r="BZ824" s="46"/>
      <c r="CA824" s="46"/>
      <c r="CB824" s="47"/>
    </row>
    <row r="825" spans="1:81" ht="14.25" hidden="1" customHeight="1" outlineLevel="2" x14ac:dyDescent="0.25">
      <c r="A825" s="10" t="b">
        <f t="array" ref="A825">A824</f>
        <v>1</v>
      </c>
      <c r="C825" s="10" t="s">
        <v>113</v>
      </c>
      <c r="D825" s="10" t="s">
        <v>114</v>
      </c>
      <c r="E825" s="10" t="s">
        <v>120</v>
      </c>
      <c r="F825" s="11" t="s">
        <v>74</v>
      </c>
      <c r="G825" s="10" t="s">
        <v>73</v>
      </c>
      <c r="H825" s="10" t="s">
        <v>73</v>
      </c>
      <c r="I825" s="10" t="s">
        <v>73</v>
      </c>
      <c r="K825" s="12" t="s">
        <v>73</v>
      </c>
      <c r="L825" s="10" t="s">
        <v>115</v>
      </c>
      <c r="M825" s="5" t="str">
        <f t="array" ref="M825">Y818</f>
        <v>1ХВС::1.1</v>
      </c>
      <c r="AB825" s="29" t="str">
        <f>AB822&amp;".2"</f>
        <v>1.1.2</v>
      </c>
      <c r="AC825" s="87" t="s">
        <v>121</v>
      </c>
      <c r="AD825" s="51"/>
      <c r="AE825" s="53" t="e">
        <f>[1]Индексы!AH782-1</f>
        <v>#REF!</v>
      </c>
      <c r="AF825" s="54" t="e">
        <f>[1]Индексы!AI782-1</f>
        <v>#REF!</v>
      </c>
      <c r="AG825" s="54" t="e">
        <f>[1]Индексы!AK782-1</f>
        <v>#REF!</v>
      </c>
      <c r="AH825" s="55"/>
      <c r="AI825" s="44"/>
      <c r="AJ825" s="41"/>
      <c r="AK825" s="41"/>
      <c r="AL825" s="42"/>
      <c r="AM825" s="44"/>
      <c r="AN825" s="41"/>
      <c r="AO825" s="41"/>
      <c r="AP825" s="42"/>
      <c r="AQ825" s="44"/>
      <c r="AR825" s="41"/>
      <c r="AS825" s="41"/>
      <c r="AT825" s="42"/>
      <c r="AU825" s="44"/>
      <c r="AV825" s="41"/>
      <c r="AW825" s="41"/>
      <c r="AX825" s="42"/>
      <c r="AY825" s="44"/>
      <c r="AZ825" s="41"/>
      <c r="BA825" s="41"/>
      <c r="BB825" s="43"/>
      <c r="BC825" s="40"/>
      <c r="BD825" s="41"/>
      <c r="BE825" s="41"/>
      <c r="BF825" s="43"/>
      <c r="BG825" s="40"/>
      <c r="BH825" s="41"/>
      <c r="BI825" s="41"/>
      <c r="BJ825" s="43"/>
      <c r="BK825" s="40"/>
      <c r="BL825" s="41"/>
      <c r="BM825" s="41"/>
      <c r="BN825" s="43"/>
      <c r="BO825" s="40"/>
      <c r="BP825" s="41"/>
      <c r="BQ825" s="41"/>
      <c r="BR825" s="43"/>
      <c r="BS825" s="40"/>
      <c r="BT825" s="41"/>
      <c r="BU825" s="41"/>
      <c r="BV825" s="42"/>
      <c r="BY825" s="45"/>
      <c r="BZ825" s="46"/>
      <c r="CA825" s="46"/>
      <c r="CB825" s="47"/>
    </row>
    <row r="826" spans="1:81" ht="14.25" hidden="1" customHeight="1" outlineLevel="2" x14ac:dyDescent="0.25">
      <c r="A826" s="10" t="b">
        <f t="array" ref="A826">A825</f>
        <v>1</v>
      </c>
      <c r="C826" s="10" t="s">
        <v>113</v>
      </c>
      <c r="D826" s="10" t="s">
        <v>114</v>
      </c>
      <c r="E826" s="10" t="s">
        <v>122</v>
      </c>
      <c r="F826" s="11" t="s">
        <v>74</v>
      </c>
      <c r="G826" s="10" t="s">
        <v>73</v>
      </c>
      <c r="H826" s="10" t="s">
        <v>73</v>
      </c>
      <c r="I826" s="10" t="s">
        <v>73</v>
      </c>
      <c r="K826" s="12" t="s">
        <v>73</v>
      </c>
      <c r="L826" s="10" t="s">
        <v>115</v>
      </c>
      <c r="M826" s="5" t="str">
        <f t="array" ref="M826">Y818</f>
        <v>1ХВС::1.1</v>
      </c>
      <c r="AB826" s="29" t="str">
        <f>AB822&amp;".3"</f>
        <v>1.1.3</v>
      </c>
      <c r="AC826" s="87" t="s">
        <v>123</v>
      </c>
      <c r="AD826" s="51"/>
      <c r="AE826" s="66" t="e">
        <f>IF((#REF!*(1-AE824)*(1+AE825))=0,0,0.75*$AE$106*AE827+(AE828/(#REF!*(1-AE824)*(1+AE825))))</f>
        <v>#REF!</v>
      </c>
      <c r="AF826" s="91"/>
      <c r="AG826" s="67" t="e">
        <f>IF((AF869*(1-AG824)*(1+AG825))=0,0,0.75*$AE$106*AG827+(AG828/(AF869*(1-AG824)*(1+AG825))))</f>
        <v>#REF!</v>
      </c>
      <c r="AH826" s="68"/>
      <c r="AI826" s="44"/>
      <c r="AJ826" s="41"/>
      <c r="AK826" s="41"/>
      <c r="AL826" s="42"/>
      <c r="AM826" s="44"/>
      <c r="AN826" s="41"/>
      <c r="AO826" s="41"/>
      <c r="AP826" s="42"/>
      <c r="AQ826" s="44"/>
      <c r="AR826" s="41"/>
      <c r="AS826" s="41"/>
      <c r="AT826" s="42"/>
      <c r="AU826" s="44"/>
      <c r="AV826" s="41"/>
      <c r="AW826" s="41"/>
      <c r="AX826" s="42"/>
      <c r="AY826" s="44"/>
      <c r="AZ826" s="41"/>
      <c r="BA826" s="41"/>
      <c r="BB826" s="43"/>
      <c r="BC826" s="40"/>
      <c r="BD826" s="41"/>
      <c r="BE826" s="41"/>
      <c r="BF826" s="43"/>
      <c r="BG826" s="40"/>
      <c r="BH826" s="41"/>
      <c r="BI826" s="41"/>
      <c r="BJ826" s="43"/>
      <c r="BK826" s="40"/>
      <c r="BL826" s="41"/>
      <c r="BM826" s="41"/>
      <c r="BN826" s="43"/>
      <c r="BO826" s="40"/>
      <c r="BP826" s="41"/>
      <c r="BQ826" s="41"/>
      <c r="BR826" s="43"/>
      <c r="BS826" s="40"/>
      <c r="BT826" s="41"/>
      <c r="BU826" s="41"/>
      <c r="BV826" s="42"/>
      <c r="BY826" s="45"/>
      <c r="BZ826" s="46"/>
      <c r="CA826" s="46"/>
      <c r="CB826" s="47"/>
    </row>
    <row r="827" spans="1:81" ht="14.25" hidden="1" customHeight="1" outlineLevel="3" x14ac:dyDescent="0.25">
      <c r="A827" s="10" t="b">
        <f t="array" ref="A827">A826</f>
        <v>1</v>
      </c>
      <c r="C827" s="10" t="s">
        <v>113</v>
      </c>
      <c r="D827" s="10" t="s">
        <v>114</v>
      </c>
      <c r="E827" s="10" t="s">
        <v>124</v>
      </c>
      <c r="F827" s="11" t="s">
        <v>74</v>
      </c>
      <c r="G827" s="10" t="s">
        <v>73</v>
      </c>
      <c r="H827" s="10" t="s">
        <v>73</v>
      </c>
      <c r="I827" s="10" t="s">
        <v>73</v>
      </c>
      <c r="K827" s="12" t="s">
        <v>73</v>
      </c>
      <c r="L827" s="10" t="s">
        <v>115</v>
      </c>
      <c r="M827" s="5" t="str">
        <f t="array" ref="M827">Y818</f>
        <v>1ХВС::1.1</v>
      </c>
      <c r="AB827" s="29" t="str">
        <f>AB826&amp;".1"</f>
        <v>1.1.3.1</v>
      </c>
      <c r="AC827" s="92" t="s">
        <v>125</v>
      </c>
      <c r="AD827" s="51" t="s">
        <v>119</v>
      </c>
      <c r="AE827" s="88" t="e">
        <f>'[1]Условные метры'!AU781</f>
        <v>#REF!</v>
      </c>
      <c r="AF827" s="93"/>
      <c r="AG827" s="755" t="e">
        <f>1*'[1]Условные метры'!BE781</f>
        <v>#REF!</v>
      </c>
      <c r="AH827" s="94"/>
      <c r="AI827" s="44"/>
      <c r="AJ827" s="41"/>
      <c r="AK827" s="41"/>
      <c r="AL827" s="42"/>
      <c r="AM827" s="44"/>
      <c r="AN827" s="41"/>
      <c r="AO827" s="41"/>
      <c r="AP827" s="42"/>
      <c r="AQ827" s="44"/>
      <c r="AR827" s="41"/>
      <c r="AS827" s="41"/>
      <c r="AT827" s="42"/>
      <c r="AU827" s="44"/>
      <c r="AV827" s="41"/>
      <c r="AW827" s="41"/>
      <c r="AX827" s="42"/>
      <c r="AY827" s="44"/>
      <c r="AZ827" s="41"/>
      <c r="BA827" s="41"/>
      <c r="BB827" s="43"/>
      <c r="BC827" s="40"/>
      <c r="BD827" s="41"/>
      <c r="BE827" s="41"/>
      <c r="BF827" s="43"/>
      <c r="BG827" s="40"/>
      <c r="BH827" s="41"/>
      <c r="BI827" s="41"/>
      <c r="BJ827" s="43"/>
      <c r="BK827" s="40"/>
      <c r="BL827" s="41"/>
      <c r="BM827" s="41"/>
      <c r="BN827" s="43"/>
      <c r="BO827" s="40"/>
      <c r="BP827" s="41"/>
      <c r="BQ827" s="41"/>
      <c r="BR827" s="43"/>
      <c r="BS827" s="40"/>
      <c r="BT827" s="41"/>
      <c r="BU827" s="41"/>
      <c r="BV827" s="42"/>
      <c r="BY827" s="45"/>
      <c r="BZ827" s="46"/>
      <c r="CA827" s="46"/>
      <c r="CB827" s="47"/>
    </row>
    <row r="828" spans="1:81" ht="39" hidden="1" customHeight="1" outlineLevel="3" x14ac:dyDescent="0.25">
      <c r="A828" s="10" t="b">
        <f t="array" ref="A828">A827</f>
        <v>1</v>
      </c>
      <c r="C828" s="10" t="s">
        <v>126</v>
      </c>
      <c r="D828" s="10" t="s">
        <v>127</v>
      </c>
      <c r="E828" s="10" t="s">
        <v>73</v>
      </c>
      <c r="F828" s="11" t="s">
        <v>74</v>
      </c>
      <c r="G828" s="10" t="s">
        <v>73</v>
      </c>
      <c r="H828" s="10" t="s">
        <v>73</v>
      </c>
      <c r="I828" s="10" t="s">
        <v>73</v>
      </c>
      <c r="K828" s="12" t="s">
        <v>73</v>
      </c>
      <c r="L828" s="10" t="s">
        <v>115</v>
      </c>
      <c r="M828" s="5" t="str">
        <f t="array" ref="M828">Y818</f>
        <v>1ХВС::1.1</v>
      </c>
      <c r="AB828" s="29" t="str">
        <f>AB826&amp;".2"</f>
        <v>1.1.3.2</v>
      </c>
      <c r="AC828" s="92" t="s">
        <v>128</v>
      </c>
      <c r="AD828" s="51" t="s">
        <v>111</v>
      </c>
      <c r="AE828" s="95"/>
      <c r="AF828" s="93"/>
      <c r="AG828" s="178"/>
      <c r="AH828" s="96"/>
      <c r="AI828" s="44"/>
      <c r="AJ828" s="41"/>
      <c r="AK828" s="41"/>
      <c r="AL828" s="42"/>
      <c r="AM828" s="44"/>
      <c r="AN828" s="41"/>
      <c r="AO828" s="41"/>
      <c r="AP828" s="42"/>
      <c r="AQ828" s="44"/>
      <c r="AR828" s="41"/>
      <c r="AS828" s="41"/>
      <c r="AT828" s="42"/>
      <c r="AU828" s="44"/>
      <c r="AV828" s="41"/>
      <c r="AW828" s="41"/>
      <c r="AX828" s="42"/>
      <c r="AY828" s="44"/>
      <c r="AZ828" s="41"/>
      <c r="BA828" s="41"/>
      <c r="BB828" s="43"/>
      <c r="BC828" s="40"/>
      <c r="BD828" s="41"/>
      <c r="BE828" s="41"/>
      <c r="BF828" s="43"/>
      <c r="BG828" s="40"/>
      <c r="BH828" s="41"/>
      <c r="BI828" s="41"/>
      <c r="BJ828" s="43"/>
      <c r="BK828" s="40"/>
      <c r="BL828" s="41"/>
      <c r="BM828" s="41"/>
      <c r="BN828" s="43"/>
      <c r="BO828" s="40"/>
      <c r="BP828" s="41"/>
      <c r="BQ828" s="41"/>
      <c r="BR828" s="43"/>
      <c r="BS828" s="40"/>
      <c r="BT828" s="41"/>
      <c r="BU828" s="41"/>
      <c r="BV828" s="42"/>
      <c r="BY828" s="45"/>
      <c r="BZ828" s="46"/>
      <c r="CA828" s="46"/>
      <c r="CB828" s="47"/>
    </row>
    <row r="829" spans="1:81" ht="14.25" hidden="1" customHeight="1" outlineLevel="3" x14ac:dyDescent="0.25">
      <c r="A829" s="10" t="b">
        <f t="array" ref="A829">A828</f>
        <v>1</v>
      </c>
      <c r="C829" s="10" t="s">
        <v>129</v>
      </c>
      <c r="D829" s="10" t="s">
        <v>130</v>
      </c>
      <c r="E829" s="10" t="s">
        <v>73</v>
      </c>
      <c r="F829" s="11" t="s">
        <v>74</v>
      </c>
      <c r="G829" s="10" t="s">
        <v>73</v>
      </c>
      <c r="H829" s="10" t="s">
        <v>73</v>
      </c>
      <c r="I829" s="10" t="s">
        <v>73</v>
      </c>
      <c r="K829" s="12" t="s">
        <v>73</v>
      </c>
      <c r="L829" s="10" t="s">
        <v>115</v>
      </c>
      <c r="M829" s="5" t="str">
        <f t="array" ref="M829">Y818</f>
        <v>1ХВС::1.1</v>
      </c>
      <c r="AB829" s="29" t="str">
        <f>AB826&amp;".3"</f>
        <v>1.1.3.3</v>
      </c>
      <c r="AC829" s="92" t="s">
        <v>131</v>
      </c>
      <c r="AD829" s="51"/>
      <c r="AE829" s="97"/>
      <c r="AF829" s="93"/>
      <c r="AG829" s="93"/>
      <c r="AH829" s="98"/>
      <c r="AI829" s="44"/>
      <c r="AJ829" s="41"/>
      <c r="AK829" s="41"/>
      <c r="AL829" s="42"/>
      <c r="AM829" s="44"/>
      <c r="AN829" s="41"/>
      <c r="AO829" s="41"/>
      <c r="AP829" s="42"/>
      <c r="AQ829" s="44"/>
      <c r="AR829" s="41"/>
      <c r="AS829" s="41"/>
      <c r="AT829" s="42"/>
      <c r="AU829" s="44"/>
      <c r="AV829" s="41"/>
      <c r="AW829" s="41"/>
      <c r="AX829" s="42"/>
      <c r="AY829" s="44"/>
      <c r="AZ829" s="41"/>
      <c r="BA829" s="41"/>
      <c r="BB829" s="43"/>
      <c r="BC829" s="40"/>
      <c r="BD829" s="41"/>
      <c r="BE829" s="41"/>
      <c r="BF829" s="43"/>
      <c r="BG829" s="40"/>
      <c r="BH829" s="41"/>
      <c r="BI829" s="41"/>
      <c r="BJ829" s="43"/>
      <c r="BK829" s="40"/>
      <c r="BL829" s="41"/>
      <c r="BM829" s="41"/>
      <c r="BN829" s="43"/>
      <c r="BO829" s="40"/>
      <c r="BP829" s="41"/>
      <c r="BQ829" s="41"/>
      <c r="BR829" s="43"/>
      <c r="BS829" s="40"/>
      <c r="BT829" s="41"/>
      <c r="BU829" s="41"/>
      <c r="BV829" s="42"/>
      <c r="BY829" s="45"/>
      <c r="BZ829" s="46"/>
      <c r="CA829" s="46"/>
      <c r="CB829" s="47"/>
    </row>
    <row r="830" spans="1:81" ht="14.25" hidden="1" customHeight="1" outlineLevel="2" x14ac:dyDescent="0.25">
      <c r="A830" s="10" t="b">
        <f t="array" ref="A830">A829</f>
        <v>1</v>
      </c>
      <c r="C830" s="10" t="s">
        <v>113</v>
      </c>
      <c r="D830" s="10" t="s">
        <v>114</v>
      </c>
      <c r="E830" s="10" t="s">
        <v>132</v>
      </c>
      <c r="F830" s="11" t="s">
        <v>74</v>
      </c>
      <c r="G830" s="10" t="s">
        <v>73</v>
      </c>
      <c r="H830" s="10" t="s">
        <v>73</v>
      </c>
      <c r="I830" s="10" t="s">
        <v>73</v>
      </c>
      <c r="K830" s="12" t="s">
        <v>73</v>
      </c>
      <c r="L830" s="10" t="s">
        <v>133</v>
      </c>
      <c r="M830" s="5" t="str">
        <f t="array" ref="M830">Y818</f>
        <v>1ХВС::1.1</v>
      </c>
      <c r="AB830" s="29" t="str">
        <f>AB822&amp;".4"</f>
        <v>1.1.4</v>
      </c>
      <c r="AC830" s="87" t="s">
        <v>132</v>
      </c>
      <c r="AD830" s="51"/>
      <c r="AE830" s="66" t="e">
        <f t="array" ref="AE830">#REF!</f>
        <v>#REF!</v>
      </c>
      <c r="AF830" s="67" t="e">
        <f>IF(#REF!=0,0,AF801/#REF!)</f>
        <v>#REF!</v>
      </c>
      <c r="AG830" s="67">
        <f>IF(AF801=0,0,AG801/AF801)</f>
        <v>1</v>
      </c>
      <c r="AH830" s="68"/>
      <c r="AI830" s="44"/>
      <c r="AJ830" s="41"/>
      <c r="AK830" s="41"/>
      <c r="AL830" s="42"/>
      <c r="AM830" s="44"/>
      <c r="AN830" s="41"/>
      <c r="AO830" s="41"/>
      <c r="AP830" s="42"/>
      <c r="AQ830" s="44"/>
      <c r="AR830" s="41"/>
      <c r="AS830" s="41"/>
      <c r="AT830" s="42"/>
      <c r="AU830" s="44"/>
      <c r="AV830" s="41"/>
      <c r="AW830" s="41"/>
      <c r="AX830" s="42"/>
      <c r="AY830" s="44"/>
      <c r="AZ830" s="41"/>
      <c r="BA830" s="41"/>
      <c r="BB830" s="43"/>
      <c r="BC830" s="40"/>
      <c r="BD830" s="41"/>
      <c r="BE830" s="41"/>
      <c r="BF830" s="43"/>
      <c r="BG830" s="40"/>
      <c r="BH830" s="41"/>
      <c r="BI830" s="41"/>
      <c r="BJ830" s="43"/>
      <c r="BK830" s="40"/>
      <c r="BL830" s="41"/>
      <c r="BM830" s="41"/>
      <c r="BN830" s="43"/>
      <c r="BO830" s="40"/>
      <c r="BP830" s="41"/>
      <c r="BQ830" s="41"/>
      <c r="BR830" s="43"/>
      <c r="BS830" s="40"/>
      <c r="BT830" s="41"/>
      <c r="BU830" s="41"/>
      <c r="BV830" s="42"/>
      <c r="BY830" s="45"/>
      <c r="BZ830" s="46"/>
      <c r="CA830" s="46"/>
      <c r="CB830" s="47"/>
    </row>
    <row r="831" spans="1:81" ht="9.75" hidden="1" customHeight="1" outlineLevel="1" x14ac:dyDescent="0.25">
      <c r="A831" s="10" t="b">
        <f t="array" ref="A831">A830</f>
        <v>1</v>
      </c>
      <c r="C831" s="10" t="s">
        <v>113</v>
      </c>
      <c r="D831" s="10" t="s">
        <v>114</v>
      </c>
      <c r="E831" s="10" t="s">
        <v>134</v>
      </c>
      <c r="F831" s="11" t="s">
        <v>74</v>
      </c>
      <c r="G831" s="10" t="s">
        <v>73</v>
      </c>
      <c r="H831" s="10" t="s">
        <v>73</v>
      </c>
      <c r="I831" s="10" t="s">
        <v>73</v>
      </c>
      <c r="K831" s="12" t="s">
        <v>73</v>
      </c>
      <c r="L831" s="10" t="s">
        <v>135</v>
      </c>
      <c r="M831" s="5" t="str">
        <f t="array" ref="M831">Y818</f>
        <v>1ХВС::1.1</v>
      </c>
      <c r="AB831" s="29" t="str">
        <f>AB821&amp;".2"</f>
        <v>1.2</v>
      </c>
      <c r="AC831" s="80" t="s">
        <v>134</v>
      </c>
      <c r="AD831" s="51"/>
      <c r="AE831" s="1006" t="e">
        <f>[1]Индексы!AH784-1</f>
        <v>#REF!</v>
      </c>
      <c r="AF831" s="1007" t="e">
        <f>[1]Индексы!AI784-1</f>
        <v>#REF!</v>
      </c>
      <c r="AG831" s="1007" t="e">
        <f>[1]Индексы!AK784-1</f>
        <v>#REF!</v>
      </c>
      <c r="AH831" s="1008"/>
      <c r="AI831" s="1012"/>
      <c r="AJ831" s="1013"/>
      <c r="AK831" s="1013"/>
      <c r="AL831" s="1014"/>
      <c r="AM831" s="1012"/>
      <c r="AN831" s="1013"/>
      <c r="AO831" s="1013"/>
      <c r="AP831" s="1014"/>
      <c r="AQ831" s="1012"/>
      <c r="AR831" s="1013"/>
      <c r="AS831" s="1013"/>
      <c r="AT831" s="1014"/>
      <c r="AU831" s="1012"/>
      <c r="AV831" s="1013"/>
      <c r="AW831" s="1013"/>
      <c r="AX831" s="1014"/>
      <c r="AY831" s="1012"/>
      <c r="AZ831" s="1013"/>
      <c r="BA831" s="1013"/>
      <c r="BB831" s="1016"/>
      <c r="BC831" s="1017"/>
      <c r="BD831" s="1013"/>
      <c r="BE831" s="1013"/>
      <c r="BF831" s="1016"/>
      <c r="BG831" s="1017"/>
      <c r="BH831" s="1013"/>
      <c r="BI831" s="1013"/>
      <c r="BJ831" s="1016"/>
      <c r="BK831" s="1017"/>
      <c r="BL831" s="1013"/>
      <c r="BM831" s="1013"/>
      <c r="BN831" s="1016"/>
      <c r="BO831" s="1017"/>
      <c r="BP831" s="1013"/>
      <c r="BQ831" s="1013"/>
      <c r="BR831" s="1016"/>
      <c r="BS831" s="1017"/>
      <c r="BT831" s="1013"/>
      <c r="BU831" s="1013"/>
      <c r="BV831" s="1014"/>
      <c r="BY831" s="718"/>
      <c r="BZ831" s="719"/>
      <c r="CA831" s="719"/>
      <c r="CB831" s="720"/>
    </row>
    <row r="832" spans="1:81" s="115" customFormat="1" ht="22.35" customHeight="1" collapsed="1" x14ac:dyDescent="0.25">
      <c r="A832" s="99" t="b">
        <f>$U818="Водоснабжение"</f>
        <v>1</v>
      </c>
      <c r="B832" s="100"/>
      <c r="C832" s="100" t="s">
        <v>75</v>
      </c>
      <c r="D832" s="99" t="s">
        <v>76</v>
      </c>
      <c r="E832" s="100"/>
      <c r="F832" s="101" t="s">
        <v>74</v>
      </c>
      <c r="G832" s="99" t="s">
        <v>73</v>
      </c>
      <c r="H832" s="99" t="s">
        <v>73</v>
      </c>
      <c r="I832" s="99" t="s">
        <v>73</v>
      </c>
      <c r="J832" s="100"/>
      <c r="K832" s="102" t="s">
        <v>73</v>
      </c>
      <c r="L832" s="100"/>
      <c r="M832" s="100" t="str">
        <f t="array" ref="M832">Y818</f>
        <v>1ХВС::1.1</v>
      </c>
      <c r="N832" s="100"/>
      <c r="O832" s="100"/>
      <c r="P832" s="100"/>
      <c r="Q832" s="100"/>
      <c r="R832" s="100"/>
      <c r="S832" s="100"/>
      <c r="T832" s="100"/>
      <c r="U832" s="100"/>
      <c r="V832" s="100"/>
      <c r="W832" s="100"/>
      <c r="X832" s="100"/>
      <c r="Y832" s="100"/>
      <c r="Z832" s="100"/>
      <c r="AA832" s="100"/>
      <c r="AB832" s="103">
        <f>AB821+1</f>
        <v>2</v>
      </c>
      <c r="AC832" s="104" t="s">
        <v>136</v>
      </c>
      <c r="AD832" s="105" t="s">
        <v>137</v>
      </c>
      <c r="AE832" s="1009">
        <f>AE842</f>
        <v>38698.873999999996</v>
      </c>
      <c r="AF832" s="1010">
        <f t="array" ref="AF832">AF842</f>
        <v>39968.152999999998</v>
      </c>
      <c r="AG832" s="1010">
        <f t="array" ref="AG832">AG842</f>
        <v>39196.345999999998</v>
      </c>
      <c r="AH832" s="1015">
        <f t="array" ref="AH832">AH842</f>
        <v>39197.345999999998</v>
      </c>
      <c r="AI832" s="1009">
        <v>43.671999999999997</v>
      </c>
      <c r="AJ832" s="1010">
        <f t="array" ref="AJ832">AJ842</f>
        <v>146.62</v>
      </c>
      <c r="AK832" s="1010">
        <v>48.451999999999998</v>
      </c>
      <c r="AL832" s="1015">
        <f>AL835</f>
        <v>162.69200000000001</v>
      </c>
      <c r="AM832" s="1009">
        <f>AM842</f>
        <v>963.97199999999998</v>
      </c>
      <c r="AN832" s="1010">
        <f t="array" ref="AN832">AN842</f>
        <v>1256.9399999999998</v>
      </c>
      <c r="AO832" s="1010">
        <f t="array" ref="AO832">AO842</f>
        <v>1181.3140000000001</v>
      </c>
      <c r="AP832" s="1015">
        <f t="array" ref="AP832">AP842</f>
        <v>1133.7800000000002</v>
      </c>
      <c r="AQ832" s="1009">
        <f>AQ842</f>
        <v>2074.3290000000002</v>
      </c>
      <c r="AR832" s="1010">
        <f t="array" ref="AR832">AR842</f>
        <v>2015.32</v>
      </c>
      <c r="AS832" s="1010">
        <f t="array" ref="AS832">AS842</f>
        <v>1989.98</v>
      </c>
      <c r="AT832" s="1015">
        <f>AT842</f>
        <v>2156.98</v>
      </c>
      <c r="AU832" s="1009">
        <f>AU842</f>
        <v>397.2</v>
      </c>
      <c r="AV832" s="1010">
        <f t="array" ref="AV832">AV842</f>
        <v>451.38</v>
      </c>
      <c r="AW832" s="1010">
        <f t="array" ref="AW832">AW842</f>
        <v>404.13</v>
      </c>
      <c r="AX832" s="1015">
        <f t="array" ref="AX832">AX842</f>
        <v>436.24</v>
      </c>
      <c r="AY832" s="1009">
        <f>AY842</f>
        <v>2405.29</v>
      </c>
      <c r="AZ832" s="1010">
        <f t="array" ref="AZ832">AZ842</f>
        <v>3069.1800000000003</v>
      </c>
      <c r="BA832" s="1010">
        <f t="array" ref="BA832">BA842</f>
        <v>2263</v>
      </c>
      <c r="BB832" s="1015">
        <f t="array" ref="BB832">BB842</f>
        <v>3069.1800000000003</v>
      </c>
      <c r="BC832" s="1009">
        <f>BC842</f>
        <v>690.21</v>
      </c>
      <c r="BD832" s="1010">
        <f t="array" ref="BD832">BD842</f>
        <v>711.46</v>
      </c>
      <c r="BE832" s="1010">
        <f t="array" ref="BE832">BE842</f>
        <v>698.69400000000007</v>
      </c>
      <c r="BF832" s="1015">
        <f t="shared" ref="BF832:BF838" si="306">BF109</f>
        <v>747.7059999999999</v>
      </c>
      <c r="BG832" s="1009">
        <f>BG842</f>
        <v>3021.7509999999997</v>
      </c>
      <c r="BH832" s="1010">
        <f t="array" ref="BH832">BH842</f>
        <v>3131.2299999999996</v>
      </c>
      <c r="BI832" s="1010">
        <f t="array" ref="BI832">BI842</f>
        <v>3087.08</v>
      </c>
      <c r="BJ832" s="1015">
        <f t="array" ref="BJ832">BJ842</f>
        <v>3131.2299999999996</v>
      </c>
      <c r="BK832" s="1009">
        <f>BK842</f>
        <v>2860.13</v>
      </c>
      <c r="BL832" s="1010">
        <f t="array" ref="BL832">BL842</f>
        <v>2622.1080000000002</v>
      </c>
      <c r="BM832" s="1010">
        <f t="array" ref="BM832">BM842</f>
        <v>2901.5319999999997</v>
      </c>
      <c r="BN832" s="1015">
        <f t="array" ref="BN832">BN842</f>
        <v>2902.5319999999997</v>
      </c>
      <c r="BO832" s="1009">
        <f>BO842</f>
        <v>147.51999999999998</v>
      </c>
      <c r="BP832" s="1010">
        <f t="array" ref="BP832">BP842</f>
        <v>176.34000000000003</v>
      </c>
      <c r="BQ832" s="1010">
        <f t="array" ref="BQ832:BR832">BQ842</f>
        <v>149.10000000000002</v>
      </c>
      <c r="BR832" s="1046">
        <v>149.10000000000002</v>
      </c>
      <c r="BS832" s="1009">
        <f>BS842</f>
        <v>288.71999999999997</v>
      </c>
      <c r="BT832" s="1010">
        <f t="array" ref="BT832">BT842</f>
        <v>366.76</v>
      </c>
      <c r="BU832" s="1010">
        <f t="array" ref="BU832">BU842</f>
        <v>291.03999999999996</v>
      </c>
      <c r="BV832" s="1011">
        <f>BV842</f>
        <v>366.76</v>
      </c>
      <c r="BW832" s="111"/>
      <c r="BX832" s="100"/>
      <c r="BY832" s="756">
        <f t="shared" ref="BY832:BY848" si="307">AE832+AI832+AM832+AQ832+AU832+AY832+BC832+BG832+BK832+BO832+BS832</f>
        <v>51591.667999999983</v>
      </c>
      <c r="BZ832" s="757">
        <f t="shared" ref="BZ832:BZ848" si="308">AF832+AJ832+AN832+AR832+AV832+AZ832+BD832+BH832+BL832+BP832+BT832</f>
        <v>53915.490999999995</v>
      </c>
      <c r="CA832" s="757">
        <f t="shared" ref="CA832:CB848" si="309">AG832+AK832+AO832+AS832+AW832+BA832+BE832+BI832+BM832+BQ832+BU832</f>
        <v>52210.667999999998</v>
      </c>
      <c r="CB832" s="758">
        <f t="shared" si="309"/>
        <v>53453.545999999995</v>
      </c>
      <c r="CC832" s="759"/>
    </row>
    <row r="833" spans="1:81" ht="14.25" customHeight="1" outlineLevel="2" x14ac:dyDescent="0.25">
      <c r="A833" s="10" t="b">
        <f>AND(A832)</f>
        <v>1</v>
      </c>
      <c r="B833" s="5" t="b">
        <f>AND(OR(isFIRST_PERIOD="да",$AD$56="нет"),A832)</f>
        <v>1</v>
      </c>
      <c r="C833" s="69" t="s">
        <v>78</v>
      </c>
      <c r="D833" s="70" t="s">
        <v>79</v>
      </c>
      <c r="E833" s="70" t="s">
        <v>73</v>
      </c>
      <c r="F833" s="116" t="s">
        <v>74</v>
      </c>
      <c r="G833" s="70" t="s">
        <v>73</v>
      </c>
      <c r="H833" s="70" t="s">
        <v>73</v>
      </c>
      <c r="I833" s="70" t="s">
        <v>73</v>
      </c>
      <c r="J833" s="70" t="s">
        <v>73</v>
      </c>
      <c r="K833" s="70" t="s">
        <v>73</v>
      </c>
      <c r="L833" s="70"/>
      <c r="M833" s="5" t="str">
        <f t="array" ref="M833">Y818</f>
        <v>1ХВС::1.1</v>
      </c>
      <c r="N833" s="70"/>
      <c r="AB833" s="29" t="str">
        <f>AB832&amp;".I"</f>
        <v>2.I</v>
      </c>
      <c r="AC833" s="117" t="s">
        <v>138</v>
      </c>
      <c r="AD833" s="118" t="s">
        <v>137</v>
      </c>
      <c r="AE833" s="66">
        <v>19593.026999999998</v>
      </c>
      <c r="AF833" s="67">
        <v>19106.952000000001</v>
      </c>
      <c r="AG833" s="67">
        <v>19850.718000000001</v>
      </c>
      <c r="AH833" s="119">
        <v>19598.672999999999</v>
      </c>
      <c r="AI833" s="66">
        <v>72.802000000000007</v>
      </c>
      <c r="AJ833" s="67">
        <f>AJ832/2</f>
        <v>73.31</v>
      </c>
      <c r="AK833" s="67">
        <v>80.861999999999995</v>
      </c>
      <c r="AL833" s="119">
        <f>AL832/2</f>
        <v>81.346000000000004</v>
      </c>
      <c r="AM833" s="66">
        <v>517.48599999999999</v>
      </c>
      <c r="AN833" s="67">
        <v>514.5</v>
      </c>
      <c r="AO833" s="67">
        <v>626.15700000000004</v>
      </c>
      <c r="AP833" s="119">
        <f>AP835/12*9</f>
        <v>953.41499999999996</v>
      </c>
      <c r="AQ833" s="66">
        <v>1037.165</v>
      </c>
      <c r="AR833" s="67">
        <v>1007.66</v>
      </c>
      <c r="AS833" s="67">
        <v>994.99</v>
      </c>
      <c r="AT833" s="119">
        <v>1772.64</v>
      </c>
      <c r="AU833" s="66">
        <v>198.6</v>
      </c>
      <c r="AV833" s="67">
        <v>225.65</v>
      </c>
      <c r="AW833" s="67">
        <v>202.065</v>
      </c>
      <c r="AX833" s="119">
        <f>AX835/12*9</f>
        <v>394.42499999999995</v>
      </c>
      <c r="AY833" s="66">
        <v>1202.645</v>
      </c>
      <c r="AZ833" s="67">
        <v>1534.59</v>
      </c>
      <c r="BA833" s="67">
        <v>1131.5</v>
      </c>
      <c r="BB833" s="119">
        <f>BB835/12*9</f>
        <v>2626.5225000000005</v>
      </c>
      <c r="BC833" s="66">
        <v>345.10500000000002</v>
      </c>
      <c r="BD833" s="67">
        <f>BD832/2</f>
        <v>355.73</v>
      </c>
      <c r="BE833" s="67">
        <v>349.34699999999998</v>
      </c>
      <c r="BF833" s="119">
        <f t="shared" si="306"/>
        <v>566.11699999999996</v>
      </c>
      <c r="BG833" s="66">
        <f>BG832/2</f>
        <v>1510.8754999999999</v>
      </c>
      <c r="BH833" s="67">
        <f>BH832/2</f>
        <v>1565.6149999999998</v>
      </c>
      <c r="BI833" s="67">
        <f>BI832/2</f>
        <v>1543.54</v>
      </c>
      <c r="BJ833" s="67">
        <f>BJ832/2</f>
        <v>1565.6149999999998</v>
      </c>
      <c r="BK833" s="66">
        <v>1430.02</v>
      </c>
      <c r="BL833" s="67">
        <v>1311.0540000000001</v>
      </c>
      <c r="BM833" s="67">
        <v>1450.7660000000001</v>
      </c>
      <c r="BN833" s="119">
        <v>1450.7660000000001</v>
      </c>
      <c r="BO833" s="123">
        <v>73.760000000000005</v>
      </c>
      <c r="BP833" s="121">
        <v>88.17</v>
      </c>
      <c r="BQ833" s="121">
        <v>74.55</v>
      </c>
      <c r="BR833" s="122">
        <v>88.17</v>
      </c>
      <c r="BS833" s="123">
        <v>144.36000000000001</v>
      </c>
      <c r="BT833" s="121">
        <v>183.38</v>
      </c>
      <c r="BU833" s="121">
        <v>145.52000000000001</v>
      </c>
      <c r="BV833" s="124">
        <v>183.38</v>
      </c>
      <c r="BY833" s="125">
        <f t="shared" si="307"/>
        <v>26125.845499999996</v>
      </c>
      <c r="BZ833" s="126">
        <f t="shared" si="308"/>
        <v>25966.611000000004</v>
      </c>
      <c r="CA833" s="126">
        <f t="shared" si="309"/>
        <v>26450.015000000003</v>
      </c>
      <c r="CB833" s="127">
        <f>AH833+AL833+AP833+AT833+AX833+BB833+BF833+BJ833+BN833+BR833+BV833</f>
        <v>29281.069499999998</v>
      </c>
    </row>
    <row r="834" spans="1:81" ht="19.899999999999999" customHeight="1" outlineLevel="2" x14ac:dyDescent="0.25">
      <c r="A834" s="10" t="b">
        <f>AND(A832)</f>
        <v>1</v>
      </c>
      <c r="B834" s="5" t="b">
        <f>AND(OR(isFIRST_PERIOD="да",$AD$56="нет"),A832)</f>
        <v>1</v>
      </c>
      <c r="C834" s="69" t="s">
        <v>81</v>
      </c>
      <c r="D834" s="70" t="s">
        <v>82</v>
      </c>
      <c r="E834" s="70" t="s">
        <v>73</v>
      </c>
      <c r="F834" s="116" t="s">
        <v>74</v>
      </c>
      <c r="G834" s="70" t="s">
        <v>73</v>
      </c>
      <c r="H834" s="70" t="s">
        <v>73</v>
      </c>
      <c r="I834" s="70" t="s">
        <v>73</v>
      </c>
      <c r="J834" s="70" t="s">
        <v>73</v>
      </c>
      <c r="K834" s="70" t="s">
        <v>73</v>
      </c>
      <c r="L834" s="70"/>
      <c r="M834" s="5" t="str">
        <f t="array" ref="M834">Y818</f>
        <v>1ХВС::1.1</v>
      </c>
      <c r="N834" s="70"/>
      <c r="AB834" s="29" t="str">
        <f>AB832&amp;".II"</f>
        <v>2.II</v>
      </c>
      <c r="AC834" s="117" t="s">
        <v>139</v>
      </c>
      <c r="AD834" s="118" t="s">
        <v>137</v>
      </c>
      <c r="AE834" s="66">
        <v>19593.026999999998</v>
      </c>
      <c r="AF834" s="67">
        <v>20861.201000000001</v>
      </c>
      <c r="AG834" s="67">
        <v>19850.718000000001</v>
      </c>
      <c r="AH834" s="119">
        <v>19598.672999999999</v>
      </c>
      <c r="AI834" s="66">
        <v>72.802000000000007</v>
      </c>
      <c r="AJ834" s="67">
        <f>AJ832-AJ833</f>
        <v>73.31</v>
      </c>
      <c r="AK834" s="67">
        <v>80.861999999999995</v>
      </c>
      <c r="AL834" s="119">
        <f>AL832/2</f>
        <v>81.346000000000004</v>
      </c>
      <c r="AM834" s="66">
        <v>517.48599999999999</v>
      </c>
      <c r="AN834" s="67">
        <v>813.44</v>
      </c>
      <c r="AO834" s="67">
        <v>626.15700000000004</v>
      </c>
      <c r="AP834" s="119">
        <f>AP835/12*3</f>
        <v>317.80500000000001</v>
      </c>
      <c r="AQ834" s="66">
        <v>1037.165</v>
      </c>
      <c r="AR834" s="67">
        <v>1007.66</v>
      </c>
      <c r="AS834" s="67">
        <v>994.99</v>
      </c>
      <c r="AT834" s="119">
        <v>590.88</v>
      </c>
      <c r="AU834" s="66">
        <v>198.6</v>
      </c>
      <c r="AV834" s="67">
        <v>225.73</v>
      </c>
      <c r="AW834" s="67">
        <v>202.065</v>
      </c>
      <c r="AX834" s="119">
        <f>AX835/12*3</f>
        <v>131.47499999999999</v>
      </c>
      <c r="AY834" s="66">
        <v>1202.645</v>
      </c>
      <c r="AZ834" s="67">
        <v>1534.59</v>
      </c>
      <c r="BA834" s="67">
        <v>1131.5</v>
      </c>
      <c r="BB834" s="119">
        <f>BB835/12*3</f>
        <v>875.50750000000016</v>
      </c>
      <c r="BC834" s="66">
        <v>345.10500000000002</v>
      </c>
      <c r="BD834" s="67">
        <f>BD832-BD833</f>
        <v>355.73</v>
      </c>
      <c r="BE834" s="67">
        <v>349.34699999999998</v>
      </c>
      <c r="BF834" s="119">
        <f t="shared" si="306"/>
        <v>181.589</v>
      </c>
      <c r="BG834" s="66">
        <f>BG832-BG833</f>
        <v>1510.8754999999999</v>
      </c>
      <c r="BH834" s="67">
        <f>BH832-BH833</f>
        <v>1565.6149999999998</v>
      </c>
      <c r="BI834" s="67">
        <f>BI832-BI833</f>
        <v>1543.54</v>
      </c>
      <c r="BJ834" s="67">
        <f>BJ832-BJ833</f>
        <v>1565.6149999999998</v>
      </c>
      <c r="BK834" s="66">
        <v>1430.11</v>
      </c>
      <c r="BL834" s="67">
        <v>1311.0540000000001</v>
      </c>
      <c r="BM834" s="67">
        <v>1450.7660000000001</v>
      </c>
      <c r="BN834" s="119">
        <v>1450.7660000000001</v>
      </c>
      <c r="BO834" s="123">
        <v>76.73</v>
      </c>
      <c r="BP834" s="121">
        <v>88.17</v>
      </c>
      <c r="BQ834" s="121">
        <v>74.55</v>
      </c>
      <c r="BR834" s="122">
        <v>88.17</v>
      </c>
      <c r="BS834" s="123">
        <v>144.36000000000001</v>
      </c>
      <c r="BT834" s="121">
        <v>183.38</v>
      </c>
      <c r="BU834" s="121">
        <v>145.52000000000001</v>
      </c>
      <c r="BV834" s="124">
        <v>183.38</v>
      </c>
      <c r="BY834" s="125">
        <f t="shared" si="307"/>
        <v>26128.905499999997</v>
      </c>
      <c r="BZ834" s="126">
        <f t="shared" si="308"/>
        <v>28019.879999999997</v>
      </c>
      <c r="CA834" s="126">
        <f t="shared" si="309"/>
        <v>26450.015000000003</v>
      </c>
      <c r="CB834" s="127">
        <f>AH834+AL834+AP834+AT834+AX834+BB834+BF834+BJ834+BN834+BR834+BV834</f>
        <v>25065.2065</v>
      </c>
    </row>
    <row r="835" spans="1:81" s="115" customFormat="1" ht="22.5" customHeight="1" outlineLevel="3" x14ac:dyDescent="0.25">
      <c r="A835" s="99" t="b">
        <f>AND($U818="Водоснабжение",$T818&lt;&gt;"Тариф на транспортировку воды")</f>
        <v>1</v>
      </c>
      <c r="B835" s="100"/>
      <c r="C835" s="128" t="s">
        <v>140</v>
      </c>
      <c r="D835" s="128" t="s">
        <v>141</v>
      </c>
      <c r="E835" s="129" t="s">
        <v>142</v>
      </c>
      <c r="F835" s="129" t="s">
        <v>74</v>
      </c>
      <c r="G835" s="129" t="s">
        <v>73</v>
      </c>
      <c r="H835" s="129" t="s">
        <v>73</v>
      </c>
      <c r="I835" s="129" t="s">
        <v>73</v>
      </c>
      <c r="J835" s="129" t="s">
        <v>73</v>
      </c>
      <c r="K835" s="129" t="s">
        <v>73</v>
      </c>
      <c r="L835" s="129"/>
      <c r="M835" s="100" t="str">
        <f t="array" ref="M835">Y818</f>
        <v>1ХВС::1.1</v>
      </c>
      <c r="N835" s="129"/>
      <c r="O835" s="100"/>
      <c r="P835" s="100"/>
      <c r="Q835" s="100"/>
      <c r="R835" s="100"/>
      <c r="S835" s="100"/>
      <c r="T835" s="100"/>
      <c r="U835" s="100"/>
      <c r="V835" s="100"/>
      <c r="W835" s="100"/>
      <c r="X835" s="100"/>
      <c r="Y835" s="99">
        <v>1</v>
      </c>
      <c r="Z835" s="100"/>
      <c r="AA835" s="100"/>
      <c r="AB835" s="103" t="str">
        <f>AB832&amp;".1"</f>
        <v>2.1</v>
      </c>
      <c r="AC835" s="130" t="s">
        <v>143</v>
      </c>
      <c r="AD835" s="105" t="s">
        <v>137</v>
      </c>
      <c r="AE835" s="106">
        <f>AE836+AE838-AE837</f>
        <v>51921.39699999999</v>
      </c>
      <c r="AF835" s="107">
        <f>AF836+AF838-AF837</f>
        <v>53402.006000000001</v>
      </c>
      <c r="AG835" s="107">
        <f>AG836+AG838-AG837</f>
        <v>52582.745999999999</v>
      </c>
      <c r="AH835" s="109">
        <f>AH836+AH838-AH837</f>
        <v>52136.911</v>
      </c>
      <c r="AI835" s="106">
        <v>50.241</v>
      </c>
      <c r="AJ835" s="107">
        <v>186.62</v>
      </c>
      <c r="AK835" s="107">
        <v>60.101999999999997</v>
      </c>
      <c r="AL835" s="109">
        <v>162.69200000000001</v>
      </c>
      <c r="AM835" s="106">
        <f t="shared" ref="AM835:BB835" si="310">AM836+AM838-AM837</f>
        <v>1082.2929999999999</v>
      </c>
      <c r="AN835" s="107">
        <f t="shared" si="310"/>
        <v>1314.34</v>
      </c>
      <c r="AO835" s="107">
        <f t="shared" si="310"/>
        <v>1277.3260000000002</v>
      </c>
      <c r="AP835" s="109">
        <f t="shared" si="310"/>
        <v>1271.22</v>
      </c>
      <c r="AQ835" s="106">
        <f t="shared" si="310"/>
        <v>2656.7220000000002</v>
      </c>
      <c r="AR835" s="107">
        <f t="shared" si="310"/>
        <v>2231.19</v>
      </c>
      <c r="AS835" s="107">
        <f t="shared" si="310"/>
        <v>2540.08</v>
      </c>
      <c r="AT835" s="109">
        <f t="shared" si="310"/>
        <v>2363.52</v>
      </c>
      <c r="AU835" s="106">
        <f t="shared" si="310"/>
        <v>0</v>
      </c>
      <c r="AV835" s="107">
        <f t="shared" si="310"/>
        <v>0</v>
      </c>
      <c r="AW835" s="107">
        <f t="shared" si="310"/>
        <v>0</v>
      </c>
      <c r="AX835" s="109">
        <f t="shared" si="310"/>
        <v>525.9</v>
      </c>
      <c r="AY835" s="106">
        <f t="shared" si="310"/>
        <v>7733.2</v>
      </c>
      <c r="AZ835" s="107">
        <f t="shared" si="310"/>
        <v>3502.03</v>
      </c>
      <c r="BA835" s="107">
        <f t="shared" si="310"/>
        <v>7474.4679999999998</v>
      </c>
      <c r="BB835" s="109">
        <f t="shared" si="310"/>
        <v>3502.03</v>
      </c>
      <c r="BC835" s="106">
        <v>1228.79</v>
      </c>
      <c r="BD835" s="107">
        <f>BD836+BD838-BD837</f>
        <v>711.46</v>
      </c>
      <c r="BE835" s="107">
        <v>1207.6300000000001</v>
      </c>
      <c r="BF835" s="109">
        <f t="shared" si="306"/>
        <v>817.03</v>
      </c>
      <c r="BG835" s="106">
        <f t="shared" ref="BG835:BM835" si="311">BG836+BG838-BG837</f>
        <v>7622.241</v>
      </c>
      <c r="BH835" s="107">
        <f t="shared" si="311"/>
        <v>3559.0279999999993</v>
      </c>
      <c r="BI835" s="107">
        <f t="shared" si="311"/>
        <v>6937.8570000000009</v>
      </c>
      <c r="BJ835" s="109">
        <f t="shared" si="311"/>
        <v>3559.0279999999993</v>
      </c>
      <c r="BK835" s="106">
        <f t="shared" si="311"/>
        <v>4600.8900000000003</v>
      </c>
      <c r="BL835" s="107">
        <f t="shared" si="311"/>
        <v>4542.6880000000001</v>
      </c>
      <c r="BM835" s="107">
        <f t="shared" si="311"/>
        <v>4639.9389999999994</v>
      </c>
      <c r="BN835" s="109">
        <f t="shared" ref="BN835" si="312">BN836+BN838-BN837</f>
        <v>4641.9389999999994</v>
      </c>
      <c r="BO835" s="134">
        <f>BO836+BO838-BO837</f>
        <v>266.57</v>
      </c>
      <c r="BP835" s="132">
        <f>BP836+BP838-BP837</f>
        <v>204.50000000000003</v>
      </c>
      <c r="BQ835" s="132">
        <f>BQ836+BQ838-BQ837</f>
        <v>256.42400000000004</v>
      </c>
      <c r="BR835" s="133">
        <f>BR836+BR837+BR838</f>
        <v>209.95400000000004</v>
      </c>
      <c r="BS835" s="134">
        <f>BS836+BS838-BS837</f>
        <v>467.52</v>
      </c>
      <c r="BT835" s="132">
        <f>BT836+BT838-BT837</f>
        <v>400</v>
      </c>
      <c r="BU835" s="132">
        <f>BU836+BU838-BU837</f>
        <v>450.05799999999999</v>
      </c>
      <c r="BV835" s="135">
        <f>BV836+BV838-BV837</f>
        <v>400</v>
      </c>
      <c r="BW835" s="111"/>
      <c r="BX835" s="100"/>
      <c r="BY835" s="112">
        <f t="shared" si="307"/>
        <v>77629.864000000001</v>
      </c>
      <c r="BZ835" s="113">
        <f t="shared" si="308"/>
        <v>70053.861999999994</v>
      </c>
      <c r="CA835" s="113">
        <f t="shared" si="309"/>
        <v>77426.63</v>
      </c>
      <c r="CB835" s="114">
        <f t="shared" si="309"/>
        <v>69590.224000000002</v>
      </c>
      <c r="CC835" s="759"/>
    </row>
    <row r="836" spans="1:81" ht="14.25" customHeight="1" outlineLevel="3" x14ac:dyDescent="0.25">
      <c r="A836" s="10" t="b">
        <f>AND($U818="Водоснабжение",$T818&lt;&gt;"Тариф на транспортировку воды",region_name&lt;&gt;"Белгородская область")</f>
        <v>1</v>
      </c>
      <c r="C836" s="136" t="s">
        <v>140</v>
      </c>
      <c r="D836" s="136" t="s">
        <v>141</v>
      </c>
      <c r="E836" s="116" t="s">
        <v>144</v>
      </c>
      <c r="F836" s="116" t="s">
        <v>74</v>
      </c>
      <c r="G836" s="116" t="s">
        <v>73</v>
      </c>
      <c r="H836" s="116" t="s">
        <v>73</v>
      </c>
      <c r="I836" s="116" t="s">
        <v>73</v>
      </c>
      <c r="J836" s="116" t="s">
        <v>73</v>
      </c>
      <c r="K836" s="116" t="s">
        <v>73</v>
      </c>
      <c r="L836" s="116"/>
      <c r="M836" s="5" t="str">
        <f t="array" ref="M836">Y818</f>
        <v>1ХВС::1.1</v>
      </c>
      <c r="N836" s="116"/>
      <c r="Y836" s="10">
        <f>COUNT($Y835:Y835)+1</f>
        <v>2</v>
      </c>
      <c r="AB836" s="29" t="str">
        <f>AB832&amp;"."&amp;Y836</f>
        <v>2.2</v>
      </c>
      <c r="AC836" s="71" t="str">
        <f>IF($AD$51="ФАС","Расходы на технологические нужды","Расходы и потери воды при производстве воды")</f>
        <v>Расходы на технологические нужды</v>
      </c>
      <c r="AD836" s="118" t="s">
        <v>137</v>
      </c>
      <c r="AE836" s="66">
        <v>3118.1640000000002</v>
      </c>
      <c r="AF836" s="67">
        <v>2943.7669999999998</v>
      </c>
      <c r="AG836" s="67">
        <v>3176.8029999999999</v>
      </c>
      <c r="AH836" s="119">
        <f>AH113</f>
        <v>2943.7669999999998</v>
      </c>
      <c r="AI836" s="66">
        <v>3.137</v>
      </c>
      <c r="AJ836" s="67">
        <v>33.200000000000003</v>
      </c>
      <c r="AK836" s="67">
        <v>6.0090000000000003</v>
      </c>
      <c r="AL836" s="119"/>
      <c r="AM836" s="66">
        <v>1.76</v>
      </c>
      <c r="AN836" s="67">
        <v>15.98</v>
      </c>
      <c r="AO836" s="67">
        <v>1.776</v>
      </c>
      <c r="AP836" s="119">
        <v>1.78</v>
      </c>
      <c r="AQ836" s="66">
        <v>34.5</v>
      </c>
      <c r="AR836" s="67">
        <v>1</v>
      </c>
      <c r="AS836" s="67">
        <v>30</v>
      </c>
      <c r="AT836" s="119">
        <v>30</v>
      </c>
      <c r="AU836" s="66">
        <v>0</v>
      </c>
      <c r="AV836" s="67">
        <v>0</v>
      </c>
      <c r="AW836" s="67">
        <v>0</v>
      </c>
      <c r="AX836" s="119">
        <v>3.6</v>
      </c>
      <c r="AY836" s="66">
        <v>0</v>
      </c>
      <c r="AZ836" s="67">
        <v>0</v>
      </c>
      <c r="BA836" s="67">
        <v>0</v>
      </c>
      <c r="BB836" s="119"/>
      <c r="BC836" s="66">
        <v>0</v>
      </c>
      <c r="BD836" s="67">
        <v>0</v>
      </c>
      <c r="BE836" s="67">
        <v>6.5000000000000002E-2</v>
      </c>
      <c r="BF836" s="119">
        <f t="shared" si="306"/>
        <v>7.0000000000000007E-2</v>
      </c>
      <c r="BG836" s="66">
        <v>52.74</v>
      </c>
      <c r="BH836" s="67">
        <v>28.097999999999999</v>
      </c>
      <c r="BI836" s="67">
        <v>54.06</v>
      </c>
      <c r="BJ836" s="119">
        <v>28.097999999999999</v>
      </c>
      <c r="BK836" s="66">
        <v>47.612000000000002</v>
      </c>
      <c r="BL836" s="67">
        <v>45.877000000000002</v>
      </c>
      <c r="BM836" s="67">
        <v>46</v>
      </c>
      <c r="BN836" s="119">
        <v>46</v>
      </c>
      <c r="BO836" s="123"/>
      <c r="BP836" s="121"/>
      <c r="BQ836" s="121"/>
      <c r="BR836" s="122"/>
      <c r="BS836" s="123">
        <v>10.9</v>
      </c>
      <c r="BT836" s="121"/>
      <c r="BU836" s="121">
        <v>5.8000000000000003E-2</v>
      </c>
      <c r="BV836" s="124"/>
      <c r="BY836" s="125">
        <f t="shared" si="307"/>
        <v>3268.8130000000006</v>
      </c>
      <c r="BZ836" s="126">
        <f t="shared" si="308"/>
        <v>3067.9219999999996</v>
      </c>
      <c r="CA836" s="126">
        <f t="shared" si="309"/>
        <v>3314.7709999999997</v>
      </c>
      <c r="CB836" s="127">
        <f t="shared" si="309"/>
        <v>3053.3150000000001</v>
      </c>
    </row>
    <row r="837" spans="1:81" ht="14.25" customHeight="1" outlineLevel="3" x14ac:dyDescent="0.25">
      <c r="A837" s="10" t="b">
        <f>$U818="Водоснабжение"</f>
        <v>1</v>
      </c>
      <c r="C837" s="136" t="s">
        <v>140</v>
      </c>
      <c r="D837" s="136" t="s">
        <v>141</v>
      </c>
      <c r="E837" s="116" t="s">
        <v>145</v>
      </c>
      <c r="F837" s="116" t="s">
        <v>74</v>
      </c>
      <c r="G837" s="116" t="s">
        <v>73</v>
      </c>
      <c r="H837" s="116" t="s">
        <v>73</v>
      </c>
      <c r="I837" s="116" t="s">
        <v>73</v>
      </c>
      <c r="J837" s="116" t="s">
        <v>73</v>
      </c>
      <c r="K837" s="116" t="s">
        <v>73</v>
      </c>
      <c r="L837" s="116"/>
      <c r="M837" s="5" t="str">
        <f t="array" ref="M837">Y818</f>
        <v>1ХВС::1.1</v>
      </c>
      <c r="N837" s="116"/>
      <c r="Y837" s="10">
        <f>COUNT($Y835:Y836)+1</f>
        <v>3</v>
      </c>
      <c r="AB837" s="29" t="str">
        <f>AB832&amp;"."&amp;Y837</f>
        <v>2.3</v>
      </c>
      <c r="AC837" s="71" t="str">
        <f>IF($T818="Тариф на транспортировку воды","Принято воды для передачи (транспортировки)","Получено воды со стороны")</f>
        <v>Получено воды со стороны</v>
      </c>
      <c r="AD837" s="118" t="s">
        <v>137</v>
      </c>
      <c r="AE837" s="66">
        <v>1069.5930000000001</v>
      </c>
      <c r="AF837" s="67">
        <v>1280.47</v>
      </c>
      <c r="AG837" s="67">
        <v>1066.671</v>
      </c>
      <c r="AH837" s="119">
        <f>AH114</f>
        <v>1280.47</v>
      </c>
      <c r="AI837" s="66"/>
      <c r="AJ837" s="67"/>
      <c r="AK837" s="67"/>
      <c r="AL837" s="119"/>
      <c r="AM837" s="66">
        <v>0</v>
      </c>
      <c r="AN837" s="67">
        <v>0</v>
      </c>
      <c r="AO837" s="67">
        <v>0</v>
      </c>
      <c r="AP837" s="119">
        <v>0</v>
      </c>
      <c r="AQ837" s="66">
        <v>0</v>
      </c>
      <c r="AR837" s="67">
        <v>0</v>
      </c>
      <c r="AS837" s="67">
        <v>0</v>
      </c>
      <c r="AT837" s="119">
        <v>71</v>
      </c>
      <c r="AU837" s="66">
        <v>399.11</v>
      </c>
      <c r="AV837" s="67">
        <v>493.2</v>
      </c>
      <c r="AW837" s="67">
        <v>415.79</v>
      </c>
      <c r="AX837" s="119"/>
      <c r="AY837" s="66">
        <v>0</v>
      </c>
      <c r="AZ837" s="67">
        <v>0</v>
      </c>
      <c r="BA837" s="67">
        <v>0</v>
      </c>
      <c r="BB837" s="119"/>
      <c r="BC837" s="66">
        <v>0</v>
      </c>
      <c r="BD837" s="67">
        <v>0</v>
      </c>
      <c r="BE837" s="67">
        <v>0</v>
      </c>
      <c r="BF837" s="119">
        <f t="shared" si="306"/>
        <v>0</v>
      </c>
      <c r="BG837" s="66">
        <v>0</v>
      </c>
      <c r="BH837" s="67">
        <v>0</v>
      </c>
      <c r="BI837" s="67">
        <v>0</v>
      </c>
      <c r="BJ837" s="119">
        <v>0</v>
      </c>
      <c r="BK837" s="66">
        <v>0</v>
      </c>
      <c r="BL837" s="67">
        <v>0</v>
      </c>
      <c r="BM837" s="67">
        <v>0</v>
      </c>
      <c r="BN837" s="119">
        <v>0</v>
      </c>
      <c r="BO837" s="123"/>
      <c r="BP837" s="121"/>
      <c r="BQ837" s="121"/>
      <c r="BR837" s="122"/>
      <c r="BS837" s="123"/>
      <c r="BT837" s="121"/>
      <c r="BU837" s="121"/>
      <c r="BV837" s="124"/>
      <c r="BY837" s="125">
        <f t="shared" si="307"/>
        <v>1468.703</v>
      </c>
      <c r="BZ837" s="126">
        <f t="shared" si="308"/>
        <v>1773.67</v>
      </c>
      <c r="CA837" s="126">
        <f t="shared" si="309"/>
        <v>1482.461</v>
      </c>
      <c r="CB837" s="127">
        <f t="shared" si="309"/>
        <v>1351.47</v>
      </c>
    </row>
    <row r="838" spans="1:81" ht="38.25" customHeight="1" outlineLevel="3" x14ac:dyDescent="0.25">
      <c r="A838" s="10" t="b">
        <f t="array" ref="A838">A837</f>
        <v>1</v>
      </c>
      <c r="C838" s="136" t="s">
        <v>140</v>
      </c>
      <c r="D838" s="136" t="s">
        <v>141</v>
      </c>
      <c r="E838" s="116" t="s">
        <v>146</v>
      </c>
      <c r="F838" s="116" t="s">
        <v>74</v>
      </c>
      <c r="G838" s="116" t="s">
        <v>73</v>
      </c>
      <c r="H838" s="116" t="s">
        <v>73</v>
      </c>
      <c r="I838" s="116" t="s">
        <v>73</v>
      </c>
      <c r="J838" s="116" t="s">
        <v>73</v>
      </c>
      <c r="K838" s="116" t="s">
        <v>73</v>
      </c>
      <c r="L838" s="116"/>
      <c r="M838" s="5" t="str">
        <f t="array" ref="M838">Y818</f>
        <v>1ХВС::1.1</v>
      </c>
      <c r="N838" s="116"/>
      <c r="Y838" s="10">
        <f>COUNT($Y835:Y837)+1</f>
        <v>4</v>
      </c>
      <c r="AB838" s="29" t="str">
        <f>AB832&amp;"."&amp;Y838</f>
        <v>2.4</v>
      </c>
      <c r="AC838" s="80" t="s">
        <v>146</v>
      </c>
      <c r="AD838" s="118" t="s">
        <v>137</v>
      </c>
      <c r="AE838" s="66">
        <f>AE842+AE839+AE840</f>
        <v>49872.825999999994</v>
      </c>
      <c r="AF838" s="67">
        <f>AF842+AF839+AF840</f>
        <v>51738.709000000003</v>
      </c>
      <c r="AG838" s="67">
        <f>AG842+AG839+AG840</f>
        <v>50472.614000000001</v>
      </c>
      <c r="AH838" s="119">
        <f>AH842+AH839+AH840</f>
        <v>50473.614000000001</v>
      </c>
      <c r="AI838" s="66">
        <v>47.103999999999999</v>
      </c>
      <c r="AJ838" s="67">
        <f>AJ842+AJ839+AJ840</f>
        <v>153.42000000000002</v>
      </c>
      <c r="AK838" s="67">
        <f>AK842+AK839+AK840</f>
        <v>54.092999999999996</v>
      </c>
      <c r="AL838" s="119">
        <v>162.69200000000001</v>
      </c>
      <c r="AM838" s="66">
        <f>AM842+AM839+AM840</f>
        <v>1080.5329999999999</v>
      </c>
      <c r="AN838" s="67">
        <f>AN842+AN839+AN840</f>
        <v>1298.3599999999999</v>
      </c>
      <c r="AO838" s="67">
        <f>AO842+AO839+AO840</f>
        <v>1275.5500000000002</v>
      </c>
      <c r="AP838" s="119">
        <v>1269.44</v>
      </c>
      <c r="AQ838" s="66">
        <v>2622.2220000000002</v>
      </c>
      <c r="AR838" s="67">
        <v>2230.19</v>
      </c>
      <c r="AS838" s="67">
        <v>2510.08</v>
      </c>
      <c r="AT838" s="119">
        <v>2404.52</v>
      </c>
      <c r="AU838" s="66">
        <f>AU842+AU839+AU840</f>
        <v>399.11</v>
      </c>
      <c r="AV838" s="67">
        <f>AV842+AV839+AV840</f>
        <v>493.2</v>
      </c>
      <c r="AW838" s="67">
        <f>AW842+AW839+AW840</f>
        <v>415.79</v>
      </c>
      <c r="AX838" s="119">
        <f>AX842+AX839+AX840</f>
        <v>522.29999999999995</v>
      </c>
      <c r="AY838" s="66">
        <v>7733.2</v>
      </c>
      <c r="AZ838" s="67">
        <v>3502.03</v>
      </c>
      <c r="BA838" s="67">
        <v>7474.4679999999998</v>
      </c>
      <c r="BB838" s="119">
        <v>3502.03</v>
      </c>
      <c r="BC838" s="66">
        <v>1228.79</v>
      </c>
      <c r="BD838" s="67">
        <f>BD842+BD839+BD840</f>
        <v>711.46</v>
      </c>
      <c r="BE838" s="67">
        <f>BE842+BE839+BE840</f>
        <v>1207.5650000000001</v>
      </c>
      <c r="BF838" s="119">
        <f t="shared" si="306"/>
        <v>816.96</v>
      </c>
      <c r="BG838" s="66">
        <f t="shared" ref="BG838:BM838" si="313">BG842+BG839+BG840</f>
        <v>7569.5010000000002</v>
      </c>
      <c r="BH838" s="67">
        <f t="shared" si="313"/>
        <v>3530.9299999999994</v>
      </c>
      <c r="BI838" s="67">
        <f t="shared" si="313"/>
        <v>6883.7970000000005</v>
      </c>
      <c r="BJ838" s="119">
        <f t="shared" si="313"/>
        <v>3530.9299999999994</v>
      </c>
      <c r="BK838" s="66">
        <f t="shared" si="313"/>
        <v>4553.2780000000002</v>
      </c>
      <c r="BL838" s="67">
        <f t="shared" si="313"/>
        <v>4496.8109999999997</v>
      </c>
      <c r="BM838" s="67">
        <f t="shared" si="313"/>
        <v>4593.9389999999994</v>
      </c>
      <c r="BN838" s="119">
        <f t="shared" ref="BN838" si="314">BN842+BN839+BN840</f>
        <v>4595.9389999999994</v>
      </c>
      <c r="BO838" s="123">
        <f>BO842+BO839+BO840</f>
        <v>266.57</v>
      </c>
      <c r="BP838" s="121">
        <f>BP842+BP839+BP840</f>
        <v>204.50000000000003</v>
      </c>
      <c r="BQ838" s="121">
        <f>BQ842+BQ839+BQ840</f>
        <v>256.42400000000004</v>
      </c>
      <c r="BR838" s="122">
        <f>BR840+BR842+BR839</f>
        <v>209.95400000000004</v>
      </c>
      <c r="BS838" s="123">
        <f>BS842+BS839+BS840</f>
        <v>456.62</v>
      </c>
      <c r="BT838" s="121">
        <f>BT842+BT839+BT840</f>
        <v>400</v>
      </c>
      <c r="BU838" s="121">
        <f>BU842+BU839+BU840</f>
        <v>450</v>
      </c>
      <c r="BV838" s="124">
        <f>BV842+BV839+BV840</f>
        <v>400</v>
      </c>
      <c r="BY838" s="125">
        <f t="shared" si="307"/>
        <v>75829.754000000001</v>
      </c>
      <c r="BZ838" s="126">
        <f t="shared" si="308"/>
        <v>68759.61</v>
      </c>
      <c r="CA838" s="126">
        <f t="shared" si="309"/>
        <v>75594.320000000007</v>
      </c>
      <c r="CB838" s="127">
        <f t="shared" si="309"/>
        <v>67888.379000000001</v>
      </c>
    </row>
    <row r="839" spans="1:81" ht="14.25" customHeight="1" outlineLevel="3" x14ac:dyDescent="0.25">
      <c r="A839" s="10" t="b">
        <f>AND($U818="Водоснабжение",$AD$51&lt;&gt;"ФАС")</f>
        <v>0</v>
      </c>
      <c r="C839" s="136" t="s">
        <v>140</v>
      </c>
      <c r="D839" s="136" t="s">
        <v>141</v>
      </c>
      <c r="E839" s="116" t="s">
        <v>147</v>
      </c>
      <c r="F839" s="116" t="s">
        <v>74</v>
      </c>
      <c r="G839" s="116" t="s">
        <v>73</v>
      </c>
      <c r="H839" s="116" t="s">
        <v>73</v>
      </c>
      <c r="I839" s="116" t="s">
        <v>73</v>
      </c>
      <c r="J839" s="116" t="s">
        <v>73</v>
      </c>
      <c r="K839" s="116" t="s">
        <v>73</v>
      </c>
      <c r="L839" s="116"/>
      <c r="M839" s="5" t="str">
        <f t="array" ref="M839">Y818</f>
        <v>1ХВС::1.1</v>
      </c>
      <c r="N839" s="116"/>
      <c r="Z839" s="6"/>
      <c r="AA839" s="6"/>
      <c r="AB839" s="29"/>
      <c r="AC839" s="87"/>
      <c r="AD839" s="51"/>
      <c r="AE839" s="66"/>
      <c r="AF839" s="67"/>
      <c r="AG839" s="67"/>
      <c r="AH839" s="119"/>
      <c r="AI839" s="66"/>
      <c r="AJ839" s="67"/>
      <c r="AK839" s="67"/>
      <c r="AL839" s="119"/>
      <c r="AM839" s="66"/>
      <c r="AN839" s="67"/>
      <c r="AO839" s="67"/>
      <c r="AP839" s="119"/>
      <c r="AQ839" s="66"/>
      <c r="AR839" s="67"/>
      <c r="AS839" s="67"/>
      <c r="AT839" s="119"/>
      <c r="AU839" s="66"/>
      <c r="AV839" s="67"/>
      <c r="AW839" s="67"/>
      <c r="AX839" s="119"/>
      <c r="AY839" s="66"/>
      <c r="AZ839" s="67"/>
      <c r="BA839" s="67"/>
      <c r="BB839" s="119"/>
      <c r="BC839" s="66"/>
      <c r="BD839" s="67"/>
      <c r="BE839" s="67"/>
      <c r="BF839" s="119"/>
      <c r="BG839" s="66"/>
      <c r="BH839" s="67"/>
      <c r="BI839" s="67"/>
      <c r="BJ839" s="119"/>
      <c r="BK839" s="66"/>
      <c r="BL839" s="67"/>
      <c r="BM839" s="67"/>
      <c r="BN839" s="119"/>
      <c r="BO839" s="123"/>
      <c r="BP839" s="121"/>
      <c r="BQ839" s="121"/>
      <c r="BR839" s="122"/>
      <c r="BS839" s="123"/>
      <c r="BT839" s="121"/>
      <c r="BU839" s="121"/>
      <c r="BV839" s="124"/>
      <c r="BY839" s="125">
        <f t="shared" si="307"/>
        <v>0</v>
      </c>
      <c r="BZ839" s="126">
        <f t="shared" si="308"/>
        <v>0</v>
      </c>
      <c r="CA839" s="126">
        <f t="shared" si="309"/>
        <v>0</v>
      </c>
      <c r="CB839" s="127">
        <f t="shared" si="309"/>
        <v>0</v>
      </c>
    </row>
    <row r="840" spans="1:81" ht="14.25" customHeight="1" outlineLevel="3" x14ac:dyDescent="0.25">
      <c r="A840" s="10" t="b">
        <f>$U818="Водоснабжение"</f>
        <v>1</v>
      </c>
      <c r="C840" s="136" t="s">
        <v>140</v>
      </c>
      <c r="D840" s="136" t="s">
        <v>141</v>
      </c>
      <c r="E840" s="116" t="s">
        <v>148</v>
      </c>
      <c r="F840" s="116" t="s">
        <v>74</v>
      </c>
      <c r="G840" s="116" t="s">
        <v>73</v>
      </c>
      <c r="H840" s="116" t="s">
        <v>73</v>
      </c>
      <c r="I840" s="116" t="s">
        <v>73</v>
      </c>
      <c r="J840" s="116" t="s">
        <v>73</v>
      </c>
      <c r="K840" s="116" t="s">
        <v>73</v>
      </c>
      <c r="L840" s="116"/>
      <c r="M840" s="5" t="str">
        <f t="array" ref="M840">Y818</f>
        <v>1ХВС::1.1</v>
      </c>
      <c r="N840" s="116"/>
      <c r="AB840" s="29" t="str">
        <f>IF($AD$51="ФАС",AB838&amp;".1",AB838&amp;".2")</f>
        <v>2.4.1</v>
      </c>
      <c r="AC840" s="87" t="s">
        <v>148</v>
      </c>
      <c r="AD840" s="118" t="s">
        <v>137</v>
      </c>
      <c r="AE840" s="66">
        <v>11173.951999999999</v>
      </c>
      <c r="AF840" s="67">
        <v>11770.556</v>
      </c>
      <c r="AG840" s="67">
        <v>11276.268</v>
      </c>
      <c r="AH840" s="119">
        <v>11276.268</v>
      </c>
      <c r="AI840" s="66">
        <v>3.4319999999999999</v>
      </c>
      <c r="AJ840" s="67">
        <v>6.8</v>
      </c>
      <c r="AK840" s="67">
        <v>5.641</v>
      </c>
      <c r="AL840" s="119">
        <v>2.1640000000000001</v>
      </c>
      <c r="AM840" s="66">
        <v>116.56100000000001</v>
      </c>
      <c r="AN840" s="67">
        <v>41.42</v>
      </c>
      <c r="AO840" s="67">
        <v>94.236000000000004</v>
      </c>
      <c r="AP840" s="119">
        <v>135.66</v>
      </c>
      <c r="AQ840" s="66">
        <v>547.89300000000003</v>
      </c>
      <c r="AR840" s="67">
        <v>214.87</v>
      </c>
      <c r="AS840" s="67">
        <v>520.1</v>
      </c>
      <c r="AT840" s="119">
        <v>247.54</v>
      </c>
      <c r="AU840" s="66">
        <v>1.91</v>
      </c>
      <c r="AV840" s="67">
        <v>41.82</v>
      </c>
      <c r="AW840" s="67">
        <v>11.66</v>
      </c>
      <c r="AX840" s="119">
        <v>86.06</v>
      </c>
      <c r="AY840" s="66">
        <v>5327.91</v>
      </c>
      <c r="AZ840" s="67">
        <v>432.85</v>
      </c>
      <c r="BA840" s="67">
        <v>5211.4679999999998</v>
      </c>
      <c r="BB840" s="119">
        <v>432.85</v>
      </c>
      <c r="BC840" s="66">
        <v>538.58000000000004</v>
      </c>
      <c r="BD840" s="67">
        <v>0</v>
      </c>
      <c r="BE840" s="67">
        <v>508.87099999999998</v>
      </c>
      <c r="BF840" s="119">
        <f>BF117</f>
        <v>69.260000000000005</v>
      </c>
      <c r="BG840" s="66">
        <v>4547.75</v>
      </c>
      <c r="BH840" s="67">
        <v>399.7</v>
      </c>
      <c r="BI840" s="67">
        <v>3796.7170000000001</v>
      </c>
      <c r="BJ840" s="119">
        <v>399.7</v>
      </c>
      <c r="BK840" s="66">
        <v>1693.1479999999999</v>
      </c>
      <c r="BL840" s="67">
        <v>1874.703</v>
      </c>
      <c r="BM840" s="67">
        <v>1692.4069999999999</v>
      </c>
      <c r="BN840" s="119">
        <v>1693.4069999999999</v>
      </c>
      <c r="BO840" s="123">
        <v>119.05</v>
      </c>
      <c r="BP840" s="121">
        <v>28.16</v>
      </c>
      <c r="BQ840" s="121">
        <v>107.324</v>
      </c>
      <c r="BR840" s="122">
        <v>33.613999999999997</v>
      </c>
      <c r="BS840" s="123">
        <v>167.9</v>
      </c>
      <c r="BT840" s="121">
        <v>33.24</v>
      </c>
      <c r="BU840" s="121">
        <v>158.96</v>
      </c>
      <c r="BV840" s="124">
        <v>33.24</v>
      </c>
      <c r="BY840" s="125">
        <f t="shared" si="307"/>
        <v>24238.086000000003</v>
      </c>
      <c r="BZ840" s="126">
        <f t="shared" si="308"/>
        <v>14844.119000000001</v>
      </c>
      <c r="CA840" s="126">
        <f t="shared" si="309"/>
        <v>23383.651999999998</v>
      </c>
      <c r="CB840" s="127">
        <f t="shared" si="309"/>
        <v>14409.763000000001</v>
      </c>
    </row>
    <row r="841" spans="1:81" ht="14.25" customHeight="1" outlineLevel="3" x14ac:dyDescent="0.25">
      <c r="A841" s="10" t="b">
        <f t="array" ref="A841">A840</f>
        <v>1</v>
      </c>
      <c r="C841" s="136" t="s">
        <v>149</v>
      </c>
      <c r="D841" s="136" t="s">
        <v>150</v>
      </c>
      <c r="E841" s="116" t="s">
        <v>73</v>
      </c>
      <c r="F841" s="116" t="s">
        <v>74</v>
      </c>
      <c r="G841" s="116" t="s">
        <v>73</v>
      </c>
      <c r="H841" s="116" t="s">
        <v>73</v>
      </c>
      <c r="I841" s="116" t="s">
        <v>73</v>
      </c>
      <c r="J841" s="116" t="s">
        <v>73</v>
      </c>
      <c r="K841" s="116" t="s">
        <v>73</v>
      </c>
      <c r="L841" s="116"/>
      <c r="M841" s="5" t="str">
        <f t="array" ref="M841">Y818</f>
        <v>1ХВС::1.1</v>
      </c>
      <c r="N841" s="116"/>
      <c r="AB841" s="29" t="str">
        <f>AB840&amp;".1"</f>
        <v>2.4.1.1</v>
      </c>
      <c r="AC841" s="137" t="s">
        <v>151</v>
      </c>
      <c r="AD841" s="118" t="s">
        <v>119</v>
      </c>
      <c r="AE841" s="72">
        <f t="shared" ref="AE841:AL841" si="315">(AE840*100)/AE838</f>
        <v>22.404890390610714</v>
      </c>
      <c r="AF841" s="73">
        <f t="shared" si="315"/>
        <v>22.749999424995316</v>
      </c>
      <c r="AG841" s="73">
        <f t="shared" si="315"/>
        <v>22.341359217099395</v>
      </c>
      <c r="AH841" s="138">
        <f t="shared" si="315"/>
        <v>22.340916582672286</v>
      </c>
      <c r="AI841" s="72">
        <f t="shared" si="315"/>
        <v>7.2860054347826084</v>
      </c>
      <c r="AJ841" s="73">
        <f t="shared" si="315"/>
        <v>4.432277408421327</v>
      </c>
      <c r="AK841" s="73">
        <f t="shared" si="315"/>
        <v>10.428336383635592</v>
      </c>
      <c r="AL841" s="138">
        <f t="shared" si="315"/>
        <v>1.3301207189044328</v>
      </c>
      <c r="AM841" s="72">
        <f t="shared" ref="AM841:AS841" si="316">(AM840*100)/AM838</f>
        <v>10.787361422557202</v>
      </c>
      <c r="AN841" s="73">
        <f t="shared" si="316"/>
        <v>3.1901783788779694</v>
      </c>
      <c r="AO841" s="73">
        <f t="shared" si="316"/>
        <v>7.3878718983967691</v>
      </c>
      <c r="AP841" s="138">
        <f t="shared" si="316"/>
        <v>10.686601966221325</v>
      </c>
      <c r="AQ841" s="72">
        <f t="shared" si="316"/>
        <v>20.894226346968335</v>
      </c>
      <c r="AR841" s="73">
        <f t="shared" si="316"/>
        <v>9.6346051233302994</v>
      </c>
      <c r="AS841" s="73">
        <f t="shared" si="316"/>
        <v>20.720455124936258</v>
      </c>
      <c r="AT841" s="138">
        <v>10.29</v>
      </c>
      <c r="AU841" s="72">
        <v>0.48</v>
      </c>
      <c r="AV841" s="73">
        <v>8.48</v>
      </c>
      <c r="AW841" s="73">
        <v>2.8</v>
      </c>
      <c r="AX841" s="138"/>
      <c r="AY841" s="72">
        <f t="shared" ref="AY841:BE841" si="317">(AY840*100)/AY838</f>
        <v>68.896575803031084</v>
      </c>
      <c r="AZ841" s="73">
        <f t="shared" si="317"/>
        <v>12.359974072180991</v>
      </c>
      <c r="BA841" s="73">
        <f t="shared" si="317"/>
        <v>69.723597719596896</v>
      </c>
      <c r="BB841" s="138">
        <f t="shared" si="317"/>
        <v>12.359974072180991</v>
      </c>
      <c r="BC841" s="72">
        <f t="shared" si="317"/>
        <v>43.830109294509242</v>
      </c>
      <c r="BD841" s="73">
        <f t="shared" si="317"/>
        <v>0</v>
      </c>
      <c r="BE841" s="73">
        <f t="shared" si="317"/>
        <v>42.140257460260933</v>
      </c>
      <c r="BF841" s="138">
        <f>BF840*100/BF838</f>
        <v>8.477771249510381</v>
      </c>
      <c r="BG841" s="72">
        <f t="shared" ref="BG841:BM841" si="318">(BG840*100)/BG838</f>
        <v>60.079918081786367</v>
      </c>
      <c r="BH841" s="73">
        <f t="shared" si="318"/>
        <v>11.319963862211941</v>
      </c>
      <c r="BI841" s="73">
        <f t="shared" si="318"/>
        <v>55.154400979575662</v>
      </c>
      <c r="BJ841" s="138">
        <f t="shared" si="318"/>
        <v>11.319963862211941</v>
      </c>
      <c r="BK841" s="72">
        <f t="shared" si="318"/>
        <v>37.185254227833219</v>
      </c>
      <c r="BL841" s="73">
        <f t="shared" si="318"/>
        <v>41.689610704118984</v>
      </c>
      <c r="BM841" s="73">
        <f t="shared" si="318"/>
        <v>36.839997222427201</v>
      </c>
      <c r="BN841" s="138">
        <f t="shared" ref="BN841" si="319">(BN840*100)/BN838</f>
        <v>36.845724018530277</v>
      </c>
      <c r="BO841" s="142">
        <f t="shared" ref="BO841:BV841" si="320">(BO840*100)/BO838</f>
        <v>44.659939227970142</v>
      </c>
      <c r="BP841" s="140">
        <f t="shared" si="320"/>
        <v>13.770171149144252</v>
      </c>
      <c r="BQ841" s="140">
        <f t="shared" si="320"/>
        <v>41.854116619349199</v>
      </c>
      <c r="BR841" s="141">
        <f t="shared" si="320"/>
        <v>16.010173657086785</v>
      </c>
      <c r="BS841" s="142">
        <f t="shared" si="320"/>
        <v>36.770180894397967</v>
      </c>
      <c r="BT841" s="140">
        <f t="shared" si="320"/>
        <v>8.31</v>
      </c>
      <c r="BU841" s="140">
        <f t="shared" si="320"/>
        <v>35.324444444444445</v>
      </c>
      <c r="BV841" s="143">
        <f t="shared" si="320"/>
        <v>8.31</v>
      </c>
      <c r="BY841" s="125">
        <f t="shared" si="307"/>
        <v>353.27446112444687</v>
      </c>
      <c r="BZ841" s="126">
        <f t="shared" si="308"/>
        <v>135.93678012328107</v>
      </c>
      <c r="CA841" s="126">
        <f t="shared" si="309"/>
        <v>344.71483706972236</v>
      </c>
      <c r="CB841" s="127">
        <f t="shared" si="309"/>
        <v>137.97124612731841</v>
      </c>
    </row>
    <row r="842" spans="1:81" s="115" customFormat="1" ht="28.5" customHeight="1" outlineLevel="3" x14ac:dyDescent="0.25">
      <c r="A842" s="99" t="b">
        <f t="array" ref="A842">A841</f>
        <v>1</v>
      </c>
      <c r="B842" s="100"/>
      <c r="C842" s="128" t="s">
        <v>140</v>
      </c>
      <c r="D842" s="128" t="s">
        <v>141</v>
      </c>
      <c r="E842" s="129" t="s">
        <v>152</v>
      </c>
      <c r="F842" s="129" t="s">
        <v>74</v>
      </c>
      <c r="G842" s="129" t="s">
        <v>73</v>
      </c>
      <c r="H842" s="129" t="s">
        <v>73</v>
      </c>
      <c r="I842" s="129" t="s">
        <v>73</v>
      </c>
      <c r="J842" s="129" t="s">
        <v>73</v>
      </c>
      <c r="K842" s="129" t="s">
        <v>73</v>
      </c>
      <c r="L842" s="129"/>
      <c r="M842" s="100" t="str">
        <f t="array" ref="M842">Y818</f>
        <v>1ХВС::1.1</v>
      </c>
      <c r="N842" s="129"/>
      <c r="O842" s="100"/>
      <c r="P842" s="100"/>
      <c r="Q842" s="100"/>
      <c r="R842" s="100"/>
      <c r="S842" s="100"/>
      <c r="T842" s="100"/>
      <c r="U842" s="100"/>
      <c r="V842" s="100"/>
      <c r="W842" s="100"/>
      <c r="X842" s="100"/>
      <c r="Y842" s="99">
        <f>COUNT($Y835:Y841)+1</f>
        <v>5</v>
      </c>
      <c r="Z842" s="100"/>
      <c r="AA842" s="100"/>
      <c r="AB842" s="103" t="str">
        <f>AB832&amp;"."&amp;Y842</f>
        <v>2.5</v>
      </c>
      <c r="AC842" s="130" t="s">
        <v>153</v>
      </c>
      <c r="AD842" s="105" t="s">
        <v>137</v>
      </c>
      <c r="AE842" s="106">
        <f>AE843+AE844</f>
        <v>38698.873999999996</v>
      </c>
      <c r="AF842" s="107">
        <f>AF843+AF844</f>
        <v>39968.152999999998</v>
      </c>
      <c r="AG842" s="107">
        <f>AG843+AG844</f>
        <v>39196.345999999998</v>
      </c>
      <c r="AH842" s="109">
        <f>AH843+AH844</f>
        <v>39197.345999999998</v>
      </c>
      <c r="AI842" s="106">
        <v>43.671999999999997</v>
      </c>
      <c r="AJ842" s="107">
        <v>146.62</v>
      </c>
      <c r="AK842" s="107">
        <f>AK843+AK844</f>
        <v>48.451999999999998</v>
      </c>
      <c r="AL842" s="109">
        <f t="shared" ref="AL842" si="321">AL843+AL844</f>
        <v>160.52799999999999</v>
      </c>
      <c r="AM842" s="106">
        <f t="shared" ref="AM842:BE842" si="322">AM843+AM844</f>
        <v>963.97199999999998</v>
      </c>
      <c r="AN842" s="107">
        <f t="shared" si="322"/>
        <v>1256.9399999999998</v>
      </c>
      <c r="AO842" s="107">
        <f t="shared" si="322"/>
        <v>1181.3140000000001</v>
      </c>
      <c r="AP842" s="109">
        <f t="shared" si="322"/>
        <v>1133.7800000000002</v>
      </c>
      <c r="AQ842" s="106">
        <f t="shared" si="322"/>
        <v>2074.3290000000002</v>
      </c>
      <c r="AR842" s="107">
        <f t="shared" si="322"/>
        <v>2015.32</v>
      </c>
      <c r="AS842" s="107">
        <f t="shared" si="322"/>
        <v>1989.98</v>
      </c>
      <c r="AT842" s="109">
        <f t="shared" si="322"/>
        <v>2156.98</v>
      </c>
      <c r="AU842" s="106">
        <f t="shared" si="322"/>
        <v>397.2</v>
      </c>
      <c r="AV842" s="107">
        <f t="shared" si="322"/>
        <v>451.38</v>
      </c>
      <c r="AW842" s="107">
        <f t="shared" si="322"/>
        <v>404.13</v>
      </c>
      <c r="AX842" s="109">
        <f t="shared" si="322"/>
        <v>436.24</v>
      </c>
      <c r="AY842" s="106">
        <f t="shared" si="322"/>
        <v>2405.29</v>
      </c>
      <c r="AZ842" s="107">
        <f t="shared" si="322"/>
        <v>3069.1800000000003</v>
      </c>
      <c r="BA842" s="107">
        <f t="shared" si="322"/>
        <v>2263</v>
      </c>
      <c r="BB842" s="109">
        <f t="shared" si="322"/>
        <v>3069.1800000000003</v>
      </c>
      <c r="BC842" s="106">
        <f t="shared" si="322"/>
        <v>690.21</v>
      </c>
      <c r="BD842" s="107">
        <f t="shared" si="322"/>
        <v>711.46</v>
      </c>
      <c r="BE842" s="107">
        <f t="shared" si="322"/>
        <v>698.69400000000007</v>
      </c>
      <c r="BF842" s="109">
        <f t="shared" ref="BF842:BF847" si="323">BF119</f>
        <v>747.7059999999999</v>
      </c>
      <c r="BG842" s="106">
        <f t="shared" ref="BG842:BM842" si="324">BG843+BG844</f>
        <v>3021.7509999999997</v>
      </c>
      <c r="BH842" s="107">
        <f t="shared" si="324"/>
        <v>3131.2299999999996</v>
      </c>
      <c r="BI842" s="107">
        <f t="shared" si="324"/>
        <v>3087.08</v>
      </c>
      <c r="BJ842" s="109">
        <f t="shared" si="324"/>
        <v>3131.2299999999996</v>
      </c>
      <c r="BK842" s="106">
        <f t="shared" si="324"/>
        <v>2860.13</v>
      </c>
      <c r="BL842" s="107">
        <f t="shared" si="324"/>
        <v>2622.1080000000002</v>
      </c>
      <c r="BM842" s="107">
        <f t="shared" si="324"/>
        <v>2901.5319999999997</v>
      </c>
      <c r="BN842" s="109">
        <f t="shared" ref="BN842" si="325">BN843+BN844</f>
        <v>2902.5319999999997</v>
      </c>
      <c r="BO842" s="134">
        <f t="shared" ref="BO842:BV842" si="326">BO843+BO844</f>
        <v>147.51999999999998</v>
      </c>
      <c r="BP842" s="132">
        <f t="shared" si="326"/>
        <v>176.34000000000003</v>
      </c>
      <c r="BQ842" s="132">
        <f t="shared" si="326"/>
        <v>149.10000000000002</v>
      </c>
      <c r="BR842" s="133">
        <f t="shared" si="326"/>
        <v>176.34000000000003</v>
      </c>
      <c r="BS842" s="134">
        <f t="shared" si="326"/>
        <v>288.71999999999997</v>
      </c>
      <c r="BT842" s="132">
        <f t="shared" si="326"/>
        <v>366.76</v>
      </c>
      <c r="BU842" s="132">
        <f t="shared" si="326"/>
        <v>291.03999999999996</v>
      </c>
      <c r="BV842" s="135">
        <f t="shared" si="326"/>
        <v>366.76</v>
      </c>
      <c r="BW842" s="111"/>
      <c r="BX842" s="100"/>
      <c r="BY842" s="112">
        <f t="shared" si="307"/>
        <v>51591.667999999983</v>
      </c>
      <c r="BZ842" s="113">
        <f t="shared" si="308"/>
        <v>53915.490999999995</v>
      </c>
      <c r="CA842" s="113">
        <f t="shared" si="309"/>
        <v>52210.667999999998</v>
      </c>
      <c r="CB842" s="114">
        <f t="shared" si="309"/>
        <v>53478.621999999988</v>
      </c>
      <c r="CC842" s="759"/>
    </row>
    <row r="843" spans="1:81" ht="14.25" customHeight="1" outlineLevel="3" x14ac:dyDescent="0.25">
      <c r="A843" s="10" t="b">
        <f t="array" ref="A843">A842</f>
        <v>1</v>
      </c>
      <c r="C843" s="136" t="s">
        <v>140</v>
      </c>
      <c r="D843" s="136" t="s">
        <v>141</v>
      </c>
      <c r="E843" s="116" t="s">
        <v>154</v>
      </c>
      <c r="F843" s="116" t="s">
        <v>74</v>
      </c>
      <c r="G843" s="116" t="s">
        <v>73</v>
      </c>
      <c r="H843" s="116" t="s">
        <v>73</v>
      </c>
      <c r="I843" s="116" t="s">
        <v>73</v>
      </c>
      <c r="J843" s="116" t="s">
        <v>73</v>
      </c>
      <c r="K843" s="116" t="s">
        <v>73</v>
      </c>
      <c r="L843" s="116"/>
      <c r="M843" s="5" t="str">
        <f t="array" ref="M843">Y818</f>
        <v>1ХВС::1.1</v>
      </c>
      <c r="N843" s="116"/>
      <c r="AB843" s="29" t="str">
        <f>AB842&amp;".1"</f>
        <v>2.5.1</v>
      </c>
      <c r="AC843" s="87" t="s">
        <v>155</v>
      </c>
      <c r="AD843" s="118" t="s">
        <v>137</v>
      </c>
      <c r="AE843" s="66">
        <v>31.957999999999998</v>
      </c>
      <c r="AF843" s="67">
        <v>0</v>
      </c>
      <c r="AG843" s="67">
        <v>31.347999999999999</v>
      </c>
      <c r="AH843" s="119">
        <v>32.347999999999999</v>
      </c>
      <c r="AI843" s="66"/>
      <c r="AJ843" s="67"/>
      <c r="AK843" s="67"/>
      <c r="AL843" s="119"/>
      <c r="AM843" s="66">
        <v>0</v>
      </c>
      <c r="AN843" s="67">
        <v>0</v>
      </c>
      <c r="AO843" s="67">
        <v>0</v>
      </c>
      <c r="AP843" s="119"/>
      <c r="AQ843" s="66">
        <v>0</v>
      </c>
      <c r="AR843" s="67">
        <v>0</v>
      </c>
      <c r="AS843" s="67">
        <v>0</v>
      </c>
      <c r="AT843" s="119"/>
      <c r="AU843" s="66">
        <v>0</v>
      </c>
      <c r="AV843" s="67">
        <v>0</v>
      </c>
      <c r="AW843" s="67">
        <v>0</v>
      </c>
      <c r="AX843" s="119"/>
      <c r="AY843" s="66">
        <v>0</v>
      </c>
      <c r="AZ843" s="67">
        <v>0</v>
      </c>
      <c r="BA843" s="67">
        <v>0</v>
      </c>
      <c r="BB843" s="119"/>
      <c r="BC843" s="66">
        <v>0</v>
      </c>
      <c r="BD843" s="67">
        <v>0</v>
      </c>
      <c r="BE843" s="67">
        <v>0.47399999999999998</v>
      </c>
      <c r="BF843" s="119">
        <f t="shared" si="323"/>
        <v>0.47299999999999998</v>
      </c>
      <c r="BG843" s="66">
        <v>0</v>
      </c>
      <c r="BH843" s="67">
        <v>0</v>
      </c>
      <c r="BI843" s="67">
        <v>0</v>
      </c>
      <c r="BJ843" s="119">
        <v>0</v>
      </c>
      <c r="BK843" s="66">
        <v>0</v>
      </c>
      <c r="BL843" s="67">
        <v>0</v>
      </c>
      <c r="BM843" s="67">
        <v>0</v>
      </c>
      <c r="BN843" s="119">
        <v>1</v>
      </c>
      <c r="BO843" s="123"/>
      <c r="BP843" s="121"/>
      <c r="BQ843" s="121">
        <v>0.05</v>
      </c>
      <c r="BR843" s="122"/>
      <c r="BS843" s="123"/>
      <c r="BT843" s="121"/>
      <c r="BU843" s="121"/>
      <c r="BV843" s="124"/>
      <c r="BY843" s="125">
        <f t="shared" si="307"/>
        <v>31.957999999999998</v>
      </c>
      <c r="BZ843" s="126">
        <f t="shared" si="308"/>
        <v>0</v>
      </c>
      <c r="CA843" s="126">
        <f t="shared" si="309"/>
        <v>31.872</v>
      </c>
      <c r="CB843" s="127">
        <f t="shared" si="309"/>
        <v>33.820999999999998</v>
      </c>
    </row>
    <row r="844" spans="1:81" ht="14.25" customHeight="1" outlineLevel="3" x14ac:dyDescent="0.25">
      <c r="A844" s="10" t="b">
        <f t="array" ref="A844">A843</f>
        <v>1</v>
      </c>
      <c r="C844" s="136" t="s">
        <v>140</v>
      </c>
      <c r="D844" s="136" t="s">
        <v>141</v>
      </c>
      <c r="E844" s="116" t="s">
        <v>156</v>
      </c>
      <c r="F844" s="116" t="s">
        <v>74</v>
      </c>
      <c r="G844" s="116" t="s">
        <v>73</v>
      </c>
      <c r="H844" s="116" t="s">
        <v>73</v>
      </c>
      <c r="I844" s="116" t="s">
        <v>73</v>
      </c>
      <c r="J844" s="116" t="s">
        <v>73</v>
      </c>
      <c r="K844" s="116" t="s">
        <v>73</v>
      </c>
      <c r="L844" s="116"/>
      <c r="M844" s="5" t="str">
        <f t="array" ref="M844">Y818</f>
        <v>1ХВС::1.1</v>
      </c>
      <c r="N844" s="116"/>
      <c r="AB844" s="29" t="str">
        <f>AB842&amp;".2"</f>
        <v>2.5.2</v>
      </c>
      <c r="AC844" s="87" t="s">
        <v>157</v>
      </c>
      <c r="AD844" s="118" t="s">
        <v>137</v>
      </c>
      <c r="AE844" s="66">
        <f>SUM(AE845:AE848)</f>
        <v>38666.915999999997</v>
      </c>
      <c r="AF844" s="67">
        <f>SUM(AF845:AF848)</f>
        <v>39968.152999999998</v>
      </c>
      <c r="AG844" s="67">
        <f>SUM(AG845:AG848)</f>
        <v>39164.998</v>
      </c>
      <c r="AH844" s="119">
        <f>SUM(AH845:AH848)</f>
        <v>39164.998</v>
      </c>
      <c r="AI844" s="66">
        <v>43.671999999999997</v>
      </c>
      <c r="AJ844" s="67">
        <f>SUM(AJ845:AJ848)</f>
        <v>146.62</v>
      </c>
      <c r="AK844" s="67">
        <f>SUM(AK845:AK848)</f>
        <v>48.451999999999998</v>
      </c>
      <c r="AL844" s="119">
        <v>160.52799999999999</v>
      </c>
      <c r="AM844" s="66">
        <f t="shared" ref="AM844:BE844" si="327">SUM(AM845:AM848)</f>
        <v>963.97199999999998</v>
      </c>
      <c r="AN844" s="67">
        <f t="shared" si="327"/>
        <v>1256.9399999999998</v>
      </c>
      <c r="AO844" s="67">
        <f t="shared" si="327"/>
        <v>1181.3140000000001</v>
      </c>
      <c r="AP844" s="119">
        <f t="shared" si="327"/>
        <v>1133.7800000000002</v>
      </c>
      <c r="AQ844" s="66">
        <f t="shared" si="327"/>
        <v>2074.3290000000002</v>
      </c>
      <c r="AR844" s="67">
        <f t="shared" si="327"/>
        <v>2015.32</v>
      </c>
      <c r="AS844" s="67">
        <f t="shared" si="327"/>
        <v>1989.98</v>
      </c>
      <c r="AT844" s="119">
        <f t="shared" si="327"/>
        <v>2156.98</v>
      </c>
      <c r="AU844" s="66">
        <f t="shared" si="327"/>
        <v>397.2</v>
      </c>
      <c r="AV844" s="67">
        <f t="shared" si="327"/>
        <v>451.38</v>
      </c>
      <c r="AW844" s="67">
        <f t="shared" si="327"/>
        <v>404.13</v>
      </c>
      <c r="AX844" s="119">
        <f t="shared" si="327"/>
        <v>436.24</v>
      </c>
      <c r="AY844" s="66">
        <f t="shared" si="327"/>
        <v>2405.29</v>
      </c>
      <c r="AZ844" s="67">
        <f t="shared" si="327"/>
        <v>3069.1800000000003</v>
      </c>
      <c r="BA844" s="67">
        <f t="shared" si="327"/>
        <v>2263</v>
      </c>
      <c r="BB844" s="119">
        <f t="shared" si="327"/>
        <v>3069.1800000000003</v>
      </c>
      <c r="BC844" s="66">
        <f t="shared" si="327"/>
        <v>690.21</v>
      </c>
      <c r="BD844" s="67">
        <f t="shared" si="327"/>
        <v>711.46</v>
      </c>
      <c r="BE844" s="67">
        <f t="shared" si="327"/>
        <v>698.22</v>
      </c>
      <c r="BF844" s="119">
        <f t="shared" si="323"/>
        <v>747.23299999999995</v>
      </c>
      <c r="BG844" s="66">
        <f t="shared" ref="BG844:BM844" si="328">SUM(BG845:BG848)</f>
        <v>3021.7509999999997</v>
      </c>
      <c r="BH844" s="67">
        <f t="shared" si="328"/>
        <v>3131.2299999999996</v>
      </c>
      <c r="BI844" s="67">
        <f t="shared" si="328"/>
        <v>3087.08</v>
      </c>
      <c r="BJ844" s="119">
        <f t="shared" si="328"/>
        <v>3131.2299999999996</v>
      </c>
      <c r="BK844" s="66">
        <f t="shared" si="328"/>
        <v>2860.13</v>
      </c>
      <c r="BL844" s="67">
        <f t="shared" si="328"/>
        <v>2622.1080000000002</v>
      </c>
      <c r="BM844" s="67">
        <f t="shared" si="328"/>
        <v>2901.5319999999997</v>
      </c>
      <c r="BN844" s="119">
        <f t="shared" ref="BN844" si="329">SUM(BN845:BN848)</f>
        <v>2901.5319999999997</v>
      </c>
      <c r="BO844" s="123">
        <f t="shared" ref="BO844:BV844" si="330">SUM(BO845:BO848)</f>
        <v>147.51999999999998</v>
      </c>
      <c r="BP844" s="121">
        <f t="shared" si="330"/>
        <v>176.34000000000003</v>
      </c>
      <c r="BQ844" s="121">
        <f t="shared" si="330"/>
        <v>149.05000000000001</v>
      </c>
      <c r="BR844" s="122">
        <f t="shared" si="330"/>
        <v>176.34000000000003</v>
      </c>
      <c r="BS844" s="123">
        <f t="shared" si="330"/>
        <v>288.71999999999997</v>
      </c>
      <c r="BT844" s="121">
        <f t="shared" si="330"/>
        <v>366.76</v>
      </c>
      <c r="BU844" s="121">
        <f t="shared" si="330"/>
        <v>291.03999999999996</v>
      </c>
      <c r="BV844" s="124">
        <f t="shared" si="330"/>
        <v>366.76</v>
      </c>
      <c r="BY844" s="125">
        <f t="shared" si="307"/>
        <v>51559.709999999985</v>
      </c>
      <c r="BZ844" s="126">
        <f t="shared" si="308"/>
        <v>53915.490999999995</v>
      </c>
      <c r="CA844" s="126">
        <f t="shared" si="309"/>
        <v>52178.796000000002</v>
      </c>
      <c r="CB844" s="127">
        <f t="shared" si="309"/>
        <v>53444.800999999992</v>
      </c>
    </row>
    <row r="845" spans="1:81" ht="14.25" customHeight="1" outlineLevel="3" x14ac:dyDescent="0.25">
      <c r="A845" s="10" t="b">
        <f t="array" ref="A845">A844</f>
        <v>1</v>
      </c>
      <c r="C845" s="136" t="s">
        <v>140</v>
      </c>
      <c r="D845" s="136" t="s">
        <v>141</v>
      </c>
      <c r="E845" s="116" t="s">
        <v>158</v>
      </c>
      <c r="F845" s="116" t="s">
        <v>74</v>
      </c>
      <c r="G845" s="116" t="s">
        <v>73</v>
      </c>
      <c r="H845" s="116" t="s">
        <v>73</v>
      </c>
      <c r="I845" s="116" t="s">
        <v>73</v>
      </c>
      <c r="J845" s="116" t="s">
        <v>73</v>
      </c>
      <c r="K845" s="116" t="s">
        <v>73</v>
      </c>
      <c r="L845" s="116"/>
      <c r="M845" s="5" t="str">
        <f t="array" ref="M845">Y818</f>
        <v>1ХВС::1.1</v>
      </c>
      <c r="N845" s="116"/>
      <c r="AB845" s="29" t="str">
        <f>AB844&amp;".1"</f>
        <v>2.5.2.1</v>
      </c>
      <c r="AC845" s="92" t="s">
        <v>159</v>
      </c>
      <c r="AD845" s="118" t="s">
        <v>137</v>
      </c>
      <c r="AE845" s="66">
        <v>29418.454000000002</v>
      </c>
      <c r="AF845" s="67">
        <v>29071.255000000001</v>
      </c>
      <c r="AG845" s="67">
        <v>30012.547999999999</v>
      </c>
      <c r="AH845" s="119">
        <v>30012.547999999999</v>
      </c>
      <c r="AI845" s="66"/>
      <c r="AJ845" s="67"/>
      <c r="AK845" s="67"/>
      <c r="AL845" s="119"/>
      <c r="AM845" s="66">
        <v>642.47500000000002</v>
      </c>
      <c r="AN845" s="67">
        <v>1024.56</v>
      </c>
      <c r="AO845" s="67">
        <v>783</v>
      </c>
      <c r="AP845" s="119">
        <v>708.32</v>
      </c>
      <c r="AQ845" s="66">
        <v>1061.6880000000001</v>
      </c>
      <c r="AR845" s="67">
        <v>1206.78</v>
      </c>
      <c r="AS845" s="67">
        <v>1100.77</v>
      </c>
      <c r="AT845" s="119">
        <v>1040.54</v>
      </c>
      <c r="AU845" s="66">
        <v>260.20999999999998</v>
      </c>
      <c r="AV845" s="67">
        <v>256.95</v>
      </c>
      <c r="AW845" s="67">
        <v>260.20999999999998</v>
      </c>
      <c r="AX845" s="119">
        <v>286.88</v>
      </c>
      <c r="AY845" s="66">
        <v>2000.14</v>
      </c>
      <c r="AZ845" s="67">
        <v>2135.73</v>
      </c>
      <c r="BA845" s="67">
        <v>1887.1</v>
      </c>
      <c r="BB845" s="119">
        <v>2135.73</v>
      </c>
      <c r="BC845" s="66">
        <v>525.98</v>
      </c>
      <c r="BD845" s="67">
        <v>624.97</v>
      </c>
      <c r="BE845" s="67">
        <v>525.76</v>
      </c>
      <c r="BF845" s="119">
        <f t="shared" si="323"/>
        <v>566.173</v>
      </c>
      <c r="BG845" s="66">
        <v>2752.8249999999998</v>
      </c>
      <c r="BH845" s="67">
        <v>3010.18</v>
      </c>
      <c r="BI845" s="67">
        <v>2773.68</v>
      </c>
      <c r="BJ845" s="119">
        <v>3010.18</v>
      </c>
      <c r="BK845" s="66">
        <v>1752.47</v>
      </c>
      <c r="BL845" s="67">
        <v>1954.56</v>
      </c>
      <c r="BM845" s="67">
        <v>1772.84</v>
      </c>
      <c r="BN845" s="119">
        <v>1772.84</v>
      </c>
      <c r="BO845" s="123">
        <v>127.96</v>
      </c>
      <c r="BP845" s="121">
        <v>166.58</v>
      </c>
      <c r="BQ845" s="145">
        <v>129.09</v>
      </c>
      <c r="BR845" s="144">
        <v>166.58</v>
      </c>
      <c r="BS845" s="123">
        <v>270.12</v>
      </c>
      <c r="BT845" s="121">
        <v>345.56</v>
      </c>
      <c r="BU845" s="121">
        <v>268.33</v>
      </c>
      <c r="BV845" s="124">
        <v>345.56</v>
      </c>
      <c r="BY845" s="125">
        <f t="shared" si="307"/>
        <v>38812.322</v>
      </c>
      <c r="BZ845" s="126">
        <f t="shared" si="308"/>
        <v>39797.125</v>
      </c>
      <c r="CA845" s="126">
        <f t="shared" si="309"/>
        <v>39513.327999999994</v>
      </c>
      <c r="CB845" s="127">
        <f t="shared" si="309"/>
        <v>40045.351000000002</v>
      </c>
    </row>
    <row r="846" spans="1:81" ht="14.25" customHeight="1" outlineLevel="3" x14ac:dyDescent="0.25">
      <c r="A846" s="10" t="b">
        <f t="array" ref="A846">A845</f>
        <v>1</v>
      </c>
      <c r="C846" s="136" t="s">
        <v>140</v>
      </c>
      <c r="D846" s="136" t="s">
        <v>141</v>
      </c>
      <c r="E846" s="116" t="s">
        <v>160</v>
      </c>
      <c r="F846" s="116" t="s">
        <v>74</v>
      </c>
      <c r="G846" s="116" t="s">
        <v>73</v>
      </c>
      <c r="H846" s="116" t="s">
        <v>73</v>
      </c>
      <c r="I846" s="116" t="s">
        <v>73</v>
      </c>
      <c r="J846" s="116" t="s">
        <v>73</v>
      </c>
      <c r="K846" s="116" t="s">
        <v>73</v>
      </c>
      <c r="L846" s="116"/>
      <c r="M846" s="5" t="str">
        <f t="array" ref="M846">Y818</f>
        <v>1ХВС::1.1</v>
      </c>
      <c r="N846" s="116"/>
      <c r="AB846" s="29" t="str">
        <f>AB844&amp;".2"</f>
        <v>2.5.2.2</v>
      </c>
      <c r="AC846" s="92" t="s">
        <v>161</v>
      </c>
      <c r="AD846" s="118" t="s">
        <v>137</v>
      </c>
      <c r="AE846" s="66">
        <v>1799.6</v>
      </c>
      <c r="AF846" s="67">
        <v>1378.732</v>
      </c>
      <c r="AG846" s="67">
        <v>1917.635</v>
      </c>
      <c r="AH846" s="119">
        <v>1917.635</v>
      </c>
      <c r="AI846" s="66"/>
      <c r="AJ846" s="67"/>
      <c r="AK846" s="67"/>
      <c r="AL846" s="119"/>
      <c r="AM846" s="66">
        <v>53.606999999999999</v>
      </c>
      <c r="AN846" s="67">
        <v>52.53</v>
      </c>
      <c r="AO846" s="67">
        <v>65</v>
      </c>
      <c r="AP846" s="119">
        <v>59.11</v>
      </c>
      <c r="AQ846" s="66">
        <v>414.02600000000001</v>
      </c>
      <c r="AR846" s="67">
        <v>414.72</v>
      </c>
      <c r="AS846" s="67">
        <v>385.61</v>
      </c>
      <c r="AT846" s="119">
        <v>456.47</v>
      </c>
      <c r="AU846" s="66">
        <v>14.37</v>
      </c>
      <c r="AV846" s="67">
        <v>14.23</v>
      </c>
      <c r="AW846" s="67">
        <v>14.37</v>
      </c>
      <c r="AX846" s="119">
        <v>14.17</v>
      </c>
      <c r="AY846" s="66">
        <v>89.91</v>
      </c>
      <c r="AZ846" s="67">
        <v>135.41999999999999</v>
      </c>
      <c r="BA846" s="67">
        <v>111.4</v>
      </c>
      <c r="BB846" s="119">
        <v>135.41999999999999</v>
      </c>
      <c r="BC846" s="66">
        <v>39.5</v>
      </c>
      <c r="BD846" s="67">
        <v>56.8</v>
      </c>
      <c r="BE846" s="67">
        <v>44.7</v>
      </c>
      <c r="BF846" s="119">
        <f t="shared" si="323"/>
        <v>43.55</v>
      </c>
      <c r="BG846" s="66">
        <v>78.47</v>
      </c>
      <c r="BH846" s="67">
        <v>44.7</v>
      </c>
      <c r="BI846" s="67">
        <v>88.61</v>
      </c>
      <c r="BJ846" s="119">
        <v>44.7</v>
      </c>
      <c r="BK846" s="66">
        <v>220.98</v>
      </c>
      <c r="BL846" s="67">
        <v>205.87799999999999</v>
      </c>
      <c r="BM846" s="67">
        <v>223.56</v>
      </c>
      <c r="BN846" s="119">
        <v>223.56</v>
      </c>
      <c r="BO846" s="123">
        <v>14.21</v>
      </c>
      <c r="BP846" s="145">
        <v>4.96</v>
      </c>
      <c r="BQ846" s="145">
        <v>14.35</v>
      </c>
      <c r="BR846" s="144">
        <v>4.96</v>
      </c>
      <c r="BS846" s="123">
        <v>3.9</v>
      </c>
      <c r="BT846" s="121">
        <v>11.39</v>
      </c>
      <c r="BU846" s="121">
        <v>7.65</v>
      </c>
      <c r="BV846" s="124">
        <v>11.39</v>
      </c>
      <c r="BY846" s="125">
        <f t="shared" si="307"/>
        <v>2728.5729999999994</v>
      </c>
      <c r="BZ846" s="126">
        <f t="shared" si="308"/>
        <v>2319.36</v>
      </c>
      <c r="CA846" s="126">
        <f t="shared" si="309"/>
        <v>2872.8849999999998</v>
      </c>
      <c r="CB846" s="127">
        <f t="shared" si="309"/>
        <v>2910.9650000000001</v>
      </c>
    </row>
    <row r="847" spans="1:81" ht="14.25" customHeight="1" outlineLevel="3" x14ac:dyDescent="0.25">
      <c r="A847" s="10" t="b">
        <f t="array" ref="A847">A846</f>
        <v>1</v>
      </c>
      <c r="C847" s="136" t="s">
        <v>140</v>
      </c>
      <c r="D847" s="136" t="s">
        <v>141</v>
      </c>
      <c r="E847" s="116" t="s">
        <v>162</v>
      </c>
      <c r="F847" s="116" t="s">
        <v>74</v>
      </c>
      <c r="G847" s="116" t="s">
        <v>73</v>
      </c>
      <c r="H847" s="116" t="s">
        <v>73</v>
      </c>
      <c r="I847" s="116" t="s">
        <v>73</v>
      </c>
      <c r="J847" s="116" t="s">
        <v>73</v>
      </c>
      <c r="K847" s="116" t="s">
        <v>73</v>
      </c>
      <c r="L847" s="116"/>
      <c r="M847" s="5" t="str">
        <f t="array" ref="M847">Y818</f>
        <v>1ХВС::1.1</v>
      </c>
      <c r="N847" s="116"/>
      <c r="AB847" s="29" t="str">
        <f>AB844&amp;".3"</f>
        <v>2.5.2.3</v>
      </c>
      <c r="AC847" s="92" t="s">
        <v>163</v>
      </c>
      <c r="AD847" s="118" t="s">
        <v>137</v>
      </c>
      <c r="AE847" s="66">
        <v>7126.5889999999999</v>
      </c>
      <c r="AF847" s="67">
        <v>9069.4779999999992</v>
      </c>
      <c r="AG847" s="67">
        <v>6929.6909999999998</v>
      </c>
      <c r="AH847" s="119">
        <v>6929.6909999999998</v>
      </c>
      <c r="AI847" s="66">
        <v>43.671999999999997</v>
      </c>
      <c r="AJ847" s="67">
        <v>146.62</v>
      </c>
      <c r="AK847" s="67">
        <v>48.451999999999998</v>
      </c>
      <c r="AL847" s="119">
        <v>160.52799999999999</v>
      </c>
      <c r="AM847" s="66">
        <v>267.89</v>
      </c>
      <c r="AN847" s="67">
        <v>179.85</v>
      </c>
      <c r="AO847" s="67">
        <v>333.31400000000002</v>
      </c>
      <c r="AP847" s="119">
        <v>295.35000000000002</v>
      </c>
      <c r="AQ847" s="66">
        <v>598.61500000000001</v>
      </c>
      <c r="AR847" s="67">
        <v>393.82</v>
      </c>
      <c r="AS847" s="67">
        <v>503.6</v>
      </c>
      <c r="AT847" s="119">
        <v>659.97</v>
      </c>
      <c r="AU847" s="66">
        <v>122.62</v>
      </c>
      <c r="AV847" s="67">
        <v>180.2</v>
      </c>
      <c r="AW847" s="67">
        <v>129.55000000000001</v>
      </c>
      <c r="AX847" s="119">
        <v>135.19</v>
      </c>
      <c r="AY847" s="66">
        <v>315.24</v>
      </c>
      <c r="AZ847" s="67">
        <v>798.03</v>
      </c>
      <c r="BA847" s="67">
        <v>264.5</v>
      </c>
      <c r="BB847" s="119">
        <v>798.03</v>
      </c>
      <c r="BC847" s="66">
        <v>124.73</v>
      </c>
      <c r="BD847" s="67">
        <v>29.69</v>
      </c>
      <c r="BE847" s="67">
        <v>127.76</v>
      </c>
      <c r="BF847" s="119">
        <f t="shared" si="323"/>
        <v>137.51</v>
      </c>
      <c r="BG847" s="66">
        <v>190.45599999999999</v>
      </c>
      <c r="BH847" s="67">
        <v>76.349999999999994</v>
      </c>
      <c r="BI847" s="67">
        <v>224.79</v>
      </c>
      <c r="BJ847" s="119">
        <v>76.349999999999994</v>
      </c>
      <c r="BK847" s="66">
        <v>886.68</v>
      </c>
      <c r="BL847" s="67">
        <v>461.67</v>
      </c>
      <c r="BM847" s="67">
        <v>905.13199999999995</v>
      </c>
      <c r="BN847" s="119">
        <v>905.13199999999995</v>
      </c>
      <c r="BO847" s="123">
        <v>5.35</v>
      </c>
      <c r="BP847" s="145">
        <v>4.8</v>
      </c>
      <c r="BQ847" s="145">
        <v>5.61</v>
      </c>
      <c r="BR847" s="144">
        <v>4.8</v>
      </c>
      <c r="BS847" s="123">
        <v>14.7</v>
      </c>
      <c r="BT847" s="121">
        <v>9.81</v>
      </c>
      <c r="BU847" s="121">
        <v>15.06</v>
      </c>
      <c r="BV847" s="124">
        <v>9.81</v>
      </c>
      <c r="BY847" s="125">
        <f t="shared" si="307"/>
        <v>9696.5420000000013</v>
      </c>
      <c r="BZ847" s="126">
        <f t="shared" si="308"/>
        <v>11350.318000000001</v>
      </c>
      <c r="CA847" s="126">
        <f t="shared" si="309"/>
        <v>9487.4590000000007</v>
      </c>
      <c r="CB847" s="127">
        <f t="shared" si="309"/>
        <v>10112.360999999999</v>
      </c>
    </row>
    <row r="848" spans="1:81" ht="14.25" customHeight="1" outlineLevel="3" x14ac:dyDescent="0.25">
      <c r="A848" s="10" t="b">
        <f t="array" ref="A848">A847</f>
        <v>1</v>
      </c>
      <c r="C848" s="136" t="s">
        <v>140</v>
      </c>
      <c r="D848" s="136" t="s">
        <v>141</v>
      </c>
      <c r="E848" s="116" t="s">
        <v>164</v>
      </c>
      <c r="F848" s="116" t="s">
        <v>74</v>
      </c>
      <c r="G848" s="116" t="s">
        <v>73</v>
      </c>
      <c r="H848" s="116" t="s">
        <v>73</v>
      </c>
      <c r="I848" s="116" t="s">
        <v>73</v>
      </c>
      <c r="J848" s="116" t="s">
        <v>73</v>
      </c>
      <c r="K848" s="116" t="s">
        <v>73</v>
      </c>
      <c r="L848" s="116"/>
      <c r="M848" s="5" t="str">
        <f t="array" ref="M848">Y818</f>
        <v>1ХВС::1.1</v>
      </c>
      <c r="N848" s="116"/>
      <c r="AB848" s="29" t="str">
        <f>AB844&amp;".4"</f>
        <v>2.5.2.4</v>
      </c>
      <c r="AC848" s="92" t="s">
        <v>165</v>
      </c>
      <c r="AD848" s="118" t="s">
        <v>137</v>
      </c>
      <c r="AE848" s="66">
        <v>322.27300000000002</v>
      </c>
      <c r="AF848" s="67">
        <v>448.68799999999999</v>
      </c>
      <c r="AG848" s="67">
        <v>305.12400000000002</v>
      </c>
      <c r="AH848" s="119">
        <v>305.12400000000002</v>
      </c>
      <c r="AI848" s="66"/>
      <c r="AJ848" s="67"/>
      <c r="AK848" s="67"/>
      <c r="AL848" s="119"/>
      <c r="AM848" s="66">
        <v>0</v>
      </c>
      <c r="AN848" s="67">
        <v>0</v>
      </c>
      <c r="AO848" s="67">
        <v>0</v>
      </c>
      <c r="AP848" s="119">
        <v>71</v>
      </c>
      <c r="AQ848" s="66">
        <v>0</v>
      </c>
      <c r="AR848" s="67">
        <v>0</v>
      </c>
      <c r="AS848" s="67">
        <v>0</v>
      </c>
      <c r="AT848" s="119"/>
      <c r="AU848" s="66">
        <v>0</v>
      </c>
      <c r="AV848" s="67">
        <v>0</v>
      </c>
      <c r="AW848" s="67">
        <v>0</v>
      </c>
      <c r="AX848" s="119"/>
      <c r="AY848" s="66"/>
      <c r="AZ848" s="67"/>
      <c r="BA848" s="67"/>
      <c r="BB848" s="119"/>
      <c r="BC848" s="66">
        <v>0</v>
      </c>
      <c r="BD848" s="67">
        <v>0</v>
      </c>
      <c r="BE848" s="67"/>
      <c r="BF848" s="119"/>
      <c r="BG848" s="66"/>
      <c r="BH848" s="67"/>
      <c r="BI848" s="67"/>
      <c r="BJ848" s="119"/>
      <c r="BK848" s="66">
        <v>0</v>
      </c>
      <c r="BL848" s="67">
        <v>0</v>
      </c>
      <c r="BM848" s="67">
        <v>0</v>
      </c>
      <c r="BN848" s="119">
        <v>0</v>
      </c>
      <c r="BO848" s="66"/>
      <c r="BP848" s="67"/>
      <c r="BQ848" s="67"/>
      <c r="BR848" s="119"/>
      <c r="BS848" s="66"/>
      <c r="BT848" s="67"/>
      <c r="BU848" s="67"/>
      <c r="BV848" s="68"/>
      <c r="BY848" s="125">
        <f t="shared" si="307"/>
        <v>322.27300000000002</v>
      </c>
      <c r="BZ848" s="126">
        <f t="shared" si="308"/>
        <v>448.68799999999999</v>
      </c>
      <c r="CA848" s="126">
        <f t="shared" si="309"/>
        <v>305.12400000000002</v>
      </c>
      <c r="CB848" s="127">
        <f t="shared" si="309"/>
        <v>376.12400000000002</v>
      </c>
    </row>
    <row r="849" spans="1:80" ht="14.25" hidden="1" customHeight="1" x14ac:dyDescent="0.25">
      <c r="A849" s="10" t="b">
        <f>$U818="Водоотведение"</f>
        <v>0</v>
      </c>
      <c r="C849" s="5" t="s">
        <v>166</v>
      </c>
      <c r="D849" s="5" t="s">
        <v>167</v>
      </c>
      <c r="E849" s="8" t="s">
        <v>73</v>
      </c>
      <c r="F849" s="116" t="s">
        <v>74</v>
      </c>
      <c r="G849" s="116" t="s">
        <v>73</v>
      </c>
      <c r="H849" s="116" t="s">
        <v>73</v>
      </c>
      <c r="I849" s="116" t="s">
        <v>73</v>
      </c>
      <c r="J849" s="116" t="s">
        <v>73</v>
      </c>
      <c r="K849" s="116" t="s">
        <v>73</v>
      </c>
      <c r="L849" s="116"/>
      <c r="M849" s="5" t="str">
        <f t="array" ref="M849">Y818</f>
        <v>1ХВС::1.1</v>
      </c>
      <c r="Z849" s="6"/>
      <c r="AA849" s="6"/>
      <c r="AB849" s="65"/>
      <c r="AC849" s="62"/>
      <c r="AD849" s="51"/>
      <c r="AE849" s="147"/>
      <c r="AF849" s="148"/>
      <c r="AG849" s="148"/>
      <c r="AH849" s="150"/>
      <c r="AI849" s="147"/>
      <c r="AJ849" s="148"/>
      <c r="AK849" s="148"/>
      <c r="AL849" s="150"/>
      <c r="AM849" s="147"/>
      <c r="AN849" s="148"/>
      <c r="AO849" s="148"/>
      <c r="AP849" s="150"/>
      <c r="AQ849" s="147"/>
      <c r="AR849" s="148"/>
      <c r="AS849" s="148"/>
      <c r="AT849" s="150"/>
      <c r="AU849" s="147"/>
      <c r="AV849" s="148"/>
      <c r="AW849" s="148"/>
      <c r="AX849" s="150"/>
      <c r="AY849" s="147"/>
      <c r="AZ849" s="148"/>
      <c r="BA849" s="148"/>
      <c r="BB849" s="150"/>
      <c r="BC849" s="147"/>
      <c r="BD849" s="148"/>
      <c r="BE849" s="148"/>
      <c r="BF849" s="150"/>
      <c r="BG849" s="147"/>
      <c r="BH849" s="148"/>
      <c r="BI849" s="148"/>
      <c r="BJ849" s="150"/>
      <c r="BK849" s="147"/>
      <c r="BL849" s="148"/>
      <c r="BM849" s="148"/>
      <c r="BN849" s="150"/>
      <c r="BO849" s="147"/>
      <c r="BP849" s="148"/>
      <c r="BQ849" s="148"/>
      <c r="BR849" s="150"/>
      <c r="BS849" s="147"/>
      <c r="BT849" s="148"/>
      <c r="BU849" s="148"/>
      <c r="BV849" s="149"/>
      <c r="BY849" s="125">
        <f t="shared" ref="BY849:BY877" si="331">AE849+AI849+AM849+AQ849+AU849+AY849+BC849+BG849+BK849+BO849+BS849</f>
        <v>0</v>
      </c>
      <c r="BZ849" s="126">
        <f t="shared" ref="BZ849:BZ877" si="332">AF849+AJ849+AN849+AR849+AV849+AZ849+BD849+BH849+BL849+BP849+BT849</f>
        <v>0</v>
      </c>
      <c r="CA849" s="126">
        <f t="shared" ref="CA849:CB877" si="333">AG849+AK849+AO849+AS849+AW849+BA849+BE849+BI849+BM849+BQ849+BU849</f>
        <v>0</v>
      </c>
      <c r="CB849" s="127"/>
    </row>
    <row r="850" spans="1:80" ht="14.25" hidden="1" customHeight="1" outlineLevel="2" x14ac:dyDescent="0.25">
      <c r="A850" s="10" t="b">
        <f>AND(A849)</f>
        <v>0</v>
      </c>
      <c r="B850" s="5" t="b">
        <f>AND(OR(isFIRST_PERIOD="да",$AD$56="нет"),A849)</f>
        <v>0</v>
      </c>
      <c r="C850" s="8" t="s">
        <v>168</v>
      </c>
      <c r="D850" s="152" t="s">
        <v>169</v>
      </c>
      <c r="E850" s="8" t="s">
        <v>73</v>
      </c>
      <c r="F850" s="8" t="s">
        <v>74</v>
      </c>
      <c r="G850" s="8" t="s">
        <v>73</v>
      </c>
      <c r="H850" s="8" t="s">
        <v>73</v>
      </c>
      <c r="I850" s="8" t="s">
        <v>73</v>
      </c>
      <c r="J850" s="8" t="s">
        <v>73</v>
      </c>
      <c r="K850" s="8" t="s">
        <v>73</v>
      </c>
      <c r="L850" s="8"/>
      <c r="M850" s="5" t="str">
        <f t="array" ref="M850">Y818</f>
        <v>1ХВС::1.1</v>
      </c>
      <c r="N850" s="4"/>
      <c r="Z850" s="6"/>
      <c r="AA850" s="6"/>
      <c r="AB850" s="29"/>
      <c r="AC850" s="117"/>
      <c r="AD850" s="51"/>
      <c r="AE850" s="66"/>
      <c r="AF850" s="67"/>
      <c r="AG850" s="67"/>
      <c r="AH850" s="119"/>
      <c r="AI850" s="66"/>
      <c r="AJ850" s="67"/>
      <c r="AK850" s="67"/>
      <c r="AL850" s="119"/>
      <c r="AM850" s="66"/>
      <c r="AN850" s="67"/>
      <c r="AO850" s="67"/>
      <c r="AP850" s="119"/>
      <c r="AQ850" s="66"/>
      <c r="AR850" s="67"/>
      <c r="AS850" s="67"/>
      <c r="AT850" s="119"/>
      <c r="AU850" s="66"/>
      <c r="AV850" s="67"/>
      <c r="AW850" s="67"/>
      <c r="AX850" s="119"/>
      <c r="AY850" s="66"/>
      <c r="AZ850" s="67"/>
      <c r="BA850" s="67"/>
      <c r="BB850" s="119"/>
      <c r="BC850" s="66"/>
      <c r="BD850" s="67"/>
      <c r="BE850" s="67"/>
      <c r="BF850" s="119"/>
      <c r="BG850" s="66"/>
      <c r="BH850" s="67"/>
      <c r="BI850" s="67"/>
      <c r="BJ850" s="119"/>
      <c r="BK850" s="66"/>
      <c r="BL850" s="67"/>
      <c r="BM850" s="67"/>
      <c r="BN850" s="119"/>
      <c r="BO850" s="66"/>
      <c r="BP850" s="67"/>
      <c r="BQ850" s="67"/>
      <c r="BR850" s="119"/>
      <c r="BS850" s="66"/>
      <c r="BT850" s="67"/>
      <c r="BU850" s="67"/>
      <c r="BV850" s="68"/>
      <c r="BY850" s="125">
        <f t="shared" si="331"/>
        <v>0</v>
      </c>
      <c r="BZ850" s="126">
        <f t="shared" si="332"/>
        <v>0</v>
      </c>
      <c r="CA850" s="126">
        <f t="shared" si="333"/>
        <v>0</v>
      </c>
      <c r="CB850" s="127"/>
    </row>
    <row r="851" spans="1:80" ht="14.25" hidden="1" customHeight="1" outlineLevel="2" x14ac:dyDescent="0.25">
      <c r="A851" s="10" t="b">
        <f>AND(A849)</f>
        <v>0</v>
      </c>
      <c r="B851" s="5" t="b">
        <f>AND(OR(isFIRST_PERIOD="да",$AD$56="нет"),A849)</f>
        <v>0</v>
      </c>
      <c r="C851" s="8" t="s">
        <v>170</v>
      </c>
      <c r="D851" s="152" t="s">
        <v>171</v>
      </c>
      <c r="E851" s="8" t="s">
        <v>73</v>
      </c>
      <c r="F851" s="8" t="s">
        <v>74</v>
      </c>
      <c r="G851" s="8" t="s">
        <v>73</v>
      </c>
      <c r="H851" s="8" t="s">
        <v>73</v>
      </c>
      <c r="I851" s="8" t="s">
        <v>73</v>
      </c>
      <c r="J851" s="8" t="s">
        <v>73</v>
      </c>
      <c r="K851" s="8" t="s">
        <v>73</v>
      </c>
      <c r="L851" s="8"/>
      <c r="M851" s="5" t="str">
        <f t="array" ref="M851">Y818</f>
        <v>1ХВС::1.1</v>
      </c>
      <c r="N851" s="4"/>
      <c r="Z851" s="6"/>
      <c r="AA851" s="6"/>
      <c r="AB851" s="29"/>
      <c r="AC851" s="117"/>
      <c r="AD851" s="51"/>
      <c r="AE851" s="66"/>
      <c r="AF851" s="67"/>
      <c r="AG851" s="67"/>
      <c r="AH851" s="119"/>
      <c r="AI851" s="66"/>
      <c r="AJ851" s="67"/>
      <c r="AK851" s="67"/>
      <c r="AL851" s="119"/>
      <c r="AM851" s="66"/>
      <c r="AN851" s="67"/>
      <c r="AO851" s="67"/>
      <c r="AP851" s="119"/>
      <c r="AQ851" s="66"/>
      <c r="AR851" s="67"/>
      <c r="AS851" s="67"/>
      <c r="AT851" s="119"/>
      <c r="AU851" s="66"/>
      <c r="AV851" s="67"/>
      <c r="AW851" s="67"/>
      <c r="AX851" s="119"/>
      <c r="AY851" s="66"/>
      <c r="AZ851" s="67"/>
      <c r="BA851" s="67"/>
      <c r="BB851" s="119"/>
      <c r="BC851" s="66"/>
      <c r="BD851" s="67"/>
      <c r="BE851" s="67"/>
      <c r="BF851" s="119"/>
      <c r="BG851" s="66"/>
      <c r="BH851" s="67"/>
      <c r="BI851" s="67"/>
      <c r="BJ851" s="119"/>
      <c r="BK851" s="66"/>
      <c r="BL851" s="67"/>
      <c r="BM851" s="67"/>
      <c r="BN851" s="119"/>
      <c r="BO851" s="66"/>
      <c r="BP851" s="67"/>
      <c r="BQ851" s="67"/>
      <c r="BR851" s="119"/>
      <c r="BS851" s="66"/>
      <c r="BT851" s="67"/>
      <c r="BU851" s="67"/>
      <c r="BV851" s="68"/>
      <c r="BY851" s="125">
        <f t="shared" si="331"/>
        <v>0</v>
      </c>
      <c r="BZ851" s="126">
        <f t="shared" si="332"/>
        <v>0</v>
      </c>
      <c r="CA851" s="126">
        <f t="shared" si="333"/>
        <v>0</v>
      </c>
      <c r="CB851" s="127"/>
    </row>
    <row r="852" spans="1:80" ht="14.25" hidden="1" customHeight="1" outlineLevel="3" x14ac:dyDescent="0.25">
      <c r="A852" s="10" t="b">
        <f>AND(A849,region_name="Республика Татарстан")</f>
        <v>0</v>
      </c>
      <c r="C852" s="8" t="s">
        <v>140</v>
      </c>
      <c r="D852" s="8" t="s">
        <v>141</v>
      </c>
      <c r="E852" s="8" t="s">
        <v>172</v>
      </c>
      <c r="F852" s="8" t="s">
        <v>74</v>
      </c>
      <c r="G852" s="8" t="s">
        <v>73</v>
      </c>
      <c r="H852" s="8" t="s">
        <v>73</v>
      </c>
      <c r="I852" s="8" t="s">
        <v>73</v>
      </c>
      <c r="J852" s="8" t="s">
        <v>73</v>
      </c>
      <c r="K852" s="8" t="s">
        <v>73</v>
      </c>
      <c r="L852" s="8"/>
      <c r="M852" s="5" t="str">
        <f t="array" ref="M852">Y818</f>
        <v>1ХВС::1.1</v>
      </c>
      <c r="N852" s="4"/>
      <c r="Z852" s="6"/>
      <c r="AA852" s="6"/>
      <c r="AB852" s="29"/>
      <c r="AC852" s="71"/>
      <c r="AD852" s="51"/>
      <c r="AE852" s="66"/>
      <c r="AF852" s="67"/>
      <c r="AG852" s="67"/>
      <c r="AH852" s="119"/>
      <c r="AI852" s="66"/>
      <c r="AJ852" s="67"/>
      <c r="AK852" s="67"/>
      <c r="AL852" s="119"/>
      <c r="AM852" s="66"/>
      <c r="AN852" s="67"/>
      <c r="AO852" s="67"/>
      <c r="AP852" s="119"/>
      <c r="AQ852" s="66"/>
      <c r="AR852" s="67"/>
      <c r="AS852" s="67"/>
      <c r="AT852" s="119"/>
      <c r="AU852" s="66"/>
      <c r="AV852" s="67"/>
      <c r="AW852" s="67"/>
      <c r="AX852" s="119"/>
      <c r="AY852" s="66"/>
      <c r="AZ852" s="67"/>
      <c r="BA852" s="67"/>
      <c r="BB852" s="119"/>
      <c r="BC852" s="66"/>
      <c r="BD852" s="67"/>
      <c r="BE852" s="67"/>
      <c r="BF852" s="119"/>
      <c r="BG852" s="66"/>
      <c r="BH852" s="67"/>
      <c r="BI852" s="67"/>
      <c r="BJ852" s="119"/>
      <c r="BK852" s="66"/>
      <c r="BL852" s="67"/>
      <c r="BM852" s="67"/>
      <c r="BN852" s="119"/>
      <c r="BO852" s="66"/>
      <c r="BP852" s="67"/>
      <c r="BQ852" s="67"/>
      <c r="BR852" s="119"/>
      <c r="BS852" s="66"/>
      <c r="BT852" s="67"/>
      <c r="BU852" s="67"/>
      <c r="BV852" s="68"/>
      <c r="BY852" s="125">
        <f t="shared" si="331"/>
        <v>0</v>
      </c>
      <c r="BZ852" s="126">
        <f t="shared" si="332"/>
        <v>0</v>
      </c>
      <c r="CA852" s="126">
        <f t="shared" si="333"/>
        <v>0</v>
      </c>
      <c r="CB852" s="127"/>
    </row>
    <row r="853" spans="1:80" ht="14.25" hidden="1" customHeight="1" outlineLevel="3" x14ac:dyDescent="0.25">
      <c r="A853" s="10" t="b">
        <f>AND(A849,region_name="Республика Татарстан")</f>
        <v>0</v>
      </c>
      <c r="C853" s="8" t="s">
        <v>140</v>
      </c>
      <c r="D853" s="8" t="s">
        <v>141</v>
      </c>
      <c r="E853" s="8" t="s">
        <v>173</v>
      </c>
      <c r="F853" s="8" t="s">
        <v>74</v>
      </c>
      <c r="G853" s="8" t="s">
        <v>73</v>
      </c>
      <c r="H853" s="8" t="s">
        <v>73</v>
      </c>
      <c r="I853" s="8" t="s">
        <v>73</v>
      </c>
      <c r="J853" s="8" t="s">
        <v>73</v>
      </c>
      <c r="K853" s="8" t="s">
        <v>73</v>
      </c>
      <c r="L853" s="8"/>
      <c r="M853" s="5" t="str">
        <f t="array" ref="M853">Y818</f>
        <v>1ХВС::1.1</v>
      </c>
      <c r="N853" s="4"/>
      <c r="Z853" s="6"/>
      <c r="AA853" s="6"/>
      <c r="AB853" s="29"/>
      <c r="AC853" s="87"/>
      <c r="AD853" s="51"/>
      <c r="AE853" s="66"/>
      <c r="AF853" s="67"/>
      <c r="AG853" s="67"/>
      <c r="AH853" s="119"/>
      <c r="AI853" s="66"/>
      <c r="AJ853" s="67"/>
      <c r="AK853" s="67"/>
      <c r="AL853" s="119"/>
      <c r="AM853" s="66"/>
      <c r="AN853" s="67"/>
      <c r="AO853" s="67"/>
      <c r="AP853" s="119"/>
      <c r="AQ853" s="66"/>
      <c r="AR853" s="67"/>
      <c r="AS853" s="67"/>
      <c r="AT853" s="119"/>
      <c r="AU853" s="66"/>
      <c r="AV853" s="67"/>
      <c r="AW853" s="67"/>
      <c r="AX853" s="119"/>
      <c r="AY853" s="66"/>
      <c r="AZ853" s="67"/>
      <c r="BA853" s="67"/>
      <c r="BB853" s="119"/>
      <c r="BC853" s="66"/>
      <c r="BD853" s="67"/>
      <c r="BE853" s="67"/>
      <c r="BF853" s="119"/>
      <c r="BG853" s="66"/>
      <c r="BH853" s="67"/>
      <c r="BI853" s="67"/>
      <c r="BJ853" s="119"/>
      <c r="BK853" s="66"/>
      <c r="BL853" s="67"/>
      <c r="BM853" s="67"/>
      <c r="BN853" s="119"/>
      <c r="BO853" s="66"/>
      <c r="BP853" s="67"/>
      <c r="BQ853" s="67"/>
      <c r="BR853" s="119"/>
      <c r="BS853" s="66"/>
      <c r="BT853" s="67"/>
      <c r="BU853" s="67"/>
      <c r="BV853" s="68"/>
      <c r="BY853" s="125">
        <f t="shared" si="331"/>
        <v>0</v>
      </c>
      <c r="BZ853" s="126">
        <f t="shared" si="332"/>
        <v>0</v>
      </c>
      <c r="CA853" s="126">
        <f t="shared" si="333"/>
        <v>0</v>
      </c>
      <c r="CB853" s="127"/>
    </row>
    <row r="854" spans="1:80" ht="14.25" hidden="1" customHeight="1" outlineLevel="3" x14ac:dyDescent="0.25">
      <c r="A854" s="10" t="b">
        <f t="array" ref="A854">A849</f>
        <v>0</v>
      </c>
      <c r="C854" s="8" t="s">
        <v>140</v>
      </c>
      <c r="D854" s="8" t="s">
        <v>141</v>
      </c>
      <c r="E854" s="8" t="s">
        <v>174</v>
      </c>
      <c r="F854" s="8" t="s">
        <v>74</v>
      </c>
      <c r="G854" s="8" t="s">
        <v>73</v>
      </c>
      <c r="H854" s="8" t="s">
        <v>73</v>
      </c>
      <c r="I854" s="8" t="s">
        <v>73</v>
      </c>
      <c r="J854" s="8" t="s">
        <v>73</v>
      </c>
      <c r="K854" s="8" t="s">
        <v>73</v>
      </c>
      <c r="L854" s="8"/>
      <c r="M854" s="5" t="str">
        <f t="array" ref="M854">Y818</f>
        <v>1ХВС::1.1</v>
      </c>
      <c r="N854" s="4"/>
      <c r="Z854" s="6"/>
      <c r="AA854" s="6"/>
      <c r="AB854" s="29"/>
      <c r="AC854" s="71"/>
      <c r="AD854" s="51"/>
      <c r="AE854" s="66"/>
      <c r="AF854" s="67"/>
      <c r="AG854" s="67"/>
      <c r="AH854" s="119"/>
      <c r="AI854" s="66"/>
      <c r="AJ854" s="67"/>
      <c r="AK854" s="67"/>
      <c r="AL854" s="119"/>
      <c r="AM854" s="66"/>
      <c r="AN854" s="67"/>
      <c r="AO854" s="67"/>
      <c r="AP854" s="119"/>
      <c r="AQ854" s="66"/>
      <c r="AR854" s="67"/>
      <c r="AS854" s="67"/>
      <c r="AT854" s="119"/>
      <c r="AU854" s="66"/>
      <c r="AV854" s="67"/>
      <c r="AW854" s="67"/>
      <c r="AX854" s="119"/>
      <c r="AY854" s="66"/>
      <c r="AZ854" s="67"/>
      <c r="BA854" s="67"/>
      <c r="BB854" s="119"/>
      <c r="BC854" s="66"/>
      <c r="BD854" s="67"/>
      <c r="BE854" s="67"/>
      <c r="BF854" s="119"/>
      <c r="BG854" s="66"/>
      <c r="BH854" s="67"/>
      <c r="BI854" s="67"/>
      <c r="BJ854" s="119"/>
      <c r="BK854" s="66"/>
      <c r="BL854" s="67"/>
      <c r="BM854" s="67"/>
      <c r="BN854" s="119"/>
      <c r="BO854" s="66"/>
      <c r="BP854" s="67"/>
      <c r="BQ854" s="67"/>
      <c r="BR854" s="119"/>
      <c r="BS854" s="66"/>
      <c r="BT854" s="67"/>
      <c r="BU854" s="67"/>
      <c r="BV854" s="68"/>
      <c r="BY854" s="125">
        <f t="shared" si="331"/>
        <v>0</v>
      </c>
      <c r="BZ854" s="126">
        <f t="shared" si="332"/>
        <v>0</v>
      </c>
      <c r="CA854" s="126">
        <f t="shared" si="333"/>
        <v>0</v>
      </c>
      <c r="CB854" s="127"/>
    </row>
    <row r="855" spans="1:80" ht="14.25" hidden="1" customHeight="1" outlineLevel="3" x14ac:dyDescent="0.25">
      <c r="A855" s="10" t="b">
        <f t="array" ref="A855">A854</f>
        <v>0</v>
      </c>
      <c r="C855" s="8" t="s">
        <v>140</v>
      </c>
      <c r="D855" s="8" t="s">
        <v>141</v>
      </c>
      <c r="E855" s="8" t="s">
        <v>175</v>
      </c>
      <c r="F855" s="8" t="s">
        <v>74</v>
      </c>
      <c r="G855" s="8" t="s">
        <v>73</v>
      </c>
      <c r="H855" s="8" t="s">
        <v>73</v>
      </c>
      <c r="I855" s="8" t="s">
        <v>73</v>
      </c>
      <c r="J855" s="8" t="s">
        <v>73</v>
      </c>
      <c r="K855" s="8" t="s">
        <v>73</v>
      </c>
      <c r="L855" s="8"/>
      <c r="M855" s="5" t="str">
        <f t="array" ref="M855">Y818</f>
        <v>1ХВС::1.1</v>
      </c>
      <c r="N855" s="4"/>
      <c r="Z855" s="6"/>
      <c r="AA855" s="6"/>
      <c r="AB855" s="29"/>
      <c r="AC855" s="87"/>
      <c r="AD855" s="51"/>
      <c r="AE855" s="66"/>
      <c r="AF855" s="67"/>
      <c r="AG855" s="67"/>
      <c r="AH855" s="119"/>
      <c r="AI855" s="66"/>
      <c r="AJ855" s="67"/>
      <c r="AK855" s="67"/>
      <c r="AL855" s="119"/>
      <c r="AM855" s="66"/>
      <c r="AN855" s="67"/>
      <c r="AO855" s="67"/>
      <c r="AP855" s="119"/>
      <c r="AQ855" s="66"/>
      <c r="AR855" s="67"/>
      <c r="AS855" s="67"/>
      <c r="AT855" s="119"/>
      <c r="AU855" s="66"/>
      <c r="AV855" s="67"/>
      <c r="AW855" s="67"/>
      <c r="AX855" s="119"/>
      <c r="AY855" s="66"/>
      <c r="AZ855" s="67"/>
      <c r="BA855" s="67"/>
      <c r="BB855" s="119"/>
      <c r="BC855" s="66"/>
      <c r="BD855" s="67"/>
      <c r="BE855" s="67"/>
      <c r="BF855" s="119"/>
      <c r="BG855" s="66"/>
      <c r="BH855" s="67"/>
      <c r="BI855" s="67"/>
      <c r="BJ855" s="119"/>
      <c r="BK855" s="66"/>
      <c r="BL855" s="67"/>
      <c r="BM855" s="67"/>
      <c r="BN855" s="119"/>
      <c r="BO855" s="66"/>
      <c r="BP855" s="67"/>
      <c r="BQ855" s="67"/>
      <c r="BR855" s="119"/>
      <c r="BS855" s="66"/>
      <c r="BT855" s="67"/>
      <c r="BU855" s="67"/>
      <c r="BV855" s="68"/>
      <c r="BY855" s="125">
        <f t="shared" si="331"/>
        <v>0</v>
      </c>
      <c r="BZ855" s="126">
        <f t="shared" si="332"/>
        <v>0</v>
      </c>
      <c r="CA855" s="126">
        <f t="shared" si="333"/>
        <v>0</v>
      </c>
      <c r="CB855" s="127"/>
    </row>
    <row r="856" spans="1:80" ht="14.25" hidden="1" customHeight="1" outlineLevel="3" x14ac:dyDescent="0.25">
      <c r="A856" s="10" t="b">
        <f t="array" ref="A856">A855</f>
        <v>0</v>
      </c>
      <c r="C856" s="8" t="s">
        <v>140</v>
      </c>
      <c r="D856" s="8" t="s">
        <v>141</v>
      </c>
      <c r="E856" s="8" t="s">
        <v>176</v>
      </c>
      <c r="F856" s="8" t="s">
        <v>74</v>
      </c>
      <c r="G856" s="8" t="s">
        <v>73</v>
      </c>
      <c r="H856" s="8" t="s">
        <v>73</v>
      </c>
      <c r="I856" s="8" t="s">
        <v>73</v>
      </c>
      <c r="J856" s="8" t="s">
        <v>73</v>
      </c>
      <c r="K856" s="8" t="s">
        <v>73</v>
      </c>
      <c r="L856" s="8"/>
      <c r="M856" s="5" t="str">
        <f t="array" ref="M856">Y818</f>
        <v>1ХВС::1.1</v>
      </c>
      <c r="N856" s="4"/>
      <c r="Z856" s="6"/>
      <c r="AA856" s="6"/>
      <c r="AB856" s="29"/>
      <c r="AC856" s="87"/>
      <c r="AD856" s="51"/>
      <c r="AE856" s="66"/>
      <c r="AF856" s="67"/>
      <c r="AG856" s="67"/>
      <c r="AH856" s="119"/>
      <c r="AI856" s="66"/>
      <c r="AJ856" s="67"/>
      <c r="AK856" s="67"/>
      <c r="AL856" s="119"/>
      <c r="AM856" s="66"/>
      <c r="AN856" s="67"/>
      <c r="AO856" s="67"/>
      <c r="AP856" s="119"/>
      <c r="AQ856" s="66"/>
      <c r="AR856" s="67"/>
      <c r="AS856" s="67"/>
      <c r="AT856" s="119"/>
      <c r="AU856" s="66"/>
      <c r="AV856" s="67"/>
      <c r="AW856" s="67"/>
      <c r="AX856" s="119"/>
      <c r="AY856" s="66"/>
      <c r="AZ856" s="67"/>
      <c r="BA856" s="67"/>
      <c r="BB856" s="119"/>
      <c r="BC856" s="66"/>
      <c r="BD856" s="67"/>
      <c r="BE856" s="67"/>
      <c r="BF856" s="119"/>
      <c r="BG856" s="66"/>
      <c r="BH856" s="67"/>
      <c r="BI856" s="67"/>
      <c r="BJ856" s="119"/>
      <c r="BK856" s="66"/>
      <c r="BL856" s="67"/>
      <c r="BM856" s="67"/>
      <c r="BN856" s="119"/>
      <c r="BO856" s="66"/>
      <c r="BP856" s="67"/>
      <c r="BQ856" s="67"/>
      <c r="BR856" s="119"/>
      <c r="BS856" s="66"/>
      <c r="BT856" s="67"/>
      <c r="BU856" s="67"/>
      <c r="BV856" s="68"/>
      <c r="BY856" s="125">
        <f t="shared" si="331"/>
        <v>0</v>
      </c>
      <c r="BZ856" s="126">
        <f t="shared" si="332"/>
        <v>0</v>
      </c>
      <c r="CA856" s="126">
        <f t="shared" si="333"/>
        <v>0</v>
      </c>
      <c r="CB856" s="127"/>
    </row>
    <row r="857" spans="1:80" ht="14.25" hidden="1" customHeight="1" outlineLevel="3" x14ac:dyDescent="0.25">
      <c r="A857" s="10" t="b">
        <f t="array" ref="A857">A856</f>
        <v>0</v>
      </c>
      <c r="C857" s="116" t="s">
        <v>140</v>
      </c>
      <c r="D857" s="116" t="s">
        <v>141</v>
      </c>
      <c r="E857" s="116" t="s">
        <v>177</v>
      </c>
      <c r="F857" s="116" t="s">
        <v>74</v>
      </c>
      <c r="G857" s="116" t="s">
        <v>73</v>
      </c>
      <c r="H857" s="116" t="s">
        <v>73</v>
      </c>
      <c r="I857" s="116" t="s">
        <v>73</v>
      </c>
      <c r="J857" s="116" t="s">
        <v>73</v>
      </c>
      <c r="K857" s="116" t="s">
        <v>73</v>
      </c>
      <c r="L857" s="116"/>
      <c r="M857" s="5" t="str">
        <f t="array" ref="M857">Y818</f>
        <v>1ХВС::1.1</v>
      </c>
      <c r="N857" s="116"/>
      <c r="Z857" s="6"/>
      <c r="AA857" s="6"/>
      <c r="AB857" s="29"/>
      <c r="AC857" s="92"/>
      <c r="AD857" s="51"/>
      <c r="AE857" s="66"/>
      <c r="AF857" s="67"/>
      <c r="AG857" s="67"/>
      <c r="AH857" s="119"/>
      <c r="AI857" s="66"/>
      <c r="AJ857" s="67"/>
      <c r="AK857" s="67"/>
      <c r="AL857" s="119"/>
      <c r="AM857" s="66"/>
      <c r="AN857" s="67"/>
      <c r="AO857" s="67"/>
      <c r="AP857" s="119"/>
      <c r="AQ857" s="66"/>
      <c r="AR857" s="67"/>
      <c r="AS857" s="67"/>
      <c r="AT857" s="119"/>
      <c r="AU857" s="66"/>
      <c r="AV857" s="67"/>
      <c r="AW857" s="67"/>
      <c r="AX857" s="119"/>
      <c r="AY857" s="66"/>
      <c r="AZ857" s="67"/>
      <c r="BA857" s="67"/>
      <c r="BB857" s="119"/>
      <c r="BC857" s="66"/>
      <c r="BD857" s="67"/>
      <c r="BE857" s="67"/>
      <c r="BF857" s="119"/>
      <c r="BG857" s="66"/>
      <c r="BH857" s="67"/>
      <c r="BI857" s="67"/>
      <c r="BJ857" s="119"/>
      <c r="BK857" s="66"/>
      <c r="BL857" s="67"/>
      <c r="BM857" s="67"/>
      <c r="BN857" s="119"/>
      <c r="BO857" s="66"/>
      <c r="BP857" s="67"/>
      <c r="BQ857" s="67"/>
      <c r="BR857" s="119"/>
      <c r="BS857" s="66"/>
      <c r="BT857" s="67"/>
      <c r="BU857" s="67"/>
      <c r="BV857" s="68"/>
      <c r="BY857" s="125">
        <f t="shared" si="331"/>
        <v>0</v>
      </c>
      <c r="BZ857" s="126">
        <f t="shared" si="332"/>
        <v>0</v>
      </c>
      <c r="CA857" s="126">
        <f t="shared" si="333"/>
        <v>0</v>
      </c>
      <c r="CB857" s="127"/>
    </row>
    <row r="858" spans="1:80" ht="14.25" hidden="1" customHeight="1" outlineLevel="3" x14ac:dyDescent="0.25">
      <c r="A858" s="10" t="b">
        <f t="array" ref="A858">A857</f>
        <v>0</v>
      </c>
      <c r="C858" s="116" t="s">
        <v>140</v>
      </c>
      <c r="D858" s="116" t="s">
        <v>141</v>
      </c>
      <c r="E858" s="116" t="s">
        <v>178</v>
      </c>
      <c r="F858" s="116" t="s">
        <v>74</v>
      </c>
      <c r="G858" s="116" t="s">
        <v>73</v>
      </c>
      <c r="H858" s="116" t="s">
        <v>73</v>
      </c>
      <c r="I858" s="116" t="s">
        <v>73</v>
      </c>
      <c r="J858" s="116" t="s">
        <v>73</v>
      </c>
      <c r="K858" s="116" t="s">
        <v>73</v>
      </c>
      <c r="L858" s="116"/>
      <c r="M858" s="5" t="str">
        <f t="array" ref="M858">Y818</f>
        <v>1ХВС::1.1</v>
      </c>
      <c r="N858" s="116"/>
      <c r="Z858" s="6"/>
      <c r="AA858" s="6"/>
      <c r="AB858" s="29"/>
      <c r="AC858" s="153"/>
      <c r="AD858" s="51"/>
      <c r="AE858" s="66"/>
      <c r="AF858" s="67"/>
      <c r="AG858" s="67"/>
      <c r="AH858" s="119"/>
      <c r="AI858" s="66"/>
      <c r="AJ858" s="67"/>
      <c r="AK858" s="67"/>
      <c r="AL858" s="119"/>
      <c r="AM858" s="66"/>
      <c r="AN858" s="67"/>
      <c r="AO858" s="67"/>
      <c r="AP858" s="119"/>
      <c r="AQ858" s="66"/>
      <c r="AR858" s="67"/>
      <c r="AS858" s="67"/>
      <c r="AT858" s="119"/>
      <c r="AU858" s="66"/>
      <c r="AV858" s="67"/>
      <c r="AW858" s="67"/>
      <c r="AX858" s="119"/>
      <c r="AY858" s="66"/>
      <c r="AZ858" s="67"/>
      <c r="BA858" s="67"/>
      <c r="BB858" s="119"/>
      <c r="BC858" s="66"/>
      <c r="BD858" s="67"/>
      <c r="BE858" s="67"/>
      <c r="BF858" s="119"/>
      <c r="BG858" s="66"/>
      <c r="BH858" s="67"/>
      <c r="BI858" s="67"/>
      <c r="BJ858" s="119"/>
      <c r="BK858" s="66"/>
      <c r="BL858" s="67"/>
      <c r="BM858" s="67"/>
      <c r="BN858" s="119"/>
      <c r="BO858" s="66"/>
      <c r="BP858" s="67"/>
      <c r="BQ858" s="67"/>
      <c r="BR858" s="119"/>
      <c r="BS858" s="66"/>
      <c r="BT858" s="67"/>
      <c r="BU858" s="67"/>
      <c r="BV858" s="68"/>
      <c r="BY858" s="125">
        <f t="shared" si="331"/>
        <v>0</v>
      </c>
      <c r="BZ858" s="126">
        <f t="shared" si="332"/>
        <v>0</v>
      </c>
      <c r="CA858" s="126">
        <f t="shared" si="333"/>
        <v>0</v>
      </c>
      <c r="CB858" s="127"/>
    </row>
    <row r="859" spans="1:80" ht="14.25" hidden="1" customHeight="1" outlineLevel="3" x14ac:dyDescent="0.25">
      <c r="A859" s="10" t="b">
        <f t="array" ref="A859">A858</f>
        <v>0</v>
      </c>
      <c r="C859" s="116" t="s">
        <v>140</v>
      </c>
      <c r="D859" s="116" t="s">
        <v>141</v>
      </c>
      <c r="E859" s="116" t="s">
        <v>179</v>
      </c>
      <c r="F859" s="116" t="s">
        <v>74</v>
      </c>
      <c r="G859" s="116" t="s">
        <v>73</v>
      </c>
      <c r="H859" s="116" t="s">
        <v>73</v>
      </c>
      <c r="I859" s="116" t="s">
        <v>73</v>
      </c>
      <c r="J859" s="116" t="s">
        <v>73</v>
      </c>
      <c r="K859" s="116" t="s">
        <v>73</v>
      </c>
      <c r="L859" s="116"/>
      <c r="M859" s="5" t="str">
        <f t="array" ref="M859">Y818</f>
        <v>1ХВС::1.1</v>
      </c>
      <c r="N859" s="116"/>
      <c r="Z859" s="6"/>
      <c r="AA859" s="6"/>
      <c r="AB859" s="29"/>
      <c r="AC859" s="153"/>
      <c r="AD859" s="51"/>
      <c r="AE859" s="66"/>
      <c r="AF859" s="67"/>
      <c r="AG859" s="67"/>
      <c r="AH859" s="119"/>
      <c r="AI859" s="66"/>
      <c r="AJ859" s="67"/>
      <c r="AK859" s="67"/>
      <c r="AL859" s="119"/>
      <c r="AM859" s="66"/>
      <c r="AN859" s="67"/>
      <c r="AO859" s="67"/>
      <c r="AP859" s="119"/>
      <c r="AQ859" s="66"/>
      <c r="AR859" s="67"/>
      <c r="AS859" s="67"/>
      <c r="AT859" s="119"/>
      <c r="AU859" s="66"/>
      <c r="AV859" s="67"/>
      <c r="AW859" s="67"/>
      <c r="AX859" s="119"/>
      <c r="AY859" s="66"/>
      <c r="AZ859" s="67"/>
      <c r="BA859" s="67"/>
      <c r="BB859" s="119"/>
      <c r="BC859" s="66"/>
      <c r="BD859" s="67"/>
      <c r="BE859" s="67"/>
      <c r="BF859" s="119"/>
      <c r="BG859" s="66"/>
      <c r="BH859" s="67"/>
      <c r="BI859" s="67"/>
      <c r="BJ859" s="119"/>
      <c r="BK859" s="66"/>
      <c r="BL859" s="67"/>
      <c r="BM859" s="67"/>
      <c r="BN859" s="119"/>
      <c r="BO859" s="66"/>
      <c r="BP859" s="67"/>
      <c r="BQ859" s="67"/>
      <c r="BR859" s="119"/>
      <c r="BS859" s="66"/>
      <c r="BT859" s="67"/>
      <c r="BU859" s="67"/>
      <c r="BV859" s="68"/>
      <c r="BY859" s="125">
        <f t="shared" si="331"/>
        <v>0</v>
      </c>
      <c r="BZ859" s="126">
        <f t="shared" si="332"/>
        <v>0</v>
      </c>
      <c r="CA859" s="126">
        <f t="shared" si="333"/>
        <v>0</v>
      </c>
      <c r="CB859" s="127"/>
    </row>
    <row r="860" spans="1:80" ht="14.25" hidden="1" customHeight="1" outlineLevel="3" x14ac:dyDescent="0.25">
      <c r="A860" s="10" t="b">
        <f t="array" ref="A860">A859</f>
        <v>0</v>
      </c>
      <c r="C860" s="116" t="s">
        <v>140</v>
      </c>
      <c r="D860" s="116" t="s">
        <v>141</v>
      </c>
      <c r="E860" s="116" t="s">
        <v>180</v>
      </c>
      <c r="F860" s="116" t="s">
        <v>74</v>
      </c>
      <c r="G860" s="116" t="s">
        <v>73</v>
      </c>
      <c r="H860" s="116" t="s">
        <v>73</v>
      </c>
      <c r="I860" s="116" t="s">
        <v>73</v>
      </c>
      <c r="J860" s="116" t="s">
        <v>73</v>
      </c>
      <c r="K860" s="116" t="s">
        <v>73</v>
      </c>
      <c r="L860" s="116"/>
      <c r="M860" s="5" t="str">
        <f t="array" ref="M860">Y818</f>
        <v>1ХВС::1.1</v>
      </c>
      <c r="N860" s="116"/>
      <c r="Z860" s="6"/>
      <c r="AA860" s="6"/>
      <c r="AB860" s="29"/>
      <c r="AC860" s="153"/>
      <c r="AD860" s="51"/>
      <c r="AE860" s="66"/>
      <c r="AF860" s="67"/>
      <c r="AG860" s="67"/>
      <c r="AH860" s="119"/>
      <c r="AI860" s="66"/>
      <c r="AJ860" s="67"/>
      <c r="AK860" s="67"/>
      <c r="AL860" s="119"/>
      <c r="AM860" s="66"/>
      <c r="AN860" s="67"/>
      <c r="AO860" s="67"/>
      <c r="AP860" s="119"/>
      <c r="AQ860" s="66"/>
      <c r="AR860" s="67"/>
      <c r="AS860" s="67"/>
      <c r="AT860" s="119"/>
      <c r="AU860" s="66"/>
      <c r="AV860" s="67"/>
      <c r="AW860" s="67"/>
      <c r="AX860" s="119"/>
      <c r="AY860" s="66"/>
      <c r="AZ860" s="67"/>
      <c r="BA860" s="67"/>
      <c r="BB860" s="119"/>
      <c r="BC860" s="66"/>
      <c r="BD860" s="67"/>
      <c r="BE860" s="67"/>
      <c r="BF860" s="119"/>
      <c r="BG860" s="66"/>
      <c r="BH860" s="67"/>
      <c r="BI860" s="67"/>
      <c r="BJ860" s="119"/>
      <c r="BK860" s="66"/>
      <c r="BL860" s="67"/>
      <c r="BM860" s="67"/>
      <c r="BN860" s="119"/>
      <c r="BO860" s="66"/>
      <c r="BP860" s="67"/>
      <c r="BQ860" s="67"/>
      <c r="BR860" s="119"/>
      <c r="BS860" s="66"/>
      <c r="BT860" s="67"/>
      <c r="BU860" s="67"/>
      <c r="BV860" s="68"/>
      <c r="BY860" s="125">
        <f t="shared" si="331"/>
        <v>0</v>
      </c>
      <c r="BZ860" s="126">
        <f t="shared" si="332"/>
        <v>0</v>
      </c>
      <c r="CA860" s="126">
        <f t="shared" si="333"/>
        <v>0</v>
      </c>
      <c r="CB860" s="127"/>
    </row>
    <row r="861" spans="1:80" ht="14.25" hidden="1" customHeight="1" outlineLevel="3" x14ac:dyDescent="0.25">
      <c r="A861" s="10" t="b">
        <f t="array" ref="A861">A860</f>
        <v>0</v>
      </c>
      <c r="C861" s="116" t="s">
        <v>140</v>
      </c>
      <c r="D861" s="116" t="s">
        <v>141</v>
      </c>
      <c r="E861" s="116" t="s">
        <v>181</v>
      </c>
      <c r="F861" s="116" t="s">
        <v>74</v>
      </c>
      <c r="G861" s="116" t="s">
        <v>73</v>
      </c>
      <c r="H861" s="116" t="s">
        <v>73</v>
      </c>
      <c r="I861" s="116" t="s">
        <v>73</v>
      </c>
      <c r="J861" s="116" t="s">
        <v>73</v>
      </c>
      <c r="K861" s="116" t="s">
        <v>73</v>
      </c>
      <c r="L861" s="116"/>
      <c r="M861" s="5" t="str">
        <f t="array" ref="M861">Y818</f>
        <v>1ХВС::1.1</v>
      </c>
      <c r="N861" s="116"/>
      <c r="Z861" s="6"/>
      <c r="AA861" s="6"/>
      <c r="AB861" s="29"/>
      <c r="AC861" s="92"/>
      <c r="AD861" s="51"/>
      <c r="AE861" s="66"/>
      <c r="AF861" s="67"/>
      <c r="AG861" s="67"/>
      <c r="AH861" s="119"/>
      <c r="AI861" s="66"/>
      <c r="AJ861" s="67"/>
      <c r="AK861" s="67"/>
      <c r="AL861" s="119"/>
      <c r="AM861" s="66"/>
      <c r="AN861" s="67"/>
      <c r="AO861" s="67"/>
      <c r="AP861" s="119"/>
      <c r="AQ861" s="66"/>
      <c r="AR861" s="67"/>
      <c r="AS861" s="67"/>
      <c r="AT861" s="119"/>
      <c r="AU861" s="66"/>
      <c r="AV861" s="67"/>
      <c r="AW861" s="67"/>
      <c r="AX861" s="119"/>
      <c r="AY861" s="66"/>
      <c r="AZ861" s="67"/>
      <c r="BA861" s="67"/>
      <c r="BB861" s="119"/>
      <c r="BC861" s="66"/>
      <c r="BD861" s="67"/>
      <c r="BE861" s="67"/>
      <c r="BF861" s="119"/>
      <c r="BG861" s="66"/>
      <c r="BH861" s="67"/>
      <c r="BI861" s="67"/>
      <c r="BJ861" s="119"/>
      <c r="BK861" s="66"/>
      <c r="BL861" s="67"/>
      <c r="BM861" s="67"/>
      <c r="BN861" s="119"/>
      <c r="BO861" s="66"/>
      <c r="BP861" s="67"/>
      <c r="BQ861" s="67"/>
      <c r="BR861" s="119"/>
      <c r="BS861" s="66"/>
      <c r="BT861" s="67"/>
      <c r="BU861" s="67"/>
      <c r="BV861" s="68"/>
      <c r="BY861" s="125">
        <f t="shared" si="331"/>
        <v>0</v>
      </c>
      <c r="BZ861" s="126">
        <f t="shared" si="332"/>
        <v>0</v>
      </c>
      <c r="CA861" s="126">
        <f t="shared" si="333"/>
        <v>0</v>
      </c>
      <c r="CB861" s="127"/>
    </row>
    <row r="862" spans="1:80" ht="14.25" hidden="1" customHeight="1" outlineLevel="3" x14ac:dyDescent="0.25">
      <c r="A862" s="10" t="b">
        <f t="array" ref="A862">A861</f>
        <v>0</v>
      </c>
      <c r="C862" s="116" t="s">
        <v>140</v>
      </c>
      <c r="D862" s="116" t="s">
        <v>141</v>
      </c>
      <c r="E862" s="116" t="s">
        <v>182</v>
      </c>
      <c r="F862" s="116" t="s">
        <v>74</v>
      </c>
      <c r="G862" s="116" t="s">
        <v>73</v>
      </c>
      <c r="H862" s="116" t="s">
        <v>73</v>
      </c>
      <c r="I862" s="116" t="s">
        <v>73</v>
      </c>
      <c r="J862" s="116" t="s">
        <v>73</v>
      </c>
      <c r="K862" s="116" t="s">
        <v>73</v>
      </c>
      <c r="L862" s="116"/>
      <c r="M862" s="5" t="str">
        <f t="array" ref="M862">Y818</f>
        <v>1ХВС::1.1</v>
      </c>
      <c r="N862" s="116"/>
      <c r="Z862" s="6"/>
      <c r="AA862" s="6"/>
      <c r="AB862" s="29"/>
      <c r="AC862" s="87"/>
      <c r="AD862" s="51"/>
      <c r="AE862" s="66"/>
      <c r="AF862" s="67"/>
      <c r="AG862" s="67"/>
      <c r="AH862" s="119"/>
      <c r="AI862" s="66"/>
      <c r="AJ862" s="67"/>
      <c r="AK862" s="67"/>
      <c r="AL862" s="119"/>
      <c r="AM862" s="66"/>
      <c r="AN862" s="67"/>
      <c r="AO862" s="67"/>
      <c r="AP862" s="119"/>
      <c r="AQ862" s="66"/>
      <c r="AR862" s="67"/>
      <c r="AS862" s="67"/>
      <c r="AT862" s="119"/>
      <c r="AU862" s="66"/>
      <c r="AV862" s="67"/>
      <c r="AW862" s="67"/>
      <c r="AX862" s="119"/>
      <c r="AY862" s="66"/>
      <c r="AZ862" s="67"/>
      <c r="BA862" s="67"/>
      <c r="BB862" s="119"/>
      <c r="BC862" s="66"/>
      <c r="BD862" s="67"/>
      <c r="BE862" s="67"/>
      <c r="BF862" s="119"/>
      <c r="BG862" s="66"/>
      <c r="BH862" s="67"/>
      <c r="BI862" s="67"/>
      <c r="BJ862" s="119"/>
      <c r="BK862" s="66"/>
      <c r="BL862" s="67"/>
      <c r="BM862" s="67"/>
      <c r="BN862" s="119"/>
      <c r="BO862" s="66"/>
      <c r="BP862" s="67"/>
      <c r="BQ862" s="67"/>
      <c r="BR862" s="119"/>
      <c r="BS862" s="66"/>
      <c r="BT862" s="67"/>
      <c r="BU862" s="67"/>
      <c r="BV862" s="68"/>
      <c r="BY862" s="125">
        <f t="shared" si="331"/>
        <v>0</v>
      </c>
      <c r="BZ862" s="126">
        <f t="shared" si="332"/>
        <v>0</v>
      </c>
      <c r="CA862" s="126">
        <f t="shared" si="333"/>
        <v>0</v>
      </c>
      <c r="CB862" s="127"/>
    </row>
    <row r="863" spans="1:80" ht="14.25" hidden="1" customHeight="1" outlineLevel="3" x14ac:dyDescent="0.25">
      <c r="A863" s="10" t="b">
        <f t="array" ref="A863">A862</f>
        <v>0</v>
      </c>
      <c r="C863" s="116" t="s">
        <v>140</v>
      </c>
      <c r="D863" s="116" t="s">
        <v>141</v>
      </c>
      <c r="E863" s="116" t="s">
        <v>183</v>
      </c>
      <c r="F863" s="116" t="s">
        <v>74</v>
      </c>
      <c r="G863" s="116" t="s">
        <v>73</v>
      </c>
      <c r="H863" s="116" t="s">
        <v>73</v>
      </c>
      <c r="I863" s="116" t="s">
        <v>73</v>
      </c>
      <c r="J863" s="116" t="s">
        <v>73</v>
      </c>
      <c r="K863" s="116" t="s">
        <v>73</v>
      </c>
      <c r="L863" s="116"/>
      <c r="M863" s="5" t="str">
        <f t="array" ref="M863">Y818</f>
        <v>1ХВС::1.1</v>
      </c>
      <c r="N863" s="116"/>
      <c r="Z863" s="6"/>
      <c r="AA863" s="6"/>
      <c r="AB863" s="29"/>
      <c r="AC863" s="71"/>
      <c r="AD863" s="51"/>
      <c r="AE863" s="66"/>
      <c r="AF863" s="67"/>
      <c r="AG863" s="67"/>
      <c r="AH863" s="119"/>
      <c r="AI863" s="66"/>
      <c r="AJ863" s="67"/>
      <c r="AK863" s="67"/>
      <c r="AL863" s="119"/>
      <c r="AM863" s="66"/>
      <c r="AN863" s="67"/>
      <c r="AO863" s="67"/>
      <c r="AP863" s="119"/>
      <c r="AQ863" s="66"/>
      <c r="AR863" s="67"/>
      <c r="AS863" s="67"/>
      <c r="AT863" s="119"/>
      <c r="AU863" s="66"/>
      <c r="AV863" s="67"/>
      <c r="AW863" s="67"/>
      <c r="AX863" s="119"/>
      <c r="AY863" s="66"/>
      <c r="AZ863" s="67"/>
      <c r="BA863" s="67"/>
      <c r="BB863" s="119"/>
      <c r="BC863" s="66"/>
      <c r="BD863" s="67"/>
      <c r="BE863" s="67"/>
      <c r="BF863" s="119"/>
      <c r="BG863" s="66"/>
      <c r="BH863" s="67"/>
      <c r="BI863" s="67"/>
      <c r="BJ863" s="119"/>
      <c r="BK863" s="66"/>
      <c r="BL863" s="67"/>
      <c r="BM863" s="67"/>
      <c r="BN863" s="119"/>
      <c r="BO863" s="66"/>
      <c r="BP863" s="67"/>
      <c r="BQ863" s="67"/>
      <c r="BR863" s="119"/>
      <c r="BS863" s="66"/>
      <c r="BT863" s="67"/>
      <c r="BU863" s="67"/>
      <c r="BV863" s="68"/>
      <c r="BY863" s="125">
        <f t="shared" si="331"/>
        <v>0</v>
      </c>
      <c r="BZ863" s="126">
        <f t="shared" si="332"/>
        <v>0</v>
      </c>
      <c r="CA863" s="126">
        <f t="shared" si="333"/>
        <v>0</v>
      </c>
      <c r="CB863" s="127"/>
    </row>
    <row r="864" spans="1:80" ht="14.25" hidden="1" customHeight="1" outlineLevel="3" x14ac:dyDescent="0.25">
      <c r="A864" s="10" t="b">
        <f t="array" ref="A864">A863</f>
        <v>0</v>
      </c>
      <c r="C864" s="116" t="s">
        <v>140</v>
      </c>
      <c r="D864" s="116" t="s">
        <v>141</v>
      </c>
      <c r="E864" s="116" t="s">
        <v>184</v>
      </c>
      <c r="F864" s="116" t="s">
        <v>74</v>
      </c>
      <c r="G864" s="116" t="s">
        <v>73</v>
      </c>
      <c r="H864" s="116" t="s">
        <v>73</v>
      </c>
      <c r="I864" s="116" t="s">
        <v>73</v>
      </c>
      <c r="J864" s="116" t="s">
        <v>73</v>
      </c>
      <c r="K864" s="116" t="s">
        <v>73</v>
      </c>
      <c r="L864" s="116"/>
      <c r="M864" s="5" t="str">
        <f t="array" ref="M864">Y818</f>
        <v>1ХВС::1.1</v>
      </c>
      <c r="N864" s="116"/>
      <c r="Z864" s="6"/>
      <c r="AA864" s="6"/>
      <c r="AB864" s="29"/>
      <c r="AC864" s="87"/>
      <c r="AD864" s="51"/>
      <c r="AE864" s="66"/>
      <c r="AF864" s="67"/>
      <c r="AG864" s="67"/>
      <c r="AH864" s="119"/>
      <c r="AI864" s="66"/>
      <c r="AJ864" s="67"/>
      <c r="AK864" s="67"/>
      <c r="AL864" s="119"/>
      <c r="AM864" s="66"/>
      <c r="AN864" s="67"/>
      <c r="AO864" s="67"/>
      <c r="AP864" s="119"/>
      <c r="AQ864" s="66"/>
      <c r="AR864" s="67"/>
      <c r="AS864" s="67"/>
      <c r="AT864" s="119"/>
      <c r="AU864" s="66"/>
      <c r="AV864" s="67"/>
      <c r="AW864" s="67"/>
      <c r="AX864" s="119"/>
      <c r="AY864" s="66"/>
      <c r="AZ864" s="67"/>
      <c r="BA864" s="67"/>
      <c r="BB864" s="119"/>
      <c r="BC864" s="66"/>
      <c r="BD864" s="67"/>
      <c r="BE864" s="67"/>
      <c r="BF864" s="119"/>
      <c r="BG864" s="66"/>
      <c r="BH864" s="67"/>
      <c r="BI864" s="67"/>
      <c r="BJ864" s="119"/>
      <c r="BK864" s="66"/>
      <c r="BL864" s="67"/>
      <c r="BM864" s="67"/>
      <c r="BN864" s="119"/>
      <c r="BO864" s="66"/>
      <c r="BP864" s="67"/>
      <c r="BQ864" s="67"/>
      <c r="BR864" s="119"/>
      <c r="BS864" s="66"/>
      <c r="BT864" s="67"/>
      <c r="BU864" s="67"/>
      <c r="BV864" s="68"/>
      <c r="BY864" s="125">
        <f t="shared" si="331"/>
        <v>0</v>
      </c>
      <c r="BZ864" s="126">
        <f t="shared" si="332"/>
        <v>0</v>
      </c>
      <c r="CA864" s="126">
        <f t="shared" si="333"/>
        <v>0</v>
      </c>
      <c r="CB864" s="127"/>
    </row>
    <row r="865" spans="1:82" ht="14.25" hidden="1" customHeight="1" outlineLevel="3" x14ac:dyDescent="0.25">
      <c r="A865" s="10" t="b">
        <f t="array" ref="A865">A864</f>
        <v>0</v>
      </c>
      <c r="C865" s="116" t="s">
        <v>140</v>
      </c>
      <c r="D865" s="116" t="s">
        <v>141</v>
      </c>
      <c r="E865" s="116" t="s">
        <v>185</v>
      </c>
      <c r="F865" s="116" t="s">
        <v>74</v>
      </c>
      <c r="G865" s="116" t="s">
        <v>73</v>
      </c>
      <c r="H865" s="116" t="s">
        <v>73</v>
      </c>
      <c r="I865" s="116" t="s">
        <v>73</v>
      </c>
      <c r="J865" s="116" t="s">
        <v>73</v>
      </c>
      <c r="K865" s="116" t="s">
        <v>73</v>
      </c>
      <c r="L865" s="116"/>
      <c r="M865" s="5" t="str">
        <f t="array" ref="M865">Y818</f>
        <v>1ХВС::1.1</v>
      </c>
      <c r="N865" s="116"/>
      <c r="Z865" s="6"/>
      <c r="AA865" s="6"/>
      <c r="AB865" s="29"/>
      <c r="AC865" s="87"/>
      <c r="AD865" s="51"/>
      <c r="AE865" s="66"/>
      <c r="AF865" s="67"/>
      <c r="AG865" s="67"/>
      <c r="AH865" s="119"/>
      <c r="AI865" s="66"/>
      <c r="AJ865" s="67"/>
      <c r="AK865" s="67"/>
      <c r="AL865" s="119"/>
      <c r="AM865" s="66"/>
      <c r="AN865" s="67"/>
      <c r="AO865" s="67"/>
      <c r="AP865" s="119"/>
      <c r="AQ865" s="66"/>
      <c r="AR865" s="67"/>
      <c r="AS865" s="67"/>
      <c r="AT865" s="119"/>
      <c r="AU865" s="66"/>
      <c r="AV865" s="67"/>
      <c r="AW865" s="67"/>
      <c r="AX865" s="119"/>
      <c r="AY865" s="66"/>
      <c r="AZ865" s="67"/>
      <c r="BA865" s="67"/>
      <c r="BB865" s="119"/>
      <c r="BC865" s="66"/>
      <c r="BD865" s="67"/>
      <c r="BE865" s="67"/>
      <c r="BF865" s="119"/>
      <c r="BG865" s="66"/>
      <c r="BH865" s="67"/>
      <c r="BI865" s="67"/>
      <c r="BJ865" s="119"/>
      <c r="BK865" s="66"/>
      <c r="BL865" s="67"/>
      <c r="BM865" s="67"/>
      <c r="BN865" s="119"/>
      <c r="BO865" s="66"/>
      <c r="BP865" s="67"/>
      <c r="BQ865" s="67"/>
      <c r="BR865" s="119"/>
      <c r="BS865" s="66"/>
      <c r="BT865" s="67"/>
      <c r="BU865" s="67"/>
      <c r="BV865" s="68"/>
      <c r="BY865" s="125">
        <f t="shared" si="331"/>
        <v>0</v>
      </c>
      <c r="BZ865" s="126">
        <f t="shared" si="332"/>
        <v>0</v>
      </c>
      <c r="CA865" s="126">
        <f t="shared" si="333"/>
        <v>0</v>
      </c>
      <c r="CB865" s="127"/>
    </row>
    <row r="866" spans="1:82" ht="14.25" hidden="1" customHeight="1" outlineLevel="3" thickBot="1" x14ac:dyDescent="0.3">
      <c r="A866" s="10" t="b">
        <f t="array" ref="A866">A865</f>
        <v>0</v>
      </c>
      <c r="C866" s="154" t="s">
        <v>140</v>
      </c>
      <c r="D866" s="154" t="s">
        <v>141</v>
      </c>
      <c r="E866" s="154" t="s">
        <v>186</v>
      </c>
      <c r="F866" s="116" t="s">
        <v>74</v>
      </c>
      <c r="G866" s="154" t="s">
        <v>73</v>
      </c>
      <c r="H866" s="154" t="s">
        <v>73</v>
      </c>
      <c r="I866" s="154" t="s">
        <v>73</v>
      </c>
      <c r="J866" s="154" t="s">
        <v>73</v>
      </c>
      <c r="K866" s="154" t="s">
        <v>73</v>
      </c>
      <c r="L866" s="154"/>
      <c r="M866" s="5" t="str">
        <f t="array" ref="M866">Y818</f>
        <v>1ХВС::1.1</v>
      </c>
      <c r="N866" s="116"/>
      <c r="Z866" s="6"/>
      <c r="AA866" s="6"/>
      <c r="AB866" s="29"/>
      <c r="AC866" s="71"/>
      <c r="AD866" s="51"/>
      <c r="AE866" s="66"/>
      <c r="AF866" s="67"/>
      <c r="AG866" s="67"/>
      <c r="AH866" s="119"/>
      <c r="AI866" s="66"/>
      <c r="AJ866" s="67"/>
      <c r="AK866" s="67"/>
      <c r="AL866" s="119"/>
      <c r="AM866" s="66"/>
      <c r="AN866" s="67"/>
      <c r="AO866" s="67"/>
      <c r="AP866" s="119"/>
      <c r="AQ866" s="66"/>
      <c r="AR866" s="67"/>
      <c r="AS866" s="67"/>
      <c r="AT866" s="119"/>
      <c r="AU866" s="66"/>
      <c r="AV866" s="67"/>
      <c r="AW866" s="67"/>
      <c r="AX866" s="119"/>
      <c r="AY866" s="66"/>
      <c r="AZ866" s="67"/>
      <c r="BA866" s="67"/>
      <c r="BB866" s="119"/>
      <c r="BC866" s="66"/>
      <c r="BD866" s="67"/>
      <c r="BE866" s="67"/>
      <c r="BF866" s="119"/>
      <c r="BG866" s="66"/>
      <c r="BH866" s="67"/>
      <c r="BI866" s="67"/>
      <c r="BJ866" s="119"/>
      <c r="BK866" s="66"/>
      <c r="BL866" s="67"/>
      <c r="BM866" s="67"/>
      <c r="BN866" s="119"/>
      <c r="BO866" s="66"/>
      <c r="BP866" s="67"/>
      <c r="BQ866" s="67"/>
      <c r="BR866" s="119"/>
      <c r="BS866" s="66"/>
      <c r="BT866" s="67"/>
      <c r="BU866" s="67"/>
      <c r="BV866" s="68"/>
      <c r="BY866" s="125">
        <f t="shared" si="331"/>
        <v>0</v>
      </c>
      <c r="BZ866" s="126">
        <f t="shared" si="332"/>
        <v>0</v>
      </c>
      <c r="CA866" s="126">
        <f t="shared" si="333"/>
        <v>0</v>
      </c>
      <c r="CB866" s="127"/>
    </row>
    <row r="867" spans="1:82" s="171" customFormat="1" ht="17.45" customHeight="1" collapsed="1" x14ac:dyDescent="0.25">
      <c r="A867" s="166"/>
      <c r="B867" s="166"/>
      <c r="C867" s="167" t="s">
        <v>83</v>
      </c>
      <c r="D867" s="167" t="s">
        <v>84</v>
      </c>
      <c r="E867" s="167" t="s">
        <v>73</v>
      </c>
      <c r="F867" s="167" t="s">
        <v>74</v>
      </c>
      <c r="G867" s="167" t="s">
        <v>187</v>
      </c>
      <c r="H867" s="167" t="s">
        <v>73</v>
      </c>
      <c r="I867" s="167" t="s">
        <v>73</v>
      </c>
      <c r="J867" s="166"/>
      <c r="K867" s="168" t="s">
        <v>73</v>
      </c>
      <c r="L867" s="167" t="s">
        <v>133</v>
      </c>
      <c r="M867" s="166" t="str">
        <f t="array" ref="M867">Y818</f>
        <v>1ХВС::1.1</v>
      </c>
      <c r="N867" s="166"/>
      <c r="O867" s="166"/>
      <c r="P867" s="166"/>
      <c r="Q867" s="166"/>
      <c r="R867" s="166"/>
      <c r="S867" s="166"/>
      <c r="T867" s="166"/>
      <c r="U867" s="166"/>
      <c r="V867" s="166"/>
      <c r="W867" s="166"/>
      <c r="X867" s="166"/>
      <c r="Y867" s="166"/>
      <c r="Z867" s="166"/>
      <c r="AA867" s="166"/>
      <c r="AB867" s="623">
        <f t="array" ref="AB867">IF($U818="Водоснабжение",AB832,AB849)+1</f>
        <v>3</v>
      </c>
      <c r="AC867" s="624" t="s">
        <v>187</v>
      </c>
      <c r="AD867" s="931" t="s">
        <v>111</v>
      </c>
      <c r="AE867" s="655">
        <f t="shared" ref="AE867:BV867" si="334">AE868+AE1111+AE1112</f>
        <v>2922484.877196053</v>
      </c>
      <c r="AF867" s="627">
        <f t="shared" si="334"/>
        <v>2613397.4363414217</v>
      </c>
      <c r="AG867" s="627">
        <f t="shared" si="334"/>
        <v>3663509.541754025</v>
      </c>
      <c r="AH867" s="932">
        <f t="shared" si="334"/>
        <v>2949523.4702319996</v>
      </c>
      <c r="AI867" s="655">
        <f t="shared" si="334"/>
        <v>58978.620963199995</v>
      </c>
      <c r="AJ867" s="627">
        <f t="shared" si="334"/>
        <v>19022.235000000001</v>
      </c>
      <c r="AK867" s="627">
        <f t="shared" si="334"/>
        <v>59138.290681099999</v>
      </c>
      <c r="AL867" s="932">
        <f t="shared" si="334"/>
        <v>28218.079860999998</v>
      </c>
      <c r="AM867" s="655">
        <f t="shared" si="334"/>
        <v>64126.689430819984</v>
      </c>
      <c r="AN867" s="627">
        <f t="shared" si="334"/>
        <v>31467.295098840001</v>
      </c>
      <c r="AO867" s="627">
        <f t="shared" si="334"/>
        <v>80645.508894400002</v>
      </c>
      <c r="AP867" s="932">
        <f t="shared" si="334"/>
        <v>52771.677949000004</v>
      </c>
      <c r="AQ867" s="655">
        <f t="shared" si="334"/>
        <v>88047.562562079998</v>
      </c>
      <c r="AR867" s="627">
        <f t="shared" si="334"/>
        <v>52968.417376972</v>
      </c>
      <c r="AS867" s="627">
        <f t="shared" si="334"/>
        <v>118441.29332398003</v>
      </c>
      <c r="AT867" s="932">
        <f t="shared" si="334"/>
        <v>93827.258430639995</v>
      </c>
      <c r="AU867" s="655">
        <f t="shared" si="334"/>
        <v>49632.441276199999</v>
      </c>
      <c r="AV867" s="627">
        <f t="shared" si="334"/>
        <v>16082.5117252</v>
      </c>
      <c r="AW867" s="627">
        <f t="shared" si="334"/>
        <v>69195.30739799999</v>
      </c>
      <c r="AX867" s="932">
        <f t="shared" si="334"/>
        <v>60944.863568960005</v>
      </c>
      <c r="AY867" s="655">
        <f t="shared" si="334"/>
        <v>100132.90446989999</v>
      </c>
      <c r="AZ867" s="627">
        <f t="shared" si="334"/>
        <v>111246.62550376999</v>
      </c>
      <c r="BA867" s="627">
        <f t="shared" si="334"/>
        <v>151971.32742597</v>
      </c>
      <c r="BB867" s="932">
        <f t="shared" si="334"/>
        <v>115176.89016643658</v>
      </c>
      <c r="BC867" s="655">
        <f t="shared" si="334"/>
        <v>93075.908281860015</v>
      </c>
      <c r="BD867" s="627">
        <f t="shared" si="334"/>
        <v>30918.086825799997</v>
      </c>
      <c r="BE867" s="627">
        <f t="shared" si="334"/>
        <v>114050.2302762</v>
      </c>
      <c r="BF867" s="932">
        <f t="shared" si="334"/>
        <v>90942.256953000004</v>
      </c>
      <c r="BG867" s="655">
        <f t="shared" si="334"/>
        <v>231528.33272309505</v>
      </c>
      <c r="BH867" s="627">
        <f t="shared" si="334"/>
        <v>231963.24952299998</v>
      </c>
      <c r="BI867" s="627">
        <f t="shared" si="334"/>
        <v>346584.17613494996</v>
      </c>
      <c r="BJ867" s="932">
        <f t="shared" si="334"/>
        <v>268954.59227521101</v>
      </c>
      <c r="BK867" s="655">
        <f t="shared" si="334"/>
        <v>308948.40981360001</v>
      </c>
      <c r="BL867" s="627">
        <f t="shared" si="334"/>
        <v>213915.10832740003</v>
      </c>
      <c r="BM867" s="627">
        <f t="shared" si="334"/>
        <v>367783.36912500003</v>
      </c>
      <c r="BN867" s="932">
        <f t="shared" si="334"/>
        <v>231902.25154000003</v>
      </c>
      <c r="BO867" s="655">
        <f t="shared" si="334"/>
        <v>41682.485577500003</v>
      </c>
      <c r="BP867" s="627">
        <f t="shared" si="334"/>
        <v>33591.549675999995</v>
      </c>
      <c r="BQ867" s="627">
        <f t="shared" si="334"/>
        <v>47991.582646879993</v>
      </c>
      <c r="BR867" s="932">
        <f t="shared" si="334"/>
        <v>48947.760804254402</v>
      </c>
      <c r="BS867" s="655">
        <f t="shared" si="334"/>
        <v>73444.276699309994</v>
      </c>
      <c r="BT867" s="627">
        <f t="shared" si="334"/>
        <v>63294.667575200001</v>
      </c>
      <c r="BU867" s="627">
        <f t="shared" si="334"/>
        <v>100935.56446020001</v>
      </c>
      <c r="BV867" s="650">
        <f t="shared" si="334"/>
        <v>66680.608319999999</v>
      </c>
      <c r="BW867" s="1003"/>
      <c r="BX867" s="1004"/>
      <c r="BY867" s="630">
        <f t="shared" si="331"/>
        <v>4032082.5089936182</v>
      </c>
      <c r="BZ867" s="631">
        <f t="shared" si="332"/>
        <v>3417867.1829736033</v>
      </c>
      <c r="CA867" s="631">
        <f t="shared" si="333"/>
        <v>5120246.1921207057</v>
      </c>
      <c r="CB867" s="632">
        <f t="shared" si="333"/>
        <v>4007889.7101005032</v>
      </c>
      <c r="CC867" s="760"/>
    </row>
    <row r="868" spans="1:82" s="171" customFormat="1" ht="18.75" customHeight="1" outlineLevel="1" x14ac:dyDescent="0.25">
      <c r="A868" s="166"/>
      <c r="B868" s="166"/>
      <c r="C868" s="167" t="s">
        <v>83</v>
      </c>
      <c r="D868" s="167" t="s">
        <v>84</v>
      </c>
      <c r="E868" s="167" t="s">
        <v>73</v>
      </c>
      <c r="F868" s="167" t="s">
        <v>74</v>
      </c>
      <c r="G868" s="167" t="s">
        <v>188</v>
      </c>
      <c r="H868" s="167" t="s">
        <v>73</v>
      </c>
      <c r="I868" s="167" t="s">
        <v>73</v>
      </c>
      <c r="J868" s="166"/>
      <c r="K868" s="168" t="s">
        <v>73</v>
      </c>
      <c r="L868" s="167" t="s">
        <v>133</v>
      </c>
      <c r="M868" s="166" t="str">
        <f t="array" ref="M868">Y818</f>
        <v>1ХВС::1.1</v>
      </c>
      <c r="N868" s="166"/>
      <c r="O868" s="166"/>
      <c r="P868" s="166"/>
      <c r="Q868" s="166"/>
      <c r="R868" s="166"/>
      <c r="S868" s="166"/>
      <c r="T868" s="166"/>
      <c r="U868" s="166"/>
      <c r="V868" s="166"/>
      <c r="W868" s="166"/>
      <c r="X868" s="166"/>
      <c r="Y868" s="166"/>
      <c r="Z868" s="166"/>
      <c r="AA868" s="166"/>
      <c r="AB868" s="623" t="str">
        <f>AB867&amp;".1"</f>
        <v>3.1</v>
      </c>
      <c r="AC868" s="633" t="s">
        <v>188</v>
      </c>
      <c r="AD868" s="931" t="s">
        <v>111</v>
      </c>
      <c r="AE868" s="655">
        <f t="shared" ref="AE868:BV868" si="335">AE869+AE1058+AE1075</f>
        <v>2474271.9211960533</v>
      </c>
      <c r="AF868" s="627">
        <f t="shared" si="335"/>
        <v>2540275.1523414217</v>
      </c>
      <c r="AG868" s="627">
        <f t="shared" si="335"/>
        <v>3236169.0217540255</v>
      </c>
      <c r="AH868" s="932">
        <f t="shared" si="335"/>
        <v>2683529.6302319998</v>
      </c>
      <c r="AI868" s="655">
        <f t="shared" si="335"/>
        <v>27949.980963199996</v>
      </c>
      <c r="AJ868" s="627">
        <f t="shared" si="335"/>
        <v>19022.235000000001</v>
      </c>
      <c r="AK868" s="627">
        <f t="shared" si="335"/>
        <v>42027.360681099999</v>
      </c>
      <c r="AL868" s="932">
        <f t="shared" si="335"/>
        <v>28176.159861</v>
      </c>
      <c r="AM868" s="655">
        <f t="shared" si="335"/>
        <v>50115.049430819985</v>
      </c>
      <c r="AN868" s="627">
        <f t="shared" si="335"/>
        <v>28887.295098840001</v>
      </c>
      <c r="AO868" s="627">
        <f t="shared" si="335"/>
        <v>66096.568894399999</v>
      </c>
      <c r="AP868" s="932">
        <f t="shared" si="335"/>
        <v>52293.267949000001</v>
      </c>
      <c r="AQ868" s="655">
        <f t="shared" si="335"/>
        <v>82870.602562079992</v>
      </c>
      <c r="AR868" s="627">
        <f t="shared" si="335"/>
        <v>51822.817376972002</v>
      </c>
      <c r="AS868" s="627">
        <f t="shared" si="335"/>
        <v>109046.72332398003</v>
      </c>
      <c r="AT868" s="932">
        <f t="shared" si="335"/>
        <v>85050.078430640002</v>
      </c>
      <c r="AU868" s="655">
        <f t="shared" si="335"/>
        <v>47462.381276200002</v>
      </c>
      <c r="AV868" s="627">
        <f t="shared" si="335"/>
        <v>15282.6117252</v>
      </c>
      <c r="AW868" s="627">
        <f t="shared" si="335"/>
        <v>66468.097397999998</v>
      </c>
      <c r="AX868" s="932">
        <f t="shared" si="335"/>
        <v>58079.253568960004</v>
      </c>
      <c r="AY868" s="655">
        <f t="shared" si="335"/>
        <v>97935.574469899992</v>
      </c>
      <c r="AZ868" s="627">
        <f t="shared" si="335"/>
        <v>111012.34550376999</v>
      </c>
      <c r="BA868" s="627">
        <f t="shared" si="335"/>
        <v>148651.68742597001</v>
      </c>
      <c r="BB868" s="932">
        <f t="shared" si="335"/>
        <v>113580.89016643658</v>
      </c>
      <c r="BC868" s="655">
        <f t="shared" si="335"/>
        <v>88024.918281860009</v>
      </c>
      <c r="BD868" s="627">
        <f t="shared" si="335"/>
        <v>29908.586825799997</v>
      </c>
      <c r="BE868" s="627">
        <f t="shared" si="335"/>
        <v>110025.24027620001</v>
      </c>
      <c r="BF868" s="932">
        <f t="shared" si="335"/>
        <v>89250.636953000008</v>
      </c>
      <c r="BG868" s="655">
        <f t="shared" si="335"/>
        <v>209847.59772309504</v>
      </c>
      <c r="BH868" s="627">
        <f t="shared" si="335"/>
        <v>231963.24952299998</v>
      </c>
      <c r="BI868" s="627">
        <f t="shared" si="335"/>
        <v>324995.70813494996</v>
      </c>
      <c r="BJ868" s="932">
        <f t="shared" si="335"/>
        <v>253415.59227521103</v>
      </c>
      <c r="BK868" s="655">
        <f t="shared" si="335"/>
        <v>244171.6798136</v>
      </c>
      <c r="BL868" s="627">
        <f t="shared" si="335"/>
        <v>213915.10832740003</v>
      </c>
      <c r="BM868" s="627">
        <f t="shared" si="335"/>
        <v>299477.03912500001</v>
      </c>
      <c r="BN868" s="932">
        <f>BN869+BN1058+BN1075</f>
        <v>231902.25154000003</v>
      </c>
      <c r="BO868" s="655">
        <f t="shared" si="335"/>
        <v>40579.841577500003</v>
      </c>
      <c r="BP868" s="627">
        <f t="shared" si="335"/>
        <v>33591.549675999995</v>
      </c>
      <c r="BQ868" s="627">
        <f t="shared" si="335"/>
        <v>46852.674646879997</v>
      </c>
      <c r="BR868" s="932">
        <f t="shared" si="335"/>
        <v>48947.760804254402</v>
      </c>
      <c r="BS868" s="655">
        <f t="shared" si="335"/>
        <v>57282.422699310002</v>
      </c>
      <c r="BT868" s="627">
        <f t="shared" si="335"/>
        <v>63294.667575200001</v>
      </c>
      <c r="BU868" s="627">
        <f t="shared" si="335"/>
        <v>84462.379460199998</v>
      </c>
      <c r="BV868" s="650">
        <f t="shared" si="335"/>
        <v>66242.348320000005</v>
      </c>
      <c r="BW868" s="1003"/>
      <c r="BX868" s="1004"/>
      <c r="BY868" s="630">
        <f t="shared" si="331"/>
        <v>3420511.9699936192</v>
      </c>
      <c r="BZ868" s="631">
        <f t="shared" si="332"/>
        <v>3338975.6189736035</v>
      </c>
      <c r="CA868" s="631">
        <f t="shared" si="333"/>
        <v>4534272.5011207042</v>
      </c>
      <c r="CB868" s="632">
        <f t="shared" si="333"/>
        <v>3710467.8701005019</v>
      </c>
      <c r="CC868" s="760"/>
    </row>
    <row r="869" spans="1:82" s="171" customFormat="1" ht="15.75" customHeight="1" outlineLevel="2" x14ac:dyDescent="0.25">
      <c r="A869" s="166"/>
      <c r="B869" s="166"/>
      <c r="C869" s="167" t="s">
        <v>83</v>
      </c>
      <c r="D869" s="167" t="s">
        <v>84</v>
      </c>
      <c r="E869" s="167" t="s">
        <v>73</v>
      </c>
      <c r="F869" s="167" t="s">
        <v>74</v>
      </c>
      <c r="G869" s="167" t="s">
        <v>189</v>
      </c>
      <c r="H869" s="167" t="s">
        <v>73</v>
      </c>
      <c r="I869" s="167" t="s">
        <v>73</v>
      </c>
      <c r="J869" s="166"/>
      <c r="K869" s="168" t="s">
        <v>73</v>
      </c>
      <c r="L869" s="167" t="s">
        <v>133</v>
      </c>
      <c r="M869" s="166" t="str">
        <f t="array" ref="M869">Y818</f>
        <v>1ХВС::1.1</v>
      </c>
      <c r="N869" s="166"/>
      <c r="O869" s="166"/>
      <c r="P869" s="166"/>
      <c r="Q869" s="166"/>
      <c r="R869" s="166"/>
      <c r="S869" s="166"/>
      <c r="T869" s="166"/>
      <c r="U869" s="166"/>
      <c r="V869" s="166"/>
      <c r="W869" s="166"/>
      <c r="X869" s="166"/>
      <c r="Y869" s="166"/>
      <c r="Z869" s="166"/>
      <c r="AA869" s="166"/>
      <c r="AB869" s="623" t="str">
        <f>AB868&amp;".1"</f>
        <v>3.1.1</v>
      </c>
      <c r="AC869" s="634" t="s">
        <v>190</v>
      </c>
      <c r="AD869" s="931" t="s">
        <v>111</v>
      </c>
      <c r="AE869" s="655">
        <f t="shared" ref="AE869:BV869" si="336">AE870+AE985+AE994+AE1044</f>
        <v>1670797.1735580002</v>
      </c>
      <c r="AF869" s="627">
        <f t="shared" si="336"/>
        <v>1623689.1384854219</v>
      </c>
      <c r="AG869" s="627">
        <f t="shared" si="336"/>
        <v>2132675.061586</v>
      </c>
      <c r="AH869" s="932">
        <f t="shared" si="336"/>
        <v>1795580.140232</v>
      </c>
      <c r="AI869" s="655">
        <f t="shared" si="336"/>
        <v>17737.787473999997</v>
      </c>
      <c r="AJ869" s="627">
        <f t="shared" si="336"/>
        <v>7519.24</v>
      </c>
      <c r="AK869" s="627">
        <f t="shared" si="336"/>
        <v>30252.182695999996</v>
      </c>
      <c r="AL869" s="932">
        <f t="shared" si="336"/>
        <v>17450.571861</v>
      </c>
      <c r="AM869" s="655">
        <f t="shared" si="336"/>
        <v>36764.98599999999</v>
      </c>
      <c r="AN869" s="627">
        <f t="shared" si="336"/>
        <v>19803.109</v>
      </c>
      <c r="AO869" s="627">
        <f t="shared" si="336"/>
        <v>52008.4182</v>
      </c>
      <c r="AP869" s="932">
        <f t="shared" si="336"/>
        <v>39388.934150000001</v>
      </c>
      <c r="AQ869" s="655">
        <f t="shared" si="336"/>
        <v>60776.534999999996</v>
      </c>
      <c r="AR869" s="627">
        <f t="shared" si="336"/>
        <v>34811.268000000004</v>
      </c>
      <c r="AS869" s="627">
        <f t="shared" si="336"/>
        <v>79375.284000000014</v>
      </c>
      <c r="AT869" s="932">
        <f t="shared" si="336"/>
        <v>63352.376310000007</v>
      </c>
      <c r="AU869" s="655">
        <f t="shared" si="336"/>
        <v>42174.087</v>
      </c>
      <c r="AV869" s="627">
        <f t="shared" si="336"/>
        <v>6653.1014999999998</v>
      </c>
      <c r="AW869" s="627">
        <f t="shared" si="336"/>
        <v>57488.39899999999</v>
      </c>
      <c r="AX869" s="932">
        <f t="shared" si="336"/>
        <v>50164.83397</v>
      </c>
      <c r="AY869" s="655">
        <f t="shared" si="336"/>
        <v>69035.399000000005</v>
      </c>
      <c r="AZ869" s="627">
        <f t="shared" si="336"/>
        <v>92359.28</v>
      </c>
      <c r="BA869" s="627">
        <f t="shared" si="336"/>
        <v>106680.1969</v>
      </c>
      <c r="BB869" s="932">
        <f t="shared" si="336"/>
        <v>96098.910722436587</v>
      </c>
      <c r="BC869" s="655">
        <f t="shared" si="336"/>
        <v>78635.121486000004</v>
      </c>
      <c r="BD869" s="627">
        <f t="shared" si="336"/>
        <v>9511.0968257999994</v>
      </c>
      <c r="BE869" s="627">
        <f t="shared" si="336"/>
        <v>97176.469623000012</v>
      </c>
      <c r="BF869" s="932">
        <f t="shared" si="336"/>
        <v>81127.938813800007</v>
      </c>
      <c r="BG869" s="655">
        <f t="shared" si="336"/>
        <v>157452.18274200003</v>
      </c>
      <c r="BH869" s="627">
        <f t="shared" si="336"/>
        <v>172766.27352299998</v>
      </c>
      <c r="BI869" s="627">
        <f t="shared" si="336"/>
        <v>214429.10789099999</v>
      </c>
      <c r="BJ869" s="932">
        <f t="shared" si="336"/>
        <v>179761.56227521104</v>
      </c>
      <c r="BK869" s="655">
        <f t="shared" si="336"/>
        <v>183542.17723</v>
      </c>
      <c r="BL869" s="627">
        <f t="shared" si="336"/>
        <v>145296.83000000002</v>
      </c>
      <c r="BM869" s="627">
        <f t="shared" si="336"/>
        <v>230816.9166</v>
      </c>
      <c r="BN869" s="932">
        <f>BN870+BN985+BN994+BN1044</f>
        <v>158241.55954000002</v>
      </c>
      <c r="BO869" s="655">
        <f t="shared" si="336"/>
        <v>36938.70998</v>
      </c>
      <c r="BP869" s="627">
        <f t="shared" si="336"/>
        <v>29550.62084</v>
      </c>
      <c r="BQ869" s="627">
        <f t="shared" si="336"/>
        <v>42192.062659999996</v>
      </c>
      <c r="BR869" s="932">
        <f t="shared" si="336"/>
        <v>43930.2343174544</v>
      </c>
      <c r="BS869" s="655">
        <f t="shared" si="336"/>
        <v>45046.778160000002</v>
      </c>
      <c r="BT869" s="627">
        <f t="shared" si="336"/>
        <v>50229.639660000001</v>
      </c>
      <c r="BU869" s="627">
        <f t="shared" si="336"/>
        <v>65000.912007999992</v>
      </c>
      <c r="BV869" s="650">
        <f t="shared" si="336"/>
        <v>52240.988319999997</v>
      </c>
      <c r="BW869" s="1003"/>
      <c r="BX869" s="1004"/>
      <c r="BY869" s="630">
        <f t="shared" si="331"/>
        <v>2398900.9376300001</v>
      </c>
      <c r="BZ869" s="631">
        <f t="shared" si="332"/>
        <v>2192189.5978342216</v>
      </c>
      <c r="CA869" s="631">
        <f t="shared" si="333"/>
        <v>3108095.0111640003</v>
      </c>
      <c r="CB869" s="632">
        <f t="shared" si="333"/>
        <v>2577338.0505119022</v>
      </c>
      <c r="CC869" s="760"/>
    </row>
    <row r="870" spans="1:82" s="171" customFormat="1" ht="15.75" customHeight="1" outlineLevel="3" x14ac:dyDescent="0.25">
      <c r="A870" s="166"/>
      <c r="B870" s="166"/>
      <c r="C870" s="167" t="s">
        <v>83</v>
      </c>
      <c r="D870" s="167" t="s">
        <v>84</v>
      </c>
      <c r="E870" s="167" t="s">
        <v>73</v>
      </c>
      <c r="F870" s="167" t="s">
        <v>74</v>
      </c>
      <c r="G870" s="167" t="s">
        <v>191</v>
      </c>
      <c r="H870" s="167" t="s">
        <v>73</v>
      </c>
      <c r="I870" s="167" t="s">
        <v>73</v>
      </c>
      <c r="J870" s="166"/>
      <c r="K870" s="168" t="s">
        <v>73</v>
      </c>
      <c r="L870" s="167" t="s">
        <v>192</v>
      </c>
      <c r="M870" s="166" t="str">
        <f t="array" ref="M870">Y818</f>
        <v>1ХВС::1.1</v>
      </c>
      <c r="N870" s="166"/>
      <c r="O870" s="166"/>
      <c r="P870" s="166"/>
      <c r="Q870" s="166"/>
      <c r="R870" s="166"/>
      <c r="S870" s="166"/>
      <c r="T870" s="166"/>
      <c r="U870" s="166"/>
      <c r="V870" s="166"/>
      <c r="W870" s="166"/>
      <c r="X870" s="166"/>
      <c r="Y870" s="166"/>
      <c r="Z870" s="166"/>
      <c r="AA870" s="166"/>
      <c r="AB870" s="623" t="str">
        <f>AB869&amp;".1"</f>
        <v>3.1.1.1</v>
      </c>
      <c r="AC870" s="635" t="s">
        <v>193</v>
      </c>
      <c r="AD870" s="931" t="s">
        <v>111</v>
      </c>
      <c r="AE870" s="655">
        <f t="shared" ref="AE870:BV870" si="337">AE871+AE875+AE876+AE882+AE883+AE891</f>
        <v>1019712.29408</v>
      </c>
      <c r="AF870" s="627">
        <f t="shared" si="337"/>
        <v>1026698.0399999999</v>
      </c>
      <c r="AG870" s="627">
        <f t="shared" si="337"/>
        <v>1295717.6845</v>
      </c>
      <c r="AH870" s="932">
        <f t="shared" si="337"/>
        <v>1083947.62106</v>
      </c>
      <c r="AI870" s="655">
        <f t="shared" si="337"/>
        <v>16505.640059999998</v>
      </c>
      <c r="AJ870" s="627">
        <f t="shared" si="337"/>
        <v>5728.9</v>
      </c>
      <c r="AK870" s="627">
        <f t="shared" si="337"/>
        <v>26519.898079999999</v>
      </c>
      <c r="AL870" s="932">
        <f t="shared" si="337"/>
        <v>16124.834779999999</v>
      </c>
      <c r="AM870" s="655">
        <f t="shared" si="337"/>
        <v>18206.509999999998</v>
      </c>
      <c r="AN870" s="627">
        <f t="shared" si="337"/>
        <v>5356.1190000000006</v>
      </c>
      <c r="AO870" s="627">
        <f t="shared" si="337"/>
        <v>22321.29</v>
      </c>
      <c r="AP870" s="932">
        <f t="shared" si="337"/>
        <v>16354.73294</v>
      </c>
      <c r="AQ870" s="655">
        <f t="shared" si="337"/>
        <v>29752.008000000002</v>
      </c>
      <c r="AR870" s="627">
        <f t="shared" si="337"/>
        <v>18718.514000000003</v>
      </c>
      <c r="AS870" s="627">
        <f t="shared" si="337"/>
        <v>41069.380000000005</v>
      </c>
      <c r="AT870" s="932">
        <f t="shared" si="337"/>
        <v>26510.057970000002</v>
      </c>
      <c r="AU870" s="655">
        <f t="shared" si="337"/>
        <v>16508.428</v>
      </c>
      <c r="AV870" s="627">
        <f t="shared" si="337"/>
        <v>2942.06</v>
      </c>
      <c r="AW870" s="627">
        <f>AW871+AW875+AW876+AW882+AW883+AW891</f>
        <v>19281.198</v>
      </c>
      <c r="AX870" s="932">
        <f>AX871+AX875+AX876+AX882+AX883+AX891</f>
        <v>16714.682352</v>
      </c>
      <c r="AY870" s="655">
        <f t="shared" si="337"/>
        <v>28502.489999999998</v>
      </c>
      <c r="AZ870" s="627">
        <f t="shared" si="337"/>
        <v>24118.089999999997</v>
      </c>
      <c r="BA870" s="627">
        <f t="shared" si="337"/>
        <v>42595.08</v>
      </c>
      <c r="BB870" s="932">
        <f t="shared" si="337"/>
        <v>25094.633295362397</v>
      </c>
      <c r="BC870" s="655">
        <f t="shared" si="337"/>
        <v>34146.925259999996</v>
      </c>
      <c r="BD870" s="627">
        <f t="shared" si="337"/>
        <v>5111.1797646000005</v>
      </c>
      <c r="BE870" s="627">
        <f t="shared" si="337"/>
        <v>37532.897001000005</v>
      </c>
      <c r="BF870" s="932">
        <f t="shared" si="337"/>
        <v>28988.488419999998</v>
      </c>
      <c r="BG870" s="655">
        <f t="shared" si="337"/>
        <v>96731.456404000011</v>
      </c>
      <c r="BH870" s="627">
        <f t="shared" si="337"/>
        <v>66274.972855999993</v>
      </c>
      <c r="BI870" s="627">
        <f t="shared" si="337"/>
        <v>102598.08322</v>
      </c>
      <c r="BJ870" s="932">
        <f t="shared" si="337"/>
        <v>68959.49375721089</v>
      </c>
      <c r="BK870" s="655">
        <f t="shared" si="337"/>
        <v>86407.501560000004</v>
      </c>
      <c r="BL870" s="627">
        <f t="shared" si="337"/>
        <v>78336.009999999995</v>
      </c>
      <c r="BM870" s="627">
        <f t="shared" si="337"/>
        <v>120951.31</v>
      </c>
      <c r="BN870" s="932">
        <f t="shared" si="337"/>
        <v>77929.986350000006</v>
      </c>
      <c r="BO870" s="655">
        <f t="shared" si="337"/>
        <v>13711.936000000002</v>
      </c>
      <c r="BP870" s="627">
        <f t="shared" si="337"/>
        <v>8706.42</v>
      </c>
      <c r="BQ870" s="627">
        <f t="shared" si="337"/>
        <v>12101.41</v>
      </c>
      <c r="BR870" s="932">
        <f t="shared" si="337"/>
        <v>11511.201131368</v>
      </c>
      <c r="BS870" s="655">
        <f t="shared" si="337"/>
        <v>20523.012200000001</v>
      </c>
      <c r="BT870" s="627">
        <f t="shared" si="337"/>
        <v>25360.893399999997</v>
      </c>
      <c r="BU870" s="627">
        <f t="shared" si="337"/>
        <v>32602.393980000001</v>
      </c>
      <c r="BV870" s="650">
        <f t="shared" si="337"/>
        <v>20225.840949999998</v>
      </c>
      <c r="BW870" s="1003"/>
      <c r="BX870" s="1004"/>
      <c r="BY870" s="630">
        <f t="shared" si="331"/>
        <v>1380708.201564</v>
      </c>
      <c r="BZ870" s="631">
        <f t="shared" si="332"/>
        <v>1267351.1990205999</v>
      </c>
      <c r="CA870" s="631">
        <f t="shared" si="333"/>
        <v>1753290.624781</v>
      </c>
      <c r="CB870" s="632">
        <f t="shared" si="333"/>
        <v>1392361.5730059412</v>
      </c>
      <c r="CC870" s="760"/>
      <c r="CD870" s="1027"/>
    </row>
    <row r="871" spans="1:82" ht="23.25" customHeight="1" outlineLevel="4" x14ac:dyDescent="0.25">
      <c r="C871" s="10" t="s">
        <v>83</v>
      </c>
      <c r="D871" s="10" t="s">
        <v>84</v>
      </c>
      <c r="E871" s="10" t="s">
        <v>73</v>
      </c>
      <c r="F871" s="10" t="s">
        <v>74</v>
      </c>
      <c r="G871" s="10" t="s">
        <v>194</v>
      </c>
      <c r="H871" s="10" t="s">
        <v>73</v>
      </c>
      <c r="I871" s="10" t="s">
        <v>73</v>
      </c>
      <c r="K871" s="12" t="s">
        <v>73</v>
      </c>
      <c r="L871" s="10" t="s">
        <v>192</v>
      </c>
      <c r="M871" s="5" t="str">
        <f t="array" ref="M871">Y818</f>
        <v>1ХВС::1.1</v>
      </c>
      <c r="AB871" s="29" t="str">
        <f>AB870&amp;".1"</f>
        <v>3.1.1.1.1</v>
      </c>
      <c r="AC871" s="174" t="s">
        <v>195</v>
      </c>
      <c r="AD871" s="51" t="s">
        <v>111</v>
      </c>
      <c r="AE871" s="72">
        <f t="shared" ref="AE871:AK871" si="338">AE872+AE873+AE874</f>
        <v>44603.644</v>
      </c>
      <c r="AF871" s="73">
        <f t="shared" si="338"/>
        <v>22642.010000000002</v>
      </c>
      <c r="AG871" s="73">
        <f t="shared" si="338"/>
        <v>49303.88</v>
      </c>
      <c r="AH871" s="138">
        <f>AH145+AH511</f>
        <v>39597.165000000001</v>
      </c>
      <c r="AI871" s="72">
        <f t="shared" si="338"/>
        <v>842.17000000000007</v>
      </c>
      <c r="AJ871" s="73">
        <f t="shared" si="338"/>
        <v>35.909999999999997</v>
      </c>
      <c r="AK871" s="73">
        <f t="shared" si="338"/>
        <v>922.44999999999993</v>
      </c>
      <c r="AL871" s="138">
        <f>AL145+AL511</f>
        <v>430.87</v>
      </c>
      <c r="AM871" s="72">
        <f t="shared" ref="AM871:AS871" si="339">AM872+AM873+AM874</f>
        <v>1995.27</v>
      </c>
      <c r="AN871" s="73">
        <f t="shared" si="339"/>
        <v>658.88</v>
      </c>
      <c r="AO871" s="73">
        <f t="shared" si="339"/>
        <v>2195.4499999999998</v>
      </c>
      <c r="AP871" s="138">
        <f t="shared" si="339"/>
        <v>479.73</v>
      </c>
      <c r="AQ871" s="72">
        <f t="shared" si="339"/>
        <v>2589.88</v>
      </c>
      <c r="AR871" s="73">
        <f t="shared" si="339"/>
        <v>2136.4699999999998</v>
      </c>
      <c r="AS871" s="73">
        <f t="shared" si="339"/>
        <v>2775.8199999999997</v>
      </c>
      <c r="AT871" s="138">
        <f>AT145+AT511</f>
        <v>285.49</v>
      </c>
      <c r="AU871" s="72">
        <f>AU872+AU873+AU874</f>
        <v>928.06500000000005</v>
      </c>
      <c r="AV871" s="73">
        <f>AV872+AV873+AV874</f>
        <v>450.12</v>
      </c>
      <c r="AW871" s="73">
        <f>AW872+AW873+AW874</f>
        <v>1021.1700000000001</v>
      </c>
      <c r="AX871" s="138">
        <f>AX145+AX511</f>
        <v>514.23900000000003</v>
      </c>
      <c r="AY871" s="72">
        <f t="shared" ref="AY871:BE871" si="340">AY872+AY873+AY874</f>
        <v>2530.02</v>
      </c>
      <c r="AZ871" s="73">
        <f t="shared" si="340"/>
        <v>0</v>
      </c>
      <c r="BA871" s="73">
        <f t="shared" si="340"/>
        <v>2739.02</v>
      </c>
      <c r="BB871" s="138">
        <f t="shared" si="340"/>
        <v>0</v>
      </c>
      <c r="BC871" s="72">
        <f t="shared" si="340"/>
        <v>3184.817</v>
      </c>
      <c r="BD871" s="73">
        <f t="shared" si="340"/>
        <v>0</v>
      </c>
      <c r="BE871" s="73">
        <f t="shared" si="340"/>
        <v>2593.018</v>
      </c>
      <c r="BF871" s="138">
        <f>BF873+BF874</f>
        <v>1388.69</v>
      </c>
      <c r="BG871" s="72">
        <f t="shared" ref="BG871:BM871" si="341">BG872+BG873+BG874</f>
        <v>9184.630000000001</v>
      </c>
      <c r="BH871" s="73">
        <f t="shared" si="341"/>
        <v>515.59400000000005</v>
      </c>
      <c r="BI871" s="73">
        <f t="shared" si="341"/>
        <v>10088.925999999999</v>
      </c>
      <c r="BJ871" s="138">
        <f t="shared" si="341"/>
        <v>538.17524512</v>
      </c>
      <c r="BK871" s="72">
        <f t="shared" si="341"/>
        <v>7540.8859999999995</v>
      </c>
      <c r="BL871" s="73">
        <f t="shared" si="341"/>
        <v>5850.4500000000007</v>
      </c>
      <c r="BM871" s="73">
        <f t="shared" si="341"/>
        <v>13680.76</v>
      </c>
      <c r="BN871" s="138">
        <f>BN145+BN511</f>
        <v>6443.3</v>
      </c>
      <c r="BO871" s="72">
        <f t="shared" ref="BO871:BV871" si="342">BO872+BO873+BO874</f>
        <v>1109.3779999999999</v>
      </c>
      <c r="BP871" s="73">
        <f t="shared" si="342"/>
        <v>1114.01</v>
      </c>
      <c r="BQ871" s="73">
        <f t="shared" si="342"/>
        <v>948.4</v>
      </c>
      <c r="BR871" s="138">
        <f t="shared" si="342"/>
        <v>1106.0493019999999</v>
      </c>
      <c r="BS871" s="72">
        <f t="shared" si="342"/>
        <v>973.58500000000004</v>
      </c>
      <c r="BT871" s="73">
        <f t="shared" si="342"/>
        <v>603.79</v>
      </c>
      <c r="BU871" s="73">
        <f t="shared" si="342"/>
        <v>1195.17</v>
      </c>
      <c r="BV871" s="74">
        <f t="shared" si="342"/>
        <v>117.03999999999999</v>
      </c>
      <c r="BW871" s="698"/>
      <c r="BY871" s="125">
        <f t="shared" si="331"/>
        <v>75482.345000000001</v>
      </c>
      <c r="BZ871" s="126">
        <f t="shared" si="332"/>
        <v>34007.234000000004</v>
      </c>
      <c r="CA871" s="126">
        <f t="shared" si="333"/>
        <v>87464.063999999984</v>
      </c>
      <c r="CB871" s="127">
        <f t="shared" si="333"/>
        <v>50900.748547120013</v>
      </c>
    </row>
    <row r="872" spans="1:82" ht="15.75" hidden="1" customHeight="1" outlineLevel="4" x14ac:dyDescent="0.25">
      <c r="C872" s="10" t="s">
        <v>83</v>
      </c>
      <c r="D872" s="10" t="s">
        <v>84</v>
      </c>
      <c r="E872" s="10" t="s">
        <v>73</v>
      </c>
      <c r="F872" s="10" t="s">
        <v>74</v>
      </c>
      <c r="G872" s="10" t="s">
        <v>196</v>
      </c>
      <c r="H872" s="10" t="s">
        <v>73</v>
      </c>
      <c r="I872" s="10" t="s">
        <v>73</v>
      </c>
      <c r="K872" s="12" t="s">
        <v>73</v>
      </c>
      <c r="L872" s="10" t="s">
        <v>192</v>
      </c>
      <c r="M872" s="5" t="str">
        <f t="array" ref="M872">Y818</f>
        <v>1ХВС::1.1</v>
      </c>
      <c r="AB872" s="29" t="str">
        <f>AB871&amp;".1"</f>
        <v>3.1.1.1.1.1</v>
      </c>
      <c r="AC872" s="177" t="s">
        <v>196</v>
      </c>
      <c r="AD872" s="51" t="s">
        <v>111</v>
      </c>
      <c r="AE872" s="72"/>
      <c r="AF872" s="73"/>
      <c r="AG872" s="73"/>
      <c r="AH872" s="138"/>
      <c r="AI872" s="72"/>
      <c r="AJ872" s="178"/>
      <c r="AK872" s="73"/>
      <c r="AL872" s="138">
        <f>AL146+AL512</f>
        <v>0</v>
      </c>
      <c r="AM872" s="72"/>
      <c r="AN872" s="178"/>
      <c r="AO872" s="73"/>
      <c r="AP872" s="138"/>
      <c r="AQ872" s="72"/>
      <c r="AR872" s="178"/>
      <c r="AS872" s="73"/>
      <c r="AT872" s="138">
        <f>AT146</f>
        <v>0</v>
      </c>
      <c r="AU872" s="72"/>
      <c r="AV872" s="178"/>
      <c r="AW872" s="73"/>
      <c r="AX872" s="138"/>
      <c r="AY872" s="72"/>
      <c r="AZ872" s="178"/>
      <c r="BA872" s="73"/>
      <c r="BB872" s="138"/>
      <c r="BC872" s="72"/>
      <c r="BD872" s="178"/>
      <c r="BE872" s="73"/>
      <c r="BF872" s="138"/>
      <c r="BG872" s="72"/>
      <c r="BH872" s="178"/>
      <c r="BI872" s="73"/>
      <c r="BJ872" s="138"/>
      <c r="BK872" s="72"/>
      <c r="BL872" s="178"/>
      <c r="BM872" s="73"/>
      <c r="BN872" s="138"/>
      <c r="BO872" s="72"/>
      <c r="BP872" s="178"/>
      <c r="BQ872" s="73"/>
      <c r="BR872" s="138"/>
      <c r="BS872" s="72"/>
      <c r="BT872" s="178"/>
      <c r="BU872" s="73"/>
      <c r="BV872" s="74"/>
      <c r="BY872" s="125">
        <f t="shared" si="331"/>
        <v>0</v>
      </c>
      <c r="BZ872" s="126">
        <f t="shared" si="332"/>
        <v>0</v>
      </c>
      <c r="CA872" s="126">
        <f t="shared" si="333"/>
        <v>0</v>
      </c>
      <c r="CB872" s="127">
        <f t="shared" si="333"/>
        <v>0</v>
      </c>
    </row>
    <row r="873" spans="1:82" ht="18" customHeight="1" outlineLevel="4" x14ac:dyDescent="0.25">
      <c r="C873" s="10" t="s">
        <v>83</v>
      </c>
      <c r="D873" s="10" t="s">
        <v>84</v>
      </c>
      <c r="E873" s="10" t="s">
        <v>73</v>
      </c>
      <c r="F873" s="10" t="s">
        <v>74</v>
      </c>
      <c r="G873" s="10" t="s">
        <v>197</v>
      </c>
      <c r="H873" s="10" t="s">
        <v>73</v>
      </c>
      <c r="I873" s="10" t="s">
        <v>73</v>
      </c>
      <c r="K873" s="12" t="s">
        <v>73</v>
      </c>
      <c r="L873" s="10" t="s">
        <v>192</v>
      </c>
      <c r="M873" s="5" t="str">
        <f t="array" ref="M873">Y818</f>
        <v>1ХВС::1.1</v>
      </c>
      <c r="AB873" s="29" t="str">
        <f>AB871&amp;".2"</f>
        <v>3.1.1.1.1.2</v>
      </c>
      <c r="AC873" s="177" t="s">
        <v>197</v>
      </c>
      <c r="AD873" s="51" t="s">
        <v>111</v>
      </c>
      <c r="AE873" s="95">
        <f t="shared" ref="AE873:AL875" si="343">AE147+AE513</f>
        <v>20668.701000000001</v>
      </c>
      <c r="AF873" s="178">
        <f t="shared" si="343"/>
        <v>11827.26</v>
      </c>
      <c r="AG873" s="178">
        <f t="shared" si="343"/>
        <v>22733.39</v>
      </c>
      <c r="AH873" s="181">
        <f>AH147+AH512</f>
        <v>0</v>
      </c>
      <c r="AI873" s="95">
        <f t="shared" si="343"/>
        <v>175.23000000000002</v>
      </c>
      <c r="AJ873" s="178">
        <f t="shared" si="343"/>
        <v>2.94</v>
      </c>
      <c r="AK873" s="178">
        <f t="shared" si="343"/>
        <v>191.9</v>
      </c>
      <c r="AL873" s="138">
        <f>AL147+AL513</f>
        <v>10.94</v>
      </c>
      <c r="AM873" s="95">
        <f t="shared" ref="AM873:BA873" si="344">AM147+AM513</f>
        <v>435.98</v>
      </c>
      <c r="AN873" s="178">
        <f t="shared" si="344"/>
        <v>255.31</v>
      </c>
      <c r="AO873" s="178">
        <f t="shared" si="344"/>
        <v>479.73</v>
      </c>
      <c r="AP873" s="181">
        <f t="shared" si="344"/>
        <v>479.73</v>
      </c>
      <c r="AQ873" s="95">
        <f t="shared" si="344"/>
        <v>389.56</v>
      </c>
      <c r="AR873" s="178">
        <f t="shared" si="344"/>
        <v>242.61999999999998</v>
      </c>
      <c r="AS873" s="178">
        <f t="shared" si="344"/>
        <v>428.64</v>
      </c>
      <c r="AT873" s="181">
        <f t="shared" si="344"/>
        <v>285.49</v>
      </c>
      <c r="AU873" s="95">
        <f t="shared" si="344"/>
        <v>467.31</v>
      </c>
      <c r="AV873" s="178">
        <f t="shared" si="344"/>
        <v>258.68</v>
      </c>
      <c r="AW873" s="178">
        <f t="shared" si="344"/>
        <v>514.23</v>
      </c>
      <c r="AX873" s="181">
        <f t="shared" si="344"/>
        <v>514.23</v>
      </c>
      <c r="AY873" s="95">
        <f t="shared" si="344"/>
        <v>967.02</v>
      </c>
      <c r="AZ873" s="178">
        <f t="shared" si="344"/>
        <v>0</v>
      </c>
      <c r="BA873" s="178">
        <f t="shared" si="344"/>
        <v>1019.85</v>
      </c>
      <c r="BB873" s="181">
        <f t="shared" ref="BB873" si="345">BB147+BB513</f>
        <v>0</v>
      </c>
      <c r="BC873" s="95">
        <f t="shared" ref="BC873:BI873" si="346">BC147+BC513</f>
        <v>1727.4989999999998</v>
      </c>
      <c r="BD873" s="178">
        <f t="shared" si="346"/>
        <v>0</v>
      </c>
      <c r="BE873" s="178">
        <f t="shared" si="346"/>
        <v>1900.825</v>
      </c>
      <c r="BF873" s="181">
        <f t="shared" si="346"/>
        <v>1388.69</v>
      </c>
      <c r="BG873" s="95">
        <f t="shared" si="346"/>
        <v>2795.83</v>
      </c>
      <c r="BH873" s="178">
        <f t="shared" si="346"/>
        <v>515.59400000000005</v>
      </c>
      <c r="BI873" s="178">
        <f t="shared" si="346"/>
        <v>3059.2090000000003</v>
      </c>
      <c r="BJ873" s="181">
        <f t="shared" ref="BJ873" si="347">BJ147+BJ513</f>
        <v>538.17524512</v>
      </c>
      <c r="BK873" s="95">
        <f t="shared" ref="BK873:BM874" si="348">BK147+BK513</f>
        <v>3681.5699999999997</v>
      </c>
      <c r="BL873" s="178">
        <f t="shared" si="348"/>
        <v>5733.06</v>
      </c>
      <c r="BM873" s="178">
        <f t="shared" si="348"/>
        <v>7625.83</v>
      </c>
      <c r="BN873" s="181">
        <f t="shared" ref="BN873" si="349">BN147+BN513</f>
        <v>6280.33</v>
      </c>
      <c r="BO873" s="95">
        <f t="shared" ref="BO873:BV874" si="350">BO147+BO513</f>
        <v>336.99799999999999</v>
      </c>
      <c r="BP873" s="178">
        <f t="shared" si="350"/>
        <v>99.960000000000008</v>
      </c>
      <c r="BQ873" s="178">
        <f t="shared" si="350"/>
        <v>202.38499999999999</v>
      </c>
      <c r="BR873" s="181">
        <f t="shared" si="350"/>
        <v>147.24763399999998</v>
      </c>
      <c r="BS873" s="95">
        <f t="shared" si="350"/>
        <v>292.30500000000001</v>
      </c>
      <c r="BT873" s="178">
        <f t="shared" si="350"/>
        <v>141.54000000000002</v>
      </c>
      <c r="BU873" s="178">
        <f t="shared" si="350"/>
        <v>441.22</v>
      </c>
      <c r="BV873" s="96">
        <f t="shared" si="350"/>
        <v>117.03999999999999</v>
      </c>
      <c r="BY873" s="125">
        <f t="shared" si="331"/>
        <v>31938.003000000004</v>
      </c>
      <c r="BZ873" s="126">
        <f t="shared" si="332"/>
        <v>19076.964000000004</v>
      </c>
      <c r="CA873" s="126">
        <f t="shared" si="333"/>
        <v>38597.209000000003</v>
      </c>
      <c r="CB873" s="127">
        <f t="shared" si="333"/>
        <v>9761.872879120001</v>
      </c>
    </row>
    <row r="874" spans="1:82" ht="18" customHeight="1" outlineLevel="4" x14ac:dyDescent="0.25">
      <c r="C874" s="10" t="s">
        <v>83</v>
      </c>
      <c r="D874" s="10" t="s">
        <v>84</v>
      </c>
      <c r="E874" s="10" t="s">
        <v>73</v>
      </c>
      <c r="F874" s="10" t="s">
        <v>74</v>
      </c>
      <c r="G874" s="10" t="s">
        <v>198</v>
      </c>
      <c r="H874" s="10" t="s">
        <v>73</v>
      </c>
      <c r="I874" s="10" t="s">
        <v>73</v>
      </c>
      <c r="K874" s="12" t="s">
        <v>73</v>
      </c>
      <c r="L874" s="10" t="s">
        <v>192</v>
      </c>
      <c r="M874" s="5" t="str">
        <f t="array" ref="M874">Y818</f>
        <v>1ХВС::1.1</v>
      </c>
      <c r="AB874" s="29" t="str">
        <f>AB871&amp;".3"</f>
        <v>3.1.1.1.1.3</v>
      </c>
      <c r="AC874" s="177" t="s">
        <v>198</v>
      </c>
      <c r="AD874" s="51" t="s">
        <v>111</v>
      </c>
      <c r="AE874" s="95">
        <f t="shared" si="343"/>
        <v>23934.942999999999</v>
      </c>
      <c r="AF874" s="178">
        <f t="shared" si="343"/>
        <v>10814.750000000002</v>
      </c>
      <c r="AG874" s="178">
        <f t="shared" si="343"/>
        <v>26570.489999999998</v>
      </c>
      <c r="AH874" s="181">
        <f>AH148+AH514</f>
        <v>29891.965</v>
      </c>
      <c r="AI874" s="95">
        <f t="shared" si="343"/>
        <v>666.94</v>
      </c>
      <c r="AJ874" s="178">
        <f t="shared" si="343"/>
        <v>32.97</v>
      </c>
      <c r="AK874" s="178">
        <f t="shared" si="343"/>
        <v>730.55</v>
      </c>
      <c r="AL874" s="138">
        <f t="shared" si="343"/>
        <v>419.93</v>
      </c>
      <c r="AM874" s="95">
        <f t="shared" ref="AM874:BA874" si="351">AM148+AM514</f>
        <v>1559.29</v>
      </c>
      <c r="AN874" s="178">
        <f t="shared" si="351"/>
        <v>403.57</v>
      </c>
      <c r="AO874" s="178">
        <f t="shared" si="351"/>
        <v>1715.72</v>
      </c>
      <c r="AP874" s="181">
        <f t="shared" si="351"/>
        <v>0</v>
      </c>
      <c r="AQ874" s="95">
        <f t="shared" si="351"/>
        <v>2200.3200000000002</v>
      </c>
      <c r="AR874" s="178">
        <f t="shared" si="351"/>
        <v>1893.85</v>
      </c>
      <c r="AS874" s="178">
        <f t="shared" si="351"/>
        <v>2347.1799999999998</v>
      </c>
      <c r="AT874" s="181">
        <f t="shared" si="351"/>
        <v>0</v>
      </c>
      <c r="AU874" s="95">
        <f t="shared" si="351"/>
        <v>460.755</v>
      </c>
      <c r="AV874" s="178">
        <f t="shared" si="351"/>
        <v>191.44</v>
      </c>
      <c r="AW874" s="178">
        <f t="shared" si="351"/>
        <v>506.94</v>
      </c>
      <c r="AX874" s="181">
        <f t="shared" si="351"/>
        <v>0</v>
      </c>
      <c r="AY874" s="95">
        <f t="shared" si="351"/>
        <v>1563</v>
      </c>
      <c r="AZ874" s="178">
        <f t="shared" si="351"/>
        <v>0</v>
      </c>
      <c r="BA874" s="178">
        <f t="shared" si="351"/>
        <v>1719.17</v>
      </c>
      <c r="BB874" s="181">
        <f t="shared" ref="BB874" si="352">BB148+BB514</f>
        <v>0</v>
      </c>
      <c r="BC874" s="95">
        <f>BC148+BC514</f>
        <v>1457.318</v>
      </c>
      <c r="BD874" s="178">
        <f>BD148+BD514</f>
        <v>0</v>
      </c>
      <c r="BE874" s="178">
        <f>BE148+BE514</f>
        <v>692.19299999999998</v>
      </c>
      <c r="BF874" s="181">
        <v>0</v>
      </c>
      <c r="BG874" s="95">
        <f>BG148+BG514</f>
        <v>6388.8</v>
      </c>
      <c r="BH874" s="178">
        <f>BH148+BH514</f>
        <v>0</v>
      </c>
      <c r="BI874" s="178">
        <f>BI148+BI514</f>
        <v>7029.7169999999996</v>
      </c>
      <c r="BJ874" s="181">
        <f>BJ148+BJ514</f>
        <v>0</v>
      </c>
      <c r="BK874" s="95">
        <f t="shared" si="348"/>
        <v>3859.3159999999998</v>
      </c>
      <c r="BL874" s="178">
        <f t="shared" si="348"/>
        <v>117.39</v>
      </c>
      <c r="BM874" s="178">
        <f t="shared" si="348"/>
        <v>6054.93</v>
      </c>
      <c r="BN874" s="181">
        <f t="shared" ref="BN874" si="353">BN148+BN514</f>
        <v>162.97</v>
      </c>
      <c r="BO874" s="95">
        <f t="shared" si="350"/>
        <v>772.38</v>
      </c>
      <c r="BP874" s="178">
        <f t="shared" si="350"/>
        <v>1014.0500000000001</v>
      </c>
      <c r="BQ874" s="178">
        <f t="shared" si="350"/>
        <v>746.01499999999999</v>
      </c>
      <c r="BR874" s="181">
        <f t="shared" si="350"/>
        <v>958.80166799999995</v>
      </c>
      <c r="BS874" s="95">
        <f t="shared" si="350"/>
        <v>681.28</v>
      </c>
      <c r="BT874" s="178">
        <f t="shared" si="350"/>
        <v>462.25</v>
      </c>
      <c r="BU874" s="178">
        <f t="shared" si="350"/>
        <v>753.95</v>
      </c>
      <c r="BV874" s="96">
        <f t="shared" si="350"/>
        <v>0</v>
      </c>
      <c r="BY874" s="125">
        <f t="shared" si="331"/>
        <v>43544.341999999997</v>
      </c>
      <c r="BZ874" s="126">
        <f t="shared" si="332"/>
        <v>14930.27</v>
      </c>
      <c r="CA874" s="126">
        <f t="shared" si="333"/>
        <v>48866.854999999989</v>
      </c>
      <c r="CB874" s="127">
        <f t="shared" si="333"/>
        <v>31433.666668000002</v>
      </c>
    </row>
    <row r="875" spans="1:82" ht="51" customHeight="1" outlineLevel="4" x14ac:dyDescent="0.25">
      <c r="C875" s="10" t="s">
        <v>83</v>
      </c>
      <c r="D875" s="10" t="s">
        <v>84</v>
      </c>
      <c r="E875" s="10" t="s">
        <v>73</v>
      </c>
      <c r="F875" s="10" t="s">
        <v>74</v>
      </c>
      <c r="G875" s="10" t="s">
        <v>199</v>
      </c>
      <c r="H875" s="10" t="s">
        <v>73</v>
      </c>
      <c r="I875" s="10" t="s">
        <v>73</v>
      </c>
      <c r="K875" s="12" t="s">
        <v>73</v>
      </c>
      <c r="L875" s="10" t="s">
        <v>192</v>
      </c>
      <c r="M875" s="5" t="str">
        <f t="array" ref="M875">Y818</f>
        <v>1ХВС::1.1</v>
      </c>
      <c r="AB875" s="29" t="str">
        <f>AB870&amp;".2"</f>
        <v>3.1.1.1.2</v>
      </c>
      <c r="AC875" s="174" t="s">
        <v>200</v>
      </c>
      <c r="AD875" s="51" t="s">
        <v>111</v>
      </c>
      <c r="AE875" s="95"/>
      <c r="AF875" s="178">
        <f>AF515</f>
        <v>1027.3800000000001</v>
      </c>
      <c r="AG875" s="178">
        <f>AG515</f>
        <v>1085.22</v>
      </c>
      <c r="AH875" s="181">
        <f>AH515</f>
        <v>0</v>
      </c>
      <c r="AI875" s="95"/>
      <c r="AJ875" s="178">
        <f>AJ515</f>
        <v>0</v>
      </c>
      <c r="AK875" s="178">
        <f>AK515</f>
        <v>0</v>
      </c>
      <c r="AL875" s="138">
        <f t="shared" si="343"/>
        <v>0</v>
      </c>
      <c r="AM875" s="95"/>
      <c r="AN875" s="178">
        <f>AN515</f>
        <v>0</v>
      </c>
      <c r="AO875" s="178">
        <f>AO515</f>
        <v>0</v>
      </c>
      <c r="AP875" s="181">
        <f>AP515</f>
        <v>0</v>
      </c>
      <c r="AQ875" s="95"/>
      <c r="AR875" s="178">
        <f>AR515</f>
        <v>54.14</v>
      </c>
      <c r="AS875" s="178">
        <f>AS515</f>
        <v>0</v>
      </c>
      <c r="AT875" s="181">
        <f>AT515</f>
        <v>0</v>
      </c>
      <c r="AU875" s="95"/>
      <c r="AV875" s="178">
        <f>AV515</f>
        <v>0</v>
      </c>
      <c r="AW875" s="178">
        <f>AW515</f>
        <v>0</v>
      </c>
      <c r="AX875" s="181">
        <f>AX515</f>
        <v>0</v>
      </c>
      <c r="AY875" s="95"/>
      <c r="AZ875" s="178">
        <f>AZ515</f>
        <v>0</v>
      </c>
      <c r="BA875" s="178">
        <f>BA515</f>
        <v>0</v>
      </c>
      <c r="BB875" s="181"/>
      <c r="BC875" s="95"/>
      <c r="BD875" s="178">
        <f>BD515</f>
        <v>0</v>
      </c>
      <c r="BE875" s="178">
        <f>BE515</f>
        <v>0</v>
      </c>
      <c r="BF875" s="181"/>
      <c r="BG875" s="95"/>
      <c r="BH875" s="178">
        <f>BH515</f>
        <v>0</v>
      </c>
      <c r="BI875" s="178">
        <f>BI515</f>
        <v>0</v>
      </c>
      <c r="BJ875" s="181">
        <f>BJ515</f>
        <v>0</v>
      </c>
      <c r="BK875" s="95"/>
      <c r="BL875" s="178">
        <f>BL515</f>
        <v>0</v>
      </c>
      <c r="BM875" s="178">
        <f>BM515</f>
        <v>0</v>
      </c>
      <c r="BN875" s="181">
        <f>BN515</f>
        <v>0</v>
      </c>
      <c r="BO875" s="95"/>
      <c r="BP875" s="178">
        <f>BP515</f>
        <v>0</v>
      </c>
      <c r="BQ875" s="178">
        <f>BQ515</f>
        <v>0</v>
      </c>
      <c r="BR875" s="181"/>
      <c r="BS875" s="95"/>
      <c r="BT875" s="178">
        <f>BT515</f>
        <v>0</v>
      </c>
      <c r="BU875" s="178">
        <f>BU515</f>
        <v>0</v>
      </c>
      <c r="BV875" s="96"/>
      <c r="BY875" s="125">
        <f t="shared" si="331"/>
        <v>0</v>
      </c>
      <c r="BZ875" s="126">
        <f t="shared" si="332"/>
        <v>1081.5200000000002</v>
      </c>
      <c r="CA875" s="126">
        <f t="shared" si="333"/>
        <v>1085.22</v>
      </c>
      <c r="CB875" s="127">
        <f t="shared" si="333"/>
        <v>0</v>
      </c>
    </row>
    <row r="876" spans="1:82" ht="36.75" customHeight="1" outlineLevel="4" x14ac:dyDescent="0.25">
      <c r="C876" s="10" t="s">
        <v>83</v>
      </c>
      <c r="D876" s="10" t="s">
        <v>84</v>
      </c>
      <c r="E876" s="10" t="s">
        <v>73</v>
      </c>
      <c r="F876" s="10" t="s">
        <v>74</v>
      </c>
      <c r="G876" s="10" t="s">
        <v>201</v>
      </c>
      <c r="H876" s="10" t="s">
        <v>202</v>
      </c>
      <c r="I876" s="10" t="s">
        <v>73</v>
      </c>
      <c r="K876" s="12" t="s">
        <v>73</v>
      </c>
      <c r="L876" s="10" t="s">
        <v>192</v>
      </c>
      <c r="M876" s="5" t="str">
        <f t="array" ref="M876">Y818</f>
        <v>1ХВС::1.1</v>
      </c>
      <c r="AB876" s="29" t="str">
        <f>AB870&amp;".3"</f>
        <v>3.1.1.1.3</v>
      </c>
      <c r="AC876" s="174" t="s">
        <v>203</v>
      </c>
      <c r="AD876" s="51" t="s">
        <v>111</v>
      </c>
      <c r="AE876" s="72">
        <f t="shared" ref="AE876:BV876" si="354">AE877+AE880</f>
        <v>745469.88808000006</v>
      </c>
      <c r="AF876" s="73">
        <f t="shared" si="354"/>
        <v>926794.3899999999</v>
      </c>
      <c r="AG876" s="73">
        <f t="shared" si="354"/>
        <v>1036697.5645</v>
      </c>
      <c r="AH876" s="138">
        <f>AH150+AH516</f>
        <v>930856.4760599999</v>
      </c>
      <c r="AI876" s="72">
        <f t="shared" si="354"/>
        <v>11880.789059999999</v>
      </c>
      <c r="AJ876" s="73">
        <f t="shared" si="354"/>
        <v>4610.67</v>
      </c>
      <c r="AK876" s="73">
        <f t="shared" si="354"/>
        <v>19296.147779999999</v>
      </c>
      <c r="AL876" s="138">
        <f>AL150+AL516</f>
        <v>14971.574779999999</v>
      </c>
      <c r="AM876" s="72">
        <f t="shared" si="354"/>
        <v>12553.199999999999</v>
      </c>
      <c r="AN876" s="73">
        <f t="shared" si="354"/>
        <v>2713.1590000000001</v>
      </c>
      <c r="AO876" s="73">
        <f t="shared" si="354"/>
        <v>13317.27</v>
      </c>
      <c r="AP876" s="138">
        <f t="shared" si="354"/>
        <v>15820.56294</v>
      </c>
      <c r="AQ876" s="72">
        <f t="shared" si="354"/>
        <v>20814.238000000001</v>
      </c>
      <c r="AR876" s="73">
        <f t="shared" si="354"/>
        <v>15622.030000000002</v>
      </c>
      <c r="AS876" s="73">
        <f t="shared" si="354"/>
        <v>28114.41</v>
      </c>
      <c r="AT876" s="138">
        <f t="shared" si="354"/>
        <v>26070.251970000001</v>
      </c>
      <c r="AU876" s="72">
        <f t="shared" si="354"/>
        <v>12764.402999999998</v>
      </c>
      <c r="AV876" s="73">
        <f t="shared" si="354"/>
        <v>2439.8000000000002</v>
      </c>
      <c r="AW876" s="73">
        <f t="shared" si="354"/>
        <v>13225.138000000001</v>
      </c>
      <c r="AX876" s="138">
        <f t="shared" si="354"/>
        <v>16017.563351999999</v>
      </c>
      <c r="AY876" s="72">
        <f t="shared" si="354"/>
        <v>20996.17</v>
      </c>
      <c r="AZ876" s="73">
        <f t="shared" si="354"/>
        <v>24118.089999999997</v>
      </c>
      <c r="BA876" s="73">
        <f t="shared" si="354"/>
        <v>30895.98</v>
      </c>
      <c r="BB876" s="138">
        <f t="shared" si="354"/>
        <v>25094.633295362397</v>
      </c>
      <c r="BC876" s="72">
        <f t="shared" si="354"/>
        <v>21573.658259999997</v>
      </c>
      <c r="BD876" s="73">
        <f t="shared" si="354"/>
        <v>5111.1797646000005</v>
      </c>
      <c r="BE876" s="73">
        <f t="shared" si="354"/>
        <v>21555.815001000003</v>
      </c>
      <c r="BF876" s="138">
        <f t="shared" si="354"/>
        <v>27186.03342</v>
      </c>
      <c r="BG876" s="72">
        <f t="shared" si="354"/>
        <v>65799.697404000006</v>
      </c>
      <c r="BH876" s="73">
        <f t="shared" si="354"/>
        <v>61137.008856</v>
      </c>
      <c r="BI876" s="73">
        <f t="shared" si="354"/>
        <v>68379.230219999998</v>
      </c>
      <c r="BJ876" s="138">
        <f t="shared" si="354"/>
        <v>63611.834974490885</v>
      </c>
      <c r="BK876" s="72">
        <f t="shared" si="354"/>
        <v>57013.565560000003</v>
      </c>
      <c r="BL876" s="73">
        <f t="shared" si="354"/>
        <v>72014.099999999991</v>
      </c>
      <c r="BM876" s="73">
        <f t="shared" si="354"/>
        <v>80504.210000000006</v>
      </c>
      <c r="BN876" s="138">
        <f t="shared" si="354"/>
        <v>71098.216350000002</v>
      </c>
      <c r="BO876" s="142">
        <f t="shared" si="354"/>
        <v>7288.51</v>
      </c>
      <c r="BP876" s="140">
        <f t="shared" si="354"/>
        <v>6651.53</v>
      </c>
      <c r="BQ876" s="140">
        <f t="shared" si="354"/>
        <v>4306.62</v>
      </c>
      <c r="BR876" s="141">
        <f t="shared" si="354"/>
        <v>10304.496829367999</v>
      </c>
      <c r="BS876" s="142">
        <f t="shared" si="354"/>
        <v>15877.5622</v>
      </c>
      <c r="BT876" s="140">
        <f t="shared" si="354"/>
        <v>22161.633399999999</v>
      </c>
      <c r="BU876" s="140">
        <f t="shared" si="354"/>
        <v>25402.62398</v>
      </c>
      <c r="BV876" s="143">
        <f t="shared" si="354"/>
        <v>19821.940949999997</v>
      </c>
      <c r="BY876" s="125">
        <f t="shared" si="331"/>
        <v>992031.6815640002</v>
      </c>
      <c r="BZ876" s="126">
        <f t="shared" si="332"/>
        <v>1143373.5910205999</v>
      </c>
      <c r="CA876" s="126">
        <f t="shared" si="333"/>
        <v>1341695.009481</v>
      </c>
      <c r="CB876" s="127">
        <f t="shared" si="333"/>
        <v>1220853.5849212208</v>
      </c>
    </row>
    <row r="877" spans="1:82" ht="36" customHeight="1" outlineLevel="4" x14ac:dyDescent="0.25">
      <c r="C877" s="10" t="s">
        <v>83</v>
      </c>
      <c r="D877" s="10" t="s">
        <v>84</v>
      </c>
      <c r="E877" s="10" t="s">
        <v>73</v>
      </c>
      <c r="F877" s="10" t="s">
        <v>74</v>
      </c>
      <c r="G877" s="10" t="s">
        <v>204</v>
      </c>
      <c r="H877" s="10" t="s">
        <v>202</v>
      </c>
      <c r="I877" s="10" t="s">
        <v>73</v>
      </c>
      <c r="K877" s="12" t="s">
        <v>73</v>
      </c>
      <c r="L877" s="10" t="s">
        <v>192</v>
      </c>
      <c r="M877" s="5" t="str">
        <f t="array" ref="M877">Y818</f>
        <v>1ХВС::1.1</v>
      </c>
      <c r="AB877" s="29" t="str">
        <f>AB876&amp;".1"</f>
        <v>3.1.1.1.3.1</v>
      </c>
      <c r="AC877" s="177" t="s">
        <v>205</v>
      </c>
      <c r="AD877" s="51" t="s">
        <v>111</v>
      </c>
      <c r="AE877" s="95">
        <f t="shared" ref="AE877:BV877" si="355">AE151+AE517</f>
        <v>570417.84100000001</v>
      </c>
      <c r="AF877" s="178">
        <f t="shared" si="355"/>
        <v>710111.71</v>
      </c>
      <c r="AG877" s="178">
        <f t="shared" si="355"/>
        <v>796234.69</v>
      </c>
      <c r="AH877" s="181">
        <f t="shared" si="355"/>
        <v>714943.53</v>
      </c>
      <c r="AI877" s="95">
        <f t="shared" si="355"/>
        <v>9125.0299999999988</v>
      </c>
      <c r="AJ877" s="178">
        <f t="shared" si="355"/>
        <v>3540.67</v>
      </c>
      <c r="AK877" s="178">
        <f t="shared" si="355"/>
        <v>14820.39</v>
      </c>
      <c r="AL877" s="181">
        <f t="shared" si="355"/>
        <v>11498.89</v>
      </c>
      <c r="AM877" s="95">
        <f t="shared" si="355"/>
        <v>9641.48</v>
      </c>
      <c r="AN877" s="178">
        <f t="shared" si="355"/>
        <v>2083.8389999999999</v>
      </c>
      <c r="AO877" s="178">
        <f t="shared" si="355"/>
        <v>10228.32</v>
      </c>
      <c r="AP877" s="181">
        <f t="shared" si="355"/>
        <v>12150.97</v>
      </c>
      <c r="AQ877" s="95">
        <f t="shared" si="355"/>
        <v>15986.358</v>
      </c>
      <c r="AR877" s="178">
        <f t="shared" si="355"/>
        <v>11998.480000000001</v>
      </c>
      <c r="AS877" s="178">
        <f t="shared" si="355"/>
        <v>21593.25</v>
      </c>
      <c r="AT877" s="181">
        <f t="shared" si="355"/>
        <v>20023.235000000001</v>
      </c>
      <c r="AU877" s="95">
        <f t="shared" si="355"/>
        <v>9803.6929999999993</v>
      </c>
      <c r="AV877" s="178">
        <f t="shared" si="355"/>
        <v>1873.89</v>
      </c>
      <c r="AW877" s="178">
        <f t="shared" si="355"/>
        <v>10157.558000000001</v>
      </c>
      <c r="AX877" s="181">
        <f t="shared" si="355"/>
        <v>12302.276</v>
      </c>
      <c r="AY877" s="95">
        <f t="shared" si="355"/>
        <v>16126.09</v>
      </c>
      <c r="AZ877" s="178">
        <f t="shared" si="355"/>
        <v>18523.879999999997</v>
      </c>
      <c r="BA877" s="178">
        <f t="shared" si="355"/>
        <v>23729.63</v>
      </c>
      <c r="BB877" s="181">
        <f t="shared" si="355"/>
        <v>19273.911901199997</v>
      </c>
      <c r="BC877" s="95">
        <f t="shared" si="355"/>
        <v>16569.629999999997</v>
      </c>
      <c r="BD877" s="178">
        <f t="shared" si="355"/>
        <v>3925.6373000000003</v>
      </c>
      <c r="BE877" s="178">
        <f t="shared" si="355"/>
        <v>16555.925500000001</v>
      </c>
      <c r="BF877" s="181">
        <f t="shared" si="355"/>
        <v>20880.21</v>
      </c>
      <c r="BG877" s="95">
        <f t="shared" si="355"/>
        <v>50537.402000000002</v>
      </c>
      <c r="BH877" s="178">
        <f t="shared" si="355"/>
        <v>46956.228000000003</v>
      </c>
      <c r="BI877" s="178">
        <f t="shared" si="355"/>
        <v>52518.61</v>
      </c>
      <c r="BJ877" s="181">
        <f t="shared" si="355"/>
        <v>48857.016109440003</v>
      </c>
      <c r="BK877" s="95">
        <f t="shared" si="355"/>
        <v>43789.221000000005</v>
      </c>
      <c r="BL877" s="178">
        <f t="shared" si="355"/>
        <v>55310.369999999995</v>
      </c>
      <c r="BM877" s="178">
        <f t="shared" si="355"/>
        <v>61831.19</v>
      </c>
      <c r="BN877" s="181">
        <f t="shared" si="355"/>
        <v>54606.925000000003</v>
      </c>
      <c r="BO877" s="95">
        <f t="shared" si="355"/>
        <v>5597.93</v>
      </c>
      <c r="BP877" s="178">
        <f t="shared" si="355"/>
        <v>5108.7</v>
      </c>
      <c r="BQ877" s="178">
        <f t="shared" si="355"/>
        <v>3307.7</v>
      </c>
      <c r="BR877" s="181">
        <f t="shared" si="355"/>
        <v>7914.3600839999999</v>
      </c>
      <c r="BS877" s="95">
        <f t="shared" si="355"/>
        <v>12194.75</v>
      </c>
      <c r="BT877" s="178">
        <f t="shared" si="355"/>
        <v>17021.23</v>
      </c>
      <c r="BU877" s="178">
        <f t="shared" si="355"/>
        <v>19510.464</v>
      </c>
      <c r="BV877" s="96">
        <f t="shared" si="355"/>
        <v>15224.224999999999</v>
      </c>
      <c r="BY877" s="125">
        <f t="shared" si="331"/>
        <v>759789.42500000005</v>
      </c>
      <c r="BZ877" s="126">
        <f t="shared" si="332"/>
        <v>876454.63429999992</v>
      </c>
      <c r="CA877" s="126">
        <f t="shared" si="333"/>
        <v>1030487.7274999999</v>
      </c>
      <c r="CB877" s="127">
        <f t="shared" si="333"/>
        <v>937675.54909463995</v>
      </c>
    </row>
    <row r="878" spans="1:82" s="115" customFormat="1" ht="17.25" customHeight="1" outlineLevel="4" x14ac:dyDescent="0.25">
      <c r="A878" s="100"/>
      <c r="B878" s="100"/>
      <c r="C878" s="99" t="s">
        <v>206</v>
      </c>
      <c r="D878" s="99" t="s">
        <v>207</v>
      </c>
      <c r="E878" s="99" t="s">
        <v>73</v>
      </c>
      <c r="F878" s="99" t="s">
        <v>74</v>
      </c>
      <c r="G878" s="99" t="s">
        <v>73</v>
      </c>
      <c r="H878" s="99" t="s">
        <v>202</v>
      </c>
      <c r="I878" s="99" t="s">
        <v>73</v>
      </c>
      <c r="J878" s="100"/>
      <c r="K878" s="102" t="s">
        <v>73</v>
      </c>
      <c r="L878" s="99" t="s">
        <v>192</v>
      </c>
      <c r="M878" s="100" t="str">
        <f t="array" ref="M878">Y818</f>
        <v>1ХВС::1.1</v>
      </c>
      <c r="N878" s="100"/>
      <c r="O878" s="100"/>
      <c r="P878" s="100"/>
      <c r="Q878" s="100"/>
      <c r="R878" s="100"/>
      <c r="S878" s="100"/>
      <c r="T878" s="100"/>
      <c r="U878" s="100"/>
      <c r="V878" s="100"/>
      <c r="W878" s="100"/>
      <c r="X878" s="100"/>
      <c r="Y878" s="100"/>
      <c r="Z878" s="100"/>
      <c r="AA878" s="100"/>
      <c r="AB878" s="103" t="str">
        <f>AB877&amp;".1"</f>
        <v>3.1.1.1.3.1.1</v>
      </c>
      <c r="AC878" s="188" t="s">
        <v>208</v>
      </c>
      <c r="AD878" s="189" t="s">
        <v>209</v>
      </c>
      <c r="AE878" s="190">
        <f t="shared" ref="AE878:BV878" si="356">(AE877/AE879)/12*1000</f>
        <v>48092.695349386217</v>
      </c>
      <c r="AF878" s="191">
        <f t="shared" si="356"/>
        <v>51140.300427206392</v>
      </c>
      <c r="AG878" s="191">
        <f t="shared" si="356"/>
        <v>53514.711535876537</v>
      </c>
      <c r="AH878" s="193">
        <f t="shared" si="356"/>
        <v>55138.84749935216</v>
      </c>
      <c r="AI878" s="190">
        <f t="shared" si="356"/>
        <v>39563.952480055501</v>
      </c>
      <c r="AJ878" s="191">
        <f t="shared" si="356"/>
        <v>32856.997030438011</v>
      </c>
      <c r="AK878" s="191">
        <f t="shared" si="356"/>
        <v>44586.010830324907</v>
      </c>
      <c r="AL878" s="193">
        <f t="shared" si="356"/>
        <v>45328.327026174695</v>
      </c>
      <c r="AM878" s="190">
        <f t="shared" si="356"/>
        <v>46496.334876543209</v>
      </c>
      <c r="AN878" s="191">
        <f t="shared" si="356"/>
        <v>25425.073206442165</v>
      </c>
      <c r="AO878" s="191">
        <f t="shared" si="356"/>
        <v>37715.044247787613</v>
      </c>
      <c r="AP878" s="193">
        <f t="shared" si="356"/>
        <v>53265.693494651932</v>
      </c>
      <c r="AQ878" s="190">
        <f t="shared" si="356"/>
        <v>49932.402548725637</v>
      </c>
      <c r="AR878" s="191">
        <f t="shared" si="356"/>
        <v>33894.011299435027</v>
      </c>
      <c r="AS878" s="191">
        <f t="shared" si="356"/>
        <v>42240.316901408449</v>
      </c>
      <c r="AT878" s="193">
        <f t="shared" si="356"/>
        <v>57163.512047504861</v>
      </c>
      <c r="AU878" s="190">
        <f t="shared" si="356"/>
        <v>50275.348717948713</v>
      </c>
      <c r="AV878" s="191">
        <f t="shared" si="356"/>
        <v>32131.172839506176</v>
      </c>
      <c r="AW878" s="191">
        <f t="shared" si="356"/>
        <v>45265.409982174693</v>
      </c>
      <c r="AX878" s="193">
        <f t="shared" si="356"/>
        <v>57594.925093632955</v>
      </c>
      <c r="AY878" s="190">
        <f t="shared" si="356"/>
        <v>48707.532922556478</v>
      </c>
      <c r="AZ878" s="191">
        <f t="shared" si="356"/>
        <v>40094.978354978346</v>
      </c>
      <c r="BA878" s="191">
        <f t="shared" si="356"/>
        <v>41283.281141266532</v>
      </c>
      <c r="BB878" s="193">
        <f t="shared" si="356"/>
        <v>41718.424028571426</v>
      </c>
      <c r="BC878" s="190">
        <f t="shared" si="356"/>
        <v>49103.929587482213</v>
      </c>
      <c r="BD878" s="191">
        <f t="shared" si="356"/>
        <v>43618.192222222227</v>
      </c>
      <c r="BE878" s="191">
        <f t="shared" si="356"/>
        <v>44505.176075268821</v>
      </c>
      <c r="BF878" s="193">
        <f t="shared" si="356"/>
        <v>56238.445378151264</v>
      </c>
      <c r="BG878" s="190">
        <f t="shared" si="356"/>
        <v>54341.292473118279</v>
      </c>
      <c r="BH878" s="191">
        <f t="shared" si="356"/>
        <v>42184.33592065546</v>
      </c>
      <c r="BI878" s="191">
        <f t="shared" si="356"/>
        <v>52226.14359586317</v>
      </c>
      <c r="BJ878" s="193">
        <f t="shared" si="356"/>
        <v>43891.957838723582</v>
      </c>
      <c r="BK878" s="190">
        <f t="shared" si="356"/>
        <v>46970.031535590177</v>
      </c>
      <c r="BL878" s="191">
        <f t="shared" si="356"/>
        <v>45188.210784313727</v>
      </c>
      <c r="BM878" s="191">
        <f t="shared" si="356"/>
        <v>50515.678104575163</v>
      </c>
      <c r="BN878" s="193">
        <f t="shared" si="356"/>
        <v>53802.046386064481</v>
      </c>
      <c r="BO878" s="197">
        <f t="shared" si="356"/>
        <v>50705.887681159424</v>
      </c>
      <c r="BP878" s="195">
        <f t="shared" si="356"/>
        <v>34058</v>
      </c>
      <c r="BQ878" s="195">
        <f t="shared" si="356"/>
        <v>42406.41025641025</v>
      </c>
      <c r="BR878" s="196">
        <f t="shared" si="356"/>
        <v>65170.949308300391</v>
      </c>
      <c r="BS878" s="197">
        <f t="shared" si="356"/>
        <v>48391.865079365081</v>
      </c>
      <c r="BT878" s="195">
        <f t="shared" si="356"/>
        <v>39032.356448358092</v>
      </c>
      <c r="BU878" s="195">
        <f t="shared" si="356"/>
        <v>43942.486486486479</v>
      </c>
      <c r="BV878" s="198">
        <f t="shared" si="356"/>
        <v>55401.109898107716</v>
      </c>
      <c r="BW878" s="111"/>
      <c r="BX878" s="100"/>
      <c r="BY878" s="112">
        <f>(BY877/BY879)/12*1000</f>
        <v>48372.170717048786</v>
      </c>
      <c r="BZ878" s="113">
        <f>(BZ877/BZ879)/12*1000</f>
        <v>48792.762503618585</v>
      </c>
      <c r="CA878" s="113">
        <f>(CA877/CA879)/12*1000</f>
        <v>51740.662343596225</v>
      </c>
      <c r="CB878" s="114">
        <f>(CB877/CB879)/12*1000</f>
        <v>53983.964386732616</v>
      </c>
      <c r="CC878" s="759"/>
    </row>
    <row r="879" spans="1:82" s="115" customFormat="1" ht="16.5" customHeight="1" outlineLevel="4" x14ac:dyDescent="0.25">
      <c r="A879" s="100"/>
      <c r="B879" s="100"/>
      <c r="C879" s="99" t="s">
        <v>210</v>
      </c>
      <c r="D879" s="99" t="s">
        <v>211</v>
      </c>
      <c r="E879" s="99" t="s">
        <v>73</v>
      </c>
      <c r="F879" s="99" t="s">
        <v>74</v>
      </c>
      <c r="G879" s="99" t="s">
        <v>73</v>
      </c>
      <c r="H879" s="99" t="s">
        <v>202</v>
      </c>
      <c r="I879" s="99" t="s">
        <v>73</v>
      </c>
      <c r="J879" s="100"/>
      <c r="K879" s="102" t="s">
        <v>73</v>
      </c>
      <c r="L879" s="99" t="s">
        <v>192</v>
      </c>
      <c r="M879" s="100" t="str">
        <f t="array" ref="M879">Y818</f>
        <v>1ХВС::1.1</v>
      </c>
      <c r="N879" s="100"/>
      <c r="O879" s="100"/>
      <c r="P879" s="100"/>
      <c r="Q879" s="100"/>
      <c r="R879" s="100"/>
      <c r="S879" s="100"/>
      <c r="T879" s="100"/>
      <c r="U879" s="100"/>
      <c r="V879" s="100"/>
      <c r="W879" s="100"/>
      <c r="X879" s="100"/>
      <c r="Y879" s="100"/>
      <c r="Z879" s="100"/>
      <c r="AA879" s="100"/>
      <c r="AB879" s="103" t="str">
        <f>AB877&amp;".2"</f>
        <v>3.1.1.1.3.1.2</v>
      </c>
      <c r="AC879" s="188" t="s">
        <v>212</v>
      </c>
      <c r="AD879" s="189" t="s">
        <v>213</v>
      </c>
      <c r="AE879" s="199">
        <f t="shared" ref="AE879:BV879" si="357">AE153+AE519</f>
        <v>988.4</v>
      </c>
      <c r="AF879" s="200">
        <f t="shared" si="357"/>
        <v>1157.1300000000001</v>
      </c>
      <c r="AG879" s="200">
        <f t="shared" si="357"/>
        <v>1239.9000000000001</v>
      </c>
      <c r="AH879" s="202">
        <f t="shared" si="357"/>
        <v>1080.52</v>
      </c>
      <c r="AI879" s="199">
        <f t="shared" si="357"/>
        <v>19.22</v>
      </c>
      <c r="AJ879" s="200">
        <f t="shared" si="357"/>
        <v>8.98</v>
      </c>
      <c r="AK879" s="200">
        <f t="shared" si="357"/>
        <v>27.7</v>
      </c>
      <c r="AL879" s="202">
        <f t="shared" si="357"/>
        <v>21.14</v>
      </c>
      <c r="AM879" s="199">
        <f t="shared" si="357"/>
        <v>17.28</v>
      </c>
      <c r="AN879" s="200">
        <f t="shared" si="357"/>
        <v>6.83</v>
      </c>
      <c r="AO879" s="200">
        <f t="shared" si="357"/>
        <v>22.6</v>
      </c>
      <c r="AP879" s="202">
        <f t="shared" si="357"/>
        <v>19.010000000000002</v>
      </c>
      <c r="AQ879" s="199">
        <f t="shared" si="357"/>
        <v>26.68</v>
      </c>
      <c r="AR879" s="200">
        <f t="shared" si="357"/>
        <v>29.5</v>
      </c>
      <c r="AS879" s="200">
        <f t="shared" si="357"/>
        <v>42.6</v>
      </c>
      <c r="AT879" s="202">
        <f t="shared" si="357"/>
        <v>29.19</v>
      </c>
      <c r="AU879" s="199">
        <f t="shared" si="357"/>
        <v>16.25</v>
      </c>
      <c r="AV879" s="200">
        <f t="shared" si="357"/>
        <v>4.8599999999999994</v>
      </c>
      <c r="AW879" s="200">
        <f t="shared" si="357"/>
        <v>18.7</v>
      </c>
      <c r="AX879" s="202">
        <f t="shared" si="357"/>
        <v>17.8</v>
      </c>
      <c r="AY879" s="199">
        <f t="shared" si="357"/>
        <v>27.59</v>
      </c>
      <c r="AZ879" s="200">
        <f t="shared" si="357"/>
        <v>38.5</v>
      </c>
      <c r="BA879" s="200">
        <f t="shared" si="357"/>
        <v>47.9</v>
      </c>
      <c r="BB879" s="202">
        <f t="shared" si="357"/>
        <v>38.5</v>
      </c>
      <c r="BC879" s="199">
        <f t="shared" si="357"/>
        <v>28.12</v>
      </c>
      <c r="BD879" s="200">
        <f t="shared" si="357"/>
        <v>7.5</v>
      </c>
      <c r="BE879" s="200">
        <f t="shared" si="357"/>
        <v>31</v>
      </c>
      <c r="BF879" s="202">
        <f t="shared" si="357"/>
        <v>30.939999999999998</v>
      </c>
      <c r="BG879" s="199">
        <f t="shared" si="357"/>
        <v>77.5</v>
      </c>
      <c r="BH879" s="200">
        <f t="shared" si="357"/>
        <v>92.76</v>
      </c>
      <c r="BI879" s="200">
        <f t="shared" si="357"/>
        <v>83.8</v>
      </c>
      <c r="BJ879" s="202">
        <f t="shared" si="357"/>
        <v>92.76</v>
      </c>
      <c r="BK879" s="199">
        <f t="shared" si="357"/>
        <v>77.69</v>
      </c>
      <c r="BL879" s="200">
        <f t="shared" si="357"/>
        <v>102</v>
      </c>
      <c r="BM879" s="200">
        <f t="shared" si="357"/>
        <v>102</v>
      </c>
      <c r="BN879" s="202">
        <f t="shared" si="357"/>
        <v>84.58</v>
      </c>
      <c r="BO879" s="199">
        <f t="shared" si="357"/>
        <v>9.1999999999999993</v>
      </c>
      <c r="BP879" s="200">
        <f t="shared" si="357"/>
        <v>12.5</v>
      </c>
      <c r="BQ879" s="200">
        <f t="shared" si="357"/>
        <v>6.5</v>
      </c>
      <c r="BR879" s="202">
        <f t="shared" si="357"/>
        <v>10.119999999999999</v>
      </c>
      <c r="BS879" s="199">
        <f t="shared" si="357"/>
        <v>21</v>
      </c>
      <c r="BT879" s="200">
        <f t="shared" si="357"/>
        <v>36.340000000000003</v>
      </c>
      <c r="BU879" s="200">
        <f t="shared" si="357"/>
        <v>37</v>
      </c>
      <c r="BV879" s="201">
        <f t="shared" si="357"/>
        <v>22.9</v>
      </c>
      <c r="BW879" s="111"/>
      <c r="BX879" s="100"/>
      <c r="BY879" s="112">
        <f t="shared" ref="BY879:CB880" si="358">AE879+AI879+AM879+AQ879+AU879+AY879+BC879+BG879+BK879+BO879+BS879</f>
        <v>1308.93</v>
      </c>
      <c r="BZ879" s="113">
        <f t="shared" si="358"/>
        <v>1496.8999999999999</v>
      </c>
      <c r="CA879" s="113">
        <f t="shared" si="358"/>
        <v>1659.7</v>
      </c>
      <c r="CB879" s="114">
        <f t="shared" si="358"/>
        <v>1447.46</v>
      </c>
      <c r="CC879" s="759"/>
    </row>
    <row r="880" spans="1:82" ht="29.25" customHeight="1" outlineLevel="4" x14ac:dyDescent="0.25">
      <c r="C880" s="10" t="s">
        <v>83</v>
      </c>
      <c r="D880" s="10" t="s">
        <v>84</v>
      </c>
      <c r="E880" s="10" t="s">
        <v>73</v>
      </c>
      <c r="F880" s="10" t="s">
        <v>74</v>
      </c>
      <c r="G880" s="10" t="s">
        <v>214</v>
      </c>
      <c r="H880" s="10" t="s">
        <v>202</v>
      </c>
      <c r="I880" s="10" t="s">
        <v>73</v>
      </c>
      <c r="K880" s="12" t="s">
        <v>73</v>
      </c>
      <c r="L880" s="10" t="s">
        <v>192</v>
      </c>
      <c r="M880" s="5" t="str">
        <f t="array" ref="M880">Y818</f>
        <v>1ХВС::1.1</v>
      </c>
      <c r="AB880" s="29" t="str">
        <f>AB876&amp;".2"</f>
        <v>3.1.1.1.3.2</v>
      </c>
      <c r="AC880" s="177" t="s">
        <v>215</v>
      </c>
      <c r="AD880" s="51" t="s">
        <v>111</v>
      </c>
      <c r="AE880" s="95">
        <f t="shared" ref="AE880:BV880" si="359">AE154+AE520</f>
        <v>175052.04708000002</v>
      </c>
      <c r="AF880" s="178">
        <f t="shared" si="359"/>
        <v>216682.68</v>
      </c>
      <c r="AG880" s="178">
        <f t="shared" si="359"/>
        <v>240462.87450000001</v>
      </c>
      <c r="AH880" s="181">
        <f t="shared" si="359"/>
        <v>215912.94605999999</v>
      </c>
      <c r="AI880" s="95">
        <f t="shared" si="359"/>
        <v>2755.7590599999999</v>
      </c>
      <c r="AJ880" s="178">
        <f t="shared" si="359"/>
        <v>1070</v>
      </c>
      <c r="AK880" s="178">
        <f t="shared" si="359"/>
        <v>4475.7577799999999</v>
      </c>
      <c r="AL880" s="181">
        <f t="shared" si="359"/>
        <v>3472.68478</v>
      </c>
      <c r="AM880" s="95">
        <f t="shared" si="359"/>
        <v>2911.72</v>
      </c>
      <c r="AN880" s="178">
        <f t="shared" si="359"/>
        <v>629.32000000000005</v>
      </c>
      <c r="AO880" s="178">
        <f t="shared" si="359"/>
        <v>3088.95</v>
      </c>
      <c r="AP880" s="181">
        <f t="shared" si="359"/>
        <v>3669.5929399999995</v>
      </c>
      <c r="AQ880" s="95">
        <f t="shared" si="359"/>
        <v>4827.88</v>
      </c>
      <c r="AR880" s="178">
        <f t="shared" si="359"/>
        <v>3623.55</v>
      </c>
      <c r="AS880" s="178">
        <f t="shared" si="359"/>
        <v>6521.16</v>
      </c>
      <c r="AT880" s="181">
        <f t="shared" si="359"/>
        <v>6047.0169700000006</v>
      </c>
      <c r="AU880" s="95">
        <f t="shared" si="359"/>
        <v>2960.71</v>
      </c>
      <c r="AV880" s="178">
        <f t="shared" si="359"/>
        <v>565.91</v>
      </c>
      <c r="AW880" s="178">
        <f t="shared" si="359"/>
        <v>3067.58</v>
      </c>
      <c r="AX880" s="181">
        <f t="shared" si="359"/>
        <v>3715.2873519999994</v>
      </c>
      <c r="AY880" s="95">
        <f t="shared" si="359"/>
        <v>4870.08</v>
      </c>
      <c r="AZ880" s="178">
        <f t="shared" si="359"/>
        <v>5594.21</v>
      </c>
      <c r="BA880" s="178">
        <f t="shared" si="359"/>
        <v>7166.3499999999995</v>
      </c>
      <c r="BB880" s="181">
        <f t="shared" si="359"/>
        <v>5820.7213941623995</v>
      </c>
      <c r="BC880" s="95">
        <f t="shared" si="359"/>
        <v>5004.0282599999991</v>
      </c>
      <c r="BD880" s="178">
        <f t="shared" si="359"/>
        <v>1185.5424645999999</v>
      </c>
      <c r="BE880" s="178">
        <f t="shared" si="359"/>
        <v>4999.8895009999997</v>
      </c>
      <c r="BF880" s="181">
        <f t="shared" si="359"/>
        <v>6305.8234199999997</v>
      </c>
      <c r="BG880" s="95">
        <f t="shared" si="359"/>
        <v>15262.295403999999</v>
      </c>
      <c r="BH880" s="178">
        <f t="shared" si="359"/>
        <v>14180.780855999999</v>
      </c>
      <c r="BI880" s="178">
        <f t="shared" si="359"/>
        <v>15860.620219999997</v>
      </c>
      <c r="BJ880" s="181">
        <f t="shared" si="359"/>
        <v>14754.818865050882</v>
      </c>
      <c r="BK880" s="95">
        <f t="shared" si="359"/>
        <v>13224.344560000001</v>
      </c>
      <c r="BL880" s="178">
        <f t="shared" si="359"/>
        <v>16703.73</v>
      </c>
      <c r="BM880" s="178">
        <f t="shared" si="359"/>
        <v>18673.02</v>
      </c>
      <c r="BN880" s="181">
        <f t="shared" si="359"/>
        <v>16491.29135</v>
      </c>
      <c r="BO880" s="95">
        <f t="shared" si="359"/>
        <v>1690.58</v>
      </c>
      <c r="BP880" s="178">
        <f t="shared" si="359"/>
        <v>1542.83</v>
      </c>
      <c r="BQ880" s="178">
        <f t="shared" si="359"/>
        <v>998.92000000000007</v>
      </c>
      <c r="BR880" s="181">
        <f t="shared" si="359"/>
        <v>2390.1367453679995</v>
      </c>
      <c r="BS880" s="95">
        <f t="shared" si="359"/>
        <v>3682.8122000000003</v>
      </c>
      <c r="BT880" s="178">
        <f t="shared" si="359"/>
        <v>5140.4034000000001</v>
      </c>
      <c r="BU880" s="178">
        <f t="shared" si="359"/>
        <v>5892.1599800000004</v>
      </c>
      <c r="BV880" s="96">
        <f t="shared" si="359"/>
        <v>4597.7159499999998</v>
      </c>
      <c r="BY880" s="125">
        <f t="shared" si="358"/>
        <v>232242.25656399998</v>
      </c>
      <c r="BZ880" s="126">
        <f t="shared" si="358"/>
        <v>266918.95672059996</v>
      </c>
      <c r="CA880" s="126">
        <f t="shared" si="358"/>
        <v>311207.28198099998</v>
      </c>
      <c r="CB880" s="127">
        <f t="shared" si="358"/>
        <v>283178.0358265813</v>
      </c>
    </row>
    <row r="881" spans="1:82" ht="21.75" customHeight="1" outlineLevel="4" x14ac:dyDescent="0.25">
      <c r="C881" s="10" t="s">
        <v>216</v>
      </c>
      <c r="D881" s="10" t="s">
        <v>217</v>
      </c>
      <c r="E881" s="10" t="s">
        <v>73</v>
      </c>
      <c r="F881" s="10" t="s">
        <v>74</v>
      </c>
      <c r="G881" s="10" t="s">
        <v>73</v>
      </c>
      <c r="H881" s="10" t="s">
        <v>202</v>
      </c>
      <c r="I881" s="10" t="s">
        <v>73</v>
      </c>
      <c r="K881" s="12" t="s">
        <v>73</v>
      </c>
      <c r="L881" s="10" t="s">
        <v>192</v>
      </c>
      <c r="M881" s="5" t="str">
        <f t="array" ref="M881">Y818</f>
        <v>1ХВС::1.1</v>
      </c>
      <c r="AB881" s="29" t="str">
        <f>AB880&amp;".1"</f>
        <v>3.1.1.1.3.2.1</v>
      </c>
      <c r="AC881" s="208" t="s">
        <v>218</v>
      </c>
      <c r="AD881" s="51" t="s">
        <v>119</v>
      </c>
      <c r="AE881" s="72">
        <v>30.2</v>
      </c>
      <c r="AF881" s="73">
        <v>30.2</v>
      </c>
      <c r="AG881" s="73">
        <v>30.2</v>
      </c>
      <c r="AH881" s="138">
        <v>30.2</v>
      </c>
      <c r="AI881" s="72">
        <v>30.2</v>
      </c>
      <c r="AJ881" s="73">
        <v>30.2</v>
      </c>
      <c r="AK881" s="73">
        <v>30.2</v>
      </c>
      <c r="AL881" s="138">
        <v>30.2</v>
      </c>
      <c r="AM881" s="72">
        <v>30.2</v>
      </c>
      <c r="AN881" s="73">
        <v>30.2</v>
      </c>
      <c r="AO881" s="73">
        <v>30.2</v>
      </c>
      <c r="AP881" s="138">
        <v>31.2</v>
      </c>
      <c r="AQ881" s="72">
        <v>30.2</v>
      </c>
      <c r="AR881" s="73">
        <v>30.2</v>
      </c>
      <c r="AS881" s="73">
        <v>30.2</v>
      </c>
      <c r="AT881" s="138">
        <v>30.2</v>
      </c>
      <c r="AU881" s="72">
        <v>30.2</v>
      </c>
      <c r="AV881" s="73">
        <v>30.2</v>
      </c>
      <c r="AW881" s="73">
        <v>30.2</v>
      </c>
      <c r="AX881" s="138">
        <v>30.2</v>
      </c>
      <c r="AY881" s="72">
        <v>30.2</v>
      </c>
      <c r="AZ881" s="73">
        <v>30.2</v>
      </c>
      <c r="BA881" s="73">
        <v>30.2</v>
      </c>
      <c r="BB881" s="138">
        <v>30.2</v>
      </c>
      <c r="BC881" s="72">
        <v>30.2</v>
      </c>
      <c r="BD881" s="73">
        <v>30.2</v>
      </c>
      <c r="BE881" s="73">
        <v>30.2</v>
      </c>
      <c r="BF881" s="138">
        <v>30.2</v>
      </c>
      <c r="BG881" s="72">
        <v>30.2</v>
      </c>
      <c r="BH881" s="73">
        <v>30.2</v>
      </c>
      <c r="BI881" s="73">
        <v>30.2</v>
      </c>
      <c r="BJ881" s="138">
        <v>30.2</v>
      </c>
      <c r="BK881" s="72">
        <v>30.2</v>
      </c>
      <c r="BL881" s="73">
        <v>30.2</v>
      </c>
      <c r="BM881" s="73">
        <v>30.2</v>
      </c>
      <c r="BN881" s="138">
        <v>30.2</v>
      </c>
      <c r="BO881" s="142">
        <v>30.2</v>
      </c>
      <c r="BP881" s="140">
        <v>30.2</v>
      </c>
      <c r="BQ881" s="140">
        <v>30.2</v>
      </c>
      <c r="BR881" s="141">
        <v>30.2</v>
      </c>
      <c r="BS881" s="142">
        <v>30.2</v>
      </c>
      <c r="BT881" s="140">
        <v>30.2</v>
      </c>
      <c r="BU881" s="140">
        <v>30.2</v>
      </c>
      <c r="BV881" s="143">
        <v>30.2</v>
      </c>
      <c r="BY881" s="125">
        <v>30.2</v>
      </c>
      <c r="BZ881" s="126">
        <v>30.2</v>
      </c>
      <c r="CA881" s="126">
        <v>30.2</v>
      </c>
      <c r="CB881" s="127">
        <v>30.2</v>
      </c>
    </row>
    <row r="882" spans="1:82" s="211" customFormat="1" ht="21" customHeight="1" outlineLevel="4" x14ac:dyDescent="0.25">
      <c r="A882" s="6"/>
      <c r="B882" s="6"/>
      <c r="C882" s="116" t="s">
        <v>83</v>
      </c>
      <c r="D882" s="116" t="s">
        <v>84</v>
      </c>
      <c r="E882" s="116" t="s">
        <v>73</v>
      </c>
      <c r="F882" s="116" t="s">
        <v>74</v>
      </c>
      <c r="G882" s="116" t="s">
        <v>219</v>
      </c>
      <c r="H882" s="116" t="s">
        <v>73</v>
      </c>
      <c r="I882" s="116" t="s">
        <v>73</v>
      </c>
      <c r="J882" s="6"/>
      <c r="K882" s="209" t="s">
        <v>73</v>
      </c>
      <c r="L882" s="116" t="s">
        <v>192</v>
      </c>
      <c r="M882" s="6" t="str">
        <f t="array" ref="M882">Y818</f>
        <v>1ХВС::1.1</v>
      </c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29" t="str">
        <f>AB870&amp;".4"</f>
        <v>3.1.1.1.4</v>
      </c>
      <c r="AC882" s="174" t="s">
        <v>220</v>
      </c>
      <c r="AD882" s="51" t="s">
        <v>111</v>
      </c>
      <c r="AE882" s="95">
        <f t="shared" ref="AE882:AK882" si="360">AE156+AE522</f>
        <v>73673.482000000004</v>
      </c>
      <c r="AF882" s="178">
        <f t="shared" si="360"/>
        <v>0</v>
      </c>
      <c r="AG882" s="178">
        <f t="shared" si="360"/>
        <v>57201.49</v>
      </c>
      <c r="AH882" s="181">
        <f t="shared" si="360"/>
        <v>0</v>
      </c>
      <c r="AI882" s="95">
        <f t="shared" si="360"/>
        <v>207.28399999999999</v>
      </c>
      <c r="AJ882" s="178">
        <f t="shared" si="360"/>
        <v>0</v>
      </c>
      <c r="AK882" s="178">
        <f t="shared" si="360"/>
        <v>272.77330000000001</v>
      </c>
      <c r="AL882" s="181"/>
      <c r="AM882" s="95">
        <f t="shared" ref="AM882:AV882" si="361">AM156+AM522</f>
        <v>894.6</v>
      </c>
      <c r="AN882" s="178">
        <f t="shared" si="361"/>
        <v>28</v>
      </c>
      <c r="AO882" s="178">
        <f t="shared" si="361"/>
        <v>1631.49</v>
      </c>
      <c r="AP882" s="181">
        <f t="shared" si="361"/>
        <v>0</v>
      </c>
      <c r="AQ882" s="95">
        <f t="shared" si="361"/>
        <v>2083.7600000000002</v>
      </c>
      <c r="AR882" s="178">
        <f t="shared" si="361"/>
        <v>0</v>
      </c>
      <c r="AS882" s="178">
        <f t="shared" si="361"/>
        <v>3800.17</v>
      </c>
      <c r="AT882" s="181">
        <f t="shared" si="361"/>
        <v>0</v>
      </c>
      <c r="AU882" s="95">
        <f t="shared" si="361"/>
        <v>436.39</v>
      </c>
      <c r="AV882" s="178">
        <f t="shared" si="361"/>
        <v>0</v>
      </c>
      <c r="AW882" s="178">
        <f t="shared" ref="AW882:BN882" si="362">AW156+AW522</f>
        <v>795.83999999999992</v>
      </c>
      <c r="AX882" s="181">
        <f t="shared" si="362"/>
        <v>0</v>
      </c>
      <c r="AY882" s="95">
        <f t="shared" si="362"/>
        <v>2291.0500000000002</v>
      </c>
      <c r="AZ882" s="178">
        <f t="shared" si="362"/>
        <v>0</v>
      </c>
      <c r="BA882" s="178">
        <f t="shared" si="362"/>
        <v>4178.18</v>
      </c>
      <c r="BB882" s="181">
        <f t="shared" si="362"/>
        <v>0</v>
      </c>
      <c r="BC882" s="95">
        <f t="shared" si="362"/>
        <v>632.76800000000003</v>
      </c>
      <c r="BD882" s="178">
        <f t="shared" si="362"/>
        <v>0</v>
      </c>
      <c r="BE882" s="178">
        <f t="shared" si="362"/>
        <v>1153.979</v>
      </c>
      <c r="BF882" s="181">
        <f t="shared" si="362"/>
        <v>0</v>
      </c>
      <c r="BG882" s="95">
        <f t="shared" si="362"/>
        <v>5040.3029999999999</v>
      </c>
      <c r="BH882" s="178">
        <f t="shared" si="362"/>
        <v>0</v>
      </c>
      <c r="BI882" s="178">
        <f t="shared" si="362"/>
        <v>7179.51</v>
      </c>
      <c r="BJ882" s="181">
        <f t="shared" si="362"/>
        <v>0</v>
      </c>
      <c r="BK882" s="95">
        <f t="shared" si="362"/>
        <v>4363.8999999999996</v>
      </c>
      <c r="BL882" s="178">
        <f t="shared" si="362"/>
        <v>0</v>
      </c>
      <c r="BM882" s="178">
        <f t="shared" si="362"/>
        <v>6904.53</v>
      </c>
      <c r="BN882" s="181">
        <f t="shared" si="362"/>
        <v>0</v>
      </c>
      <c r="BO882" s="95">
        <f t="shared" ref="BO882:BU882" si="363">BO156+BO522</f>
        <v>174.56</v>
      </c>
      <c r="BP882" s="178">
        <f t="shared" si="363"/>
        <v>0</v>
      </c>
      <c r="BQ882" s="178">
        <f t="shared" si="363"/>
        <v>318.33499999999998</v>
      </c>
      <c r="BR882" s="181">
        <f t="shared" si="363"/>
        <v>0</v>
      </c>
      <c r="BS882" s="95">
        <f t="shared" si="363"/>
        <v>381.84</v>
      </c>
      <c r="BT882" s="178">
        <f t="shared" si="363"/>
        <v>134.01</v>
      </c>
      <c r="BU882" s="178">
        <f t="shared" si="363"/>
        <v>696.37</v>
      </c>
      <c r="BV882" s="96">
        <v>0</v>
      </c>
      <c r="BW882" s="6"/>
      <c r="BX882" s="6"/>
      <c r="BY882" s="125">
        <f t="shared" ref="BY882:BY913" si="364">AE882+AI882+AM882+AQ882+AU882+AY882+BC882+BG882+BK882+BO882+BS882</f>
        <v>90179.936999999991</v>
      </c>
      <c r="BZ882" s="126">
        <f t="shared" ref="BZ882:BZ913" si="365">AF882+AJ882+AN882+AR882+AV882+AZ882+BD882+BH882+BL882+BP882+BT882</f>
        <v>162.01</v>
      </c>
      <c r="CA882" s="126">
        <f>AG882+AK882+AO882+AS882+AW882+BA882+BE882+BI882+BM882+BQ882+BU882</f>
        <v>84132.667299999986</v>
      </c>
      <c r="CB882" s="127">
        <f>AH882+AL882+AP882+AT882+AX882+BB882+BF882+BJ882+BN882+BR882+BV882</f>
        <v>0</v>
      </c>
      <c r="CC882" s="766"/>
    </row>
    <row r="883" spans="1:82" ht="26.25" hidden="1" customHeight="1" outlineLevel="4" x14ac:dyDescent="0.25">
      <c r="C883" s="10" t="s">
        <v>83</v>
      </c>
      <c r="D883" s="10" t="s">
        <v>84</v>
      </c>
      <c r="E883" s="10" t="s">
        <v>73</v>
      </c>
      <c r="F883" s="10" t="s">
        <v>74</v>
      </c>
      <c r="G883" s="10" t="s">
        <v>221</v>
      </c>
      <c r="H883" s="10" t="s">
        <v>73</v>
      </c>
      <c r="I883" s="10" t="s">
        <v>73</v>
      </c>
      <c r="K883" s="12" t="s">
        <v>73</v>
      </c>
      <c r="L883" s="10" t="s">
        <v>192</v>
      </c>
      <c r="M883" s="5" t="str">
        <f t="array" ref="M883">Y818</f>
        <v>1ХВС::1.1</v>
      </c>
      <c r="AB883" s="65" t="str">
        <f>AB870&amp;".5"</f>
        <v>3.1.1.1.5</v>
      </c>
      <c r="AC883" s="174" t="s">
        <v>222</v>
      </c>
      <c r="AD883" s="51" t="s">
        <v>111</v>
      </c>
      <c r="AE883" s="72"/>
      <c r="AF883" s="73"/>
      <c r="AG883" s="73"/>
      <c r="AH883" s="138"/>
      <c r="AI883" s="72"/>
      <c r="AJ883" s="178"/>
      <c r="AK883" s="178"/>
      <c r="AL883" s="181"/>
      <c r="AM883" s="72"/>
      <c r="AN883" s="73"/>
      <c r="AO883" s="178"/>
      <c r="AP883" s="181"/>
      <c r="AQ883" s="72"/>
      <c r="AR883" s="178"/>
      <c r="AS883" s="178"/>
      <c r="AT883" s="181"/>
      <c r="AU883" s="72"/>
      <c r="AV883" s="178"/>
      <c r="AW883" s="178"/>
      <c r="AX883" s="181"/>
      <c r="AY883" s="72"/>
      <c r="AZ883" s="178"/>
      <c r="BA883" s="178"/>
      <c r="BB883" s="181"/>
      <c r="BC883" s="72"/>
      <c r="BD883" s="178"/>
      <c r="BE883" s="178"/>
      <c r="BF883" s="181"/>
      <c r="BG883" s="72"/>
      <c r="BH883" s="178"/>
      <c r="BI883" s="178"/>
      <c r="BJ883" s="181"/>
      <c r="BK883" s="72"/>
      <c r="BL883" s="178"/>
      <c r="BM883" s="178"/>
      <c r="BN883" s="181"/>
      <c r="BO883" s="142"/>
      <c r="BP883" s="183"/>
      <c r="BQ883" s="183"/>
      <c r="BR883" s="184"/>
      <c r="BS883" s="142"/>
      <c r="BT883" s="183"/>
      <c r="BU883" s="183"/>
      <c r="BV883" s="186"/>
      <c r="BY883" s="125">
        <f t="shared" si="364"/>
        <v>0</v>
      </c>
      <c r="BZ883" s="126">
        <f t="shared" si="365"/>
        <v>0</v>
      </c>
      <c r="CA883" s="126">
        <f t="shared" ref="CA883:CB898" si="366">AG883+AK883+AO883+AS883+AW883+BA883+BE883+BI883+BM883+BQ883+BU883</f>
        <v>0</v>
      </c>
      <c r="CB883" s="127">
        <f t="shared" ref="CB883:CB895" si="367">AH883+AL883+AP883+AT883+AX883+BB883+BF883+BJ883+BN883+BR883+BV883</f>
        <v>0</v>
      </c>
    </row>
    <row r="884" spans="1:82" ht="31.5" hidden="1" customHeight="1" outlineLevel="4" x14ac:dyDescent="0.25">
      <c r="A884" s="5" t="b">
        <f>'ИТОГ (Утв. 2026-верно'!$AD$55="нет"</f>
        <v>1</v>
      </c>
      <c r="C884" s="10" t="s">
        <v>83</v>
      </c>
      <c r="D884" s="10" t="s">
        <v>84</v>
      </c>
      <c r="E884" s="10" t="s">
        <v>73</v>
      </c>
      <c r="F884" s="10" t="s">
        <v>74</v>
      </c>
      <c r="G884" s="10" t="s">
        <v>201</v>
      </c>
      <c r="H884" s="10" t="s">
        <v>223</v>
      </c>
      <c r="I884" s="10" t="s">
        <v>73</v>
      </c>
      <c r="K884" s="12" t="s">
        <v>73</v>
      </c>
      <c r="L884" s="10" t="s">
        <v>224</v>
      </c>
      <c r="M884" s="5" t="str">
        <f t="array" ref="M884">Y818</f>
        <v>1ХВС::1.1</v>
      </c>
      <c r="AB884" s="29" t="str">
        <f>AB883&amp;".1"</f>
        <v>3.1.1.1.5.1</v>
      </c>
      <c r="AC884" s="177" t="s">
        <v>225</v>
      </c>
      <c r="AD884" s="51" t="s">
        <v>111</v>
      </c>
      <c r="AE884" s="72"/>
      <c r="AF884" s="73"/>
      <c r="AG884" s="73"/>
      <c r="AH884" s="138"/>
      <c r="AI884" s="72"/>
      <c r="AJ884" s="73"/>
      <c r="AK884" s="73"/>
      <c r="AL884" s="138"/>
      <c r="AM884" s="72"/>
      <c r="AN884" s="73"/>
      <c r="AO884" s="73"/>
      <c r="AP884" s="138"/>
      <c r="AQ884" s="72"/>
      <c r="AR884" s="73"/>
      <c r="AS884" s="73"/>
      <c r="AT884" s="138"/>
      <c r="AU884" s="72"/>
      <c r="AV884" s="73"/>
      <c r="AW884" s="73"/>
      <c r="AX884" s="138"/>
      <c r="AY884" s="72"/>
      <c r="AZ884" s="73"/>
      <c r="BA884" s="73"/>
      <c r="BB884" s="138"/>
      <c r="BC884" s="72"/>
      <c r="BD884" s="73"/>
      <c r="BE884" s="73"/>
      <c r="BF884" s="138"/>
      <c r="BG884" s="72"/>
      <c r="BH884" s="73"/>
      <c r="BI884" s="73"/>
      <c r="BJ884" s="138"/>
      <c r="BK884" s="72"/>
      <c r="BL884" s="73"/>
      <c r="BM884" s="73"/>
      <c r="BN884" s="138"/>
      <c r="BO884" s="142"/>
      <c r="BP884" s="140"/>
      <c r="BQ884" s="140"/>
      <c r="BR884" s="141"/>
      <c r="BS884" s="142"/>
      <c r="BT884" s="140"/>
      <c r="BU884" s="140"/>
      <c r="BV884" s="143"/>
      <c r="BY884" s="125">
        <f t="shared" si="364"/>
        <v>0</v>
      </c>
      <c r="BZ884" s="126">
        <f t="shared" si="365"/>
        <v>0</v>
      </c>
      <c r="CA884" s="126">
        <f t="shared" si="366"/>
        <v>0</v>
      </c>
      <c r="CB884" s="127">
        <f t="shared" si="367"/>
        <v>0</v>
      </c>
    </row>
    <row r="885" spans="1:82" ht="29.25" hidden="1" customHeight="1" outlineLevel="4" x14ac:dyDescent="0.25">
      <c r="A885" s="5" t="b">
        <f t="array" ref="A885">A884</f>
        <v>1</v>
      </c>
      <c r="C885" s="10" t="s">
        <v>83</v>
      </c>
      <c r="D885" s="10" t="s">
        <v>84</v>
      </c>
      <c r="E885" s="10" t="s">
        <v>73</v>
      </c>
      <c r="F885" s="10" t="s">
        <v>74</v>
      </c>
      <c r="G885" s="10" t="s">
        <v>204</v>
      </c>
      <c r="H885" s="10" t="s">
        <v>223</v>
      </c>
      <c r="I885" s="10" t="s">
        <v>73</v>
      </c>
      <c r="K885" s="12" t="s">
        <v>73</v>
      </c>
      <c r="L885" s="10" t="s">
        <v>224</v>
      </c>
      <c r="M885" s="5" t="str">
        <f t="array" ref="M885">Y818</f>
        <v>1ХВС::1.1</v>
      </c>
      <c r="AB885" s="29" t="str">
        <f>AB884&amp;".1"</f>
        <v>3.1.1.1.5.1.1</v>
      </c>
      <c r="AC885" s="212" t="s">
        <v>226</v>
      </c>
      <c r="AD885" s="51" t="s">
        <v>111</v>
      </c>
      <c r="AE885" s="72"/>
      <c r="AF885" s="73"/>
      <c r="AG885" s="73"/>
      <c r="AH885" s="138"/>
      <c r="AI885" s="72"/>
      <c r="AJ885" s="178"/>
      <c r="AK885" s="178"/>
      <c r="AL885" s="181"/>
      <c r="AM885" s="72"/>
      <c r="AN885" s="178"/>
      <c r="AO885" s="178"/>
      <c r="AP885" s="181"/>
      <c r="AQ885" s="72"/>
      <c r="AR885" s="178"/>
      <c r="AS885" s="178"/>
      <c r="AT885" s="181"/>
      <c r="AU885" s="72"/>
      <c r="AV885" s="178"/>
      <c r="AW885" s="178"/>
      <c r="AX885" s="181"/>
      <c r="AY885" s="72"/>
      <c r="AZ885" s="178"/>
      <c r="BA885" s="178"/>
      <c r="BB885" s="181"/>
      <c r="BC885" s="72"/>
      <c r="BD885" s="178"/>
      <c r="BE885" s="178"/>
      <c r="BF885" s="181"/>
      <c r="BG885" s="72"/>
      <c r="BH885" s="178"/>
      <c r="BI885" s="178"/>
      <c r="BJ885" s="181"/>
      <c r="BK885" s="72"/>
      <c r="BL885" s="178"/>
      <c r="BM885" s="178"/>
      <c r="BN885" s="181"/>
      <c r="BO885" s="142"/>
      <c r="BP885" s="183"/>
      <c r="BQ885" s="183"/>
      <c r="BR885" s="184"/>
      <c r="BS885" s="142"/>
      <c r="BT885" s="183"/>
      <c r="BU885" s="183"/>
      <c r="BV885" s="186"/>
      <c r="BY885" s="125">
        <f t="shared" si="364"/>
        <v>0</v>
      </c>
      <c r="BZ885" s="126">
        <f t="shared" si="365"/>
        <v>0</v>
      </c>
      <c r="CA885" s="126">
        <f t="shared" si="366"/>
        <v>0</v>
      </c>
      <c r="CB885" s="127">
        <f t="shared" si="367"/>
        <v>0</v>
      </c>
    </row>
    <row r="886" spans="1:82" ht="14.25" hidden="1" customHeight="1" outlineLevel="4" x14ac:dyDescent="0.25">
      <c r="A886" s="5" t="b">
        <f t="array" ref="A886">A885</f>
        <v>1</v>
      </c>
      <c r="C886" s="10" t="s">
        <v>206</v>
      </c>
      <c r="D886" s="10" t="s">
        <v>207</v>
      </c>
      <c r="E886" s="10" t="s">
        <v>73</v>
      </c>
      <c r="F886" s="10" t="s">
        <v>74</v>
      </c>
      <c r="G886" s="10" t="s">
        <v>73</v>
      </c>
      <c r="H886" s="10" t="s">
        <v>223</v>
      </c>
      <c r="I886" s="10" t="s">
        <v>73</v>
      </c>
      <c r="K886" s="12" t="s">
        <v>73</v>
      </c>
      <c r="L886" s="10" t="s">
        <v>224</v>
      </c>
      <c r="M886" s="5" t="str">
        <f t="array" ref="M886">Y818</f>
        <v>1ХВС::1.1</v>
      </c>
      <c r="AB886" s="29" t="str">
        <f>AB885&amp;".1"</f>
        <v>3.1.1.1.5.1.1.1</v>
      </c>
      <c r="AC886" s="208" t="s">
        <v>208</v>
      </c>
      <c r="AD886" s="51" t="s">
        <v>209</v>
      </c>
      <c r="AE886" s="72"/>
      <c r="AF886" s="73"/>
      <c r="AG886" s="73"/>
      <c r="AH886" s="138"/>
      <c r="AI886" s="72"/>
      <c r="AJ886" s="73"/>
      <c r="AK886" s="73"/>
      <c r="AL886" s="138"/>
      <c r="AM886" s="72"/>
      <c r="AN886" s="73"/>
      <c r="AO886" s="73"/>
      <c r="AP886" s="138"/>
      <c r="AQ886" s="72"/>
      <c r="AR886" s="73"/>
      <c r="AS886" s="73"/>
      <c r="AT886" s="138"/>
      <c r="AU886" s="72"/>
      <c r="AV886" s="73"/>
      <c r="AW886" s="73"/>
      <c r="AX886" s="138"/>
      <c r="AY886" s="72"/>
      <c r="AZ886" s="73"/>
      <c r="BA886" s="73"/>
      <c r="BB886" s="138"/>
      <c r="BC886" s="72"/>
      <c r="BD886" s="73"/>
      <c r="BE886" s="73"/>
      <c r="BF886" s="138"/>
      <c r="BG886" s="72"/>
      <c r="BH886" s="73"/>
      <c r="BI886" s="73"/>
      <c r="BJ886" s="138"/>
      <c r="BK886" s="72"/>
      <c r="BL886" s="73"/>
      <c r="BM886" s="73"/>
      <c r="BN886" s="138"/>
      <c r="BO886" s="142"/>
      <c r="BP886" s="140"/>
      <c r="BQ886" s="140"/>
      <c r="BR886" s="141"/>
      <c r="BS886" s="142"/>
      <c r="BT886" s="140"/>
      <c r="BU886" s="140"/>
      <c r="BV886" s="143"/>
      <c r="BY886" s="125">
        <f t="shared" si="364"/>
        <v>0</v>
      </c>
      <c r="BZ886" s="126">
        <f t="shared" si="365"/>
        <v>0</v>
      </c>
      <c r="CA886" s="126">
        <f t="shared" si="366"/>
        <v>0</v>
      </c>
      <c r="CB886" s="127">
        <f t="shared" si="367"/>
        <v>0</v>
      </c>
    </row>
    <row r="887" spans="1:82" ht="14.25" hidden="1" customHeight="1" outlineLevel="4" x14ac:dyDescent="0.25">
      <c r="A887" s="5" t="b">
        <f t="array" ref="A887">A886</f>
        <v>1</v>
      </c>
      <c r="C887" s="10" t="s">
        <v>210</v>
      </c>
      <c r="D887" s="10" t="s">
        <v>211</v>
      </c>
      <c r="E887" s="10" t="s">
        <v>73</v>
      </c>
      <c r="F887" s="10" t="s">
        <v>74</v>
      </c>
      <c r="G887" s="10" t="s">
        <v>73</v>
      </c>
      <c r="H887" s="10" t="s">
        <v>223</v>
      </c>
      <c r="I887" s="10" t="s">
        <v>73</v>
      </c>
      <c r="K887" s="12" t="s">
        <v>73</v>
      </c>
      <c r="L887" s="10" t="s">
        <v>224</v>
      </c>
      <c r="M887" s="5" t="str">
        <f t="array" ref="M887">Y818</f>
        <v>1ХВС::1.1</v>
      </c>
      <c r="AB887" s="29" t="str">
        <f>AB885&amp;".2"</f>
        <v>3.1.1.1.5.1.1.2</v>
      </c>
      <c r="AC887" s="208" t="s">
        <v>212</v>
      </c>
      <c r="AD887" s="51" t="s">
        <v>213</v>
      </c>
      <c r="AE887" s="72"/>
      <c r="AF887" s="73"/>
      <c r="AG887" s="73"/>
      <c r="AH887" s="138"/>
      <c r="AI887" s="72"/>
      <c r="AJ887" s="178"/>
      <c r="AK887" s="178"/>
      <c r="AL887" s="181"/>
      <c r="AM887" s="72"/>
      <c r="AN887" s="178"/>
      <c r="AO887" s="178"/>
      <c r="AP887" s="181"/>
      <c r="AQ887" s="72"/>
      <c r="AR887" s="178"/>
      <c r="AS887" s="178"/>
      <c r="AT887" s="181"/>
      <c r="AU887" s="72"/>
      <c r="AV887" s="178"/>
      <c r="AW887" s="178"/>
      <c r="AX887" s="181"/>
      <c r="AY887" s="72"/>
      <c r="AZ887" s="178"/>
      <c r="BA887" s="178"/>
      <c r="BB887" s="181"/>
      <c r="BC887" s="72"/>
      <c r="BD887" s="178"/>
      <c r="BE887" s="178"/>
      <c r="BF887" s="181"/>
      <c r="BG887" s="72"/>
      <c r="BH887" s="178"/>
      <c r="BI887" s="178"/>
      <c r="BJ887" s="181"/>
      <c r="BK887" s="72"/>
      <c r="BL887" s="178"/>
      <c r="BM887" s="178"/>
      <c r="BN887" s="181"/>
      <c r="BO887" s="142"/>
      <c r="BP887" s="183"/>
      <c r="BQ887" s="183"/>
      <c r="BR887" s="184"/>
      <c r="BS887" s="142"/>
      <c r="BT887" s="183"/>
      <c r="BU887" s="183"/>
      <c r="BV887" s="186"/>
      <c r="BY887" s="125">
        <f t="shared" si="364"/>
        <v>0</v>
      </c>
      <c r="BZ887" s="126">
        <f t="shared" si="365"/>
        <v>0</v>
      </c>
      <c r="CA887" s="126">
        <f t="shared" si="366"/>
        <v>0</v>
      </c>
      <c r="CB887" s="127">
        <f t="shared" si="367"/>
        <v>0</v>
      </c>
    </row>
    <row r="888" spans="1:82" ht="14.25" hidden="1" customHeight="1" outlineLevel="4" x14ac:dyDescent="0.25">
      <c r="A888" s="5" t="b">
        <f t="array" ref="A888">A887</f>
        <v>1</v>
      </c>
      <c r="C888" s="10" t="s">
        <v>83</v>
      </c>
      <c r="D888" s="10" t="s">
        <v>84</v>
      </c>
      <c r="E888" s="10" t="s">
        <v>73</v>
      </c>
      <c r="F888" s="10" t="s">
        <v>74</v>
      </c>
      <c r="G888" s="10" t="s">
        <v>214</v>
      </c>
      <c r="H888" s="10" t="s">
        <v>223</v>
      </c>
      <c r="I888" s="10" t="s">
        <v>73</v>
      </c>
      <c r="K888" s="12" t="s">
        <v>73</v>
      </c>
      <c r="L888" s="10" t="s">
        <v>224</v>
      </c>
      <c r="M888" s="5" t="str">
        <f t="array" ref="M888">Y818</f>
        <v>1ХВС::1.1</v>
      </c>
      <c r="AB888" s="29" t="str">
        <f>AB884&amp;".2"</f>
        <v>3.1.1.1.5.1.2</v>
      </c>
      <c r="AC888" s="212" t="s">
        <v>227</v>
      </c>
      <c r="AD888" s="51" t="s">
        <v>111</v>
      </c>
      <c r="AE888" s="72"/>
      <c r="AF888" s="73"/>
      <c r="AG888" s="73"/>
      <c r="AH888" s="138"/>
      <c r="AI888" s="72"/>
      <c r="AJ888" s="178"/>
      <c r="AK888" s="178"/>
      <c r="AL888" s="181"/>
      <c r="AM888" s="72"/>
      <c r="AN888" s="178"/>
      <c r="AO888" s="178"/>
      <c r="AP888" s="181"/>
      <c r="AQ888" s="72"/>
      <c r="AR888" s="178"/>
      <c r="AS888" s="178"/>
      <c r="AT888" s="181"/>
      <c r="AU888" s="72"/>
      <c r="AV888" s="178"/>
      <c r="AW888" s="178"/>
      <c r="AX888" s="181"/>
      <c r="AY888" s="72"/>
      <c r="AZ888" s="178"/>
      <c r="BA888" s="178"/>
      <c r="BB888" s="181"/>
      <c r="BC888" s="72"/>
      <c r="BD888" s="178"/>
      <c r="BE888" s="178"/>
      <c r="BF888" s="181"/>
      <c r="BG888" s="72"/>
      <c r="BH888" s="178"/>
      <c r="BI888" s="178"/>
      <c r="BJ888" s="181"/>
      <c r="BK888" s="72"/>
      <c r="BL888" s="178"/>
      <c r="BM888" s="178"/>
      <c r="BN888" s="181"/>
      <c r="BO888" s="142"/>
      <c r="BP888" s="183"/>
      <c r="BQ888" s="183"/>
      <c r="BR888" s="184"/>
      <c r="BS888" s="142"/>
      <c r="BT888" s="183"/>
      <c r="BU888" s="183"/>
      <c r="BV888" s="186"/>
      <c r="BY888" s="125">
        <f t="shared" si="364"/>
        <v>0</v>
      </c>
      <c r="BZ888" s="126">
        <f t="shared" si="365"/>
        <v>0</v>
      </c>
      <c r="CA888" s="126">
        <f t="shared" si="366"/>
        <v>0</v>
      </c>
      <c r="CB888" s="127">
        <f t="shared" si="367"/>
        <v>0</v>
      </c>
    </row>
    <row r="889" spans="1:82" ht="14.25" hidden="1" customHeight="1" outlineLevel="4" x14ac:dyDescent="0.25">
      <c r="A889" s="5" t="b">
        <f t="array" ref="A889">A888</f>
        <v>1</v>
      </c>
      <c r="C889" s="10" t="s">
        <v>216</v>
      </c>
      <c r="D889" s="10" t="s">
        <v>217</v>
      </c>
      <c r="E889" s="10" t="s">
        <v>73</v>
      </c>
      <c r="F889" s="10" t="s">
        <v>74</v>
      </c>
      <c r="G889" s="10" t="s">
        <v>73</v>
      </c>
      <c r="H889" s="10" t="s">
        <v>223</v>
      </c>
      <c r="I889" s="10" t="s">
        <v>73</v>
      </c>
      <c r="K889" s="12" t="s">
        <v>73</v>
      </c>
      <c r="L889" s="10" t="s">
        <v>224</v>
      </c>
      <c r="M889" s="5" t="str">
        <f t="array" ref="M889">Y818</f>
        <v>1ХВС::1.1</v>
      </c>
      <c r="AB889" s="29" t="str">
        <f>AB888&amp;".1"</f>
        <v>3.1.1.1.5.1.2.1</v>
      </c>
      <c r="AC889" s="208" t="s">
        <v>218</v>
      </c>
      <c r="AD889" s="51" t="s">
        <v>119</v>
      </c>
      <c r="AE889" s="72"/>
      <c r="AF889" s="73"/>
      <c r="AG889" s="73"/>
      <c r="AH889" s="138"/>
      <c r="AI889" s="72"/>
      <c r="AJ889" s="73"/>
      <c r="AK889" s="73"/>
      <c r="AL889" s="138"/>
      <c r="AM889" s="72"/>
      <c r="AN889" s="73"/>
      <c r="AO889" s="73"/>
      <c r="AP889" s="138"/>
      <c r="AQ889" s="72"/>
      <c r="AR889" s="73"/>
      <c r="AS889" s="73"/>
      <c r="AT889" s="138"/>
      <c r="AU889" s="72"/>
      <c r="AV889" s="73"/>
      <c r="AW889" s="73"/>
      <c r="AX889" s="138"/>
      <c r="AY889" s="72"/>
      <c r="AZ889" s="73"/>
      <c r="BA889" s="73"/>
      <c r="BB889" s="138"/>
      <c r="BC889" s="72"/>
      <c r="BD889" s="73"/>
      <c r="BE889" s="73"/>
      <c r="BF889" s="138"/>
      <c r="BG889" s="72"/>
      <c r="BH889" s="73"/>
      <c r="BI889" s="73"/>
      <c r="BJ889" s="138"/>
      <c r="BK889" s="72"/>
      <c r="BL889" s="73"/>
      <c r="BM889" s="73"/>
      <c r="BN889" s="138"/>
      <c r="BO889" s="142"/>
      <c r="BP889" s="140"/>
      <c r="BQ889" s="140"/>
      <c r="BR889" s="141"/>
      <c r="BS889" s="142"/>
      <c r="BT889" s="140"/>
      <c r="BU889" s="140"/>
      <c r="BV889" s="143"/>
      <c r="BY889" s="125">
        <f t="shared" si="364"/>
        <v>0</v>
      </c>
      <c r="BZ889" s="126">
        <f t="shared" si="365"/>
        <v>0</v>
      </c>
      <c r="CA889" s="126">
        <f t="shared" si="366"/>
        <v>0</v>
      </c>
      <c r="CB889" s="127">
        <f t="shared" si="367"/>
        <v>0</v>
      </c>
    </row>
    <row r="890" spans="1:82" ht="14.25" hidden="1" customHeight="1" outlineLevel="4" x14ac:dyDescent="0.25">
      <c r="A890" s="5" t="b">
        <f t="array" ref="A890">A889</f>
        <v>1</v>
      </c>
      <c r="C890" s="79" t="s">
        <v>83</v>
      </c>
      <c r="D890" s="79" t="s">
        <v>84</v>
      </c>
      <c r="E890" s="79" t="s">
        <v>73</v>
      </c>
      <c r="F890" s="10" t="s">
        <v>74</v>
      </c>
      <c r="G890" s="79" t="s">
        <v>228</v>
      </c>
      <c r="H890" s="79" t="s">
        <v>73</v>
      </c>
      <c r="I890" s="79" t="s">
        <v>73</v>
      </c>
      <c r="J890" s="79"/>
      <c r="K890" s="213" t="s">
        <v>73</v>
      </c>
      <c r="L890" s="79" t="s">
        <v>192</v>
      </c>
      <c r="M890" s="5" t="str">
        <f t="array" ref="M890">Y818</f>
        <v>1ХВС::1.1</v>
      </c>
      <c r="AB890" s="65" t="str">
        <f>AB883&amp;".2"</f>
        <v>3.1.1.1.5.2</v>
      </c>
      <c r="AC890" s="177" t="s">
        <v>229</v>
      </c>
      <c r="AD890" s="51" t="s">
        <v>111</v>
      </c>
      <c r="AE890" s="72"/>
      <c r="AF890" s="73"/>
      <c r="AG890" s="73"/>
      <c r="AH890" s="138"/>
      <c r="AI890" s="72"/>
      <c r="AJ890" s="73"/>
      <c r="AK890" s="73"/>
      <c r="AL890" s="138"/>
      <c r="AM890" s="72"/>
      <c r="AN890" s="73"/>
      <c r="AO890" s="73"/>
      <c r="AP890" s="138"/>
      <c r="AQ890" s="72"/>
      <c r="AR890" s="73"/>
      <c r="AS890" s="73"/>
      <c r="AT890" s="138"/>
      <c r="AU890" s="72"/>
      <c r="AV890" s="73"/>
      <c r="AW890" s="73"/>
      <c r="AX890" s="138"/>
      <c r="AY890" s="72"/>
      <c r="AZ890" s="73"/>
      <c r="BA890" s="73"/>
      <c r="BB890" s="138"/>
      <c r="BC890" s="72"/>
      <c r="BD890" s="73"/>
      <c r="BE890" s="73"/>
      <c r="BF890" s="138"/>
      <c r="BG890" s="72"/>
      <c r="BH890" s="73"/>
      <c r="BI890" s="73"/>
      <c r="BJ890" s="138"/>
      <c r="BK890" s="72"/>
      <c r="BL890" s="73"/>
      <c r="BM890" s="73"/>
      <c r="BN890" s="138"/>
      <c r="BO890" s="142"/>
      <c r="BP890" s="140"/>
      <c r="BQ890" s="140"/>
      <c r="BR890" s="141"/>
      <c r="BS890" s="142"/>
      <c r="BT890" s="140"/>
      <c r="BU890" s="140"/>
      <c r="BV890" s="143"/>
      <c r="BY890" s="125">
        <f t="shared" si="364"/>
        <v>0</v>
      </c>
      <c r="BZ890" s="126">
        <f t="shared" si="365"/>
        <v>0</v>
      </c>
      <c r="CA890" s="126">
        <f t="shared" si="366"/>
        <v>0</v>
      </c>
      <c r="CB890" s="127">
        <f t="shared" si="367"/>
        <v>0</v>
      </c>
    </row>
    <row r="891" spans="1:82" s="214" customFormat="1" ht="21.75" customHeight="1" outlineLevel="4" x14ac:dyDescent="0.25">
      <c r="A891" s="5"/>
      <c r="B891" s="5"/>
      <c r="C891" s="10" t="s">
        <v>83</v>
      </c>
      <c r="D891" s="10" t="s">
        <v>84</v>
      </c>
      <c r="E891" s="10" t="s">
        <v>73</v>
      </c>
      <c r="F891" s="10" t="s">
        <v>74</v>
      </c>
      <c r="G891" s="10" t="s">
        <v>230</v>
      </c>
      <c r="H891" s="10" t="s">
        <v>73</v>
      </c>
      <c r="I891" s="10" t="s">
        <v>73</v>
      </c>
      <c r="J891" s="5"/>
      <c r="K891" s="12" t="s">
        <v>73</v>
      </c>
      <c r="L891" s="10" t="s">
        <v>192</v>
      </c>
      <c r="M891" s="5" t="str">
        <f t="array" ref="M891">Y818</f>
        <v>1ХВС::1.1</v>
      </c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65" t="str">
        <f>AB870&amp;".6"</f>
        <v>3.1.1.1.6</v>
      </c>
      <c r="AC891" s="174" t="s">
        <v>231</v>
      </c>
      <c r="AD891" s="51" t="s">
        <v>111</v>
      </c>
      <c r="AE891" s="72">
        <f t="shared" ref="AE891:AK891" si="368">AE892+AE893+AE894+AE895+AE896+AE897+AE898+AE932</f>
        <v>155965.28000000003</v>
      </c>
      <c r="AF891" s="73">
        <f t="shared" si="368"/>
        <v>76234.259999999995</v>
      </c>
      <c r="AG891" s="73">
        <f t="shared" si="368"/>
        <v>151429.53</v>
      </c>
      <c r="AH891" s="138">
        <f t="shared" si="368"/>
        <v>113493.98</v>
      </c>
      <c r="AI891" s="72">
        <f t="shared" si="368"/>
        <v>3575.3969999999995</v>
      </c>
      <c r="AJ891" s="73">
        <f t="shared" si="368"/>
        <v>1082.32</v>
      </c>
      <c r="AK891" s="73">
        <f t="shared" si="368"/>
        <v>6028.5269999999991</v>
      </c>
      <c r="AL891" s="138">
        <f t="shared" ref="AL891" si="369">AL892+AL893+AL894+AL895+AL896+AL897+AL898+AL932</f>
        <v>722.38999999999987</v>
      </c>
      <c r="AM891" s="72">
        <f t="shared" ref="AM891:BN891" si="370">AM892+AM893+AM894+AM895+AM896+AM897+AM898+AM932</f>
        <v>2763.4399999999996</v>
      </c>
      <c r="AN891" s="73">
        <f t="shared" si="370"/>
        <v>1956.08</v>
      </c>
      <c r="AO891" s="73">
        <f t="shared" si="370"/>
        <v>5177.08</v>
      </c>
      <c r="AP891" s="138">
        <f t="shared" si="370"/>
        <v>54.44</v>
      </c>
      <c r="AQ891" s="72">
        <f t="shared" si="370"/>
        <v>4264.1299999999992</v>
      </c>
      <c r="AR891" s="73">
        <f t="shared" si="370"/>
        <v>905.87399999999991</v>
      </c>
      <c r="AS891" s="73">
        <f t="shared" si="370"/>
        <v>6378.9800000000005</v>
      </c>
      <c r="AT891" s="138">
        <f t="shared" si="370"/>
        <v>154.316</v>
      </c>
      <c r="AU891" s="72">
        <f t="shared" si="370"/>
        <v>2379.5700000000002</v>
      </c>
      <c r="AV891" s="73">
        <f t="shared" si="370"/>
        <v>52.14</v>
      </c>
      <c r="AW891" s="73">
        <f t="shared" si="370"/>
        <v>4239.05</v>
      </c>
      <c r="AX891" s="138">
        <f t="shared" si="370"/>
        <v>182.88</v>
      </c>
      <c r="AY891" s="72">
        <f t="shared" si="370"/>
        <v>2685.2499999999995</v>
      </c>
      <c r="AZ891" s="73">
        <f t="shared" si="370"/>
        <v>0</v>
      </c>
      <c r="BA891" s="73">
        <f t="shared" si="370"/>
        <v>4781.8999999999996</v>
      </c>
      <c r="BB891" s="138">
        <f t="shared" si="370"/>
        <v>0</v>
      </c>
      <c r="BC891" s="72">
        <f t="shared" si="370"/>
        <v>8755.6820000000007</v>
      </c>
      <c r="BD891" s="73">
        <f t="shared" si="370"/>
        <v>0</v>
      </c>
      <c r="BE891" s="73">
        <f t="shared" si="370"/>
        <v>12230.085000000003</v>
      </c>
      <c r="BF891" s="138">
        <f t="shared" si="370"/>
        <v>413.76499999999999</v>
      </c>
      <c r="BG891" s="72">
        <f t="shared" si="370"/>
        <v>16706.826000000001</v>
      </c>
      <c r="BH891" s="73">
        <f t="shared" si="370"/>
        <v>4622.37</v>
      </c>
      <c r="BI891" s="73">
        <f t="shared" si="370"/>
        <v>16950.417000000001</v>
      </c>
      <c r="BJ891" s="138">
        <f t="shared" si="370"/>
        <v>4809.483537600001</v>
      </c>
      <c r="BK891" s="72">
        <f t="shared" si="370"/>
        <v>17489.150000000001</v>
      </c>
      <c r="BL891" s="73">
        <f t="shared" si="370"/>
        <v>471.46000000000004</v>
      </c>
      <c r="BM891" s="73">
        <f t="shared" si="370"/>
        <v>19861.810000000001</v>
      </c>
      <c r="BN891" s="138">
        <f t="shared" si="370"/>
        <v>388.47</v>
      </c>
      <c r="BO891" s="72">
        <f t="shared" ref="BO891:BU891" si="371">BO892+BO893+BO894+BO895+BO896+BO897+BO898+BO932</f>
        <v>5139.4880000000003</v>
      </c>
      <c r="BP891" s="73">
        <f t="shared" si="371"/>
        <v>940.88</v>
      </c>
      <c r="BQ891" s="73">
        <f>BQ892+BQ893+BQ894+BQ895+BQ896+BQ897+BQ898+BQ932</f>
        <v>6528.0550000000003</v>
      </c>
      <c r="BR891" s="138">
        <f>BR892+BR893+BR894+BR895+BR896+BR897+BR898+BR932</f>
        <v>100.655</v>
      </c>
      <c r="BS891" s="72">
        <f t="shared" si="371"/>
        <v>3290.0250000000001</v>
      </c>
      <c r="BT891" s="73">
        <f t="shared" si="371"/>
        <v>2461.46</v>
      </c>
      <c r="BU891" s="73">
        <f t="shared" si="371"/>
        <v>5308.23</v>
      </c>
      <c r="BV891" s="74">
        <f t="shared" ref="BV891" si="372">BV892+BV893+BV894+BV895+BV896+BV897+BV898+BV932</f>
        <v>286.86</v>
      </c>
      <c r="BW891" s="6"/>
      <c r="BX891" s="5"/>
      <c r="BY891" s="125">
        <f t="shared" si="364"/>
        <v>223014.23800000004</v>
      </c>
      <c r="BZ891" s="126">
        <f t="shared" si="365"/>
        <v>88726.844000000012</v>
      </c>
      <c r="CA891" s="126">
        <f t="shared" si="366"/>
        <v>238913.66399999996</v>
      </c>
      <c r="CB891" s="127">
        <f>AH891+AL891+AP891+AT891+AX891+BB891+BF891+BJ891+BN891+BR891+BV891</f>
        <v>120607.23953760001</v>
      </c>
      <c r="CC891" s="739"/>
      <c r="CD891" s="1026"/>
    </row>
    <row r="892" spans="1:82" ht="16.5" hidden="1" customHeight="1" outlineLevel="4" x14ac:dyDescent="0.25">
      <c r="C892" s="10" t="s">
        <v>83</v>
      </c>
      <c r="D892" s="10" t="s">
        <v>84</v>
      </c>
      <c r="E892" s="10" t="s">
        <v>73</v>
      </c>
      <c r="F892" s="10" t="s">
        <v>74</v>
      </c>
      <c r="G892" s="10" t="s">
        <v>232</v>
      </c>
      <c r="H892" s="10" t="s">
        <v>73</v>
      </c>
      <c r="I892" s="10" t="s">
        <v>73</v>
      </c>
      <c r="K892" s="12" t="s">
        <v>73</v>
      </c>
      <c r="L892" s="10" t="s">
        <v>192</v>
      </c>
      <c r="M892" s="5" t="str">
        <f t="array" ref="M892">Y818</f>
        <v>1ХВС::1.1</v>
      </c>
      <c r="AB892" s="29" t="str">
        <f>AB891&amp;".1"</f>
        <v>3.1.1.1.6.1</v>
      </c>
      <c r="AC892" s="177" t="s">
        <v>233</v>
      </c>
      <c r="AD892" s="51" t="s">
        <v>111</v>
      </c>
      <c r="AE892" s="95"/>
      <c r="AF892" s="178"/>
      <c r="AG892" s="178"/>
      <c r="AH892" s="181"/>
      <c r="AI892" s="95"/>
      <c r="AJ892" s="178"/>
      <c r="AK892" s="178"/>
      <c r="AL892" s="181"/>
      <c r="AM892" s="95"/>
      <c r="AN892" s="178"/>
      <c r="AO892" s="178"/>
      <c r="AP892" s="181"/>
      <c r="AQ892" s="95"/>
      <c r="AR892" s="178"/>
      <c r="AS892" s="178"/>
      <c r="AT892" s="181"/>
      <c r="AU892" s="95"/>
      <c r="AV892" s="178"/>
      <c r="AW892" s="178"/>
      <c r="AX892" s="181"/>
      <c r="AY892" s="95"/>
      <c r="AZ892" s="178"/>
      <c r="BA892" s="178"/>
      <c r="BB892" s="181"/>
      <c r="BC892" s="95"/>
      <c r="BD892" s="178"/>
      <c r="BE892" s="178"/>
      <c r="BF892" s="181"/>
      <c r="BG892" s="95"/>
      <c r="BH892" s="178"/>
      <c r="BI892" s="178"/>
      <c r="BJ892" s="181"/>
      <c r="BK892" s="95"/>
      <c r="BL892" s="178"/>
      <c r="BM892" s="178"/>
      <c r="BN892" s="181"/>
      <c r="BO892" s="185"/>
      <c r="BP892" s="183"/>
      <c r="BQ892" s="183"/>
      <c r="BR892" s="184"/>
      <c r="BS892" s="185"/>
      <c r="BT892" s="183"/>
      <c r="BU892" s="183"/>
      <c r="BV892" s="186"/>
      <c r="BY892" s="125">
        <f t="shared" si="364"/>
        <v>0</v>
      </c>
      <c r="BZ892" s="126">
        <f t="shared" si="365"/>
        <v>0</v>
      </c>
      <c r="CA892" s="126">
        <f t="shared" si="366"/>
        <v>0</v>
      </c>
      <c r="CB892" s="127">
        <f t="shared" si="367"/>
        <v>0</v>
      </c>
    </row>
    <row r="893" spans="1:82" ht="30.75" hidden="1" customHeight="1" outlineLevel="4" x14ac:dyDescent="0.25">
      <c r="C893" s="10" t="s">
        <v>83</v>
      </c>
      <c r="D893" s="10" t="s">
        <v>84</v>
      </c>
      <c r="E893" s="10" t="s">
        <v>73</v>
      </c>
      <c r="F893" s="10" t="s">
        <v>74</v>
      </c>
      <c r="G893" s="10" t="s">
        <v>234</v>
      </c>
      <c r="H893" s="10" t="s">
        <v>73</v>
      </c>
      <c r="I893" s="10" t="s">
        <v>73</v>
      </c>
      <c r="K893" s="12" t="s">
        <v>73</v>
      </c>
      <c r="L893" s="10" t="s">
        <v>192</v>
      </c>
      <c r="M893" s="5" t="str">
        <f t="array" ref="M893">Y818</f>
        <v>1ХВС::1.1</v>
      </c>
      <c r="AB893" s="29" t="str">
        <f>AB891&amp;".2"</f>
        <v>3.1.1.1.6.2</v>
      </c>
      <c r="AC893" s="177" t="s">
        <v>235</v>
      </c>
      <c r="AD893" s="51" t="s">
        <v>111</v>
      </c>
      <c r="AE893" s="95"/>
      <c r="AF893" s="178"/>
      <c r="AG893" s="178"/>
      <c r="AH893" s="181"/>
      <c r="AI893" s="95"/>
      <c r="AJ893" s="178"/>
      <c r="AK893" s="178"/>
      <c r="AL893" s="181"/>
      <c r="AM893" s="95"/>
      <c r="AN893" s="178"/>
      <c r="AO893" s="178"/>
      <c r="AP893" s="181"/>
      <c r="AQ893" s="95"/>
      <c r="AR893" s="178"/>
      <c r="AS893" s="178"/>
      <c r="AT893" s="181"/>
      <c r="AU893" s="95"/>
      <c r="AV893" s="178"/>
      <c r="AW893" s="178"/>
      <c r="AX893" s="181"/>
      <c r="AY893" s="95"/>
      <c r="AZ893" s="178"/>
      <c r="BA893" s="178"/>
      <c r="BB893" s="181"/>
      <c r="BC893" s="95"/>
      <c r="BD893" s="178"/>
      <c r="BE893" s="178"/>
      <c r="BF893" s="181"/>
      <c r="BG893" s="95"/>
      <c r="BH893" s="178"/>
      <c r="BI893" s="178"/>
      <c r="BJ893" s="181"/>
      <c r="BK893" s="95"/>
      <c r="BL893" s="178"/>
      <c r="BM893" s="178"/>
      <c r="BN893" s="181"/>
      <c r="BO893" s="185"/>
      <c r="BP893" s="183"/>
      <c r="BQ893" s="183"/>
      <c r="BR893" s="184"/>
      <c r="BS893" s="185"/>
      <c r="BT893" s="183"/>
      <c r="BU893" s="183"/>
      <c r="BV893" s="186"/>
      <c r="BY893" s="125">
        <f t="shared" si="364"/>
        <v>0</v>
      </c>
      <c r="BZ893" s="126">
        <f t="shared" si="365"/>
        <v>0</v>
      </c>
      <c r="CA893" s="126">
        <f t="shared" si="366"/>
        <v>0</v>
      </c>
      <c r="CB893" s="127">
        <f t="shared" si="367"/>
        <v>0</v>
      </c>
    </row>
    <row r="894" spans="1:82" s="211" customFormat="1" ht="30" hidden="1" customHeight="1" outlineLevel="4" x14ac:dyDescent="0.25">
      <c r="A894" s="6"/>
      <c r="B894" s="6"/>
      <c r="C894" s="116" t="s">
        <v>83</v>
      </c>
      <c r="D894" s="116" t="s">
        <v>84</v>
      </c>
      <c r="E894" s="116" t="s">
        <v>73</v>
      </c>
      <c r="F894" s="116" t="s">
        <v>74</v>
      </c>
      <c r="G894" s="116" t="s">
        <v>236</v>
      </c>
      <c r="H894" s="116" t="s">
        <v>73</v>
      </c>
      <c r="I894" s="116" t="s">
        <v>73</v>
      </c>
      <c r="J894" s="6"/>
      <c r="K894" s="209" t="s">
        <v>73</v>
      </c>
      <c r="L894" s="116" t="s">
        <v>192</v>
      </c>
      <c r="M894" s="6" t="str">
        <f t="array" ref="M894">Y818</f>
        <v>1ХВС::1.1</v>
      </c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29" t="str">
        <f>AB891&amp;".3"</f>
        <v>3.1.1.1.6.3</v>
      </c>
      <c r="AC894" s="177" t="s">
        <v>237</v>
      </c>
      <c r="AD894" s="51" t="s">
        <v>111</v>
      </c>
      <c r="AE894" s="95"/>
      <c r="AF894" s="178"/>
      <c r="AG894" s="178"/>
      <c r="AH894" s="181"/>
      <c r="AI894" s="95"/>
      <c r="AJ894" s="178"/>
      <c r="AK894" s="178"/>
      <c r="AL894" s="181"/>
      <c r="AM894" s="95"/>
      <c r="AN894" s="178"/>
      <c r="AO894" s="178"/>
      <c r="AP894" s="181"/>
      <c r="AQ894" s="95"/>
      <c r="AR894" s="178"/>
      <c r="AS894" s="178"/>
      <c r="AT894" s="181"/>
      <c r="AU894" s="95"/>
      <c r="AV894" s="178"/>
      <c r="AW894" s="178"/>
      <c r="AX894" s="181"/>
      <c r="AY894" s="95"/>
      <c r="AZ894" s="178"/>
      <c r="BA894" s="178"/>
      <c r="BB894" s="181"/>
      <c r="BC894" s="95"/>
      <c r="BD894" s="178"/>
      <c r="BE894" s="178"/>
      <c r="BF894" s="181"/>
      <c r="BG894" s="95"/>
      <c r="BH894" s="178"/>
      <c r="BI894" s="178"/>
      <c r="BJ894" s="181"/>
      <c r="BK894" s="95"/>
      <c r="BL894" s="178"/>
      <c r="BM894" s="178"/>
      <c r="BN894" s="181"/>
      <c r="BO894" s="185"/>
      <c r="BP894" s="183"/>
      <c r="BQ894" s="183"/>
      <c r="BR894" s="184"/>
      <c r="BS894" s="185"/>
      <c r="BT894" s="183"/>
      <c r="BU894" s="183"/>
      <c r="BV894" s="186"/>
      <c r="BW894" s="6"/>
      <c r="BX894" s="6"/>
      <c r="BY894" s="125">
        <f t="shared" si="364"/>
        <v>0</v>
      </c>
      <c r="BZ894" s="126">
        <f t="shared" si="365"/>
        <v>0</v>
      </c>
      <c r="CA894" s="126">
        <f t="shared" si="366"/>
        <v>0</v>
      </c>
      <c r="CB894" s="127">
        <f t="shared" si="367"/>
        <v>0</v>
      </c>
      <c r="CC894" s="766"/>
    </row>
    <row r="895" spans="1:82" s="211" customFormat="1" ht="5.25" hidden="1" customHeight="1" outlineLevel="4" x14ac:dyDescent="0.25">
      <c r="A895" s="6"/>
      <c r="B895" s="6"/>
      <c r="C895" s="116" t="s">
        <v>83</v>
      </c>
      <c r="D895" s="116" t="s">
        <v>84</v>
      </c>
      <c r="E895" s="116" t="s">
        <v>73</v>
      </c>
      <c r="F895" s="116" t="s">
        <v>74</v>
      </c>
      <c r="G895" s="116" t="s">
        <v>238</v>
      </c>
      <c r="H895" s="116" t="s">
        <v>73</v>
      </c>
      <c r="I895" s="116" t="s">
        <v>73</v>
      </c>
      <c r="J895" s="6"/>
      <c r="K895" s="209" t="s">
        <v>73</v>
      </c>
      <c r="L895" s="116" t="s">
        <v>192</v>
      </c>
      <c r="M895" s="6" t="str">
        <f t="array" ref="M895">Y818</f>
        <v>1ХВС::1.1</v>
      </c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5" t="str">
        <f>AB891&amp;".4"</f>
        <v>3.1.1.1.6.4</v>
      </c>
      <c r="AC895" s="177" t="s">
        <v>239</v>
      </c>
      <c r="AD895" s="51" t="s">
        <v>111</v>
      </c>
      <c r="AE895" s="95"/>
      <c r="AF895" s="178"/>
      <c r="AG895" s="178"/>
      <c r="AH895" s="181"/>
      <c r="AI895" s="95"/>
      <c r="AJ895" s="178"/>
      <c r="AK895" s="178"/>
      <c r="AL895" s="181"/>
      <c r="AM895" s="95"/>
      <c r="AN895" s="178"/>
      <c r="AO895" s="178"/>
      <c r="AP895" s="181"/>
      <c r="AQ895" s="95"/>
      <c r="AR895" s="178"/>
      <c r="AS895" s="178"/>
      <c r="AT895" s="181"/>
      <c r="AU895" s="95"/>
      <c r="AV895" s="178"/>
      <c r="AW895" s="178"/>
      <c r="AX895" s="181"/>
      <c r="AY895" s="95"/>
      <c r="AZ895" s="178"/>
      <c r="BA895" s="178"/>
      <c r="BB895" s="181"/>
      <c r="BC895" s="95"/>
      <c r="BD895" s="178"/>
      <c r="BE895" s="178"/>
      <c r="BF895" s="181"/>
      <c r="BG895" s="95"/>
      <c r="BH895" s="178"/>
      <c r="BI895" s="178"/>
      <c r="BJ895" s="181"/>
      <c r="BK895" s="95"/>
      <c r="BL895" s="178"/>
      <c r="BM895" s="178"/>
      <c r="BN895" s="181"/>
      <c r="BO895" s="185"/>
      <c r="BP895" s="183"/>
      <c r="BQ895" s="183"/>
      <c r="BR895" s="184"/>
      <c r="BS895" s="185"/>
      <c r="BT895" s="183"/>
      <c r="BU895" s="183"/>
      <c r="BV895" s="186"/>
      <c r="BW895" s="6"/>
      <c r="BX895" s="6"/>
      <c r="BY895" s="125">
        <f t="shared" si="364"/>
        <v>0</v>
      </c>
      <c r="BZ895" s="126">
        <f t="shared" si="365"/>
        <v>0</v>
      </c>
      <c r="CA895" s="126">
        <f t="shared" si="366"/>
        <v>0</v>
      </c>
      <c r="CB895" s="127">
        <f t="shared" si="367"/>
        <v>0</v>
      </c>
      <c r="CC895" s="766"/>
    </row>
    <row r="896" spans="1:82" ht="63.75" customHeight="1" outlineLevel="4" x14ac:dyDescent="0.25">
      <c r="C896" s="10" t="s">
        <v>83</v>
      </c>
      <c r="D896" s="10" t="s">
        <v>84</v>
      </c>
      <c r="E896" s="10" t="s">
        <v>73</v>
      </c>
      <c r="F896" s="10" t="s">
        <v>74</v>
      </c>
      <c r="G896" s="10" t="s">
        <v>240</v>
      </c>
      <c r="H896" s="10" t="s">
        <v>73</v>
      </c>
      <c r="I896" s="10" t="s">
        <v>73</v>
      </c>
      <c r="K896" s="12" t="s">
        <v>73</v>
      </c>
      <c r="L896" s="10" t="s">
        <v>192</v>
      </c>
      <c r="M896" s="5" t="str">
        <f t="array" ref="M896">Y818</f>
        <v>1ХВС::1.1</v>
      </c>
      <c r="AB896" s="65" t="str">
        <f>AB891&amp;".5"</f>
        <v>3.1.1.1.6.5</v>
      </c>
      <c r="AC896" s="177" t="s">
        <v>241</v>
      </c>
      <c r="AD896" s="51" t="s">
        <v>111</v>
      </c>
      <c r="AE896" s="95">
        <f t="shared" ref="AE896:AK896" si="373">AE170+AE536</f>
        <v>5643.7000000000007</v>
      </c>
      <c r="AF896" s="178">
        <f t="shared" si="373"/>
        <v>4115.6000000000004</v>
      </c>
      <c r="AG896" s="178">
        <f t="shared" si="373"/>
        <v>6209.8899999999994</v>
      </c>
      <c r="AH896" s="181">
        <f t="shared" si="373"/>
        <v>2770.66</v>
      </c>
      <c r="AI896" s="95">
        <f t="shared" si="373"/>
        <v>343.39</v>
      </c>
      <c r="AJ896" s="178">
        <f t="shared" si="373"/>
        <v>0</v>
      </c>
      <c r="AK896" s="178">
        <f t="shared" si="373"/>
        <v>407.55900000000003</v>
      </c>
      <c r="AL896" s="181">
        <f t="shared" ref="AL896" si="374">AL170+AL536</f>
        <v>0</v>
      </c>
      <c r="AM896" s="95">
        <f t="shared" ref="AM896:AW896" si="375">AM170+AM536</f>
        <v>0</v>
      </c>
      <c r="AN896" s="178">
        <f t="shared" si="375"/>
        <v>0</v>
      </c>
      <c r="AO896" s="178">
        <f t="shared" si="375"/>
        <v>66.650000000000006</v>
      </c>
      <c r="AP896" s="181">
        <f t="shared" ref="AP896" si="376">AP170+AP536</f>
        <v>54.44</v>
      </c>
      <c r="AQ896" s="95">
        <f t="shared" si="375"/>
        <v>0</v>
      </c>
      <c r="AR896" s="178">
        <f t="shared" si="375"/>
        <v>0</v>
      </c>
      <c r="AS896" s="178">
        <f t="shared" si="375"/>
        <v>275.40999999999997</v>
      </c>
      <c r="AT896" s="181">
        <f t="shared" ref="AT896" si="377">AT170+AT536</f>
        <v>0</v>
      </c>
      <c r="AU896" s="95">
        <f t="shared" si="375"/>
        <v>0</v>
      </c>
      <c r="AV896" s="178">
        <f t="shared" si="375"/>
        <v>50.42</v>
      </c>
      <c r="AW896" s="178">
        <f t="shared" si="375"/>
        <v>0</v>
      </c>
      <c r="AX896" s="181">
        <f t="shared" ref="AX896" si="378">AX170+AX536</f>
        <v>0</v>
      </c>
      <c r="AY896" s="95">
        <f t="shared" ref="AY896:BN896" si="379">AY170+AY536</f>
        <v>0</v>
      </c>
      <c r="AZ896" s="178">
        <f t="shared" si="379"/>
        <v>0</v>
      </c>
      <c r="BA896" s="178">
        <f t="shared" si="379"/>
        <v>13.23</v>
      </c>
      <c r="BB896" s="181">
        <f t="shared" si="379"/>
        <v>0</v>
      </c>
      <c r="BC896" s="95">
        <f t="shared" si="379"/>
        <v>0</v>
      </c>
      <c r="BD896" s="178">
        <f t="shared" si="379"/>
        <v>0</v>
      </c>
      <c r="BE896" s="178">
        <f t="shared" si="379"/>
        <v>0</v>
      </c>
      <c r="BF896" s="181">
        <f t="shared" si="379"/>
        <v>0</v>
      </c>
      <c r="BG896" s="95">
        <f t="shared" si="379"/>
        <v>71.260000000000005</v>
      </c>
      <c r="BH896" s="178">
        <f t="shared" si="379"/>
        <v>0</v>
      </c>
      <c r="BI896" s="178">
        <f t="shared" si="379"/>
        <v>78.400000000000006</v>
      </c>
      <c r="BJ896" s="181">
        <f t="shared" si="379"/>
        <v>0</v>
      </c>
      <c r="BK896" s="95">
        <f t="shared" si="379"/>
        <v>481.68</v>
      </c>
      <c r="BL896" s="178">
        <f t="shared" si="379"/>
        <v>358.53000000000003</v>
      </c>
      <c r="BM896" s="178">
        <f t="shared" si="379"/>
        <v>465.95</v>
      </c>
      <c r="BN896" s="181">
        <f t="shared" si="379"/>
        <v>340.24</v>
      </c>
      <c r="BO896" s="95">
        <f t="shared" ref="BO896:BU896" si="380">BO170+BO536</f>
        <v>0</v>
      </c>
      <c r="BP896" s="178">
        <f t="shared" si="380"/>
        <v>0</v>
      </c>
      <c r="BQ896" s="178">
        <f t="shared" si="380"/>
        <v>0</v>
      </c>
      <c r="BR896" s="181">
        <f t="shared" ref="BR896" si="381">BR170+BR536</f>
        <v>0</v>
      </c>
      <c r="BS896" s="95">
        <f t="shared" si="380"/>
        <v>255.60499999999999</v>
      </c>
      <c r="BT896" s="178">
        <f t="shared" si="380"/>
        <v>51.58</v>
      </c>
      <c r="BU896" s="178">
        <f t="shared" si="380"/>
        <v>359.27</v>
      </c>
      <c r="BV896" s="96">
        <f t="shared" ref="BV896" si="382">BV170+BV536</f>
        <v>0</v>
      </c>
      <c r="BY896" s="125">
        <f t="shared" si="364"/>
        <v>6795.6350000000011</v>
      </c>
      <c r="BZ896" s="126">
        <f t="shared" si="365"/>
        <v>4576.13</v>
      </c>
      <c r="CA896" s="126">
        <f t="shared" si="366"/>
        <v>7876.3589999999986</v>
      </c>
      <c r="CB896" s="127">
        <f t="shared" si="366"/>
        <v>3165.34</v>
      </c>
      <c r="CD896" s="1025"/>
    </row>
    <row r="897" spans="1:83" ht="0.75" hidden="1" customHeight="1" outlineLevel="4" x14ac:dyDescent="0.25">
      <c r="C897" s="10" t="s">
        <v>83</v>
      </c>
      <c r="D897" s="10" t="s">
        <v>84</v>
      </c>
      <c r="E897" s="10" t="s">
        <v>73</v>
      </c>
      <c r="F897" s="10" t="s">
        <v>74</v>
      </c>
      <c r="G897" s="10" t="s">
        <v>242</v>
      </c>
      <c r="H897" s="10" t="s">
        <v>73</v>
      </c>
      <c r="I897" s="10" t="s">
        <v>73</v>
      </c>
      <c r="K897" s="12" t="s">
        <v>73</v>
      </c>
      <c r="L897" s="10" t="s">
        <v>192</v>
      </c>
      <c r="M897" s="5" t="str">
        <f t="array" ref="M897">Y818</f>
        <v>1ХВС::1.1</v>
      </c>
      <c r="AB897" s="65" t="str">
        <f>AB891&amp;".6"</f>
        <v>3.1.1.1.6.6</v>
      </c>
      <c r="AC897" s="177" t="s">
        <v>243</v>
      </c>
      <c r="AD897" s="51" t="s">
        <v>111</v>
      </c>
      <c r="AE897" s="95"/>
      <c r="AF897" s="178"/>
      <c r="AG897" s="178"/>
      <c r="AH897" s="181"/>
      <c r="AI897" s="95"/>
      <c r="AJ897" s="178"/>
      <c r="AK897" s="178"/>
      <c r="AL897" s="181"/>
      <c r="AM897" s="95"/>
      <c r="AN897" s="178"/>
      <c r="AO897" s="178"/>
      <c r="AP897" s="181"/>
      <c r="AQ897" s="95"/>
      <c r="AR897" s="178"/>
      <c r="AS897" s="178"/>
      <c r="AT897" s="181"/>
      <c r="AU897" s="95"/>
      <c r="AV897" s="178"/>
      <c r="AW897" s="178"/>
      <c r="AX897" s="181"/>
      <c r="AY897" s="95"/>
      <c r="AZ897" s="178"/>
      <c r="BA897" s="178"/>
      <c r="BB897" s="181"/>
      <c r="BC897" s="95"/>
      <c r="BD897" s="178"/>
      <c r="BE897" s="178"/>
      <c r="BF897" s="181"/>
      <c r="BG897" s="95"/>
      <c r="BH897" s="178"/>
      <c r="BI897" s="178"/>
      <c r="BJ897" s="181"/>
      <c r="BK897" s="95"/>
      <c r="BL897" s="178"/>
      <c r="BM897" s="178"/>
      <c r="BN897" s="181"/>
      <c r="BO897" s="185"/>
      <c r="BP897" s="183"/>
      <c r="BQ897" s="183"/>
      <c r="BR897" s="184"/>
      <c r="BS897" s="185"/>
      <c r="BT897" s="183"/>
      <c r="BU897" s="183"/>
      <c r="BV897" s="186"/>
      <c r="BY897" s="125">
        <f t="shared" si="364"/>
        <v>0</v>
      </c>
      <c r="BZ897" s="126">
        <f t="shared" si="365"/>
        <v>0</v>
      </c>
      <c r="CA897" s="126">
        <f t="shared" si="366"/>
        <v>0</v>
      </c>
      <c r="CB897" s="127">
        <f t="shared" si="366"/>
        <v>0</v>
      </c>
    </row>
    <row r="898" spans="1:83" s="214" customFormat="1" ht="15.75" customHeight="1" outlineLevel="4" x14ac:dyDescent="0.25">
      <c r="A898" s="5"/>
      <c r="B898" s="5"/>
      <c r="C898" s="10" t="s">
        <v>83</v>
      </c>
      <c r="D898" s="10" t="s">
        <v>84</v>
      </c>
      <c r="E898" s="10" t="s">
        <v>73</v>
      </c>
      <c r="F898" s="10" t="s">
        <v>74</v>
      </c>
      <c r="G898" s="10" t="s">
        <v>244</v>
      </c>
      <c r="H898" s="10" t="s">
        <v>73</v>
      </c>
      <c r="I898" s="10" t="s">
        <v>73</v>
      </c>
      <c r="J898" s="5"/>
      <c r="K898" s="12" t="s">
        <v>73</v>
      </c>
      <c r="L898" s="10" t="s">
        <v>192</v>
      </c>
      <c r="M898" s="5" t="str">
        <f t="array" ref="M898">Y818</f>
        <v>1ХВС::1.1</v>
      </c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65" t="str">
        <f>AB891&amp;".7"</f>
        <v>3.1.1.1.6.7</v>
      </c>
      <c r="AC898" s="177" t="s">
        <v>245</v>
      </c>
      <c r="AD898" s="51" t="s">
        <v>111</v>
      </c>
      <c r="AE898" s="72">
        <f t="shared" ref="AE898:AL898" si="383">SUM(AE899:AE931)</f>
        <v>35732.799999999996</v>
      </c>
      <c r="AF898" s="73">
        <f t="shared" si="383"/>
        <v>20499.549999999996</v>
      </c>
      <c r="AG898" s="73">
        <f t="shared" si="383"/>
        <v>34937.530000000006</v>
      </c>
      <c r="AH898" s="138">
        <f t="shared" si="383"/>
        <v>0</v>
      </c>
      <c r="AI898" s="72">
        <f t="shared" si="383"/>
        <v>0</v>
      </c>
      <c r="AJ898" s="73">
        <f t="shared" si="383"/>
        <v>0</v>
      </c>
      <c r="AK898" s="73">
        <f t="shared" si="383"/>
        <v>63.940000000000005</v>
      </c>
      <c r="AL898" s="138">
        <f t="shared" si="383"/>
        <v>0</v>
      </c>
      <c r="AM898" s="72">
        <f>SUM(AM899:AM931)</f>
        <v>0</v>
      </c>
      <c r="AN898" s="73">
        <f>SUM(AN899:AN931)</f>
        <v>0</v>
      </c>
      <c r="AO898" s="73">
        <f>SUM(AO899:AO931)</f>
        <v>0</v>
      </c>
      <c r="AP898" s="138">
        <f>SUM(AP899:AP931)</f>
        <v>0</v>
      </c>
      <c r="AQ898" s="72">
        <f t="shared" ref="AQ898:AW898" si="384">SUM(AQ899:AQ931)</f>
        <v>0</v>
      </c>
      <c r="AR898" s="73">
        <f t="shared" si="384"/>
        <v>0</v>
      </c>
      <c r="AS898" s="73">
        <f t="shared" si="384"/>
        <v>0</v>
      </c>
      <c r="AT898" s="138">
        <f t="shared" si="384"/>
        <v>0</v>
      </c>
      <c r="AU898" s="72">
        <f t="shared" si="384"/>
        <v>0</v>
      </c>
      <c r="AV898" s="73">
        <f t="shared" si="384"/>
        <v>0</v>
      </c>
      <c r="AW898" s="73">
        <f t="shared" si="384"/>
        <v>0</v>
      </c>
      <c r="AX898" s="138">
        <f t="shared" ref="AX898" si="385">SUM(AX899:AX931)</f>
        <v>0</v>
      </c>
      <c r="AY898" s="72">
        <f>SUM(AY899:AY931)</f>
        <v>0</v>
      </c>
      <c r="AZ898" s="73">
        <f>SUM(AZ899:AZ931)</f>
        <v>0</v>
      </c>
      <c r="BA898" s="73">
        <f>SUM(BA899:BA931)</f>
        <v>0</v>
      </c>
      <c r="BB898" s="138">
        <f>SUM(BB899:BB931)</f>
        <v>0</v>
      </c>
      <c r="BC898" s="72">
        <f t="shared" ref="BC898:BN898" si="386">SUM(BC899:BC931)</f>
        <v>0</v>
      </c>
      <c r="BD898" s="73">
        <f t="shared" si="386"/>
        <v>0</v>
      </c>
      <c r="BE898" s="73">
        <f t="shared" si="386"/>
        <v>0</v>
      </c>
      <c r="BF898" s="138">
        <f t="shared" ref="BF898" si="387">SUM(BF899:BF931)</f>
        <v>0</v>
      </c>
      <c r="BG898" s="72">
        <f t="shared" si="386"/>
        <v>0</v>
      </c>
      <c r="BH898" s="73">
        <f t="shared" si="386"/>
        <v>2398.59</v>
      </c>
      <c r="BI898" s="73">
        <f t="shared" si="386"/>
        <v>0</v>
      </c>
      <c r="BJ898" s="138">
        <f t="shared" ref="BJ898" si="388">SUM(BJ899:BJ931)</f>
        <v>2495.6849232000004</v>
      </c>
      <c r="BK898" s="72">
        <f t="shared" si="386"/>
        <v>0</v>
      </c>
      <c r="BL898" s="73">
        <f t="shared" si="386"/>
        <v>0</v>
      </c>
      <c r="BM898" s="73">
        <f t="shared" si="386"/>
        <v>0</v>
      </c>
      <c r="BN898" s="138">
        <f t="shared" si="386"/>
        <v>48.23</v>
      </c>
      <c r="BO898" s="72">
        <f t="shared" ref="BO898:BV898" si="389">SUM(BO899:BO931)</f>
        <v>0</v>
      </c>
      <c r="BP898" s="73">
        <f t="shared" si="389"/>
        <v>0</v>
      </c>
      <c r="BQ898" s="73">
        <f t="shared" si="389"/>
        <v>0</v>
      </c>
      <c r="BR898" s="138">
        <f t="shared" si="389"/>
        <v>0</v>
      </c>
      <c r="BS898" s="72">
        <f t="shared" si="389"/>
        <v>0</v>
      </c>
      <c r="BT898" s="73">
        <f t="shared" si="389"/>
        <v>0</v>
      </c>
      <c r="BU898" s="73">
        <f t="shared" si="389"/>
        <v>0</v>
      </c>
      <c r="BV898" s="74">
        <f t="shared" si="389"/>
        <v>0</v>
      </c>
      <c r="BW898" s="6"/>
      <c r="BX898" s="5"/>
      <c r="BY898" s="125">
        <f t="shared" si="364"/>
        <v>35732.799999999996</v>
      </c>
      <c r="BZ898" s="126">
        <f t="shared" si="365"/>
        <v>22898.139999999996</v>
      </c>
      <c r="CA898" s="126">
        <f t="shared" si="366"/>
        <v>35001.470000000008</v>
      </c>
      <c r="CB898" s="127">
        <f t="shared" si="366"/>
        <v>2543.9149232000004</v>
      </c>
      <c r="CC898" s="739"/>
    </row>
    <row r="899" spans="1:83" s="230" customFormat="1" ht="15.75" customHeight="1" outlineLevel="5" x14ac:dyDescent="0.25">
      <c r="A899" s="215"/>
      <c r="B899" s="215"/>
      <c r="C899" s="216"/>
      <c r="D899" s="216"/>
      <c r="E899" s="216"/>
      <c r="F899" s="216"/>
      <c r="G899" s="216"/>
      <c r="H899" s="216"/>
      <c r="I899" s="216"/>
      <c r="J899" s="215"/>
      <c r="K899" s="217"/>
      <c r="L899" s="216"/>
      <c r="M899" s="215"/>
      <c r="N899" s="215"/>
      <c r="O899" s="215"/>
      <c r="P899" s="215"/>
      <c r="Q899" s="215"/>
      <c r="R899" s="215"/>
      <c r="S899" s="215"/>
      <c r="T899" s="215"/>
      <c r="U899" s="215"/>
      <c r="V899" s="215"/>
      <c r="W899" s="215"/>
      <c r="X899" s="215"/>
      <c r="Y899" s="215"/>
      <c r="Z899" s="215"/>
      <c r="AA899" s="215"/>
      <c r="AB899" s="218"/>
      <c r="AC899" s="219" t="s">
        <v>246</v>
      </c>
      <c r="AD899" s="220" t="s">
        <v>247</v>
      </c>
      <c r="AE899" s="221">
        <f>AE173+AE546</f>
        <v>788.42</v>
      </c>
      <c r="AF899" s="222">
        <f>AF173+AF546</f>
        <v>349.15</v>
      </c>
      <c r="AG899" s="222">
        <f>AG173+AG546+0.01</f>
        <v>542.53</v>
      </c>
      <c r="AH899" s="767">
        <f>AH173+AH546+0.01</f>
        <v>0.01</v>
      </c>
      <c r="AI899" s="221">
        <f t="shared" ref="AI899:AP899" si="390">AI173+AI546</f>
        <v>0</v>
      </c>
      <c r="AJ899" s="222">
        <f t="shared" si="390"/>
        <v>0</v>
      </c>
      <c r="AK899" s="222">
        <f t="shared" si="390"/>
        <v>0</v>
      </c>
      <c r="AL899" s="767">
        <f t="shared" si="390"/>
        <v>0</v>
      </c>
      <c r="AM899" s="221">
        <f t="shared" si="390"/>
        <v>0</v>
      </c>
      <c r="AN899" s="222">
        <f t="shared" si="390"/>
        <v>0</v>
      </c>
      <c r="AO899" s="222">
        <f t="shared" si="390"/>
        <v>0</v>
      </c>
      <c r="AP899" s="767">
        <f t="shared" si="390"/>
        <v>0</v>
      </c>
      <c r="AQ899" s="221">
        <f t="shared" ref="AQ899:AW899" si="391">AQ173+AQ546</f>
        <v>0</v>
      </c>
      <c r="AR899" s="222">
        <f t="shared" si="391"/>
        <v>0</v>
      </c>
      <c r="AS899" s="222">
        <f t="shared" si="391"/>
        <v>0</v>
      </c>
      <c r="AT899" s="767">
        <f t="shared" si="391"/>
        <v>0</v>
      </c>
      <c r="AU899" s="221">
        <f t="shared" si="391"/>
        <v>0</v>
      </c>
      <c r="AV899" s="222">
        <f t="shared" si="391"/>
        <v>0</v>
      </c>
      <c r="AW899" s="222">
        <f t="shared" si="391"/>
        <v>0</v>
      </c>
      <c r="AX899" s="767">
        <f t="shared" ref="AX899" si="392">AX173+AX546</f>
        <v>0</v>
      </c>
      <c r="AY899" s="221">
        <f t="shared" ref="AY899:BN899" si="393">AY173+AY546</f>
        <v>0</v>
      </c>
      <c r="AZ899" s="222">
        <f t="shared" si="393"/>
        <v>0</v>
      </c>
      <c r="BA899" s="222">
        <f t="shared" si="393"/>
        <v>0</v>
      </c>
      <c r="BB899" s="767">
        <f t="shared" si="393"/>
        <v>0</v>
      </c>
      <c r="BC899" s="221">
        <f t="shared" si="393"/>
        <v>0</v>
      </c>
      <c r="BD899" s="222">
        <f t="shared" si="393"/>
        <v>0</v>
      </c>
      <c r="BE899" s="222">
        <f t="shared" si="393"/>
        <v>0</v>
      </c>
      <c r="BF899" s="767">
        <f t="shared" si="393"/>
        <v>0</v>
      </c>
      <c r="BG899" s="221">
        <f t="shared" si="393"/>
        <v>0</v>
      </c>
      <c r="BH899" s="222">
        <f t="shared" si="393"/>
        <v>0</v>
      </c>
      <c r="BI899" s="222">
        <f t="shared" si="393"/>
        <v>0</v>
      </c>
      <c r="BJ899" s="767">
        <f t="shared" si="393"/>
        <v>0</v>
      </c>
      <c r="BK899" s="221">
        <f t="shared" si="393"/>
        <v>0</v>
      </c>
      <c r="BL899" s="222">
        <f t="shared" si="393"/>
        <v>0</v>
      </c>
      <c r="BM899" s="222">
        <f t="shared" si="393"/>
        <v>0</v>
      </c>
      <c r="BN899" s="767">
        <f t="shared" si="393"/>
        <v>0</v>
      </c>
      <c r="BO899" s="221">
        <f t="shared" ref="BO899:BV899" si="394">BO173+BO546</f>
        <v>0</v>
      </c>
      <c r="BP899" s="222">
        <f t="shared" si="394"/>
        <v>0</v>
      </c>
      <c r="BQ899" s="222">
        <f t="shared" si="394"/>
        <v>0</v>
      </c>
      <c r="BR899" s="767">
        <f t="shared" si="394"/>
        <v>0</v>
      </c>
      <c r="BS899" s="221">
        <f t="shared" si="394"/>
        <v>0</v>
      </c>
      <c r="BT899" s="222">
        <f t="shared" si="394"/>
        <v>0</v>
      </c>
      <c r="BU899" s="222">
        <f t="shared" si="394"/>
        <v>0</v>
      </c>
      <c r="BV899" s="223">
        <f t="shared" si="394"/>
        <v>0</v>
      </c>
      <c r="BW899" s="229"/>
      <c r="BX899" s="215"/>
      <c r="BY899" s="125">
        <f t="shared" si="364"/>
        <v>788.42</v>
      </c>
      <c r="BZ899" s="126">
        <f t="shared" si="365"/>
        <v>349.15</v>
      </c>
      <c r="CA899" s="126">
        <f t="shared" ref="CA899:CA921" si="395">AG899+AK899+AO899+AS899+AW899+BA899+BE899+BI899+BM899+BQ899+BU899</f>
        <v>542.53</v>
      </c>
      <c r="CB899" s="127">
        <f t="shared" ref="CB899:CB921" si="396">AH899+AL899+AP899+AT899+AX899+BB899+BF899+BJ899+BN899+BR899+BV899</f>
        <v>0.01</v>
      </c>
      <c r="CC899" s="768"/>
      <c r="CE899" s="1041"/>
    </row>
    <row r="900" spans="1:83" s="230" customFormat="1" ht="15.75" customHeight="1" outlineLevel="5" x14ac:dyDescent="0.25">
      <c r="A900" s="215"/>
      <c r="B900" s="215"/>
      <c r="C900" s="216"/>
      <c r="D900" s="216"/>
      <c r="E900" s="216"/>
      <c r="F900" s="216"/>
      <c r="G900" s="216"/>
      <c r="H900" s="216"/>
      <c r="I900" s="216"/>
      <c r="J900" s="215"/>
      <c r="K900" s="217"/>
      <c r="L900" s="216"/>
      <c r="M900" s="215"/>
      <c r="N900" s="215"/>
      <c r="O900" s="215"/>
      <c r="P900" s="215"/>
      <c r="Q900" s="215"/>
      <c r="R900" s="215"/>
      <c r="S900" s="215"/>
      <c r="T900" s="215"/>
      <c r="U900" s="215"/>
      <c r="V900" s="215"/>
      <c r="W900" s="215"/>
      <c r="X900" s="215"/>
      <c r="Y900" s="215"/>
      <c r="Z900" s="215"/>
      <c r="AA900" s="215"/>
      <c r="AB900" s="218"/>
      <c r="AC900" s="219" t="s">
        <v>248</v>
      </c>
      <c r="AD900" s="220" t="s">
        <v>247</v>
      </c>
      <c r="AE900" s="221">
        <f t="shared" ref="AE900:AK900" si="397">AE174</f>
        <v>576.55999999999995</v>
      </c>
      <c r="AF900" s="222">
        <f t="shared" si="397"/>
        <v>576.55999999999995</v>
      </c>
      <c r="AG900" s="222">
        <f t="shared" si="397"/>
        <v>576.55999999999995</v>
      </c>
      <c r="AH900" s="767">
        <f t="shared" ref="AH900" si="398">AH174</f>
        <v>0</v>
      </c>
      <c r="AI900" s="221">
        <f t="shared" si="397"/>
        <v>0</v>
      </c>
      <c r="AJ900" s="222">
        <f t="shared" si="397"/>
        <v>0</v>
      </c>
      <c r="AK900" s="222">
        <f t="shared" si="397"/>
        <v>0</v>
      </c>
      <c r="AL900" s="767">
        <f t="shared" ref="AL900" si="399">AL174</f>
        <v>0</v>
      </c>
      <c r="AM900" s="221">
        <f>AM174</f>
        <v>0</v>
      </c>
      <c r="AN900" s="222">
        <f>AN174</f>
        <v>0</v>
      </c>
      <c r="AO900" s="222">
        <f>AO174</f>
        <v>0</v>
      </c>
      <c r="AP900" s="767">
        <f>AP174</f>
        <v>0</v>
      </c>
      <c r="AQ900" s="221">
        <f t="shared" ref="AQ900:AW900" si="400">AQ174</f>
        <v>0</v>
      </c>
      <c r="AR900" s="222">
        <f t="shared" si="400"/>
        <v>0</v>
      </c>
      <c r="AS900" s="222">
        <f t="shared" si="400"/>
        <v>0</v>
      </c>
      <c r="AT900" s="767">
        <f t="shared" si="400"/>
        <v>0</v>
      </c>
      <c r="AU900" s="221">
        <f t="shared" si="400"/>
        <v>0</v>
      </c>
      <c r="AV900" s="222">
        <f t="shared" si="400"/>
        <v>0</v>
      </c>
      <c r="AW900" s="222">
        <f t="shared" si="400"/>
        <v>0</v>
      </c>
      <c r="AX900" s="767">
        <f t="shared" ref="AX900" si="401">AX174</f>
        <v>0</v>
      </c>
      <c r="AY900" s="221">
        <f t="shared" ref="AY900:BN900" si="402">AY174</f>
        <v>0</v>
      </c>
      <c r="AZ900" s="222">
        <f t="shared" si="402"/>
        <v>0</v>
      </c>
      <c r="BA900" s="222">
        <f t="shared" si="402"/>
        <v>0</v>
      </c>
      <c r="BB900" s="767">
        <f t="shared" si="402"/>
        <v>0</v>
      </c>
      <c r="BC900" s="221">
        <f t="shared" si="402"/>
        <v>0</v>
      </c>
      <c r="BD900" s="222">
        <f t="shared" si="402"/>
        <v>0</v>
      </c>
      <c r="BE900" s="222">
        <f t="shared" si="402"/>
        <v>0</v>
      </c>
      <c r="BF900" s="767">
        <f t="shared" si="402"/>
        <v>0</v>
      </c>
      <c r="BG900" s="221">
        <f t="shared" si="402"/>
        <v>0</v>
      </c>
      <c r="BH900" s="222">
        <f t="shared" si="402"/>
        <v>0</v>
      </c>
      <c r="BI900" s="222">
        <f t="shared" si="402"/>
        <v>0</v>
      </c>
      <c r="BJ900" s="767">
        <f t="shared" si="402"/>
        <v>0</v>
      </c>
      <c r="BK900" s="221">
        <f t="shared" si="402"/>
        <v>0</v>
      </c>
      <c r="BL900" s="222">
        <f t="shared" si="402"/>
        <v>0</v>
      </c>
      <c r="BM900" s="222">
        <f t="shared" si="402"/>
        <v>0</v>
      </c>
      <c r="BN900" s="767">
        <f t="shared" si="402"/>
        <v>0</v>
      </c>
      <c r="BO900" s="221">
        <f t="shared" ref="BO900:BV900" si="403">BO174</f>
        <v>0</v>
      </c>
      <c r="BP900" s="222">
        <f t="shared" si="403"/>
        <v>0</v>
      </c>
      <c r="BQ900" s="222">
        <f t="shared" si="403"/>
        <v>0</v>
      </c>
      <c r="BR900" s="767">
        <f t="shared" si="403"/>
        <v>0</v>
      </c>
      <c r="BS900" s="221">
        <f t="shared" si="403"/>
        <v>0</v>
      </c>
      <c r="BT900" s="222">
        <f t="shared" si="403"/>
        <v>0</v>
      </c>
      <c r="BU900" s="222">
        <f t="shared" si="403"/>
        <v>0</v>
      </c>
      <c r="BV900" s="223">
        <f t="shared" si="403"/>
        <v>0</v>
      </c>
      <c r="BW900" s="229"/>
      <c r="BX900" s="215"/>
      <c r="BY900" s="125">
        <f t="shared" si="364"/>
        <v>576.55999999999995</v>
      </c>
      <c r="BZ900" s="126">
        <f t="shared" si="365"/>
        <v>576.55999999999995</v>
      </c>
      <c r="CA900" s="126">
        <f t="shared" si="395"/>
        <v>576.55999999999995</v>
      </c>
      <c r="CB900" s="127">
        <f t="shared" si="396"/>
        <v>0</v>
      </c>
      <c r="CC900" s="768"/>
    </row>
    <row r="901" spans="1:83" s="230" customFormat="1" ht="15.75" customHeight="1" outlineLevel="5" x14ac:dyDescent="0.25">
      <c r="A901" s="215"/>
      <c r="B901" s="215"/>
      <c r="C901" s="216"/>
      <c r="D901" s="216"/>
      <c r="E901" s="216"/>
      <c r="F901" s="216"/>
      <c r="G901" s="216"/>
      <c r="H901" s="216"/>
      <c r="I901" s="216"/>
      <c r="J901" s="215"/>
      <c r="K901" s="217"/>
      <c r="L901" s="216"/>
      <c r="M901" s="215"/>
      <c r="N901" s="215"/>
      <c r="O901" s="215"/>
      <c r="P901" s="215"/>
      <c r="Q901" s="215"/>
      <c r="R901" s="215"/>
      <c r="S901" s="215"/>
      <c r="T901" s="215"/>
      <c r="U901" s="215"/>
      <c r="V901" s="215"/>
      <c r="W901" s="215"/>
      <c r="X901" s="215"/>
      <c r="Y901" s="215"/>
      <c r="Z901" s="215"/>
      <c r="AA901" s="215"/>
      <c r="AB901" s="218"/>
      <c r="AC901" s="219" t="s">
        <v>249</v>
      </c>
      <c r="AD901" s="220" t="s">
        <v>247</v>
      </c>
      <c r="AE901" s="221">
        <f t="shared" ref="AE901:AK901" si="404">AE175+AE548</f>
        <v>9275.1200000000008</v>
      </c>
      <c r="AF901" s="222">
        <f t="shared" si="404"/>
        <v>3034.59</v>
      </c>
      <c r="AG901" s="222">
        <f t="shared" si="404"/>
        <v>9971.83</v>
      </c>
      <c r="AH901" s="767">
        <f t="shared" ref="AH901" si="405">AH175+AH548</f>
        <v>0</v>
      </c>
      <c r="AI901" s="221">
        <f t="shared" si="404"/>
        <v>0</v>
      </c>
      <c r="AJ901" s="222">
        <f t="shared" si="404"/>
        <v>0</v>
      </c>
      <c r="AK901" s="222">
        <f t="shared" si="404"/>
        <v>0</v>
      </c>
      <c r="AL901" s="767">
        <f t="shared" ref="AL901" si="406">AL175+AL548</f>
        <v>0</v>
      </c>
      <c r="AM901" s="221">
        <f>AM175+AM548</f>
        <v>0</v>
      </c>
      <c r="AN901" s="222">
        <f>AN175+AN548</f>
        <v>0</v>
      </c>
      <c r="AO901" s="222">
        <f>AO175+AO548</f>
        <v>0</v>
      </c>
      <c r="AP901" s="767">
        <f>AP175+AP548</f>
        <v>0</v>
      </c>
      <c r="AQ901" s="221">
        <f t="shared" ref="AQ901:AW901" si="407">AQ175+AQ548</f>
        <v>0</v>
      </c>
      <c r="AR901" s="222">
        <f t="shared" si="407"/>
        <v>0</v>
      </c>
      <c r="AS901" s="222">
        <f t="shared" si="407"/>
        <v>0</v>
      </c>
      <c r="AT901" s="767">
        <f t="shared" si="407"/>
        <v>0</v>
      </c>
      <c r="AU901" s="221">
        <f t="shared" si="407"/>
        <v>0</v>
      </c>
      <c r="AV901" s="222">
        <f t="shared" si="407"/>
        <v>0</v>
      </c>
      <c r="AW901" s="222">
        <f t="shared" si="407"/>
        <v>0</v>
      </c>
      <c r="AX901" s="767">
        <f t="shared" ref="AX901" si="408">AX175+AX548</f>
        <v>0</v>
      </c>
      <c r="AY901" s="221">
        <f t="shared" ref="AY901:BN901" si="409">AY175+AY548</f>
        <v>0</v>
      </c>
      <c r="AZ901" s="222">
        <f t="shared" si="409"/>
        <v>0</v>
      </c>
      <c r="BA901" s="222">
        <f t="shared" si="409"/>
        <v>0</v>
      </c>
      <c r="BB901" s="767">
        <f t="shared" si="409"/>
        <v>0</v>
      </c>
      <c r="BC901" s="221">
        <f t="shared" si="409"/>
        <v>0</v>
      </c>
      <c r="BD901" s="222">
        <f t="shared" si="409"/>
        <v>0</v>
      </c>
      <c r="BE901" s="222">
        <f t="shared" si="409"/>
        <v>0</v>
      </c>
      <c r="BF901" s="767">
        <f t="shared" si="409"/>
        <v>0</v>
      </c>
      <c r="BG901" s="221">
        <f t="shared" si="409"/>
        <v>0</v>
      </c>
      <c r="BH901" s="222">
        <f t="shared" si="409"/>
        <v>0</v>
      </c>
      <c r="BI901" s="222">
        <f t="shared" si="409"/>
        <v>0</v>
      </c>
      <c r="BJ901" s="767">
        <f t="shared" si="409"/>
        <v>0</v>
      </c>
      <c r="BK901" s="221">
        <f t="shared" si="409"/>
        <v>0</v>
      </c>
      <c r="BL901" s="222">
        <f t="shared" si="409"/>
        <v>0</v>
      </c>
      <c r="BM901" s="222">
        <f t="shared" si="409"/>
        <v>0</v>
      </c>
      <c r="BN901" s="767">
        <f t="shared" si="409"/>
        <v>0</v>
      </c>
      <c r="BO901" s="221">
        <f t="shared" ref="BO901:BV901" si="410">BO175+BO548</f>
        <v>0</v>
      </c>
      <c r="BP901" s="222">
        <f t="shared" si="410"/>
        <v>0</v>
      </c>
      <c r="BQ901" s="222">
        <f t="shared" si="410"/>
        <v>0</v>
      </c>
      <c r="BR901" s="767">
        <f t="shared" si="410"/>
        <v>0</v>
      </c>
      <c r="BS901" s="221">
        <f t="shared" si="410"/>
        <v>0</v>
      </c>
      <c r="BT901" s="222">
        <f t="shared" si="410"/>
        <v>0</v>
      </c>
      <c r="BU901" s="222">
        <f t="shared" si="410"/>
        <v>0</v>
      </c>
      <c r="BV901" s="223">
        <f t="shared" si="410"/>
        <v>0</v>
      </c>
      <c r="BW901" s="229"/>
      <c r="BX901" s="215"/>
      <c r="BY901" s="125">
        <f t="shared" si="364"/>
        <v>9275.1200000000008</v>
      </c>
      <c r="BZ901" s="126">
        <f t="shared" si="365"/>
        <v>3034.59</v>
      </c>
      <c r="CA901" s="126">
        <f t="shared" si="395"/>
        <v>9971.83</v>
      </c>
      <c r="CB901" s="127">
        <f t="shared" si="396"/>
        <v>0</v>
      </c>
      <c r="CC901" s="768"/>
    </row>
    <row r="902" spans="1:83" s="230" customFormat="1" ht="15.75" customHeight="1" outlineLevel="5" x14ac:dyDescent="0.25">
      <c r="A902" s="215"/>
      <c r="B902" s="215"/>
      <c r="C902" s="216"/>
      <c r="D902" s="216"/>
      <c r="E902" s="216"/>
      <c r="F902" s="216"/>
      <c r="G902" s="216"/>
      <c r="H902" s="216"/>
      <c r="I902" s="216"/>
      <c r="J902" s="215"/>
      <c r="K902" s="217"/>
      <c r="L902" s="216"/>
      <c r="M902" s="215"/>
      <c r="N902" s="215"/>
      <c r="O902" s="215"/>
      <c r="P902" s="215"/>
      <c r="Q902" s="215"/>
      <c r="R902" s="215"/>
      <c r="S902" s="215"/>
      <c r="T902" s="215"/>
      <c r="U902" s="215"/>
      <c r="V902" s="215"/>
      <c r="W902" s="215"/>
      <c r="X902" s="215"/>
      <c r="Y902" s="215"/>
      <c r="Z902" s="215"/>
      <c r="AA902" s="215"/>
      <c r="AB902" s="218"/>
      <c r="AC902" s="219" t="s">
        <v>250</v>
      </c>
      <c r="AD902" s="220" t="s">
        <v>247</v>
      </c>
      <c r="AE902" s="221">
        <f t="shared" ref="AE902:AK904" si="411">AE176</f>
        <v>317.01</v>
      </c>
      <c r="AF902" s="222">
        <f t="shared" si="411"/>
        <v>317.01</v>
      </c>
      <c r="AG902" s="222">
        <f t="shared" si="411"/>
        <v>317.01</v>
      </c>
      <c r="AH902" s="767">
        <f t="shared" ref="AH902" si="412">AH176</f>
        <v>0</v>
      </c>
      <c r="AI902" s="221">
        <f t="shared" si="411"/>
        <v>0</v>
      </c>
      <c r="AJ902" s="222">
        <f t="shared" si="411"/>
        <v>0</v>
      </c>
      <c r="AK902" s="222">
        <f t="shared" si="411"/>
        <v>0</v>
      </c>
      <c r="AL902" s="767">
        <f t="shared" ref="AL902" si="413">AL176</f>
        <v>0</v>
      </c>
      <c r="AM902" s="221">
        <f t="shared" ref="AM902:AO904" si="414">AM176</f>
        <v>0</v>
      </c>
      <c r="AN902" s="222">
        <f t="shared" si="414"/>
        <v>0</v>
      </c>
      <c r="AO902" s="222">
        <f t="shared" si="414"/>
        <v>0</v>
      </c>
      <c r="AP902" s="767">
        <f t="shared" ref="AP902" si="415">AP176</f>
        <v>0</v>
      </c>
      <c r="AQ902" s="221">
        <f t="shared" ref="AQ902:AW904" si="416">AQ176</f>
        <v>0</v>
      </c>
      <c r="AR902" s="222">
        <f t="shared" si="416"/>
        <v>0</v>
      </c>
      <c r="AS902" s="222">
        <f t="shared" si="416"/>
        <v>0</v>
      </c>
      <c r="AT902" s="767">
        <f t="shared" si="416"/>
        <v>0</v>
      </c>
      <c r="AU902" s="221">
        <f t="shared" si="416"/>
        <v>0</v>
      </c>
      <c r="AV902" s="222">
        <f t="shared" si="416"/>
        <v>0</v>
      </c>
      <c r="AW902" s="222">
        <f t="shared" si="416"/>
        <v>0</v>
      </c>
      <c r="AX902" s="767">
        <f t="shared" ref="AX902" si="417">AX176</f>
        <v>0</v>
      </c>
      <c r="AY902" s="221">
        <f t="shared" ref="AY902:BA904" si="418">AY176</f>
        <v>0</v>
      </c>
      <c r="AZ902" s="222">
        <f t="shared" si="418"/>
        <v>0</v>
      </c>
      <c r="BA902" s="222">
        <f t="shared" si="418"/>
        <v>0</v>
      </c>
      <c r="BB902" s="767">
        <f t="shared" ref="BB902" si="419">BB176</f>
        <v>0</v>
      </c>
      <c r="BC902" s="221">
        <f t="shared" ref="BC902:BE904" si="420">BC176</f>
        <v>0</v>
      </c>
      <c r="BD902" s="222">
        <f t="shared" si="420"/>
        <v>0</v>
      </c>
      <c r="BE902" s="222">
        <f t="shared" si="420"/>
        <v>0</v>
      </c>
      <c r="BF902" s="767">
        <f t="shared" ref="BF902" si="421">BF176</f>
        <v>0</v>
      </c>
      <c r="BG902" s="221">
        <f t="shared" ref="BG902:BH904" si="422">BG176</f>
        <v>0</v>
      </c>
      <c r="BH902" s="222">
        <f t="shared" si="422"/>
        <v>0</v>
      </c>
      <c r="BI902" s="222">
        <f t="shared" ref="BI902:BJ904" si="423">BI176</f>
        <v>0</v>
      </c>
      <c r="BJ902" s="767">
        <f t="shared" si="423"/>
        <v>0</v>
      </c>
      <c r="BK902" s="221">
        <f t="shared" ref="BK902:BM904" si="424">BK176</f>
        <v>0</v>
      </c>
      <c r="BL902" s="222">
        <f t="shared" si="424"/>
        <v>0</v>
      </c>
      <c r="BM902" s="222">
        <f t="shared" si="424"/>
        <v>0</v>
      </c>
      <c r="BN902" s="767">
        <f t="shared" ref="BN902" si="425">BN176</f>
        <v>0</v>
      </c>
      <c r="BO902" s="221">
        <f t="shared" ref="BO902:BV904" si="426">BO176</f>
        <v>0</v>
      </c>
      <c r="BP902" s="222">
        <f t="shared" si="426"/>
        <v>0</v>
      </c>
      <c r="BQ902" s="222">
        <f t="shared" si="426"/>
        <v>0</v>
      </c>
      <c r="BR902" s="767">
        <f t="shared" si="426"/>
        <v>0</v>
      </c>
      <c r="BS902" s="221">
        <f t="shared" si="426"/>
        <v>0</v>
      </c>
      <c r="BT902" s="222">
        <f t="shared" si="426"/>
        <v>0</v>
      </c>
      <c r="BU902" s="222">
        <f t="shared" si="426"/>
        <v>0</v>
      </c>
      <c r="BV902" s="223">
        <f t="shared" si="426"/>
        <v>0</v>
      </c>
      <c r="BW902" s="229"/>
      <c r="BX902" s="215"/>
      <c r="BY902" s="125">
        <f t="shared" si="364"/>
        <v>317.01</v>
      </c>
      <c r="BZ902" s="126">
        <f t="shared" si="365"/>
        <v>317.01</v>
      </c>
      <c r="CA902" s="126">
        <f t="shared" si="395"/>
        <v>317.01</v>
      </c>
      <c r="CB902" s="127">
        <f t="shared" si="396"/>
        <v>0</v>
      </c>
      <c r="CC902" s="768"/>
    </row>
    <row r="903" spans="1:83" s="230" customFormat="1" ht="15.75" customHeight="1" outlineLevel="5" x14ac:dyDescent="0.25">
      <c r="A903" s="215"/>
      <c r="B903" s="215"/>
      <c r="C903" s="216"/>
      <c r="D903" s="216"/>
      <c r="E903" s="216"/>
      <c r="F903" s="216"/>
      <c r="G903" s="216"/>
      <c r="H903" s="216"/>
      <c r="I903" s="216"/>
      <c r="J903" s="215"/>
      <c r="K903" s="217"/>
      <c r="L903" s="216"/>
      <c r="M903" s="215"/>
      <c r="N903" s="215"/>
      <c r="O903" s="215"/>
      <c r="P903" s="215"/>
      <c r="Q903" s="215"/>
      <c r="R903" s="215"/>
      <c r="S903" s="215"/>
      <c r="T903" s="215"/>
      <c r="U903" s="215"/>
      <c r="V903" s="215"/>
      <c r="W903" s="215"/>
      <c r="X903" s="215"/>
      <c r="Y903" s="215"/>
      <c r="Z903" s="215"/>
      <c r="AA903" s="215"/>
      <c r="AB903" s="218"/>
      <c r="AC903" s="219" t="s">
        <v>251</v>
      </c>
      <c r="AD903" s="220" t="s">
        <v>247</v>
      </c>
      <c r="AE903" s="221">
        <f t="shared" si="411"/>
        <v>55.46</v>
      </c>
      <c r="AF903" s="222">
        <f t="shared" si="411"/>
        <v>55.46</v>
      </c>
      <c r="AG903" s="222">
        <f t="shared" si="411"/>
        <v>55.46</v>
      </c>
      <c r="AH903" s="767">
        <f t="shared" ref="AH903" si="427">AH177</f>
        <v>0</v>
      </c>
      <c r="AI903" s="221">
        <f t="shared" si="411"/>
        <v>0</v>
      </c>
      <c r="AJ903" s="222">
        <f t="shared" si="411"/>
        <v>0</v>
      </c>
      <c r="AK903" s="222">
        <f t="shared" si="411"/>
        <v>0</v>
      </c>
      <c r="AL903" s="767">
        <f t="shared" ref="AL903" si="428">AL177</f>
        <v>0</v>
      </c>
      <c r="AM903" s="221">
        <f t="shared" si="414"/>
        <v>0</v>
      </c>
      <c r="AN903" s="222">
        <f t="shared" si="414"/>
        <v>0</v>
      </c>
      <c r="AO903" s="222">
        <f t="shared" si="414"/>
        <v>0</v>
      </c>
      <c r="AP903" s="767">
        <f t="shared" ref="AP903" si="429">AP177</f>
        <v>0</v>
      </c>
      <c r="AQ903" s="221">
        <f t="shared" si="416"/>
        <v>0</v>
      </c>
      <c r="AR903" s="222">
        <f t="shared" si="416"/>
        <v>0</v>
      </c>
      <c r="AS903" s="222">
        <f t="shared" si="416"/>
        <v>0</v>
      </c>
      <c r="AT903" s="767">
        <f t="shared" si="416"/>
        <v>0</v>
      </c>
      <c r="AU903" s="221">
        <f t="shared" si="416"/>
        <v>0</v>
      </c>
      <c r="AV903" s="222">
        <f t="shared" si="416"/>
        <v>0</v>
      </c>
      <c r="AW903" s="222">
        <f t="shared" si="416"/>
        <v>0</v>
      </c>
      <c r="AX903" s="767">
        <f t="shared" ref="AX903" si="430">AX177</f>
        <v>0</v>
      </c>
      <c r="AY903" s="221">
        <f t="shared" si="418"/>
        <v>0</v>
      </c>
      <c r="AZ903" s="222">
        <f t="shared" si="418"/>
        <v>0</v>
      </c>
      <c r="BA903" s="222">
        <f t="shared" si="418"/>
        <v>0</v>
      </c>
      <c r="BB903" s="767">
        <f t="shared" ref="BB903" si="431">BB177</f>
        <v>0</v>
      </c>
      <c r="BC903" s="221">
        <f t="shared" si="420"/>
        <v>0</v>
      </c>
      <c r="BD903" s="222">
        <f t="shared" si="420"/>
        <v>0</v>
      </c>
      <c r="BE903" s="222">
        <f t="shared" si="420"/>
        <v>0</v>
      </c>
      <c r="BF903" s="767">
        <f t="shared" ref="BF903" si="432">BF177</f>
        <v>0</v>
      </c>
      <c r="BG903" s="221">
        <f t="shared" si="422"/>
        <v>0</v>
      </c>
      <c r="BH903" s="222">
        <f t="shared" si="422"/>
        <v>0</v>
      </c>
      <c r="BI903" s="222">
        <f t="shared" si="423"/>
        <v>0</v>
      </c>
      <c r="BJ903" s="767">
        <f t="shared" si="423"/>
        <v>0</v>
      </c>
      <c r="BK903" s="221">
        <f t="shared" si="424"/>
        <v>0</v>
      </c>
      <c r="BL903" s="222">
        <f t="shared" si="424"/>
        <v>0</v>
      </c>
      <c r="BM903" s="222">
        <f t="shared" si="424"/>
        <v>0</v>
      </c>
      <c r="BN903" s="767">
        <f t="shared" ref="BN903" si="433">BN177</f>
        <v>0</v>
      </c>
      <c r="BO903" s="221">
        <f t="shared" si="426"/>
        <v>0</v>
      </c>
      <c r="BP903" s="222">
        <f t="shared" si="426"/>
        <v>0</v>
      </c>
      <c r="BQ903" s="222">
        <f t="shared" si="426"/>
        <v>0</v>
      </c>
      <c r="BR903" s="767">
        <f t="shared" si="426"/>
        <v>0</v>
      </c>
      <c r="BS903" s="221">
        <f t="shared" si="426"/>
        <v>0</v>
      </c>
      <c r="BT903" s="222">
        <f t="shared" si="426"/>
        <v>0</v>
      </c>
      <c r="BU903" s="222">
        <f t="shared" si="426"/>
        <v>0</v>
      </c>
      <c r="BV903" s="223">
        <f t="shared" si="426"/>
        <v>0</v>
      </c>
      <c r="BW903" s="229"/>
      <c r="BX903" s="215"/>
      <c r="BY903" s="125">
        <f t="shared" si="364"/>
        <v>55.46</v>
      </c>
      <c r="BZ903" s="126">
        <f t="shared" si="365"/>
        <v>55.46</v>
      </c>
      <c r="CA903" s="126">
        <f t="shared" si="395"/>
        <v>55.46</v>
      </c>
      <c r="CB903" s="127">
        <f t="shared" si="396"/>
        <v>0</v>
      </c>
      <c r="CC903" s="768"/>
    </row>
    <row r="904" spans="1:83" s="230" customFormat="1" ht="15.75" customHeight="1" outlineLevel="5" x14ac:dyDescent="0.25">
      <c r="A904" s="215"/>
      <c r="B904" s="215"/>
      <c r="C904" s="216"/>
      <c r="D904" s="216"/>
      <c r="E904" s="216"/>
      <c r="F904" s="216"/>
      <c r="G904" s="216"/>
      <c r="H904" s="216"/>
      <c r="I904" s="216"/>
      <c r="J904" s="215"/>
      <c r="K904" s="217"/>
      <c r="L904" s="216"/>
      <c r="M904" s="215"/>
      <c r="N904" s="215"/>
      <c r="O904" s="215"/>
      <c r="P904" s="215"/>
      <c r="Q904" s="215"/>
      <c r="R904" s="215"/>
      <c r="S904" s="215"/>
      <c r="T904" s="215"/>
      <c r="U904" s="215"/>
      <c r="V904" s="215"/>
      <c r="W904" s="215"/>
      <c r="X904" s="215"/>
      <c r="Y904" s="215"/>
      <c r="Z904" s="215"/>
      <c r="AA904" s="215"/>
      <c r="AB904" s="218"/>
      <c r="AC904" s="219" t="s">
        <v>252</v>
      </c>
      <c r="AD904" s="220" t="s">
        <v>247</v>
      </c>
      <c r="AE904" s="221">
        <f t="shared" si="411"/>
        <v>86.37</v>
      </c>
      <c r="AF904" s="222">
        <f t="shared" si="411"/>
        <v>86.37</v>
      </c>
      <c r="AG904" s="222">
        <f t="shared" si="411"/>
        <v>86.37</v>
      </c>
      <c r="AH904" s="767">
        <f t="shared" ref="AH904" si="434">AH178</f>
        <v>0</v>
      </c>
      <c r="AI904" s="221">
        <f t="shared" si="411"/>
        <v>0</v>
      </c>
      <c r="AJ904" s="222">
        <f t="shared" si="411"/>
        <v>0</v>
      </c>
      <c r="AK904" s="222">
        <f t="shared" si="411"/>
        <v>0</v>
      </c>
      <c r="AL904" s="767">
        <f t="shared" ref="AL904" si="435">AL178</f>
        <v>0</v>
      </c>
      <c r="AM904" s="221">
        <f t="shared" si="414"/>
        <v>0</v>
      </c>
      <c r="AN904" s="222">
        <f t="shared" si="414"/>
        <v>0</v>
      </c>
      <c r="AO904" s="222">
        <f t="shared" si="414"/>
        <v>0</v>
      </c>
      <c r="AP904" s="767">
        <f t="shared" ref="AP904" si="436">AP178</f>
        <v>0</v>
      </c>
      <c r="AQ904" s="221">
        <f t="shared" si="416"/>
        <v>0</v>
      </c>
      <c r="AR904" s="222">
        <f t="shared" si="416"/>
        <v>0</v>
      </c>
      <c r="AS904" s="222">
        <f t="shared" si="416"/>
        <v>0</v>
      </c>
      <c r="AT904" s="767">
        <f t="shared" si="416"/>
        <v>0</v>
      </c>
      <c r="AU904" s="221">
        <f t="shared" si="416"/>
        <v>0</v>
      </c>
      <c r="AV904" s="222">
        <f t="shared" si="416"/>
        <v>0</v>
      </c>
      <c r="AW904" s="222">
        <f t="shared" si="416"/>
        <v>0</v>
      </c>
      <c r="AX904" s="767">
        <f t="shared" ref="AX904" si="437">AX178</f>
        <v>0</v>
      </c>
      <c r="AY904" s="221">
        <f t="shared" si="418"/>
        <v>0</v>
      </c>
      <c r="AZ904" s="222">
        <f t="shared" si="418"/>
        <v>0</v>
      </c>
      <c r="BA904" s="222">
        <f t="shared" si="418"/>
        <v>0</v>
      </c>
      <c r="BB904" s="767">
        <f t="shared" ref="BB904" si="438">BB178</f>
        <v>0</v>
      </c>
      <c r="BC904" s="221">
        <f t="shared" si="420"/>
        <v>0</v>
      </c>
      <c r="BD904" s="222">
        <f t="shared" si="420"/>
        <v>0</v>
      </c>
      <c r="BE904" s="222">
        <f t="shared" si="420"/>
        <v>0</v>
      </c>
      <c r="BF904" s="767">
        <f t="shared" ref="BF904" si="439">BF178</f>
        <v>0</v>
      </c>
      <c r="BG904" s="221">
        <f t="shared" si="422"/>
        <v>0</v>
      </c>
      <c r="BH904" s="222">
        <f t="shared" si="422"/>
        <v>0</v>
      </c>
      <c r="BI904" s="222">
        <f t="shared" si="423"/>
        <v>0</v>
      </c>
      <c r="BJ904" s="767">
        <f t="shared" si="423"/>
        <v>0</v>
      </c>
      <c r="BK904" s="221">
        <f t="shared" si="424"/>
        <v>0</v>
      </c>
      <c r="BL904" s="222">
        <f t="shared" si="424"/>
        <v>0</v>
      </c>
      <c r="BM904" s="222">
        <f t="shared" si="424"/>
        <v>0</v>
      </c>
      <c r="BN904" s="767">
        <f t="shared" ref="BN904" si="440">BN178</f>
        <v>0</v>
      </c>
      <c r="BO904" s="221">
        <f t="shared" si="426"/>
        <v>0</v>
      </c>
      <c r="BP904" s="222">
        <f t="shared" si="426"/>
        <v>0</v>
      </c>
      <c r="BQ904" s="222">
        <f t="shared" si="426"/>
        <v>0</v>
      </c>
      <c r="BR904" s="767">
        <f t="shared" si="426"/>
        <v>0</v>
      </c>
      <c r="BS904" s="221">
        <f t="shared" si="426"/>
        <v>0</v>
      </c>
      <c r="BT904" s="222">
        <f t="shared" si="426"/>
        <v>0</v>
      </c>
      <c r="BU904" s="222">
        <f t="shared" si="426"/>
        <v>0</v>
      </c>
      <c r="BV904" s="223">
        <f t="shared" si="426"/>
        <v>0</v>
      </c>
      <c r="BW904" s="229"/>
      <c r="BX904" s="215"/>
      <c r="BY904" s="125">
        <f t="shared" si="364"/>
        <v>86.37</v>
      </c>
      <c r="BZ904" s="126">
        <f t="shared" si="365"/>
        <v>86.37</v>
      </c>
      <c r="CA904" s="126">
        <f t="shared" si="395"/>
        <v>86.37</v>
      </c>
      <c r="CB904" s="127">
        <f t="shared" si="396"/>
        <v>0</v>
      </c>
      <c r="CC904" s="768"/>
    </row>
    <row r="905" spans="1:83" s="230" customFormat="1" ht="15.75" customHeight="1" outlineLevel="5" x14ac:dyDescent="0.25">
      <c r="A905" s="215"/>
      <c r="B905" s="215"/>
      <c r="C905" s="216"/>
      <c r="D905" s="216"/>
      <c r="E905" s="216"/>
      <c r="F905" s="216"/>
      <c r="G905" s="216"/>
      <c r="H905" s="216"/>
      <c r="I905" s="216"/>
      <c r="J905" s="215"/>
      <c r="K905" s="217"/>
      <c r="L905" s="216"/>
      <c r="M905" s="215"/>
      <c r="N905" s="215"/>
      <c r="O905" s="215"/>
      <c r="P905" s="215"/>
      <c r="Q905" s="215"/>
      <c r="R905" s="215"/>
      <c r="S905" s="215"/>
      <c r="T905" s="215"/>
      <c r="U905" s="215"/>
      <c r="V905" s="215"/>
      <c r="W905" s="215"/>
      <c r="X905" s="215"/>
      <c r="Y905" s="215"/>
      <c r="Z905" s="215"/>
      <c r="AA905" s="215"/>
      <c r="AB905" s="218"/>
      <c r="AC905" s="219" t="s">
        <v>253</v>
      </c>
      <c r="AD905" s="220" t="s">
        <v>247</v>
      </c>
      <c r="AE905" s="221">
        <f t="shared" ref="AE905:AK905" si="441">AE179+AE542</f>
        <v>5463.98</v>
      </c>
      <c r="AF905" s="222">
        <f t="shared" si="441"/>
        <v>3931.94</v>
      </c>
      <c r="AG905" s="222">
        <f t="shared" si="441"/>
        <v>5738.01</v>
      </c>
      <c r="AH905" s="767">
        <f t="shared" ref="AH905" si="442">AH179+AH542</f>
        <v>0</v>
      </c>
      <c r="AI905" s="221">
        <f t="shared" si="441"/>
        <v>0</v>
      </c>
      <c r="AJ905" s="222">
        <f t="shared" si="441"/>
        <v>0</v>
      </c>
      <c r="AK905" s="222">
        <f t="shared" si="441"/>
        <v>58.24</v>
      </c>
      <c r="AL905" s="767">
        <f t="shared" ref="AL905" si="443">AL179+AL542</f>
        <v>0</v>
      </c>
      <c r="AM905" s="221">
        <f>AM179+AM542</f>
        <v>0</v>
      </c>
      <c r="AN905" s="222">
        <f>AN179+AN542</f>
        <v>0</v>
      </c>
      <c r="AO905" s="222">
        <f>AO179+AO542</f>
        <v>0</v>
      </c>
      <c r="AP905" s="767">
        <f>AP179+AP542</f>
        <v>0</v>
      </c>
      <c r="AQ905" s="221">
        <f t="shared" ref="AQ905:AW905" si="444">AQ179+AQ542</f>
        <v>0</v>
      </c>
      <c r="AR905" s="222">
        <f t="shared" si="444"/>
        <v>0</v>
      </c>
      <c r="AS905" s="222">
        <f t="shared" si="444"/>
        <v>0</v>
      </c>
      <c r="AT905" s="767">
        <f t="shared" si="444"/>
        <v>0</v>
      </c>
      <c r="AU905" s="221">
        <f t="shared" si="444"/>
        <v>0</v>
      </c>
      <c r="AV905" s="222">
        <f t="shared" si="444"/>
        <v>0</v>
      </c>
      <c r="AW905" s="222">
        <f t="shared" si="444"/>
        <v>0</v>
      </c>
      <c r="AX905" s="767">
        <f t="shared" ref="AX905" si="445">AX179+AX542</f>
        <v>0</v>
      </c>
      <c r="AY905" s="221">
        <f t="shared" ref="AY905:BN905" si="446">AY179+AY542</f>
        <v>0</v>
      </c>
      <c r="AZ905" s="222">
        <f t="shared" si="446"/>
        <v>0</v>
      </c>
      <c r="BA905" s="222">
        <f t="shared" si="446"/>
        <v>0</v>
      </c>
      <c r="BB905" s="767">
        <f t="shared" si="446"/>
        <v>0</v>
      </c>
      <c r="BC905" s="221">
        <f t="shared" si="446"/>
        <v>0</v>
      </c>
      <c r="BD905" s="222">
        <f t="shared" si="446"/>
        <v>0</v>
      </c>
      <c r="BE905" s="222">
        <f t="shared" si="446"/>
        <v>0</v>
      </c>
      <c r="BF905" s="767">
        <f t="shared" si="446"/>
        <v>0</v>
      </c>
      <c r="BG905" s="221">
        <f t="shared" si="446"/>
        <v>0</v>
      </c>
      <c r="BH905" s="222">
        <f t="shared" si="446"/>
        <v>0</v>
      </c>
      <c r="BI905" s="222">
        <f t="shared" si="446"/>
        <v>0</v>
      </c>
      <c r="BJ905" s="767">
        <f t="shared" si="446"/>
        <v>0</v>
      </c>
      <c r="BK905" s="221">
        <f t="shared" si="446"/>
        <v>0</v>
      </c>
      <c r="BL905" s="222">
        <f t="shared" si="446"/>
        <v>0</v>
      </c>
      <c r="BM905" s="222">
        <f t="shared" si="446"/>
        <v>0</v>
      </c>
      <c r="BN905" s="767">
        <f t="shared" si="446"/>
        <v>0</v>
      </c>
      <c r="BO905" s="221">
        <f t="shared" ref="BO905:BV905" si="447">BO179+BO542</f>
        <v>0</v>
      </c>
      <c r="BP905" s="222">
        <f t="shared" si="447"/>
        <v>0</v>
      </c>
      <c r="BQ905" s="222">
        <f t="shared" si="447"/>
        <v>0</v>
      </c>
      <c r="BR905" s="767">
        <f t="shared" si="447"/>
        <v>0</v>
      </c>
      <c r="BS905" s="221">
        <f t="shared" si="447"/>
        <v>0</v>
      </c>
      <c r="BT905" s="222">
        <f t="shared" si="447"/>
        <v>0</v>
      </c>
      <c r="BU905" s="222">
        <f t="shared" si="447"/>
        <v>0</v>
      </c>
      <c r="BV905" s="223">
        <f t="shared" si="447"/>
        <v>0</v>
      </c>
      <c r="BW905" s="229"/>
      <c r="BX905" s="215"/>
      <c r="BY905" s="125">
        <f t="shared" si="364"/>
        <v>5463.98</v>
      </c>
      <c r="BZ905" s="126">
        <f t="shared" si="365"/>
        <v>3931.94</v>
      </c>
      <c r="CA905" s="126">
        <f t="shared" si="395"/>
        <v>5796.25</v>
      </c>
      <c r="CB905" s="127">
        <f t="shared" si="396"/>
        <v>0</v>
      </c>
      <c r="CC905" s="768"/>
    </row>
    <row r="906" spans="1:83" s="230" customFormat="1" ht="15.75" customHeight="1" outlineLevel="5" x14ac:dyDescent="0.25">
      <c r="A906" s="215"/>
      <c r="B906" s="215"/>
      <c r="C906" s="216"/>
      <c r="D906" s="216"/>
      <c r="E906" s="216"/>
      <c r="F906" s="216"/>
      <c r="G906" s="216"/>
      <c r="H906" s="216"/>
      <c r="I906" s="216"/>
      <c r="J906" s="215"/>
      <c r="K906" s="217"/>
      <c r="L906" s="216"/>
      <c r="M906" s="215"/>
      <c r="N906" s="215"/>
      <c r="O906" s="215"/>
      <c r="P906" s="215"/>
      <c r="Q906" s="215"/>
      <c r="R906" s="215"/>
      <c r="S906" s="215"/>
      <c r="T906" s="215"/>
      <c r="U906" s="215"/>
      <c r="V906" s="215"/>
      <c r="W906" s="215"/>
      <c r="X906" s="215"/>
      <c r="Y906" s="215"/>
      <c r="Z906" s="215"/>
      <c r="AA906" s="215"/>
      <c r="AB906" s="218"/>
      <c r="AC906" s="219" t="s">
        <v>254</v>
      </c>
      <c r="AD906" s="220" t="s">
        <v>247</v>
      </c>
      <c r="AE906" s="221">
        <f t="shared" ref="AE906:AK906" si="448">AE180</f>
        <v>53.3</v>
      </c>
      <c r="AF906" s="222">
        <f t="shared" si="448"/>
        <v>53.3</v>
      </c>
      <c r="AG906" s="222">
        <f t="shared" si="448"/>
        <v>53.3</v>
      </c>
      <c r="AH906" s="767">
        <f t="shared" ref="AH906" si="449">AH180</f>
        <v>0</v>
      </c>
      <c r="AI906" s="221">
        <f t="shared" si="448"/>
        <v>0</v>
      </c>
      <c r="AJ906" s="222">
        <f t="shared" si="448"/>
        <v>0</v>
      </c>
      <c r="AK906" s="222">
        <f t="shared" si="448"/>
        <v>0</v>
      </c>
      <c r="AL906" s="767">
        <f t="shared" ref="AL906" si="450">AL180</f>
        <v>0</v>
      </c>
      <c r="AM906" s="221">
        <f>AM180</f>
        <v>0</v>
      </c>
      <c r="AN906" s="222">
        <f>AN180</f>
        <v>0</v>
      </c>
      <c r="AO906" s="222">
        <f>AO180</f>
        <v>0</v>
      </c>
      <c r="AP906" s="767">
        <f>AP180</f>
        <v>0</v>
      </c>
      <c r="AQ906" s="221">
        <f t="shared" ref="AQ906:AW906" si="451">AQ180</f>
        <v>0</v>
      </c>
      <c r="AR906" s="222">
        <f t="shared" si="451"/>
        <v>0</v>
      </c>
      <c r="AS906" s="222">
        <f t="shared" si="451"/>
        <v>0</v>
      </c>
      <c r="AT906" s="767">
        <f t="shared" si="451"/>
        <v>0</v>
      </c>
      <c r="AU906" s="221">
        <f t="shared" si="451"/>
        <v>0</v>
      </c>
      <c r="AV906" s="222">
        <f t="shared" si="451"/>
        <v>0</v>
      </c>
      <c r="AW906" s="222">
        <f t="shared" si="451"/>
        <v>0</v>
      </c>
      <c r="AX906" s="767">
        <f t="shared" ref="AX906" si="452">AX180</f>
        <v>0</v>
      </c>
      <c r="AY906" s="221">
        <f t="shared" ref="AY906:BN906" si="453">AY180</f>
        <v>0</v>
      </c>
      <c r="AZ906" s="222">
        <f t="shared" si="453"/>
        <v>0</v>
      </c>
      <c r="BA906" s="222">
        <f t="shared" si="453"/>
        <v>0</v>
      </c>
      <c r="BB906" s="767">
        <f t="shared" si="453"/>
        <v>0</v>
      </c>
      <c r="BC906" s="221">
        <f t="shared" si="453"/>
        <v>0</v>
      </c>
      <c r="BD906" s="222">
        <f t="shared" si="453"/>
        <v>0</v>
      </c>
      <c r="BE906" s="222">
        <f t="shared" si="453"/>
        <v>0</v>
      </c>
      <c r="BF906" s="767">
        <f t="shared" si="453"/>
        <v>0</v>
      </c>
      <c r="BG906" s="221">
        <f t="shared" si="453"/>
        <v>0</v>
      </c>
      <c r="BH906" s="222">
        <f t="shared" si="453"/>
        <v>0</v>
      </c>
      <c r="BI906" s="222">
        <f t="shared" si="453"/>
        <v>0</v>
      </c>
      <c r="BJ906" s="767">
        <f t="shared" si="453"/>
        <v>0</v>
      </c>
      <c r="BK906" s="221">
        <f t="shared" si="453"/>
        <v>0</v>
      </c>
      <c r="BL906" s="222">
        <f t="shared" si="453"/>
        <v>0</v>
      </c>
      <c r="BM906" s="222">
        <f t="shared" si="453"/>
        <v>0</v>
      </c>
      <c r="BN906" s="767">
        <f t="shared" si="453"/>
        <v>0</v>
      </c>
      <c r="BO906" s="221">
        <f t="shared" ref="BO906:BV906" si="454">BO180</f>
        <v>0</v>
      </c>
      <c r="BP906" s="222">
        <f t="shared" si="454"/>
        <v>0</v>
      </c>
      <c r="BQ906" s="222">
        <f t="shared" si="454"/>
        <v>0</v>
      </c>
      <c r="BR906" s="767">
        <f t="shared" si="454"/>
        <v>0</v>
      </c>
      <c r="BS906" s="221">
        <f t="shared" si="454"/>
        <v>0</v>
      </c>
      <c r="BT906" s="222">
        <f t="shared" si="454"/>
        <v>0</v>
      </c>
      <c r="BU906" s="222">
        <f t="shared" si="454"/>
        <v>0</v>
      </c>
      <c r="BV906" s="223">
        <f t="shared" si="454"/>
        <v>0</v>
      </c>
      <c r="BW906" s="229"/>
      <c r="BX906" s="215"/>
      <c r="BY906" s="125">
        <f t="shared" si="364"/>
        <v>53.3</v>
      </c>
      <c r="BZ906" s="126">
        <f t="shared" si="365"/>
        <v>53.3</v>
      </c>
      <c r="CA906" s="126">
        <f t="shared" si="395"/>
        <v>53.3</v>
      </c>
      <c r="CB906" s="127">
        <f t="shared" si="396"/>
        <v>0</v>
      </c>
      <c r="CC906" s="768"/>
    </row>
    <row r="907" spans="1:83" s="230" customFormat="1" ht="15.75" customHeight="1" outlineLevel="5" x14ac:dyDescent="0.25">
      <c r="A907" s="215"/>
      <c r="B907" s="215"/>
      <c r="C907" s="216"/>
      <c r="D907" s="216"/>
      <c r="E907" s="216"/>
      <c r="F907" s="216"/>
      <c r="G907" s="216"/>
      <c r="H907" s="216"/>
      <c r="I907" s="216"/>
      <c r="J907" s="215"/>
      <c r="K907" s="217"/>
      <c r="L907" s="216"/>
      <c r="M907" s="215"/>
      <c r="N907" s="215"/>
      <c r="O907" s="215"/>
      <c r="P907" s="215"/>
      <c r="Q907" s="215"/>
      <c r="R907" s="215"/>
      <c r="S907" s="215"/>
      <c r="T907" s="215"/>
      <c r="U907" s="215"/>
      <c r="V907" s="215"/>
      <c r="W907" s="215"/>
      <c r="X907" s="215"/>
      <c r="Y907" s="215"/>
      <c r="Z907" s="215"/>
      <c r="AA907" s="215"/>
      <c r="AB907" s="218"/>
      <c r="AC907" s="219" t="s">
        <v>255</v>
      </c>
      <c r="AD907" s="220" t="s">
        <v>247</v>
      </c>
      <c r="AE907" s="221">
        <f t="shared" ref="AE907:AK907" si="455">AE181+AE545</f>
        <v>3469.8900000000003</v>
      </c>
      <c r="AF907" s="222">
        <f t="shared" si="455"/>
        <v>1921.0700000000002</v>
      </c>
      <c r="AG907" s="222">
        <f t="shared" si="455"/>
        <v>4606.88</v>
      </c>
      <c r="AH907" s="767">
        <f t="shared" ref="AH907" si="456">AH181+AH545</f>
        <v>0</v>
      </c>
      <c r="AI907" s="221">
        <f t="shared" si="455"/>
        <v>0</v>
      </c>
      <c r="AJ907" s="222">
        <f t="shared" si="455"/>
        <v>0</v>
      </c>
      <c r="AK907" s="222">
        <f t="shared" si="455"/>
        <v>5.7</v>
      </c>
      <c r="AL907" s="767">
        <f t="shared" ref="AL907" si="457">AL181+AL545</f>
        <v>0</v>
      </c>
      <c r="AM907" s="221">
        <f>AM181+AM545</f>
        <v>0</v>
      </c>
      <c r="AN907" s="222">
        <f>AN181+AN545</f>
        <v>0</v>
      </c>
      <c r="AO907" s="222">
        <f>AO181+AO545</f>
        <v>0</v>
      </c>
      <c r="AP907" s="767">
        <f>AP181+AP545</f>
        <v>0</v>
      </c>
      <c r="AQ907" s="221">
        <f t="shared" ref="AQ907:AW907" si="458">AQ181+AQ545</f>
        <v>0</v>
      </c>
      <c r="AR907" s="222">
        <f t="shared" si="458"/>
        <v>0</v>
      </c>
      <c r="AS907" s="222">
        <f t="shared" si="458"/>
        <v>0</v>
      </c>
      <c r="AT907" s="767">
        <f t="shared" si="458"/>
        <v>0</v>
      </c>
      <c r="AU907" s="221">
        <f t="shared" si="458"/>
        <v>0</v>
      </c>
      <c r="AV907" s="222">
        <f t="shared" si="458"/>
        <v>0</v>
      </c>
      <c r="AW907" s="222">
        <f t="shared" si="458"/>
        <v>0</v>
      </c>
      <c r="AX907" s="767">
        <f t="shared" ref="AX907" si="459">AX181+AX545</f>
        <v>0</v>
      </c>
      <c r="AY907" s="221">
        <f t="shared" ref="AY907:BN907" si="460">AY181+AY545</f>
        <v>0</v>
      </c>
      <c r="AZ907" s="222">
        <f t="shared" si="460"/>
        <v>0</v>
      </c>
      <c r="BA907" s="222">
        <f t="shared" si="460"/>
        <v>0</v>
      </c>
      <c r="BB907" s="767">
        <f t="shared" si="460"/>
        <v>0</v>
      </c>
      <c r="BC907" s="221">
        <f t="shared" si="460"/>
        <v>0</v>
      </c>
      <c r="BD907" s="222">
        <f t="shared" si="460"/>
        <v>0</v>
      </c>
      <c r="BE907" s="222">
        <f t="shared" si="460"/>
        <v>0</v>
      </c>
      <c r="BF907" s="767">
        <f t="shared" si="460"/>
        <v>0</v>
      </c>
      <c r="BG907" s="221">
        <f t="shared" si="460"/>
        <v>0</v>
      </c>
      <c r="BH907" s="222">
        <f t="shared" si="460"/>
        <v>0</v>
      </c>
      <c r="BI907" s="222">
        <f t="shared" si="460"/>
        <v>0</v>
      </c>
      <c r="BJ907" s="767">
        <f t="shared" si="460"/>
        <v>0</v>
      </c>
      <c r="BK907" s="221">
        <f t="shared" si="460"/>
        <v>0</v>
      </c>
      <c r="BL907" s="222">
        <f t="shared" si="460"/>
        <v>0</v>
      </c>
      <c r="BM907" s="222">
        <f t="shared" si="460"/>
        <v>0</v>
      </c>
      <c r="BN907" s="767">
        <f t="shared" si="460"/>
        <v>0</v>
      </c>
      <c r="BO907" s="221">
        <f t="shared" ref="BO907:BV907" si="461">BO181+BO545</f>
        <v>0</v>
      </c>
      <c r="BP907" s="222">
        <f t="shared" si="461"/>
        <v>0</v>
      </c>
      <c r="BQ907" s="222">
        <f t="shared" si="461"/>
        <v>0</v>
      </c>
      <c r="BR907" s="767">
        <f t="shared" si="461"/>
        <v>0</v>
      </c>
      <c r="BS907" s="221">
        <f t="shared" si="461"/>
        <v>0</v>
      </c>
      <c r="BT907" s="222">
        <f t="shared" si="461"/>
        <v>0</v>
      </c>
      <c r="BU907" s="222">
        <f t="shared" si="461"/>
        <v>0</v>
      </c>
      <c r="BV907" s="223">
        <f t="shared" si="461"/>
        <v>0</v>
      </c>
      <c r="BW907" s="229"/>
      <c r="BX907" s="215"/>
      <c r="BY907" s="125">
        <f t="shared" si="364"/>
        <v>3469.8900000000003</v>
      </c>
      <c r="BZ907" s="126">
        <f t="shared" si="365"/>
        <v>1921.0700000000002</v>
      </c>
      <c r="CA907" s="126">
        <f t="shared" si="395"/>
        <v>4612.58</v>
      </c>
      <c r="CB907" s="127">
        <f t="shared" si="396"/>
        <v>0</v>
      </c>
      <c r="CC907" s="768"/>
    </row>
    <row r="908" spans="1:83" s="230" customFormat="1" ht="61.5" customHeight="1" outlineLevel="5" x14ac:dyDescent="0.25">
      <c r="A908" s="215"/>
      <c r="B908" s="215"/>
      <c r="C908" s="216"/>
      <c r="D908" s="216"/>
      <c r="E908" s="216"/>
      <c r="F908" s="216"/>
      <c r="G908" s="216"/>
      <c r="H908" s="216"/>
      <c r="I908" s="216"/>
      <c r="J908" s="215"/>
      <c r="K908" s="217"/>
      <c r="L908" s="216"/>
      <c r="M908" s="215"/>
      <c r="N908" s="215"/>
      <c r="O908" s="215"/>
      <c r="P908" s="215"/>
      <c r="Q908" s="215"/>
      <c r="R908" s="215"/>
      <c r="S908" s="215"/>
      <c r="T908" s="215"/>
      <c r="U908" s="215"/>
      <c r="V908" s="215"/>
      <c r="W908" s="215"/>
      <c r="X908" s="215"/>
      <c r="Y908" s="215"/>
      <c r="Z908" s="215"/>
      <c r="AA908" s="215"/>
      <c r="AB908" s="218"/>
      <c r="AC908" s="219" t="s">
        <v>256</v>
      </c>
      <c r="AD908" s="220" t="s">
        <v>247</v>
      </c>
      <c r="AE908" s="221">
        <f t="shared" ref="AE908:AK909" si="462">AE182</f>
        <v>0</v>
      </c>
      <c r="AF908" s="222">
        <f t="shared" si="462"/>
        <v>0</v>
      </c>
      <c r="AG908" s="222">
        <f t="shared" si="462"/>
        <v>0</v>
      </c>
      <c r="AH908" s="767">
        <f t="shared" ref="AH908" si="463">AH182</f>
        <v>0</v>
      </c>
      <c r="AI908" s="221">
        <f t="shared" si="462"/>
        <v>0</v>
      </c>
      <c r="AJ908" s="222">
        <f t="shared" si="462"/>
        <v>0</v>
      </c>
      <c r="AK908" s="222">
        <f t="shared" si="462"/>
        <v>0</v>
      </c>
      <c r="AL908" s="767">
        <f t="shared" ref="AL908" si="464">AL182</f>
        <v>0</v>
      </c>
      <c r="AM908" s="221">
        <f t="shared" ref="AM908:AO909" si="465">AM182</f>
        <v>0</v>
      </c>
      <c r="AN908" s="222">
        <f t="shared" si="465"/>
        <v>0</v>
      </c>
      <c r="AO908" s="222">
        <f t="shared" si="465"/>
        <v>0</v>
      </c>
      <c r="AP908" s="767">
        <f t="shared" ref="AP908" si="466">AP182</f>
        <v>0</v>
      </c>
      <c r="AQ908" s="221">
        <f t="shared" ref="AQ908:AW909" si="467">AQ182</f>
        <v>0</v>
      </c>
      <c r="AR908" s="222">
        <f t="shared" si="467"/>
        <v>0</v>
      </c>
      <c r="AS908" s="222">
        <f t="shared" si="467"/>
        <v>0</v>
      </c>
      <c r="AT908" s="767">
        <f t="shared" si="467"/>
        <v>0</v>
      </c>
      <c r="AU908" s="221">
        <f t="shared" si="467"/>
        <v>0</v>
      </c>
      <c r="AV908" s="222">
        <f t="shared" si="467"/>
        <v>0</v>
      </c>
      <c r="AW908" s="222">
        <f t="shared" si="467"/>
        <v>0</v>
      </c>
      <c r="AX908" s="767">
        <f t="shared" ref="AX908" si="468">AX182</f>
        <v>0</v>
      </c>
      <c r="AY908" s="221">
        <f t="shared" ref="AY908:BA909" si="469">AY182</f>
        <v>0</v>
      </c>
      <c r="AZ908" s="222">
        <f t="shared" si="469"/>
        <v>0</v>
      </c>
      <c r="BA908" s="222">
        <f t="shared" si="469"/>
        <v>0</v>
      </c>
      <c r="BB908" s="767">
        <f t="shared" ref="BB908" si="470">BB182</f>
        <v>0</v>
      </c>
      <c r="BC908" s="221">
        <f t="shared" ref="BC908:BE909" si="471">BC182</f>
        <v>0</v>
      </c>
      <c r="BD908" s="222">
        <f t="shared" si="471"/>
        <v>0</v>
      </c>
      <c r="BE908" s="222">
        <f t="shared" si="471"/>
        <v>0</v>
      </c>
      <c r="BF908" s="767">
        <f t="shared" ref="BF908" si="472">BF182</f>
        <v>0</v>
      </c>
      <c r="BG908" s="221">
        <f t="shared" ref="BG908:BH909" si="473">BG182</f>
        <v>0</v>
      </c>
      <c r="BH908" s="222">
        <f t="shared" si="473"/>
        <v>0</v>
      </c>
      <c r="BI908" s="222">
        <f>BI182</f>
        <v>0</v>
      </c>
      <c r="BJ908" s="767">
        <f>BJ182</f>
        <v>0</v>
      </c>
      <c r="BK908" s="221">
        <f t="shared" ref="BK908:BM909" si="474">BK182</f>
        <v>0</v>
      </c>
      <c r="BL908" s="222">
        <f t="shared" si="474"/>
        <v>0</v>
      </c>
      <c r="BM908" s="222">
        <f t="shared" si="474"/>
        <v>0</v>
      </c>
      <c r="BN908" s="767">
        <f t="shared" ref="BN908" si="475">BN182</f>
        <v>0</v>
      </c>
      <c r="BO908" s="221">
        <f t="shared" ref="BO908:BV909" si="476">BO182</f>
        <v>0</v>
      </c>
      <c r="BP908" s="222">
        <f t="shared" si="476"/>
        <v>0</v>
      </c>
      <c r="BQ908" s="222">
        <f t="shared" si="476"/>
        <v>0</v>
      </c>
      <c r="BR908" s="767">
        <f t="shared" si="476"/>
        <v>0</v>
      </c>
      <c r="BS908" s="221">
        <f t="shared" si="476"/>
        <v>0</v>
      </c>
      <c r="BT908" s="222">
        <f t="shared" si="476"/>
        <v>0</v>
      </c>
      <c r="BU908" s="222">
        <f t="shared" si="476"/>
        <v>0</v>
      </c>
      <c r="BV908" s="223">
        <f t="shared" si="476"/>
        <v>0</v>
      </c>
      <c r="BW908" s="229"/>
      <c r="BX908" s="215"/>
      <c r="BY908" s="125">
        <f t="shared" si="364"/>
        <v>0</v>
      </c>
      <c r="BZ908" s="126">
        <f t="shared" si="365"/>
        <v>0</v>
      </c>
      <c r="CA908" s="126">
        <f t="shared" si="395"/>
        <v>0</v>
      </c>
      <c r="CB908" s="127">
        <f t="shared" si="396"/>
        <v>0</v>
      </c>
      <c r="CC908" s="768"/>
    </row>
    <row r="909" spans="1:83" s="230" customFormat="1" ht="15.75" customHeight="1" outlineLevel="5" x14ac:dyDescent="0.25">
      <c r="A909" s="215"/>
      <c r="B909" s="215"/>
      <c r="C909" s="216"/>
      <c r="D909" s="216"/>
      <c r="E909" s="216"/>
      <c r="F909" s="216"/>
      <c r="G909" s="216"/>
      <c r="H909" s="216"/>
      <c r="I909" s="216"/>
      <c r="J909" s="215"/>
      <c r="K909" s="217"/>
      <c r="L909" s="216"/>
      <c r="M909" s="215"/>
      <c r="N909" s="215"/>
      <c r="O909" s="215"/>
      <c r="P909" s="215"/>
      <c r="Q909" s="215"/>
      <c r="R909" s="215"/>
      <c r="S909" s="215"/>
      <c r="T909" s="215"/>
      <c r="U909" s="215"/>
      <c r="V909" s="215"/>
      <c r="W909" s="215"/>
      <c r="X909" s="215"/>
      <c r="Y909" s="215"/>
      <c r="Z909" s="215"/>
      <c r="AA909" s="215"/>
      <c r="AB909" s="218"/>
      <c r="AC909" s="219" t="s">
        <v>257</v>
      </c>
      <c r="AD909" s="220" t="s">
        <v>247</v>
      </c>
      <c r="AE909" s="221">
        <f t="shared" si="462"/>
        <v>62.38</v>
      </c>
      <c r="AF909" s="222">
        <f t="shared" si="462"/>
        <v>62.38</v>
      </c>
      <c r="AG909" s="222">
        <f t="shared" si="462"/>
        <v>62.38</v>
      </c>
      <c r="AH909" s="767">
        <f t="shared" ref="AH909" si="477">AH183</f>
        <v>0</v>
      </c>
      <c r="AI909" s="221">
        <f t="shared" si="462"/>
        <v>0</v>
      </c>
      <c r="AJ909" s="222">
        <f t="shared" si="462"/>
        <v>0</v>
      </c>
      <c r="AK909" s="222">
        <f t="shared" si="462"/>
        <v>0</v>
      </c>
      <c r="AL909" s="767">
        <f t="shared" ref="AL909" si="478">AL183</f>
        <v>0</v>
      </c>
      <c r="AM909" s="221">
        <f t="shared" si="465"/>
        <v>0</v>
      </c>
      <c r="AN909" s="222">
        <f t="shared" si="465"/>
        <v>0</v>
      </c>
      <c r="AO909" s="222">
        <f t="shared" si="465"/>
        <v>0</v>
      </c>
      <c r="AP909" s="767">
        <f t="shared" ref="AP909" si="479">AP183</f>
        <v>0</v>
      </c>
      <c r="AQ909" s="221">
        <f t="shared" si="467"/>
        <v>0</v>
      </c>
      <c r="AR909" s="222">
        <f t="shared" si="467"/>
        <v>0</v>
      </c>
      <c r="AS909" s="222">
        <f t="shared" si="467"/>
        <v>0</v>
      </c>
      <c r="AT909" s="767">
        <f t="shared" si="467"/>
        <v>0</v>
      </c>
      <c r="AU909" s="221">
        <f t="shared" si="467"/>
        <v>0</v>
      </c>
      <c r="AV909" s="222">
        <f t="shared" si="467"/>
        <v>0</v>
      </c>
      <c r="AW909" s="222">
        <f t="shared" si="467"/>
        <v>0</v>
      </c>
      <c r="AX909" s="767">
        <f t="shared" ref="AX909" si="480">AX183</f>
        <v>0</v>
      </c>
      <c r="AY909" s="221">
        <f t="shared" si="469"/>
        <v>0</v>
      </c>
      <c r="AZ909" s="222">
        <f t="shared" si="469"/>
        <v>0</v>
      </c>
      <c r="BA909" s="222">
        <f t="shared" si="469"/>
        <v>0</v>
      </c>
      <c r="BB909" s="767">
        <f t="shared" ref="BB909" si="481">BB183</f>
        <v>0</v>
      </c>
      <c r="BC909" s="221">
        <f t="shared" si="471"/>
        <v>0</v>
      </c>
      <c r="BD909" s="222">
        <f t="shared" si="471"/>
        <v>0</v>
      </c>
      <c r="BE909" s="222">
        <f t="shared" si="471"/>
        <v>0</v>
      </c>
      <c r="BF909" s="767">
        <f t="shared" ref="BF909" si="482">BF183</f>
        <v>0</v>
      </c>
      <c r="BG909" s="221">
        <f t="shared" si="473"/>
        <v>0</v>
      </c>
      <c r="BH909" s="222">
        <f t="shared" si="473"/>
        <v>0</v>
      </c>
      <c r="BI909" s="222">
        <f>BI183</f>
        <v>0</v>
      </c>
      <c r="BJ909" s="767">
        <f>BJ183</f>
        <v>0</v>
      </c>
      <c r="BK909" s="221">
        <f t="shared" si="474"/>
        <v>0</v>
      </c>
      <c r="BL909" s="222">
        <f t="shared" si="474"/>
        <v>0</v>
      </c>
      <c r="BM909" s="222">
        <f t="shared" si="474"/>
        <v>0</v>
      </c>
      <c r="BN909" s="767">
        <f t="shared" ref="BN909" si="483">BN183</f>
        <v>0</v>
      </c>
      <c r="BO909" s="221">
        <f t="shared" si="476"/>
        <v>0</v>
      </c>
      <c r="BP909" s="222">
        <f t="shared" si="476"/>
        <v>0</v>
      </c>
      <c r="BQ909" s="222">
        <f t="shared" si="476"/>
        <v>0</v>
      </c>
      <c r="BR909" s="767">
        <f t="shared" si="476"/>
        <v>0</v>
      </c>
      <c r="BS909" s="221">
        <f t="shared" si="476"/>
        <v>0</v>
      </c>
      <c r="BT909" s="222">
        <f t="shared" si="476"/>
        <v>0</v>
      </c>
      <c r="BU909" s="222">
        <f t="shared" si="476"/>
        <v>0</v>
      </c>
      <c r="BV909" s="223">
        <f t="shared" si="476"/>
        <v>0</v>
      </c>
      <c r="BW909" s="229"/>
      <c r="BX909" s="215"/>
      <c r="BY909" s="125">
        <f t="shared" si="364"/>
        <v>62.38</v>
      </c>
      <c r="BZ909" s="126">
        <f t="shared" si="365"/>
        <v>62.38</v>
      </c>
      <c r="CA909" s="126">
        <f t="shared" si="395"/>
        <v>62.38</v>
      </c>
      <c r="CB909" s="127">
        <f t="shared" si="396"/>
        <v>0</v>
      </c>
      <c r="CC909" s="768"/>
    </row>
    <row r="910" spans="1:83" s="230" customFormat="1" ht="15.75" customHeight="1" outlineLevel="5" x14ac:dyDescent="0.25">
      <c r="A910" s="215"/>
      <c r="B910" s="215"/>
      <c r="C910" s="216"/>
      <c r="D910" s="216"/>
      <c r="E910" s="216"/>
      <c r="F910" s="216"/>
      <c r="G910" s="216"/>
      <c r="H910" s="216"/>
      <c r="I910" s="216"/>
      <c r="J910" s="215"/>
      <c r="K910" s="217"/>
      <c r="L910" s="216"/>
      <c r="M910" s="215"/>
      <c r="N910" s="215"/>
      <c r="O910" s="215"/>
      <c r="P910" s="215"/>
      <c r="Q910" s="215"/>
      <c r="R910" s="215"/>
      <c r="S910" s="215"/>
      <c r="T910" s="215"/>
      <c r="U910" s="215"/>
      <c r="V910" s="215"/>
      <c r="W910" s="215"/>
      <c r="X910" s="215"/>
      <c r="Y910" s="215"/>
      <c r="Z910" s="215"/>
      <c r="AA910" s="215"/>
      <c r="AB910" s="218"/>
      <c r="AC910" s="219" t="s">
        <v>258</v>
      </c>
      <c r="AD910" s="220" t="s">
        <v>247</v>
      </c>
      <c r="AE910" s="221">
        <f t="shared" ref="AE910:AK910" si="484">AE184+AE553</f>
        <v>303.68</v>
      </c>
      <c r="AF910" s="222">
        <f t="shared" si="484"/>
        <v>303.68</v>
      </c>
      <c r="AG910" s="222">
        <f t="shared" si="484"/>
        <v>314.10000000000002</v>
      </c>
      <c r="AH910" s="767">
        <f t="shared" ref="AH910" si="485">AH184+AH553</f>
        <v>0</v>
      </c>
      <c r="AI910" s="221">
        <f t="shared" si="484"/>
        <v>0</v>
      </c>
      <c r="AJ910" s="222">
        <f t="shared" si="484"/>
        <v>0</v>
      </c>
      <c r="AK910" s="222">
        <f t="shared" si="484"/>
        <v>0</v>
      </c>
      <c r="AL910" s="767">
        <f t="shared" ref="AL910" si="486">AL184+AL553</f>
        <v>0</v>
      </c>
      <c r="AM910" s="221">
        <f>AM184+AM553</f>
        <v>0</v>
      </c>
      <c r="AN910" s="222">
        <f>AN184+AN553</f>
        <v>0</v>
      </c>
      <c r="AO910" s="222">
        <f>AO184+AO553</f>
        <v>0</v>
      </c>
      <c r="AP910" s="767">
        <f>AP184+AP553</f>
        <v>0</v>
      </c>
      <c r="AQ910" s="221">
        <f t="shared" ref="AQ910:AW910" si="487">AQ184+AQ553</f>
        <v>0</v>
      </c>
      <c r="AR910" s="222">
        <f t="shared" si="487"/>
        <v>0</v>
      </c>
      <c r="AS910" s="222">
        <f t="shared" si="487"/>
        <v>0</v>
      </c>
      <c r="AT910" s="767">
        <f t="shared" si="487"/>
        <v>0</v>
      </c>
      <c r="AU910" s="221">
        <f t="shared" si="487"/>
        <v>0</v>
      </c>
      <c r="AV910" s="222">
        <f t="shared" si="487"/>
        <v>0</v>
      </c>
      <c r="AW910" s="222">
        <f t="shared" si="487"/>
        <v>0</v>
      </c>
      <c r="AX910" s="767">
        <f t="shared" ref="AX910" si="488">AX184+AX553</f>
        <v>0</v>
      </c>
      <c r="AY910" s="221">
        <f t="shared" ref="AY910:BN910" si="489">AY184+AY553</f>
        <v>0</v>
      </c>
      <c r="AZ910" s="222">
        <f t="shared" si="489"/>
        <v>0</v>
      </c>
      <c r="BA910" s="222">
        <f t="shared" si="489"/>
        <v>0</v>
      </c>
      <c r="BB910" s="767">
        <f t="shared" si="489"/>
        <v>0</v>
      </c>
      <c r="BC910" s="221">
        <f t="shared" si="489"/>
        <v>0</v>
      </c>
      <c r="BD910" s="222">
        <f t="shared" si="489"/>
        <v>0</v>
      </c>
      <c r="BE910" s="222">
        <f t="shared" si="489"/>
        <v>0</v>
      </c>
      <c r="BF910" s="767">
        <f t="shared" si="489"/>
        <v>0</v>
      </c>
      <c r="BG910" s="221">
        <f t="shared" si="489"/>
        <v>0</v>
      </c>
      <c r="BH910" s="222">
        <f t="shared" si="489"/>
        <v>0</v>
      </c>
      <c r="BI910" s="222">
        <f t="shared" si="489"/>
        <v>0</v>
      </c>
      <c r="BJ910" s="767">
        <f t="shared" si="489"/>
        <v>0</v>
      </c>
      <c r="BK910" s="221">
        <f t="shared" si="489"/>
        <v>0</v>
      </c>
      <c r="BL910" s="222">
        <f t="shared" si="489"/>
        <v>0</v>
      </c>
      <c r="BM910" s="222">
        <f t="shared" si="489"/>
        <v>0</v>
      </c>
      <c r="BN910" s="767">
        <f t="shared" si="489"/>
        <v>0</v>
      </c>
      <c r="BO910" s="221">
        <f t="shared" ref="BO910:BV910" si="490">BO184+BO553</f>
        <v>0</v>
      </c>
      <c r="BP910" s="222">
        <f t="shared" si="490"/>
        <v>0</v>
      </c>
      <c r="BQ910" s="222">
        <f t="shared" si="490"/>
        <v>0</v>
      </c>
      <c r="BR910" s="767">
        <f t="shared" si="490"/>
        <v>0</v>
      </c>
      <c r="BS910" s="221">
        <f t="shared" si="490"/>
        <v>0</v>
      </c>
      <c r="BT910" s="222">
        <f t="shared" si="490"/>
        <v>0</v>
      </c>
      <c r="BU910" s="222">
        <f t="shared" si="490"/>
        <v>0</v>
      </c>
      <c r="BV910" s="223">
        <f t="shared" si="490"/>
        <v>0</v>
      </c>
      <c r="BW910" s="229"/>
      <c r="BX910" s="215"/>
      <c r="BY910" s="125">
        <f t="shared" si="364"/>
        <v>303.68</v>
      </c>
      <c r="BZ910" s="126">
        <f t="shared" si="365"/>
        <v>303.68</v>
      </c>
      <c r="CA910" s="126">
        <f t="shared" si="395"/>
        <v>314.10000000000002</v>
      </c>
      <c r="CB910" s="127">
        <f t="shared" si="396"/>
        <v>0</v>
      </c>
      <c r="CC910" s="768"/>
    </row>
    <row r="911" spans="1:83" s="230" customFormat="1" ht="15.75" customHeight="1" outlineLevel="5" x14ac:dyDescent="0.25">
      <c r="A911" s="215"/>
      <c r="B911" s="215"/>
      <c r="C911" s="216"/>
      <c r="D911" s="216"/>
      <c r="E911" s="216"/>
      <c r="F911" s="216"/>
      <c r="G911" s="216"/>
      <c r="H911" s="216"/>
      <c r="I911" s="216"/>
      <c r="J911" s="215"/>
      <c r="K911" s="217"/>
      <c r="L911" s="216"/>
      <c r="M911" s="215"/>
      <c r="N911" s="215"/>
      <c r="O911" s="215"/>
      <c r="P911" s="215"/>
      <c r="Q911" s="215"/>
      <c r="R911" s="215"/>
      <c r="S911" s="215"/>
      <c r="T911" s="215"/>
      <c r="U911" s="215"/>
      <c r="V911" s="215"/>
      <c r="W911" s="215"/>
      <c r="X911" s="215"/>
      <c r="Y911" s="215"/>
      <c r="Z911" s="215"/>
      <c r="AA911" s="215"/>
      <c r="AB911" s="218"/>
      <c r="AC911" s="219" t="s">
        <v>259</v>
      </c>
      <c r="AD911" s="220" t="s">
        <v>247</v>
      </c>
      <c r="AE911" s="221">
        <f t="shared" ref="AE911:AK911" si="491">AE185</f>
        <v>2.86</v>
      </c>
      <c r="AF911" s="222">
        <f t="shared" si="491"/>
        <v>2.86</v>
      </c>
      <c r="AG911" s="222">
        <f t="shared" si="491"/>
        <v>2.86</v>
      </c>
      <c r="AH911" s="767">
        <f t="shared" ref="AH911" si="492">AH185</f>
        <v>0</v>
      </c>
      <c r="AI911" s="221">
        <f t="shared" si="491"/>
        <v>0</v>
      </c>
      <c r="AJ911" s="222">
        <f t="shared" si="491"/>
        <v>0</v>
      </c>
      <c r="AK911" s="222">
        <f t="shared" si="491"/>
        <v>0</v>
      </c>
      <c r="AL911" s="767">
        <f t="shared" ref="AL911" si="493">AL185</f>
        <v>0</v>
      </c>
      <c r="AM911" s="221">
        <f>AM185</f>
        <v>0</v>
      </c>
      <c r="AN911" s="222">
        <f>AN185</f>
        <v>0</v>
      </c>
      <c r="AO911" s="222">
        <f>AO185</f>
        <v>0</v>
      </c>
      <c r="AP911" s="767">
        <f>AP185</f>
        <v>0</v>
      </c>
      <c r="AQ911" s="221">
        <f t="shared" ref="AQ911:AW911" si="494">AQ185</f>
        <v>0</v>
      </c>
      <c r="AR911" s="222">
        <f t="shared" si="494"/>
        <v>0</v>
      </c>
      <c r="AS911" s="222">
        <f t="shared" si="494"/>
        <v>0</v>
      </c>
      <c r="AT911" s="767">
        <f t="shared" si="494"/>
        <v>0</v>
      </c>
      <c r="AU911" s="221">
        <f t="shared" si="494"/>
        <v>0</v>
      </c>
      <c r="AV911" s="222">
        <f t="shared" si="494"/>
        <v>0</v>
      </c>
      <c r="AW911" s="222">
        <f t="shared" si="494"/>
        <v>0</v>
      </c>
      <c r="AX911" s="767">
        <f t="shared" ref="AX911" si="495">AX185</f>
        <v>0</v>
      </c>
      <c r="AY911" s="221">
        <f t="shared" ref="AY911:BN911" si="496">AY185</f>
        <v>0</v>
      </c>
      <c r="AZ911" s="222">
        <f t="shared" si="496"/>
        <v>0</v>
      </c>
      <c r="BA911" s="222">
        <f t="shared" si="496"/>
        <v>0</v>
      </c>
      <c r="BB911" s="767">
        <f t="shared" si="496"/>
        <v>0</v>
      </c>
      <c r="BC911" s="221">
        <f t="shared" si="496"/>
        <v>0</v>
      </c>
      <c r="BD911" s="222">
        <f t="shared" si="496"/>
        <v>0</v>
      </c>
      <c r="BE911" s="222">
        <f t="shared" si="496"/>
        <v>0</v>
      </c>
      <c r="BF911" s="767">
        <f t="shared" si="496"/>
        <v>0</v>
      </c>
      <c r="BG911" s="221">
        <f t="shared" si="496"/>
        <v>0</v>
      </c>
      <c r="BH911" s="222">
        <f t="shared" si="496"/>
        <v>0</v>
      </c>
      <c r="BI911" s="222">
        <f t="shared" si="496"/>
        <v>0</v>
      </c>
      <c r="BJ911" s="767">
        <f t="shared" si="496"/>
        <v>0</v>
      </c>
      <c r="BK911" s="221">
        <f t="shared" si="496"/>
        <v>0</v>
      </c>
      <c r="BL911" s="222">
        <f t="shared" si="496"/>
        <v>0</v>
      </c>
      <c r="BM911" s="222">
        <f t="shared" si="496"/>
        <v>0</v>
      </c>
      <c r="BN911" s="767">
        <f t="shared" si="496"/>
        <v>0</v>
      </c>
      <c r="BO911" s="221">
        <f t="shared" ref="BO911:BV911" si="497">BO185</f>
        <v>0</v>
      </c>
      <c r="BP911" s="222">
        <f t="shared" si="497"/>
        <v>0</v>
      </c>
      <c r="BQ911" s="222">
        <f t="shared" si="497"/>
        <v>0</v>
      </c>
      <c r="BR911" s="767">
        <f t="shared" si="497"/>
        <v>0</v>
      </c>
      <c r="BS911" s="221">
        <f t="shared" si="497"/>
        <v>0</v>
      </c>
      <c r="BT911" s="222">
        <f t="shared" si="497"/>
        <v>0</v>
      </c>
      <c r="BU911" s="222">
        <f t="shared" si="497"/>
        <v>0</v>
      </c>
      <c r="BV911" s="223">
        <f t="shared" si="497"/>
        <v>0</v>
      </c>
      <c r="BW911" s="229"/>
      <c r="BX911" s="215"/>
      <c r="BY911" s="125">
        <f t="shared" si="364"/>
        <v>2.86</v>
      </c>
      <c r="BZ911" s="126">
        <f t="shared" si="365"/>
        <v>2.86</v>
      </c>
      <c r="CA911" s="126">
        <f t="shared" si="395"/>
        <v>2.86</v>
      </c>
      <c r="CB911" s="127">
        <f t="shared" si="396"/>
        <v>0</v>
      </c>
      <c r="CC911" s="768"/>
    </row>
    <row r="912" spans="1:83" s="230" customFormat="1" ht="15.75" customHeight="1" outlineLevel="5" x14ac:dyDescent="0.25">
      <c r="A912" s="215"/>
      <c r="B912" s="215"/>
      <c r="C912" s="216"/>
      <c r="D912" s="216"/>
      <c r="E912" s="216"/>
      <c r="F912" s="216"/>
      <c r="G912" s="216"/>
      <c r="H912" s="216"/>
      <c r="I912" s="216"/>
      <c r="J912" s="215"/>
      <c r="K912" s="217"/>
      <c r="L912" s="216"/>
      <c r="M912" s="215"/>
      <c r="N912" s="215"/>
      <c r="O912" s="215"/>
      <c r="P912" s="215"/>
      <c r="Q912" s="215"/>
      <c r="R912" s="215"/>
      <c r="S912" s="215"/>
      <c r="T912" s="215"/>
      <c r="U912" s="215"/>
      <c r="V912" s="215"/>
      <c r="W912" s="215"/>
      <c r="X912" s="215"/>
      <c r="Y912" s="215"/>
      <c r="Z912" s="215"/>
      <c r="AA912" s="215"/>
      <c r="AB912" s="218"/>
      <c r="AC912" s="219" t="s">
        <v>260</v>
      </c>
      <c r="AD912" s="220" t="s">
        <v>247</v>
      </c>
      <c r="AE912" s="221">
        <f>AE186+AE554</f>
        <v>92.35</v>
      </c>
      <c r="AF912" s="222">
        <f>AF186+AF554</f>
        <v>92.35</v>
      </c>
      <c r="AG912" s="222">
        <f>AG186+AG554-0.01</f>
        <v>101.41</v>
      </c>
      <c r="AH912" s="767">
        <f>AH186+AH554-0.01</f>
        <v>-0.01</v>
      </c>
      <c r="AI912" s="221">
        <f t="shared" ref="AI912:AP912" si="498">AI186+AI554</f>
        <v>0</v>
      </c>
      <c r="AJ912" s="222">
        <f t="shared" si="498"/>
        <v>0</v>
      </c>
      <c r="AK912" s="222">
        <f t="shared" si="498"/>
        <v>0</v>
      </c>
      <c r="AL912" s="767">
        <f t="shared" si="498"/>
        <v>0</v>
      </c>
      <c r="AM912" s="221">
        <f t="shared" si="498"/>
        <v>0</v>
      </c>
      <c r="AN912" s="222">
        <f t="shared" si="498"/>
        <v>0</v>
      </c>
      <c r="AO912" s="222">
        <f t="shared" si="498"/>
        <v>0</v>
      </c>
      <c r="AP912" s="767">
        <f t="shared" si="498"/>
        <v>0</v>
      </c>
      <c r="AQ912" s="221">
        <f t="shared" ref="AQ912:AW912" si="499">AQ186+AQ554</f>
        <v>0</v>
      </c>
      <c r="AR912" s="222">
        <f t="shared" si="499"/>
        <v>0</v>
      </c>
      <c r="AS912" s="222">
        <f t="shared" si="499"/>
        <v>0</v>
      </c>
      <c r="AT912" s="767">
        <f t="shared" si="499"/>
        <v>0</v>
      </c>
      <c r="AU912" s="221">
        <f t="shared" si="499"/>
        <v>0</v>
      </c>
      <c r="AV912" s="222">
        <f t="shared" si="499"/>
        <v>0</v>
      </c>
      <c r="AW912" s="222">
        <f t="shared" si="499"/>
        <v>0</v>
      </c>
      <c r="AX912" s="767">
        <f t="shared" ref="AX912" si="500">AX186+AX554</f>
        <v>0</v>
      </c>
      <c r="AY912" s="221">
        <f t="shared" ref="AY912:BN912" si="501">AY186+AY554</f>
        <v>0</v>
      </c>
      <c r="AZ912" s="222">
        <f t="shared" si="501"/>
        <v>0</v>
      </c>
      <c r="BA912" s="222">
        <f t="shared" si="501"/>
        <v>0</v>
      </c>
      <c r="BB912" s="767">
        <f t="shared" si="501"/>
        <v>0</v>
      </c>
      <c r="BC912" s="221">
        <f t="shared" si="501"/>
        <v>0</v>
      </c>
      <c r="BD912" s="222">
        <f t="shared" si="501"/>
        <v>0</v>
      </c>
      <c r="BE912" s="222">
        <f t="shared" si="501"/>
        <v>0</v>
      </c>
      <c r="BF912" s="767">
        <f t="shared" si="501"/>
        <v>0</v>
      </c>
      <c r="BG912" s="221">
        <f t="shared" si="501"/>
        <v>0</v>
      </c>
      <c r="BH912" s="222">
        <f t="shared" si="501"/>
        <v>0</v>
      </c>
      <c r="BI912" s="222">
        <f t="shared" si="501"/>
        <v>0</v>
      </c>
      <c r="BJ912" s="767">
        <f t="shared" si="501"/>
        <v>0</v>
      </c>
      <c r="BK912" s="221">
        <f t="shared" si="501"/>
        <v>0</v>
      </c>
      <c r="BL912" s="222">
        <f t="shared" si="501"/>
        <v>0</v>
      </c>
      <c r="BM912" s="222">
        <f t="shared" si="501"/>
        <v>0</v>
      </c>
      <c r="BN912" s="767">
        <f t="shared" si="501"/>
        <v>0</v>
      </c>
      <c r="BO912" s="221">
        <f t="shared" ref="BO912:BV912" si="502">BO186+BO554</f>
        <v>0</v>
      </c>
      <c r="BP912" s="222">
        <f t="shared" si="502"/>
        <v>0</v>
      </c>
      <c r="BQ912" s="222">
        <f t="shared" si="502"/>
        <v>0</v>
      </c>
      <c r="BR912" s="767">
        <f t="shared" si="502"/>
        <v>0</v>
      </c>
      <c r="BS912" s="221">
        <f t="shared" si="502"/>
        <v>0</v>
      </c>
      <c r="BT912" s="222">
        <f t="shared" si="502"/>
        <v>0</v>
      </c>
      <c r="BU912" s="222">
        <f t="shared" si="502"/>
        <v>0</v>
      </c>
      <c r="BV912" s="223">
        <f t="shared" si="502"/>
        <v>0</v>
      </c>
      <c r="BW912" s="229"/>
      <c r="BX912" s="215"/>
      <c r="BY912" s="125">
        <f t="shared" si="364"/>
        <v>92.35</v>
      </c>
      <c r="BZ912" s="126">
        <f t="shared" si="365"/>
        <v>92.35</v>
      </c>
      <c r="CA912" s="126">
        <f t="shared" si="395"/>
        <v>101.41</v>
      </c>
      <c r="CB912" s="127">
        <f t="shared" si="396"/>
        <v>-0.01</v>
      </c>
      <c r="CC912" s="768"/>
    </row>
    <row r="913" spans="1:81" s="230" customFormat="1" ht="15.75" customHeight="1" outlineLevel="5" x14ac:dyDescent="0.25">
      <c r="A913" s="215"/>
      <c r="B913" s="215"/>
      <c r="C913" s="216"/>
      <c r="D913" s="216"/>
      <c r="E913" s="216"/>
      <c r="F913" s="216"/>
      <c r="G913" s="216"/>
      <c r="H913" s="216"/>
      <c r="I913" s="216"/>
      <c r="J913" s="215"/>
      <c r="K913" s="217"/>
      <c r="L913" s="216"/>
      <c r="M913" s="215"/>
      <c r="N913" s="215"/>
      <c r="O913" s="215"/>
      <c r="P913" s="215"/>
      <c r="Q913" s="215"/>
      <c r="R913" s="215"/>
      <c r="S913" s="215"/>
      <c r="T913" s="215"/>
      <c r="U913" s="215"/>
      <c r="V913" s="215"/>
      <c r="W913" s="215"/>
      <c r="X913" s="215"/>
      <c r="Y913" s="215"/>
      <c r="Z913" s="215"/>
      <c r="AA913" s="215"/>
      <c r="AB913" s="218"/>
      <c r="AC913" s="219" t="s">
        <v>261</v>
      </c>
      <c r="AD913" s="220" t="s">
        <v>247</v>
      </c>
      <c r="AE913" s="221">
        <f t="shared" ref="AE913:AK913" si="503">AE187+AE543+AE547</f>
        <v>2059.5100000000002</v>
      </c>
      <c r="AF913" s="222">
        <f t="shared" si="503"/>
        <v>1469.17</v>
      </c>
      <c r="AG913" s="222">
        <f t="shared" si="503"/>
        <v>2254.17</v>
      </c>
      <c r="AH913" s="767">
        <f t="shared" ref="AH913" si="504">AH187+AH543+AH547</f>
        <v>0</v>
      </c>
      <c r="AI913" s="221">
        <f t="shared" si="503"/>
        <v>0</v>
      </c>
      <c r="AJ913" s="222">
        <f t="shared" si="503"/>
        <v>0</v>
      </c>
      <c r="AK913" s="222">
        <f t="shared" si="503"/>
        <v>0</v>
      </c>
      <c r="AL913" s="767">
        <f t="shared" ref="AL913" si="505">AL187+AL543+AL547</f>
        <v>0</v>
      </c>
      <c r="AM913" s="221">
        <f>AM187+AM543+AM547</f>
        <v>0</v>
      </c>
      <c r="AN913" s="222">
        <f>AN187+AN543+AN547</f>
        <v>0</v>
      </c>
      <c r="AO913" s="222">
        <f>AO187+AO543+AO547</f>
        <v>0</v>
      </c>
      <c r="AP913" s="767">
        <f>AP187+AP543+AP547</f>
        <v>0</v>
      </c>
      <c r="AQ913" s="221">
        <f t="shared" ref="AQ913:AW913" si="506">AQ187+AQ543+AQ547</f>
        <v>0</v>
      </c>
      <c r="AR913" s="222">
        <f t="shared" si="506"/>
        <v>0</v>
      </c>
      <c r="AS913" s="222">
        <f t="shared" si="506"/>
        <v>0</v>
      </c>
      <c r="AT913" s="767">
        <f t="shared" si="506"/>
        <v>0</v>
      </c>
      <c r="AU913" s="221">
        <f t="shared" si="506"/>
        <v>0</v>
      </c>
      <c r="AV913" s="222">
        <f t="shared" si="506"/>
        <v>0</v>
      </c>
      <c r="AW913" s="222">
        <f t="shared" si="506"/>
        <v>0</v>
      </c>
      <c r="AX913" s="767">
        <f t="shared" ref="AX913" si="507">AX187+AX543+AX547</f>
        <v>0</v>
      </c>
      <c r="AY913" s="221">
        <f t="shared" ref="AY913:BN913" si="508">AY187+AY543+AY547</f>
        <v>0</v>
      </c>
      <c r="AZ913" s="222">
        <f t="shared" si="508"/>
        <v>0</v>
      </c>
      <c r="BA913" s="222">
        <f t="shared" si="508"/>
        <v>0</v>
      </c>
      <c r="BB913" s="767">
        <f t="shared" si="508"/>
        <v>0</v>
      </c>
      <c r="BC913" s="221">
        <f t="shared" si="508"/>
        <v>0</v>
      </c>
      <c r="BD913" s="222">
        <f t="shared" si="508"/>
        <v>0</v>
      </c>
      <c r="BE913" s="222">
        <f t="shared" si="508"/>
        <v>0</v>
      </c>
      <c r="BF913" s="767">
        <f t="shared" si="508"/>
        <v>0</v>
      </c>
      <c r="BG913" s="221">
        <f t="shared" si="508"/>
        <v>0</v>
      </c>
      <c r="BH913" s="222">
        <f t="shared" si="508"/>
        <v>0</v>
      </c>
      <c r="BI913" s="222">
        <f t="shared" si="508"/>
        <v>0</v>
      </c>
      <c r="BJ913" s="767">
        <f t="shared" si="508"/>
        <v>0</v>
      </c>
      <c r="BK913" s="221">
        <f t="shared" si="508"/>
        <v>0</v>
      </c>
      <c r="BL913" s="222">
        <f t="shared" si="508"/>
        <v>0</v>
      </c>
      <c r="BM913" s="222">
        <f t="shared" si="508"/>
        <v>0</v>
      </c>
      <c r="BN913" s="767">
        <f t="shared" si="508"/>
        <v>0</v>
      </c>
      <c r="BO913" s="221">
        <f t="shared" ref="BO913:BV913" si="509">BO187+BO543+BO547</f>
        <v>0</v>
      </c>
      <c r="BP913" s="222">
        <f t="shared" si="509"/>
        <v>0</v>
      </c>
      <c r="BQ913" s="222">
        <f t="shared" si="509"/>
        <v>0</v>
      </c>
      <c r="BR913" s="767">
        <f t="shared" si="509"/>
        <v>0</v>
      </c>
      <c r="BS913" s="221">
        <f t="shared" si="509"/>
        <v>0</v>
      </c>
      <c r="BT913" s="222">
        <f t="shared" si="509"/>
        <v>0</v>
      </c>
      <c r="BU913" s="222">
        <f t="shared" si="509"/>
        <v>0</v>
      </c>
      <c r="BV913" s="223">
        <f t="shared" si="509"/>
        <v>0</v>
      </c>
      <c r="BW913" s="229"/>
      <c r="BX913" s="215"/>
      <c r="BY913" s="125">
        <f t="shared" si="364"/>
        <v>2059.5100000000002</v>
      </c>
      <c r="BZ913" s="126">
        <f t="shared" si="365"/>
        <v>1469.17</v>
      </c>
      <c r="CA913" s="126">
        <f t="shared" si="395"/>
        <v>2254.17</v>
      </c>
      <c r="CB913" s="127">
        <f t="shared" si="396"/>
        <v>0</v>
      </c>
      <c r="CC913" s="768"/>
    </row>
    <row r="914" spans="1:81" s="230" customFormat="1" ht="15.75" customHeight="1" outlineLevel="5" x14ac:dyDescent="0.25">
      <c r="A914" s="215"/>
      <c r="B914" s="215"/>
      <c r="C914" s="216"/>
      <c r="D914" s="216"/>
      <c r="E914" s="216"/>
      <c r="F914" s="216"/>
      <c r="G914" s="216"/>
      <c r="H914" s="216"/>
      <c r="I914" s="216"/>
      <c r="J914" s="215"/>
      <c r="K914" s="217"/>
      <c r="L914" s="216"/>
      <c r="M914" s="215"/>
      <c r="N914" s="215"/>
      <c r="O914" s="215"/>
      <c r="P914" s="215"/>
      <c r="Q914" s="215"/>
      <c r="R914" s="215"/>
      <c r="S914" s="215"/>
      <c r="T914" s="215"/>
      <c r="U914" s="215"/>
      <c r="V914" s="215"/>
      <c r="W914" s="215"/>
      <c r="X914" s="215"/>
      <c r="Y914" s="215"/>
      <c r="Z914" s="215"/>
      <c r="AA914" s="215"/>
      <c r="AB914" s="218"/>
      <c r="AC914" s="219" t="s">
        <v>262</v>
      </c>
      <c r="AD914" s="220" t="s">
        <v>247</v>
      </c>
      <c r="AE914" s="221">
        <f t="shared" ref="AE914:AK917" si="510">AE188</f>
        <v>0</v>
      </c>
      <c r="AF914" s="222">
        <f t="shared" si="510"/>
        <v>0</v>
      </c>
      <c r="AG914" s="222">
        <f t="shared" si="510"/>
        <v>0</v>
      </c>
      <c r="AH914" s="767">
        <f t="shared" ref="AH914" si="511">AH188</f>
        <v>0</v>
      </c>
      <c r="AI914" s="221">
        <f t="shared" si="510"/>
        <v>0</v>
      </c>
      <c r="AJ914" s="222">
        <f t="shared" si="510"/>
        <v>0</v>
      </c>
      <c r="AK914" s="222">
        <f t="shared" si="510"/>
        <v>0</v>
      </c>
      <c r="AL914" s="767">
        <f t="shared" ref="AL914" si="512">AL188</f>
        <v>0</v>
      </c>
      <c r="AM914" s="221">
        <f t="shared" ref="AM914:AO917" si="513">AM188</f>
        <v>0</v>
      </c>
      <c r="AN914" s="222">
        <f t="shared" si="513"/>
        <v>0</v>
      </c>
      <c r="AO914" s="222">
        <f t="shared" si="513"/>
        <v>0</v>
      </c>
      <c r="AP914" s="767">
        <f t="shared" ref="AP914" si="514">AP188</f>
        <v>0</v>
      </c>
      <c r="AQ914" s="221">
        <f t="shared" ref="AQ914:AW917" si="515">AQ188</f>
        <v>0</v>
      </c>
      <c r="AR914" s="222">
        <f t="shared" si="515"/>
        <v>0</v>
      </c>
      <c r="AS914" s="222">
        <f t="shared" si="515"/>
        <v>0</v>
      </c>
      <c r="AT914" s="767">
        <f t="shared" si="515"/>
        <v>0</v>
      </c>
      <c r="AU914" s="221">
        <f t="shared" si="515"/>
        <v>0</v>
      </c>
      <c r="AV914" s="222">
        <f t="shared" si="515"/>
        <v>0</v>
      </c>
      <c r="AW914" s="222">
        <f t="shared" si="515"/>
        <v>0</v>
      </c>
      <c r="AX914" s="767">
        <f t="shared" ref="AX914" si="516">AX188</f>
        <v>0</v>
      </c>
      <c r="AY914" s="221">
        <f t="shared" ref="AY914:BA917" si="517">AY188</f>
        <v>0</v>
      </c>
      <c r="AZ914" s="222">
        <f t="shared" si="517"/>
        <v>0</v>
      </c>
      <c r="BA914" s="222">
        <f t="shared" si="517"/>
        <v>0</v>
      </c>
      <c r="BB914" s="767">
        <f t="shared" ref="BB914" si="518">BB188</f>
        <v>0</v>
      </c>
      <c r="BC914" s="221">
        <f t="shared" ref="BC914:BE917" si="519">BC188</f>
        <v>0</v>
      </c>
      <c r="BD914" s="222">
        <f t="shared" si="519"/>
        <v>0</v>
      </c>
      <c r="BE914" s="222">
        <f t="shared" si="519"/>
        <v>0</v>
      </c>
      <c r="BF914" s="767">
        <f t="shared" ref="BF914" si="520">BF188</f>
        <v>0</v>
      </c>
      <c r="BG914" s="221">
        <f t="shared" ref="BG914:BH917" si="521">BG188</f>
        <v>0</v>
      </c>
      <c r="BH914" s="222">
        <f t="shared" si="521"/>
        <v>0</v>
      </c>
      <c r="BI914" s="222">
        <f t="shared" ref="BI914:BJ917" si="522">BI188</f>
        <v>0</v>
      </c>
      <c r="BJ914" s="767">
        <f t="shared" si="522"/>
        <v>0</v>
      </c>
      <c r="BK914" s="221">
        <f t="shared" ref="BK914:BM917" si="523">BK188</f>
        <v>0</v>
      </c>
      <c r="BL914" s="222">
        <f t="shared" si="523"/>
        <v>0</v>
      </c>
      <c r="BM914" s="222">
        <f t="shared" si="523"/>
        <v>0</v>
      </c>
      <c r="BN914" s="767">
        <f t="shared" ref="BN914" si="524">BN188</f>
        <v>0</v>
      </c>
      <c r="BO914" s="221">
        <f t="shared" ref="BO914:BV917" si="525">BO188</f>
        <v>0</v>
      </c>
      <c r="BP914" s="222">
        <f t="shared" si="525"/>
        <v>0</v>
      </c>
      <c r="BQ914" s="222">
        <f t="shared" si="525"/>
        <v>0</v>
      </c>
      <c r="BR914" s="767">
        <f t="shared" si="525"/>
        <v>0</v>
      </c>
      <c r="BS914" s="221">
        <f t="shared" si="525"/>
        <v>0</v>
      </c>
      <c r="BT914" s="222">
        <f t="shared" si="525"/>
        <v>0</v>
      </c>
      <c r="BU914" s="222">
        <f t="shared" si="525"/>
        <v>0</v>
      </c>
      <c r="BV914" s="223">
        <f t="shared" si="525"/>
        <v>0</v>
      </c>
      <c r="BW914" s="229"/>
      <c r="BX914" s="215"/>
      <c r="BY914" s="125">
        <f t="shared" ref="BY914:BY945" si="526">AE914+AI914+AM914+AQ914+AU914+AY914+BC914+BG914+BK914+BO914+BS914</f>
        <v>0</v>
      </c>
      <c r="BZ914" s="126">
        <f t="shared" ref="BZ914:BZ945" si="527">AF914+AJ914+AN914+AR914+AV914+AZ914+BD914+BH914+BL914+BP914+BT914</f>
        <v>0</v>
      </c>
      <c r="CA914" s="126">
        <f t="shared" si="395"/>
        <v>0</v>
      </c>
      <c r="CB914" s="127">
        <f t="shared" si="396"/>
        <v>0</v>
      </c>
      <c r="CC914" s="768"/>
    </row>
    <row r="915" spans="1:81" s="230" customFormat="1" ht="15.75" customHeight="1" outlineLevel="5" x14ac:dyDescent="0.25">
      <c r="A915" s="215"/>
      <c r="B915" s="215"/>
      <c r="C915" s="216"/>
      <c r="D915" s="216"/>
      <c r="E915" s="216"/>
      <c r="F915" s="216"/>
      <c r="G915" s="216"/>
      <c r="H915" s="216"/>
      <c r="I915" s="216"/>
      <c r="J915" s="215"/>
      <c r="K915" s="217"/>
      <c r="L915" s="216"/>
      <c r="M915" s="215"/>
      <c r="N915" s="215"/>
      <c r="O915" s="215"/>
      <c r="P915" s="215"/>
      <c r="Q915" s="215"/>
      <c r="R915" s="215"/>
      <c r="S915" s="215"/>
      <c r="T915" s="215"/>
      <c r="U915" s="215"/>
      <c r="V915" s="215"/>
      <c r="W915" s="215"/>
      <c r="X915" s="215"/>
      <c r="Y915" s="215"/>
      <c r="Z915" s="215"/>
      <c r="AA915" s="215"/>
      <c r="AB915" s="218"/>
      <c r="AC915" s="219" t="s">
        <v>263</v>
      </c>
      <c r="AD915" s="220" t="s">
        <v>247</v>
      </c>
      <c r="AE915" s="221">
        <f t="shared" si="510"/>
        <v>629.04999999999995</v>
      </c>
      <c r="AF915" s="222">
        <f t="shared" si="510"/>
        <v>629.04999999999995</v>
      </c>
      <c r="AG915" s="222">
        <f t="shared" si="510"/>
        <v>629.04999999999995</v>
      </c>
      <c r="AH915" s="767">
        <f t="shared" ref="AH915" si="528">AH189</f>
        <v>0</v>
      </c>
      <c r="AI915" s="221">
        <f t="shared" si="510"/>
        <v>0</v>
      </c>
      <c r="AJ915" s="222">
        <f t="shared" si="510"/>
        <v>0</v>
      </c>
      <c r="AK915" s="222">
        <f t="shared" si="510"/>
        <v>0</v>
      </c>
      <c r="AL915" s="767">
        <f t="shared" ref="AL915" si="529">AL189</f>
        <v>0</v>
      </c>
      <c r="AM915" s="221">
        <f t="shared" si="513"/>
        <v>0</v>
      </c>
      <c r="AN915" s="222">
        <f t="shared" si="513"/>
        <v>0</v>
      </c>
      <c r="AO915" s="222">
        <f t="shared" si="513"/>
        <v>0</v>
      </c>
      <c r="AP915" s="767">
        <f t="shared" ref="AP915" si="530">AP189</f>
        <v>0</v>
      </c>
      <c r="AQ915" s="221">
        <f t="shared" si="515"/>
        <v>0</v>
      </c>
      <c r="AR915" s="222">
        <f t="shared" si="515"/>
        <v>0</v>
      </c>
      <c r="AS915" s="222">
        <f t="shared" si="515"/>
        <v>0</v>
      </c>
      <c r="AT915" s="767">
        <f t="shared" si="515"/>
        <v>0</v>
      </c>
      <c r="AU915" s="221">
        <f t="shared" si="515"/>
        <v>0</v>
      </c>
      <c r="AV915" s="222">
        <f t="shared" si="515"/>
        <v>0</v>
      </c>
      <c r="AW915" s="222">
        <f t="shared" si="515"/>
        <v>0</v>
      </c>
      <c r="AX915" s="767">
        <f t="shared" ref="AX915" si="531">AX189</f>
        <v>0</v>
      </c>
      <c r="AY915" s="221">
        <f t="shared" si="517"/>
        <v>0</v>
      </c>
      <c r="AZ915" s="222">
        <f t="shared" si="517"/>
        <v>0</v>
      </c>
      <c r="BA915" s="222">
        <f t="shared" si="517"/>
        <v>0</v>
      </c>
      <c r="BB915" s="767">
        <f t="shared" ref="BB915" si="532">BB189</f>
        <v>0</v>
      </c>
      <c r="BC915" s="221">
        <f t="shared" si="519"/>
        <v>0</v>
      </c>
      <c r="BD915" s="222">
        <f t="shared" si="519"/>
        <v>0</v>
      </c>
      <c r="BE915" s="222">
        <f t="shared" si="519"/>
        <v>0</v>
      </c>
      <c r="BF915" s="767">
        <f t="shared" ref="BF915" si="533">BF189</f>
        <v>0</v>
      </c>
      <c r="BG915" s="221">
        <f t="shared" si="521"/>
        <v>0</v>
      </c>
      <c r="BH915" s="222">
        <f t="shared" si="521"/>
        <v>0</v>
      </c>
      <c r="BI915" s="222">
        <f t="shared" si="522"/>
        <v>0</v>
      </c>
      <c r="BJ915" s="767">
        <f t="shared" si="522"/>
        <v>0</v>
      </c>
      <c r="BK915" s="221">
        <f t="shared" si="523"/>
        <v>0</v>
      </c>
      <c r="BL915" s="222">
        <f t="shared" si="523"/>
        <v>0</v>
      </c>
      <c r="BM915" s="222">
        <f t="shared" si="523"/>
        <v>0</v>
      </c>
      <c r="BN915" s="767">
        <f t="shared" ref="BN915" si="534">BN189</f>
        <v>0</v>
      </c>
      <c r="BO915" s="221">
        <f t="shared" si="525"/>
        <v>0</v>
      </c>
      <c r="BP915" s="222">
        <f t="shared" si="525"/>
        <v>0</v>
      </c>
      <c r="BQ915" s="222">
        <f t="shared" si="525"/>
        <v>0</v>
      </c>
      <c r="BR915" s="767">
        <f t="shared" si="525"/>
        <v>0</v>
      </c>
      <c r="BS915" s="221">
        <f t="shared" si="525"/>
        <v>0</v>
      </c>
      <c r="BT915" s="222">
        <f t="shared" si="525"/>
        <v>0</v>
      </c>
      <c r="BU915" s="222">
        <f t="shared" si="525"/>
        <v>0</v>
      </c>
      <c r="BV915" s="223">
        <f t="shared" si="525"/>
        <v>0</v>
      </c>
      <c r="BW915" s="229"/>
      <c r="BX915" s="215"/>
      <c r="BY915" s="125">
        <f t="shared" si="526"/>
        <v>629.04999999999995</v>
      </c>
      <c r="BZ915" s="126">
        <f t="shared" si="527"/>
        <v>629.04999999999995</v>
      </c>
      <c r="CA915" s="126">
        <f t="shared" si="395"/>
        <v>629.04999999999995</v>
      </c>
      <c r="CB915" s="127">
        <f t="shared" si="396"/>
        <v>0</v>
      </c>
      <c r="CC915" s="768"/>
    </row>
    <row r="916" spans="1:81" s="230" customFormat="1" ht="15.75" customHeight="1" outlineLevel="5" x14ac:dyDescent="0.25">
      <c r="A916" s="215"/>
      <c r="B916" s="215"/>
      <c r="C916" s="216"/>
      <c r="D916" s="216"/>
      <c r="E916" s="216"/>
      <c r="F916" s="216"/>
      <c r="G916" s="216"/>
      <c r="H916" s="216"/>
      <c r="I916" s="216"/>
      <c r="J916" s="215"/>
      <c r="K916" s="217"/>
      <c r="L916" s="216"/>
      <c r="M916" s="215"/>
      <c r="N916" s="215"/>
      <c r="O916" s="215"/>
      <c r="P916" s="215"/>
      <c r="Q916" s="215"/>
      <c r="R916" s="215"/>
      <c r="S916" s="215"/>
      <c r="T916" s="215"/>
      <c r="U916" s="215"/>
      <c r="V916" s="215"/>
      <c r="W916" s="215"/>
      <c r="X916" s="215"/>
      <c r="Y916" s="215"/>
      <c r="Z916" s="215"/>
      <c r="AA916" s="215"/>
      <c r="AB916" s="218"/>
      <c r="AC916" s="219" t="s">
        <v>264</v>
      </c>
      <c r="AD916" s="220" t="s">
        <v>247</v>
      </c>
      <c r="AE916" s="221">
        <f t="shared" si="510"/>
        <v>8295.9</v>
      </c>
      <c r="AF916" s="222">
        <f t="shared" si="510"/>
        <v>3630.16</v>
      </c>
      <c r="AG916" s="222">
        <f t="shared" si="510"/>
        <v>4457.9399999999996</v>
      </c>
      <c r="AH916" s="767">
        <f t="shared" ref="AH916" si="535">AH190</f>
        <v>0</v>
      </c>
      <c r="AI916" s="221">
        <f t="shared" si="510"/>
        <v>0</v>
      </c>
      <c r="AJ916" s="222">
        <f t="shared" si="510"/>
        <v>0</v>
      </c>
      <c r="AK916" s="222">
        <f t="shared" si="510"/>
        <v>0</v>
      </c>
      <c r="AL916" s="767">
        <f t="shared" ref="AL916" si="536">AL190</f>
        <v>0</v>
      </c>
      <c r="AM916" s="221">
        <f t="shared" si="513"/>
        <v>0</v>
      </c>
      <c r="AN916" s="222">
        <f t="shared" si="513"/>
        <v>0</v>
      </c>
      <c r="AO916" s="222">
        <f t="shared" si="513"/>
        <v>0</v>
      </c>
      <c r="AP916" s="767">
        <f t="shared" ref="AP916" si="537">AP190</f>
        <v>0</v>
      </c>
      <c r="AQ916" s="221">
        <f t="shared" si="515"/>
        <v>0</v>
      </c>
      <c r="AR916" s="222">
        <f t="shared" si="515"/>
        <v>0</v>
      </c>
      <c r="AS916" s="222">
        <f t="shared" si="515"/>
        <v>0</v>
      </c>
      <c r="AT916" s="767">
        <f t="shared" si="515"/>
        <v>0</v>
      </c>
      <c r="AU916" s="221">
        <f t="shared" si="515"/>
        <v>0</v>
      </c>
      <c r="AV916" s="222">
        <f t="shared" si="515"/>
        <v>0</v>
      </c>
      <c r="AW916" s="222">
        <f t="shared" si="515"/>
        <v>0</v>
      </c>
      <c r="AX916" s="767">
        <f t="shared" ref="AX916" si="538">AX190</f>
        <v>0</v>
      </c>
      <c r="AY916" s="221">
        <f t="shared" si="517"/>
        <v>0</v>
      </c>
      <c r="AZ916" s="222">
        <f t="shared" si="517"/>
        <v>0</v>
      </c>
      <c r="BA916" s="222">
        <f t="shared" si="517"/>
        <v>0</v>
      </c>
      <c r="BB916" s="767">
        <f t="shared" ref="BB916" si="539">BB190</f>
        <v>0</v>
      </c>
      <c r="BC916" s="221">
        <f t="shared" si="519"/>
        <v>0</v>
      </c>
      <c r="BD916" s="222">
        <f t="shared" si="519"/>
        <v>0</v>
      </c>
      <c r="BE916" s="222">
        <f t="shared" si="519"/>
        <v>0</v>
      </c>
      <c r="BF916" s="767">
        <f t="shared" ref="BF916" si="540">BF190</f>
        <v>0</v>
      </c>
      <c r="BG916" s="221">
        <f t="shared" si="521"/>
        <v>0</v>
      </c>
      <c r="BH916" s="222">
        <f t="shared" si="521"/>
        <v>0</v>
      </c>
      <c r="BI916" s="222">
        <f t="shared" si="522"/>
        <v>0</v>
      </c>
      <c r="BJ916" s="767">
        <f t="shared" si="522"/>
        <v>0</v>
      </c>
      <c r="BK916" s="221">
        <f t="shared" si="523"/>
        <v>0</v>
      </c>
      <c r="BL916" s="222">
        <f t="shared" si="523"/>
        <v>0</v>
      </c>
      <c r="BM916" s="222">
        <f t="shared" si="523"/>
        <v>0</v>
      </c>
      <c r="BN916" s="767">
        <f t="shared" ref="BN916" si="541">BN190</f>
        <v>0</v>
      </c>
      <c r="BO916" s="221">
        <f t="shared" si="525"/>
        <v>0</v>
      </c>
      <c r="BP916" s="222">
        <f t="shared" si="525"/>
        <v>0</v>
      </c>
      <c r="BQ916" s="222">
        <f t="shared" si="525"/>
        <v>0</v>
      </c>
      <c r="BR916" s="767">
        <f t="shared" si="525"/>
        <v>0</v>
      </c>
      <c r="BS916" s="221">
        <f t="shared" si="525"/>
        <v>0</v>
      </c>
      <c r="BT916" s="222">
        <f t="shared" si="525"/>
        <v>0</v>
      </c>
      <c r="BU916" s="222">
        <f t="shared" si="525"/>
        <v>0</v>
      </c>
      <c r="BV916" s="223">
        <f t="shared" si="525"/>
        <v>0</v>
      </c>
      <c r="BW916" s="229"/>
      <c r="BX916" s="215"/>
      <c r="BY916" s="125">
        <f t="shared" si="526"/>
        <v>8295.9</v>
      </c>
      <c r="BZ916" s="126">
        <f t="shared" si="527"/>
        <v>3630.16</v>
      </c>
      <c r="CA916" s="126">
        <f t="shared" si="395"/>
        <v>4457.9399999999996</v>
      </c>
      <c r="CB916" s="127">
        <f t="shared" si="396"/>
        <v>0</v>
      </c>
      <c r="CC916" s="768"/>
    </row>
    <row r="917" spans="1:81" s="230" customFormat="1" ht="15.75" customHeight="1" outlineLevel="5" x14ac:dyDescent="0.25">
      <c r="A917" s="215"/>
      <c r="B917" s="215"/>
      <c r="C917" s="216"/>
      <c r="D917" s="216"/>
      <c r="E917" s="216"/>
      <c r="F917" s="216"/>
      <c r="G917" s="216"/>
      <c r="H917" s="216"/>
      <c r="I917" s="216"/>
      <c r="J917" s="215"/>
      <c r="K917" s="217"/>
      <c r="L917" s="216"/>
      <c r="M917" s="215"/>
      <c r="N917" s="215"/>
      <c r="O917" s="215"/>
      <c r="P917" s="215"/>
      <c r="Q917" s="215"/>
      <c r="R917" s="215"/>
      <c r="S917" s="215"/>
      <c r="T917" s="215"/>
      <c r="U917" s="215"/>
      <c r="V917" s="215"/>
      <c r="W917" s="215"/>
      <c r="X917" s="215"/>
      <c r="Y917" s="215"/>
      <c r="Z917" s="215"/>
      <c r="AA917" s="215"/>
      <c r="AB917" s="218"/>
      <c r="AC917" s="219" t="s">
        <v>265</v>
      </c>
      <c r="AD917" s="220" t="s">
        <v>247</v>
      </c>
      <c r="AE917" s="221">
        <f t="shared" si="510"/>
        <v>65.37</v>
      </c>
      <c r="AF917" s="222">
        <f t="shared" si="510"/>
        <v>65.37</v>
      </c>
      <c r="AG917" s="222">
        <f t="shared" si="510"/>
        <v>65.37</v>
      </c>
      <c r="AH917" s="767">
        <f t="shared" ref="AH917" si="542">AH191</f>
        <v>0</v>
      </c>
      <c r="AI917" s="221">
        <f t="shared" si="510"/>
        <v>0</v>
      </c>
      <c r="AJ917" s="222">
        <f t="shared" si="510"/>
        <v>0</v>
      </c>
      <c r="AK917" s="222">
        <f t="shared" si="510"/>
        <v>0</v>
      </c>
      <c r="AL917" s="767">
        <f t="shared" ref="AL917" si="543">AL191</f>
        <v>0</v>
      </c>
      <c r="AM917" s="221">
        <f t="shared" si="513"/>
        <v>0</v>
      </c>
      <c r="AN917" s="222">
        <f t="shared" si="513"/>
        <v>0</v>
      </c>
      <c r="AO917" s="222">
        <f t="shared" si="513"/>
        <v>0</v>
      </c>
      <c r="AP917" s="767">
        <f t="shared" ref="AP917" si="544">AP191</f>
        <v>0</v>
      </c>
      <c r="AQ917" s="221">
        <f t="shared" si="515"/>
        <v>0</v>
      </c>
      <c r="AR917" s="222">
        <f t="shared" si="515"/>
        <v>0</v>
      </c>
      <c r="AS917" s="222">
        <f t="shared" si="515"/>
        <v>0</v>
      </c>
      <c r="AT917" s="767">
        <f t="shared" si="515"/>
        <v>0</v>
      </c>
      <c r="AU917" s="221">
        <f t="shared" si="515"/>
        <v>0</v>
      </c>
      <c r="AV917" s="222">
        <f t="shared" si="515"/>
        <v>0</v>
      </c>
      <c r="AW917" s="222">
        <f t="shared" si="515"/>
        <v>0</v>
      </c>
      <c r="AX917" s="767">
        <f t="shared" ref="AX917" si="545">AX191</f>
        <v>0</v>
      </c>
      <c r="AY917" s="221">
        <f t="shared" si="517"/>
        <v>0</v>
      </c>
      <c r="AZ917" s="222">
        <f t="shared" si="517"/>
        <v>0</v>
      </c>
      <c r="BA917" s="222">
        <f t="shared" si="517"/>
        <v>0</v>
      </c>
      <c r="BB917" s="767">
        <f t="shared" ref="BB917" si="546">BB191</f>
        <v>0</v>
      </c>
      <c r="BC917" s="221">
        <f t="shared" si="519"/>
        <v>0</v>
      </c>
      <c r="BD917" s="222">
        <f t="shared" si="519"/>
        <v>0</v>
      </c>
      <c r="BE917" s="222">
        <f t="shared" si="519"/>
        <v>0</v>
      </c>
      <c r="BF917" s="767">
        <f t="shared" ref="BF917" si="547">BF191</f>
        <v>0</v>
      </c>
      <c r="BG917" s="221">
        <f t="shared" si="521"/>
        <v>0</v>
      </c>
      <c r="BH917" s="222">
        <f t="shared" si="521"/>
        <v>0</v>
      </c>
      <c r="BI917" s="222">
        <f t="shared" si="522"/>
        <v>0</v>
      </c>
      <c r="BJ917" s="767">
        <f t="shared" si="522"/>
        <v>0</v>
      </c>
      <c r="BK917" s="221">
        <f t="shared" si="523"/>
        <v>0</v>
      </c>
      <c r="BL917" s="222">
        <f t="shared" si="523"/>
        <v>0</v>
      </c>
      <c r="BM917" s="222">
        <f t="shared" si="523"/>
        <v>0</v>
      </c>
      <c r="BN917" s="767">
        <f t="shared" ref="BN917" si="548">BN191</f>
        <v>0</v>
      </c>
      <c r="BO917" s="221">
        <f t="shared" si="525"/>
        <v>0</v>
      </c>
      <c r="BP917" s="222">
        <f t="shared" si="525"/>
        <v>0</v>
      </c>
      <c r="BQ917" s="222">
        <f t="shared" si="525"/>
        <v>0</v>
      </c>
      <c r="BR917" s="767">
        <f t="shared" si="525"/>
        <v>0</v>
      </c>
      <c r="BS917" s="221">
        <f t="shared" si="525"/>
        <v>0</v>
      </c>
      <c r="BT917" s="222">
        <f t="shared" si="525"/>
        <v>0</v>
      </c>
      <c r="BU917" s="222">
        <f t="shared" si="525"/>
        <v>0</v>
      </c>
      <c r="BV917" s="223">
        <f t="shared" si="525"/>
        <v>0</v>
      </c>
      <c r="BW917" s="229"/>
      <c r="BX917" s="215"/>
      <c r="BY917" s="125">
        <f t="shared" si="526"/>
        <v>65.37</v>
      </c>
      <c r="BZ917" s="126">
        <f t="shared" si="527"/>
        <v>65.37</v>
      </c>
      <c r="CA917" s="126">
        <f t="shared" si="395"/>
        <v>65.37</v>
      </c>
      <c r="CB917" s="127">
        <f t="shared" si="396"/>
        <v>0</v>
      </c>
      <c r="CC917" s="768"/>
    </row>
    <row r="918" spans="1:81" s="230" customFormat="1" ht="15.75" customHeight="1" outlineLevel="5" x14ac:dyDescent="0.25">
      <c r="A918" s="215"/>
      <c r="B918" s="215"/>
      <c r="C918" s="216"/>
      <c r="D918" s="216"/>
      <c r="E918" s="216"/>
      <c r="F918" s="216"/>
      <c r="G918" s="216"/>
      <c r="H918" s="216"/>
      <c r="I918" s="216"/>
      <c r="J918" s="215"/>
      <c r="K918" s="217"/>
      <c r="L918" s="216"/>
      <c r="M918" s="215"/>
      <c r="N918" s="215"/>
      <c r="O918" s="215"/>
      <c r="P918" s="215"/>
      <c r="Q918" s="215"/>
      <c r="R918" s="215"/>
      <c r="S918" s="215"/>
      <c r="T918" s="215"/>
      <c r="U918" s="215"/>
      <c r="V918" s="215"/>
      <c r="W918" s="215"/>
      <c r="X918" s="215"/>
      <c r="Y918" s="215"/>
      <c r="Z918" s="215"/>
      <c r="AA918" s="215"/>
      <c r="AB918" s="218"/>
      <c r="AC918" s="219" t="s">
        <v>593</v>
      </c>
      <c r="AD918" s="220" t="s">
        <v>247</v>
      </c>
      <c r="AE918" s="221">
        <f t="shared" ref="AE918:AK920" si="549">AE539</f>
        <v>36.619999999999997</v>
      </c>
      <c r="AF918" s="222">
        <f t="shared" si="549"/>
        <v>38</v>
      </c>
      <c r="AG918" s="222">
        <f t="shared" si="549"/>
        <v>40.29</v>
      </c>
      <c r="AH918" s="767">
        <f t="shared" ref="AH918" si="550">AH539</f>
        <v>0</v>
      </c>
      <c r="AI918" s="221">
        <f t="shared" si="549"/>
        <v>0</v>
      </c>
      <c r="AJ918" s="222">
        <f t="shared" si="549"/>
        <v>0</v>
      </c>
      <c r="AK918" s="222">
        <f t="shared" si="549"/>
        <v>0</v>
      </c>
      <c r="AL918" s="767">
        <f t="shared" ref="AL918" si="551">AL539</f>
        <v>0</v>
      </c>
      <c r="AM918" s="221">
        <f t="shared" ref="AM918:AO920" si="552">AM539</f>
        <v>0</v>
      </c>
      <c r="AN918" s="222">
        <f t="shared" si="552"/>
        <v>0</v>
      </c>
      <c r="AO918" s="222">
        <f t="shared" si="552"/>
        <v>0</v>
      </c>
      <c r="AP918" s="767">
        <f t="shared" ref="AP918" si="553">AP539</f>
        <v>0</v>
      </c>
      <c r="AQ918" s="221">
        <f t="shared" ref="AQ918:AW920" si="554">AQ539</f>
        <v>0</v>
      </c>
      <c r="AR918" s="222">
        <f t="shared" si="554"/>
        <v>0</v>
      </c>
      <c r="AS918" s="222">
        <f t="shared" si="554"/>
        <v>0</v>
      </c>
      <c r="AT918" s="767">
        <f t="shared" si="554"/>
        <v>0</v>
      </c>
      <c r="AU918" s="221">
        <f t="shared" si="554"/>
        <v>0</v>
      </c>
      <c r="AV918" s="222">
        <f t="shared" si="554"/>
        <v>0</v>
      </c>
      <c r="AW918" s="222">
        <f t="shared" si="554"/>
        <v>0</v>
      </c>
      <c r="AX918" s="767">
        <f t="shared" ref="AX918" si="555">AX539</f>
        <v>0</v>
      </c>
      <c r="AY918" s="221">
        <f t="shared" ref="AY918:BA920" si="556">AY539</f>
        <v>0</v>
      </c>
      <c r="AZ918" s="222">
        <f t="shared" si="556"/>
        <v>0</v>
      </c>
      <c r="BA918" s="222">
        <f t="shared" si="556"/>
        <v>0</v>
      </c>
      <c r="BB918" s="767">
        <f t="shared" ref="BB918" si="557">BB539</f>
        <v>0</v>
      </c>
      <c r="BC918" s="221">
        <f t="shared" ref="BC918:BE920" si="558">BC539</f>
        <v>0</v>
      </c>
      <c r="BD918" s="222">
        <f t="shared" si="558"/>
        <v>0</v>
      </c>
      <c r="BE918" s="222">
        <f t="shared" si="558"/>
        <v>0</v>
      </c>
      <c r="BF918" s="767">
        <f t="shared" ref="BF918" si="559">BF539</f>
        <v>0</v>
      </c>
      <c r="BG918" s="221">
        <f t="shared" ref="BG918:BH920" si="560">BG539</f>
        <v>0</v>
      </c>
      <c r="BH918" s="222">
        <f t="shared" si="560"/>
        <v>0</v>
      </c>
      <c r="BI918" s="222">
        <f t="shared" ref="BI918:BJ920" si="561">BI539</f>
        <v>0</v>
      </c>
      <c r="BJ918" s="767">
        <f t="shared" si="561"/>
        <v>0</v>
      </c>
      <c r="BK918" s="221">
        <f t="shared" ref="BK918:BM920" si="562">BK539</f>
        <v>0</v>
      </c>
      <c r="BL918" s="222">
        <f t="shared" si="562"/>
        <v>0</v>
      </c>
      <c r="BM918" s="222">
        <f t="shared" si="562"/>
        <v>0</v>
      </c>
      <c r="BN918" s="767">
        <f t="shared" ref="BN918" si="563">BN539</f>
        <v>48.23</v>
      </c>
      <c r="BO918" s="221">
        <f t="shared" ref="BO918:BV920" si="564">BO539</f>
        <v>0</v>
      </c>
      <c r="BP918" s="222">
        <f t="shared" si="564"/>
        <v>0</v>
      </c>
      <c r="BQ918" s="222">
        <f t="shared" si="564"/>
        <v>0</v>
      </c>
      <c r="BR918" s="767">
        <f t="shared" si="564"/>
        <v>0</v>
      </c>
      <c r="BS918" s="221">
        <f t="shared" si="564"/>
        <v>0</v>
      </c>
      <c r="BT918" s="222">
        <f t="shared" si="564"/>
        <v>0</v>
      </c>
      <c r="BU918" s="222">
        <f t="shared" si="564"/>
        <v>0</v>
      </c>
      <c r="BV918" s="223">
        <f t="shared" si="564"/>
        <v>0</v>
      </c>
      <c r="BW918" s="229"/>
      <c r="BX918" s="215"/>
      <c r="BY918" s="125">
        <f t="shared" si="526"/>
        <v>36.619999999999997</v>
      </c>
      <c r="BZ918" s="126">
        <f t="shared" si="527"/>
        <v>38</v>
      </c>
      <c r="CA918" s="126">
        <f t="shared" si="395"/>
        <v>40.29</v>
      </c>
      <c r="CB918" s="127">
        <f t="shared" si="396"/>
        <v>48.23</v>
      </c>
      <c r="CC918" s="768"/>
    </row>
    <row r="919" spans="1:81" s="230" customFormat="1" ht="15.75" customHeight="1" outlineLevel="5" x14ac:dyDescent="0.25">
      <c r="A919" s="215"/>
      <c r="B919" s="215"/>
      <c r="C919" s="216"/>
      <c r="D919" s="216"/>
      <c r="E919" s="216"/>
      <c r="F919" s="216"/>
      <c r="G919" s="216"/>
      <c r="H919" s="216"/>
      <c r="I919" s="216"/>
      <c r="J919" s="215"/>
      <c r="K919" s="217"/>
      <c r="L919" s="216"/>
      <c r="M919" s="215"/>
      <c r="N919" s="215"/>
      <c r="O919" s="215"/>
      <c r="P919" s="215"/>
      <c r="Q919" s="215"/>
      <c r="R919" s="215"/>
      <c r="S919" s="215"/>
      <c r="T919" s="215"/>
      <c r="U919" s="215"/>
      <c r="V919" s="215"/>
      <c r="W919" s="215"/>
      <c r="X919" s="215"/>
      <c r="Y919" s="215"/>
      <c r="Z919" s="215"/>
      <c r="AA919" s="215"/>
      <c r="AB919" s="218"/>
      <c r="AC919" s="219" t="s">
        <v>277</v>
      </c>
      <c r="AD919" s="220" t="s">
        <v>247</v>
      </c>
      <c r="AE919" s="221">
        <f t="shared" si="549"/>
        <v>302.8</v>
      </c>
      <c r="AF919" s="222">
        <f t="shared" si="549"/>
        <v>303</v>
      </c>
      <c r="AG919" s="222">
        <f t="shared" si="549"/>
        <v>814.15</v>
      </c>
      <c r="AH919" s="767">
        <f t="shared" ref="AH919" si="565">AH540</f>
        <v>0</v>
      </c>
      <c r="AI919" s="221">
        <f t="shared" si="549"/>
        <v>0</v>
      </c>
      <c r="AJ919" s="222">
        <f t="shared" si="549"/>
        <v>0</v>
      </c>
      <c r="AK919" s="222">
        <f t="shared" si="549"/>
        <v>0</v>
      </c>
      <c r="AL919" s="767">
        <f t="shared" ref="AL919" si="566">AL540</f>
        <v>0</v>
      </c>
      <c r="AM919" s="221">
        <f t="shared" si="552"/>
        <v>0</v>
      </c>
      <c r="AN919" s="222">
        <f t="shared" si="552"/>
        <v>0</v>
      </c>
      <c r="AO919" s="222">
        <f t="shared" si="552"/>
        <v>0</v>
      </c>
      <c r="AP919" s="767">
        <f t="shared" ref="AP919" si="567">AP540</f>
        <v>0</v>
      </c>
      <c r="AQ919" s="221">
        <f t="shared" si="554"/>
        <v>0</v>
      </c>
      <c r="AR919" s="222">
        <f t="shared" si="554"/>
        <v>0</v>
      </c>
      <c r="AS919" s="222">
        <f t="shared" si="554"/>
        <v>0</v>
      </c>
      <c r="AT919" s="767">
        <f t="shared" si="554"/>
        <v>0</v>
      </c>
      <c r="AU919" s="221">
        <f t="shared" si="554"/>
        <v>0</v>
      </c>
      <c r="AV919" s="222">
        <f t="shared" si="554"/>
        <v>0</v>
      </c>
      <c r="AW919" s="222">
        <f t="shared" si="554"/>
        <v>0</v>
      </c>
      <c r="AX919" s="767">
        <f t="shared" ref="AX919" si="568">AX540</f>
        <v>0</v>
      </c>
      <c r="AY919" s="221">
        <f t="shared" si="556"/>
        <v>0</v>
      </c>
      <c r="AZ919" s="222">
        <f t="shared" si="556"/>
        <v>0</v>
      </c>
      <c r="BA919" s="222">
        <f t="shared" si="556"/>
        <v>0</v>
      </c>
      <c r="BB919" s="767">
        <f t="shared" ref="BB919" si="569">BB540</f>
        <v>0</v>
      </c>
      <c r="BC919" s="221">
        <f t="shared" si="558"/>
        <v>0</v>
      </c>
      <c r="BD919" s="222">
        <f t="shared" si="558"/>
        <v>0</v>
      </c>
      <c r="BE919" s="222">
        <f t="shared" si="558"/>
        <v>0</v>
      </c>
      <c r="BF919" s="767">
        <f t="shared" ref="BF919" si="570">BF540</f>
        <v>0</v>
      </c>
      <c r="BG919" s="221">
        <f t="shared" si="560"/>
        <v>0</v>
      </c>
      <c r="BH919" s="222">
        <f t="shared" si="560"/>
        <v>0</v>
      </c>
      <c r="BI919" s="222">
        <f t="shared" si="561"/>
        <v>0</v>
      </c>
      <c r="BJ919" s="767">
        <f t="shared" si="561"/>
        <v>0</v>
      </c>
      <c r="BK919" s="221">
        <f t="shared" si="562"/>
        <v>0</v>
      </c>
      <c r="BL919" s="222">
        <f t="shared" si="562"/>
        <v>0</v>
      </c>
      <c r="BM919" s="222">
        <f t="shared" si="562"/>
        <v>0</v>
      </c>
      <c r="BN919" s="767">
        <f t="shared" ref="BN919" si="571">BN540</f>
        <v>0</v>
      </c>
      <c r="BO919" s="221">
        <f t="shared" si="564"/>
        <v>0</v>
      </c>
      <c r="BP919" s="222">
        <f t="shared" si="564"/>
        <v>0</v>
      </c>
      <c r="BQ919" s="222">
        <f t="shared" si="564"/>
        <v>0</v>
      </c>
      <c r="BR919" s="767">
        <f t="shared" si="564"/>
        <v>0</v>
      </c>
      <c r="BS919" s="221">
        <f t="shared" si="564"/>
        <v>0</v>
      </c>
      <c r="BT919" s="222">
        <f t="shared" si="564"/>
        <v>0</v>
      </c>
      <c r="BU919" s="222">
        <f t="shared" si="564"/>
        <v>0</v>
      </c>
      <c r="BV919" s="223">
        <f t="shared" si="564"/>
        <v>0</v>
      </c>
      <c r="BW919" s="229"/>
      <c r="BX919" s="215"/>
      <c r="BY919" s="125">
        <f t="shared" si="526"/>
        <v>302.8</v>
      </c>
      <c r="BZ919" s="126">
        <f t="shared" si="527"/>
        <v>303</v>
      </c>
      <c r="CA919" s="126">
        <f t="shared" si="395"/>
        <v>814.15</v>
      </c>
      <c r="CB919" s="127">
        <f t="shared" si="396"/>
        <v>0</v>
      </c>
      <c r="CC919" s="768"/>
    </row>
    <row r="920" spans="1:81" s="230" customFormat="1" ht="15.75" customHeight="1" outlineLevel="5" x14ac:dyDescent="0.25">
      <c r="A920" s="215"/>
      <c r="B920" s="215"/>
      <c r="C920" s="216"/>
      <c r="D920" s="216"/>
      <c r="E920" s="216"/>
      <c r="F920" s="216"/>
      <c r="G920" s="216"/>
      <c r="H920" s="216"/>
      <c r="I920" s="216"/>
      <c r="J920" s="215"/>
      <c r="K920" s="217"/>
      <c r="L920" s="216"/>
      <c r="M920" s="215"/>
      <c r="N920" s="215"/>
      <c r="O920" s="215"/>
      <c r="P920" s="215"/>
      <c r="Q920" s="215"/>
      <c r="R920" s="215"/>
      <c r="S920" s="215"/>
      <c r="T920" s="215"/>
      <c r="U920" s="215"/>
      <c r="V920" s="215"/>
      <c r="W920" s="215"/>
      <c r="X920" s="215"/>
      <c r="Y920" s="215"/>
      <c r="Z920" s="215"/>
      <c r="AA920" s="215"/>
      <c r="AB920" s="218"/>
      <c r="AC920" s="219" t="s">
        <v>273</v>
      </c>
      <c r="AD920" s="220" t="s">
        <v>247</v>
      </c>
      <c r="AE920" s="221">
        <f t="shared" si="549"/>
        <v>66.010000000000005</v>
      </c>
      <c r="AF920" s="222">
        <f t="shared" si="549"/>
        <v>68</v>
      </c>
      <c r="AG920" s="222">
        <f t="shared" si="549"/>
        <v>72.63</v>
      </c>
      <c r="AH920" s="767">
        <f t="shared" ref="AH920" si="572">AH541</f>
        <v>0</v>
      </c>
      <c r="AI920" s="221">
        <f t="shared" si="549"/>
        <v>0</v>
      </c>
      <c r="AJ920" s="222">
        <f t="shared" si="549"/>
        <v>0</v>
      </c>
      <c r="AK920" s="222">
        <f t="shared" si="549"/>
        <v>0</v>
      </c>
      <c r="AL920" s="767">
        <f t="shared" ref="AL920" si="573">AL541</f>
        <v>0</v>
      </c>
      <c r="AM920" s="221">
        <f t="shared" si="552"/>
        <v>0</v>
      </c>
      <c r="AN920" s="222">
        <f t="shared" si="552"/>
        <v>0</v>
      </c>
      <c r="AO920" s="222">
        <f t="shared" si="552"/>
        <v>0</v>
      </c>
      <c r="AP920" s="767">
        <f t="shared" ref="AP920" si="574">AP541</f>
        <v>0</v>
      </c>
      <c r="AQ920" s="221">
        <f t="shared" si="554"/>
        <v>0</v>
      </c>
      <c r="AR920" s="222">
        <f t="shared" si="554"/>
        <v>0</v>
      </c>
      <c r="AS920" s="222">
        <f t="shared" si="554"/>
        <v>0</v>
      </c>
      <c r="AT920" s="767">
        <f t="shared" si="554"/>
        <v>0</v>
      </c>
      <c r="AU920" s="221">
        <f t="shared" si="554"/>
        <v>0</v>
      </c>
      <c r="AV920" s="222">
        <f t="shared" si="554"/>
        <v>0</v>
      </c>
      <c r="AW920" s="222">
        <f t="shared" si="554"/>
        <v>0</v>
      </c>
      <c r="AX920" s="767">
        <f t="shared" ref="AX920" si="575">AX541</f>
        <v>0</v>
      </c>
      <c r="AY920" s="221">
        <f t="shared" si="556"/>
        <v>0</v>
      </c>
      <c r="AZ920" s="222">
        <f t="shared" si="556"/>
        <v>0</v>
      </c>
      <c r="BA920" s="222">
        <f t="shared" si="556"/>
        <v>0</v>
      </c>
      <c r="BB920" s="767">
        <f t="shared" ref="BB920" si="576">BB541</f>
        <v>0</v>
      </c>
      <c r="BC920" s="221">
        <f t="shared" si="558"/>
        <v>0</v>
      </c>
      <c r="BD920" s="222">
        <f t="shared" si="558"/>
        <v>0</v>
      </c>
      <c r="BE920" s="222">
        <f t="shared" si="558"/>
        <v>0</v>
      </c>
      <c r="BF920" s="767">
        <f t="shared" ref="BF920" si="577">BF541</f>
        <v>0</v>
      </c>
      <c r="BG920" s="221">
        <f t="shared" si="560"/>
        <v>0</v>
      </c>
      <c r="BH920" s="222">
        <f t="shared" si="560"/>
        <v>0</v>
      </c>
      <c r="BI920" s="222">
        <f t="shared" si="561"/>
        <v>0</v>
      </c>
      <c r="BJ920" s="767">
        <f t="shared" si="561"/>
        <v>0</v>
      </c>
      <c r="BK920" s="221">
        <f t="shared" si="562"/>
        <v>0</v>
      </c>
      <c r="BL920" s="222">
        <f t="shared" si="562"/>
        <v>0</v>
      </c>
      <c r="BM920" s="222">
        <f t="shared" si="562"/>
        <v>0</v>
      </c>
      <c r="BN920" s="767">
        <f t="shared" ref="BN920" si="578">BN541</f>
        <v>0</v>
      </c>
      <c r="BO920" s="221">
        <f t="shared" si="564"/>
        <v>0</v>
      </c>
      <c r="BP920" s="222">
        <f t="shared" si="564"/>
        <v>0</v>
      </c>
      <c r="BQ920" s="222">
        <f t="shared" si="564"/>
        <v>0</v>
      </c>
      <c r="BR920" s="767">
        <f t="shared" si="564"/>
        <v>0</v>
      </c>
      <c r="BS920" s="221">
        <f t="shared" si="564"/>
        <v>0</v>
      </c>
      <c r="BT920" s="222">
        <f t="shared" si="564"/>
        <v>0</v>
      </c>
      <c r="BU920" s="222">
        <f t="shared" si="564"/>
        <v>0</v>
      </c>
      <c r="BV920" s="223">
        <f t="shared" si="564"/>
        <v>0</v>
      </c>
      <c r="BW920" s="229"/>
      <c r="BX920" s="215"/>
      <c r="BY920" s="125">
        <f t="shared" si="526"/>
        <v>66.010000000000005</v>
      </c>
      <c r="BZ920" s="126">
        <f t="shared" si="527"/>
        <v>68</v>
      </c>
      <c r="CA920" s="126">
        <f t="shared" si="395"/>
        <v>72.63</v>
      </c>
      <c r="CB920" s="127">
        <f t="shared" si="396"/>
        <v>0</v>
      </c>
      <c r="CC920" s="768"/>
    </row>
    <row r="921" spans="1:81" s="230" customFormat="1" ht="15.75" customHeight="1" outlineLevel="5" x14ac:dyDescent="0.25">
      <c r="A921" s="215"/>
      <c r="B921" s="215"/>
      <c r="C921" s="216"/>
      <c r="D921" s="216"/>
      <c r="E921" s="216"/>
      <c r="F921" s="216"/>
      <c r="G921" s="216"/>
      <c r="H921" s="216"/>
      <c r="I921" s="216"/>
      <c r="J921" s="215"/>
      <c r="K921" s="217"/>
      <c r="L921" s="216"/>
      <c r="M921" s="215"/>
      <c r="N921" s="215"/>
      <c r="O921" s="215"/>
      <c r="P921" s="215"/>
      <c r="Q921" s="215"/>
      <c r="R921" s="215"/>
      <c r="S921" s="215"/>
      <c r="T921" s="215"/>
      <c r="U921" s="215"/>
      <c r="V921" s="215"/>
      <c r="W921" s="215"/>
      <c r="X921" s="215"/>
      <c r="Y921" s="215"/>
      <c r="Z921" s="215"/>
      <c r="AA921" s="215"/>
      <c r="AB921" s="218"/>
      <c r="AC921" s="219" t="s">
        <v>596</v>
      </c>
      <c r="AD921" s="220" t="s">
        <v>247</v>
      </c>
      <c r="AE921" s="221">
        <f t="shared" ref="AE921:AK921" si="579">AE544</f>
        <v>716.76</v>
      </c>
      <c r="AF921" s="222">
        <f t="shared" si="579"/>
        <v>720</v>
      </c>
      <c r="AG921" s="222">
        <f t="shared" si="579"/>
        <v>888.28</v>
      </c>
      <c r="AH921" s="767">
        <f t="shared" ref="AH921" si="580">AH544</f>
        <v>0</v>
      </c>
      <c r="AI921" s="221">
        <f t="shared" si="579"/>
        <v>0</v>
      </c>
      <c r="AJ921" s="222">
        <f t="shared" si="579"/>
        <v>0</v>
      </c>
      <c r="AK921" s="222">
        <f t="shared" si="579"/>
        <v>0</v>
      </c>
      <c r="AL921" s="767">
        <f t="shared" ref="AL921" si="581">AL544</f>
        <v>0</v>
      </c>
      <c r="AM921" s="221">
        <f>AM544</f>
        <v>0</v>
      </c>
      <c r="AN921" s="222">
        <f>AN544</f>
        <v>0</v>
      </c>
      <c r="AO921" s="222">
        <f>AO544</f>
        <v>0</v>
      </c>
      <c r="AP921" s="767">
        <f>AP544</f>
        <v>0</v>
      </c>
      <c r="AQ921" s="221">
        <f t="shared" ref="AQ921:AW921" si="582">AQ544</f>
        <v>0</v>
      </c>
      <c r="AR921" s="222">
        <f t="shared" si="582"/>
        <v>0</v>
      </c>
      <c r="AS921" s="222">
        <f t="shared" si="582"/>
        <v>0</v>
      </c>
      <c r="AT921" s="767">
        <f t="shared" si="582"/>
        <v>0</v>
      </c>
      <c r="AU921" s="221">
        <f t="shared" si="582"/>
        <v>0</v>
      </c>
      <c r="AV921" s="222">
        <f t="shared" si="582"/>
        <v>0</v>
      </c>
      <c r="AW921" s="222">
        <f t="shared" si="582"/>
        <v>0</v>
      </c>
      <c r="AX921" s="767">
        <f t="shared" ref="AX921" si="583">AX544</f>
        <v>0</v>
      </c>
      <c r="AY921" s="221">
        <f t="shared" ref="AY921:BN921" si="584">AY544</f>
        <v>0</v>
      </c>
      <c r="AZ921" s="222">
        <f t="shared" si="584"/>
        <v>0</v>
      </c>
      <c r="BA921" s="222">
        <f t="shared" si="584"/>
        <v>0</v>
      </c>
      <c r="BB921" s="767">
        <f t="shared" si="584"/>
        <v>0</v>
      </c>
      <c r="BC921" s="221">
        <f t="shared" si="584"/>
        <v>0</v>
      </c>
      <c r="BD921" s="222">
        <f t="shared" si="584"/>
        <v>0</v>
      </c>
      <c r="BE921" s="222">
        <f t="shared" si="584"/>
        <v>0</v>
      </c>
      <c r="BF921" s="767">
        <f t="shared" si="584"/>
        <v>0</v>
      </c>
      <c r="BG921" s="221">
        <f t="shared" si="584"/>
        <v>0</v>
      </c>
      <c r="BH921" s="222">
        <f t="shared" si="584"/>
        <v>0</v>
      </c>
      <c r="BI921" s="222">
        <f t="shared" si="584"/>
        <v>0</v>
      </c>
      <c r="BJ921" s="767">
        <f t="shared" si="584"/>
        <v>0</v>
      </c>
      <c r="BK921" s="221">
        <f t="shared" si="584"/>
        <v>0</v>
      </c>
      <c r="BL921" s="222">
        <f t="shared" si="584"/>
        <v>0</v>
      </c>
      <c r="BM921" s="222">
        <f t="shared" si="584"/>
        <v>0</v>
      </c>
      <c r="BN921" s="767">
        <f t="shared" si="584"/>
        <v>0</v>
      </c>
      <c r="BO921" s="221">
        <f t="shared" ref="BO921:BV921" si="585">BO544</f>
        <v>0</v>
      </c>
      <c r="BP921" s="222">
        <f t="shared" si="585"/>
        <v>0</v>
      </c>
      <c r="BQ921" s="222">
        <f t="shared" si="585"/>
        <v>0</v>
      </c>
      <c r="BR921" s="767">
        <f t="shared" si="585"/>
        <v>0</v>
      </c>
      <c r="BS921" s="221">
        <f t="shared" si="585"/>
        <v>0</v>
      </c>
      <c r="BT921" s="222">
        <f t="shared" si="585"/>
        <v>0</v>
      </c>
      <c r="BU921" s="222">
        <f t="shared" si="585"/>
        <v>0</v>
      </c>
      <c r="BV921" s="223">
        <f t="shared" si="585"/>
        <v>0</v>
      </c>
      <c r="BW921" s="229"/>
      <c r="BX921" s="215"/>
      <c r="BY921" s="125">
        <f t="shared" si="526"/>
        <v>716.76</v>
      </c>
      <c r="BZ921" s="126">
        <f t="shared" si="527"/>
        <v>720</v>
      </c>
      <c r="CA921" s="126">
        <f t="shared" si="395"/>
        <v>888.28</v>
      </c>
      <c r="CB921" s="127">
        <f t="shared" si="396"/>
        <v>0</v>
      </c>
      <c r="CC921" s="768"/>
    </row>
    <row r="922" spans="1:81" s="230" customFormat="1" ht="15.75" customHeight="1" outlineLevel="5" x14ac:dyDescent="0.25">
      <c r="A922" s="215"/>
      <c r="B922" s="215"/>
      <c r="C922" s="216"/>
      <c r="D922" s="216"/>
      <c r="E922" s="216"/>
      <c r="F922" s="216"/>
      <c r="G922" s="216"/>
      <c r="H922" s="216"/>
      <c r="I922" s="216"/>
      <c r="J922" s="215"/>
      <c r="K922" s="217"/>
      <c r="L922" s="216"/>
      <c r="M922" s="215"/>
      <c r="N922" s="215"/>
      <c r="O922" s="215"/>
      <c r="P922" s="215"/>
      <c r="Q922" s="215"/>
      <c r="R922" s="215"/>
      <c r="S922" s="215"/>
      <c r="T922" s="215"/>
      <c r="U922" s="215"/>
      <c r="V922" s="215"/>
      <c r="W922" s="215"/>
      <c r="X922" s="215"/>
      <c r="Y922" s="215"/>
      <c r="Z922" s="215"/>
      <c r="AA922" s="215"/>
      <c r="AB922" s="218"/>
      <c r="AC922" s="219" t="s">
        <v>600</v>
      </c>
      <c r="AD922" s="220" t="s">
        <v>247</v>
      </c>
      <c r="AE922" s="221">
        <f t="shared" ref="AE922:AK925" si="586">AE549</f>
        <v>723.32</v>
      </c>
      <c r="AF922" s="222">
        <f t="shared" si="586"/>
        <v>500</v>
      </c>
      <c r="AG922" s="222">
        <f t="shared" si="586"/>
        <v>795.88</v>
      </c>
      <c r="AH922" s="767">
        <f t="shared" ref="AH922" si="587">AH549</f>
        <v>0</v>
      </c>
      <c r="AI922" s="221">
        <f t="shared" si="586"/>
        <v>0</v>
      </c>
      <c r="AJ922" s="222">
        <f t="shared" si="586"/>
        <v>0</v>
      </c>
      <c r="AK922" s="222">
        <f t="shared" si="586"/>
        <v>0</v>
      </c>
      <c r="AL922" s="767">
        <f t="shared" ref="AL922" si="588">AL549</f>
        <v>0</v>
      </c>
      <c r="AM922" s="221">
        <f t="shared" ref="AM922:AO925" si="589">AM549</f>
        <v>0</v>
      </c>
      <c r="AN922" s="222">
        <f t="shared" si="589"/>
        <v>0</v>
      </c>
      <c r="AO922" s="222">
        <f t="shared" si="589"/>
        <v>0</v>
      </c>
      <c r="AP922" s="767">
        <f t="shared" ref="AP922" si="590">AP549</f>
        <v>0</v>
      </c>
      <c r="AQ922" s="221">
        <f t="shared" ref="AQ922:AW925" si="591">AQ549</f>
        <v>0</v>
      </c>
      <c r="AR922" s="222">
        <f t="shared" si="591"/>
        <v>0</v>
      </c>
      <c r="AS922" s="222">
        <f t="shared" si="591"/>
        <v>0</v>
      </c>
      <c r="AT922" s="767">
        <f t="shared" si="591"/>
        <v>0</v>
      </c>
      <c r="AU922" s="221">
        <f t="shared" si="591"/>
        <v>0</v>
      </c>
      <c r="AV922" s="222">
        <f t="shared" si="591"/>
        <v>0</v>
      </c>
      <c r="AW922" s="222">
        <f t="shared" si="591"/>
        <v>0</v>
      </c>
      <c r="AX922" s="767">
        <f t="shared" ref="AX922" si="592">AX549</f>
        <v>0</v>
      </c>
      <c r="AY922" s="221">
        <f t="shared" ref="AY922:BA925" si="593">AY549</f>
        <v>0</v>
      </c>
      <c r="AZ922" s="222">
        <f t="shared" si="593"/>
        <v>0</v>
      </c>
      <c r="BA922" s="222">
        <f t="shared" si="593"/>
        <v>0</v>
      </c>
      <c r="BB922" s="767">
        <f t="shared" ref="BB922" si="594">BB549</f>
        <v>0</v>
      </c>
      <c r="BC922" s="221">
        <f t="shared" ref="BC922:BE925" si="595">BC549</f>
        <v>0</v>
      </c>
      <c r="BD922" s="222">
        <f t="shared" si="595"/>
        <v>0</v>
      </c>
      <c r="BE922" s="222">
        <f t="shared" si="595"/>
        <v>0</v>
      </c>
      <c r="BF922" s="767">
        <f t="shared" ref="BF922" si="596">BF549</f>
        <v>0</v>
      </c>
      <c r="BG922" s="221">
        <f t="shared" ref="BG922:BM922" si="597">BG549</f>
        <v>0</v>
      </c>
      <c r="BH922" s="222">
        <f t="shared" si="597"/>
        <v>2398.59</v>
      </c>
      <c r="BI922" s="222">
        <f t="shared" si="597"/>
        <v>0</v>
      </c>
      <c r="BJ922" s="767">
        <f t="shared" ref="BJ922" si="598">BJ549</f>
        <v>2495.6849232000004</v>
      </c>
      <c r="BK922" s="221">
        <f t="shared" si="597"/>
        <v>0</v>
      </c>
      <c r="BL922" s="222">
        <f t="shared" si="597"/>
        <v>0</v>
      </c>
      <c r="BM922" s="222">
        <f t="shared" si="597"/>
        <v>0</v>
      </c>
      <c r="BN922" s="767">
        <f t="shared" ref="BN922" si="599">BN549</f>
        <v>0</v>
      </c>
      <c r="BO922" s="221">
        <f t="shared" ref="BO922:BV925" si="600">BO549</f>
        <v>0</v>
      </c>
      <c r="BP922" s="222">
        <f t="shared" si="600"/>
        <v>0</v>
      </c>
      <c r="BQ922" s="222">
        <f t="shared" si="600"/>
        <v>0</v>
      </c>
      <c r="BR922" s="767">
        <f t="shared" si="600"/>
        <v>0</v>
      </c>
      <c r="BS922" s="221">
        <f t="shared" si="600"/>
        <v>0</v>
      </c>
      <c r="BT922" s="222">
        <f t="shared" si="600"/>
        <v>0</v>
      </c>
      <c r="BU922" s="222">
        <f t="shared" si="600"/>
        <v>0</v>
      </c>
      <c r="BV922" s="223">
        <f t="shared" si="600"/>
        <v>0</v>
      </c>
      <c r="BW922" s="229"/>
      <c r="BX922" s="215"/>
      <c r="BY922" s="125">
        <f t="shared" si="526"/>
        <v>723.32</v>
      </c>
      <c r="BZ922" s="126">
        <f t="shared" si="527"/>
        <v>2898.59</v>
      </c>
      <c r="CA922" s="126">
        <f t="shared" ref="CA922:CB945" si="601">AG922+AK922+AO922+AS922+AW922+BA922+BE922+BI922+BM922+BQ922+BU922</f>
        <v>795.88</v>
      </c>
      <c r="CB922" s="127">
        <f t="shared" si="601"/>
        <v>2495.6849232000004</v>
      </c>
      <c r="CC922" s="768"/>
    </row>
    <row r="923" spans="1:81" s="230" customFormat="1" ht="15.75" customHeight="1" outlineLevel="5" x14ac:dyDescent="0.25">
      <c r="A923" s="215"/>
      <c r="B923" s="215"/>
      <c r="C923" s="216"/>
      <c r="D923" s="216"/>
      <c r="E923" s="216"/>
      <c r="F923" s="216"/>
      <c r="G923" s="216"/>
      <c r="H923" s="216"/>
      <c r="I923" s="216"/>
      <c r="J923" s="215"/>
      <c r="K923" s="217"/>
      <c r="L923" s="216"/>
      <c r="M923" s="215"/>
      <c r="N923" s="215"/>
      <c r="O923" s="215"/>
      <c r="P923" s="215"/>
      <c r="Q923" s="215"/>
      <c r="R923" s="215"/>
      <c r="S923" s="215"/>
      <c r="T923" s="215"/>
      <c r="U923" s="215"/>
      <c r="V923" s="215"/>
      <c r="W923" s="215"/>
      <c r="X923" s="215"/>
      <c r="Y923" s="215"/>
      <c r="Z923" s="215"/>
      <c r="AA923" s="215"/>
      <c r="AB923" s="218"/>
      <c r="AC923" s="219" t="s">
        <v>601</v>
      </c>
      <c r="AD923" s="220" t="s">
        <v>247</v>
      </c>
      <c r="AE923" s="221">
        <f t="shared" si="586"/>
        <v>19.2</v>
      </c>
      <c r="AF923" s="222">
        <f t="shared" si="586"/>
        <v>19.2</v>
      </c>
      <c r="AG923" s="222">
        <f t="shared" si="586"/>
        <v>19.97</v>
      </c>
      <c r="AH923" s="767">
        <f t="shared" ref="AH923" si="602">AH550</f>
        <v>0</v>
      </c>
      <c r="AI923" s="221">
        <f t="shared" si="586"/>
        <v>0</v>
      </c>
      <c r="AJ923" s="222">
        <f t="shared" si="586"/>
        <v>0</v>
      </c>
      <c r="AK923" s="222">
        <f t="shared" si="586"/>
        <v>0</v>
      </c>
      <c r="AL923" s="767">
        <f t="shared" ref="AL923" si="603">AL550</f>
        <v>0</v>
      </c>
      <c r="AM923" s="221">
        <f t="shared" si="589"/>
        <v>0</v>
      </c>
      <c r="AN923" s="222">
        <f t="shared" si="589"/>
        <v>0</v>
      </c>
      <c r="AO923" s="222">
        <f t="shared" si="589"/>
        <v>0</v>
      </c>
      <c r="AP923" s="767">
        <f t="shared" ref="AP923" si="604">AP550</f>
        <v>0</v>
      </c>
      <c r="AQ923" s="221">
        <f t="shared" si="591"/>
        <v>0</v>
      </c>
      <c r="AR923" s="222">
        <f t="shared" si="591"/>
        <v>0</v>
      </c>
      <c r="AS923" s="222">
        <f t="shared" si="591"/>
        <v>0</v>
      </c>
      <c r="AT923" s="767">
        <f t="shared" si="591"/>
        <v>0</v>
      </c>
      <c r="AU923" s="221">
        <f t="shared" si="591"/>
        <v>0</v>
      </c>
      <c r="AV923" s="222">
        <f t="shared" si="591"/>
        <v>0</v>
      </c>
      <c r="AW923" s="222">
        <f t="shared" si="591"/>
        <v>0</v>
      </c>
      <c r="AX923" s="767">
        <f t="shared" ref="AX923" si="605">AX550</f>
        <v>0</v>
      </c>
      <c r="AY923" s="221">
        <f t="shared" si="593"/>
        <v>0</v>
      </c>
      <c r="AZ923" s="222">
        <f t="shared" si="593"/>
        <v>0</v>
      </c>
      <c r="BA923" s="222">
        <f t="shared" si="593"/>
        <v>0</v>
      </c>
      <c r="BB923" s="767">
        <f t="shared" ref="BB923" si="606">BB550</f>
        <v>0</v>
      </c>
      <c r="BC923" s="221">
        <f t="shared" si="595"/>
        <v>0</v>
      </c>
      <c r="BD923" s="222">
        <f t="shared" si="595"/>
        <v>0</v>
      </c>
      <c r="BE923" s="222">
        <f t="shared" si="595"/>
        <v>0</v>
      </c>
      <c r="BF923" s="767">
        <f t="shared" ref="BF923" si="607">BF550</f>
        <v>0</v>
      </c>
      <c r="BG923" s="221">
        <f t="shared" ref="BG923:BI925" si="608">BG550</f>
        <v>0</v>
      </c>
      <c r="BH923" s="222">
        <f t="shared" si="608"/>
        <v>0</v>
      </c>
      <c r="BI923" s="222">
        <f t="shared" si="608"/>
        <v>0</v>
      </c>
      <c r="BJ923" s="767">
        <f t="shared" ref="BJ923" si="609">BJ550</f>
        <v>0</v>
      </c>
      <c r="BK923" s="221">
        <f t="shared" ref="BK923:BM925" si="610">BK550</f>
        <v>0</v>
      </c>
      <c r="BL923" s="222">
        <f t="shared" si="610"/>
        <v>0</v>
      </c>
      <c r="BM923" s="222">
        <f t="shared" si="610"/>
        <v>0</v>
      </c>
      <c r="BN923" s="767">
        <f t="shared" ref="BN923" si="611">BN550</f>
        <v>0</v>
      </c>
      <c r="BO923" s="221">
        <f t="shared" si="600"/>
        <v>0</v>
      </c>
      <c r="BP923" s="222">
        <f t="shared" si="600"/>
        <v>0</v>
      </c>
      <c r="BQ923" s="222">
        <f t="shared" si="600"/>
        <v>0</v>
      </c>
      <c r="BR923" s="767">
        <f t="shared" si="600"/>
        <v>0</v>
      </c>
      <c r="BS923" s="221">
        <f t="shared" si="600"/>
        <v>0</v>
      </c>
      <c r="BT923" s="222">
        <f t="shared" si="600"/>
        <v>0</v>
      </c>
      <c r="BU923" s="222">
        <f t="shared" si="600"/>
        <v>0</v>
      </c>
      <c r="BV923" s="223">
        <f t="shared" si="600"/>
        <v>0</v>
      </c>
      <c r="BW923" s="229"/>
      <c r="BX923" s="215"/>
      <c r="BY923" s="125">
        <f t="shared" si="526"/>
        <v>19.2</v>
      </c>
      <c r="BZ923" s="126">
        <f t="shared" si="527"/>
        <v>19.2</v>
      </c>
      <c r="CA923" s="126">
        <f t="shared" si="601"/>
        <v>19.97</v>
      </c>
      <c r="CB923" s="127">
        <f t="shared" si="601"/>
        <v>0</v>
      </c>
      <c r="CC923" s="768"/>
    </row>
    <row r="924" spans="1:81" s="230" customFormat="1" ht="15.75" customHeight="1" outlineLevel="5" x14ac:dyDescent="0.25">
      <c r="A924" s="215"/>
      <c r="B924" s="215"/>
      <c r="C924" s="216"/>
      <c r="D924" s="216"/>
      <c r="E924" s="216"/>
      <c r="F924" s="216"/>
      <c r="G924" s="216"/>
      <c r="H924" s="216"/>
      <c r="I924" s="216"/>
      <c r="J924" s="215"/>
      <c r="K924" s="217"/>
      <c r="L924" s="216"/>
      <c r="M924" s="215"/>
      <c r="N924" s="215"/>
      <c r="O924" s="215"/>
      <c r="P924" s="215"/>
      <c r="Q924" s="215"/>
      <c r="R924" s="215"/>
      <c r="S924" s="215"/>
      <c r="T924" s="215"/>
      <c r="U924" s="215"/>
      <c r="V924" s="215"/>
      <c r="W924" s="215"/>
      <c r="X924" s="215"/>
      <c r="Y924" s="215"/>
      <c r="Z924" s="215"/>
      <c r="AA924" s="215"/>
      <c r="AB924" s="218"/>
      <c r="AC924" s="219" t="s">
        <v>602</v>
      </c>
      <c r="AD924" s="220" t="s">
        <v>247</v>
      </c>
      <c r="AE924" s="221">
        <f t="shared" si="586"/>
        <v>244.58</v>
      </c>
      <c r="AF924" s="222">
        <f t="shared" si="586"/>
        <v>244.58</v>
      </c>
      <c r="AG924" s="222">
        <f t="shared" si="586"/>
        <v>264.08999999999997</v>
      </c>
      <c r="AH924" s="767">
        <f t="shared" ref="AH924" si="612">AH551</f>
        <v>0</v>
      </c>
      <c r="AI924" s="221">
        <f t="shared" si="586"/>
        <v>0</v>
      </c>
      <c r="AJ924" s="222">
        <f t="shared" si="586"/>
        <v>0</v>
      </c>
      <c r="AK924" s="222">
        <f t="shared" si="586"/>
        <v>0</v>
      </c>
      <c r="AL924" s="767">
        <f t="shared" ref="AL924" si="613">AL551</f>
        <v>0</v>
      </c>
      <c r="AM924" s="221">
        <f t="shared" si="589"/>
        <v>0</v>
      </c>
      <c r="AN924" s="222">
        <f t="shared" si="589"/>
        <v>0</v>
      </c>
      <c r="AO924" s="222">
        <f t="shared" si="589"/>
        <v>0</v>
      </c>
      <c r="AP924" s="767">
        <f t="shared" ref="AP924" si="614">AP551</f>
        <v>0</v>
      </c>
      <c r="AQ924" s="221">
        <f t="shared" si="591"/>
        <v>0</v>
      </c>
      <c r="AR924" s="222">
        <f t="shared" si="591"/>
        <v>0</v>
      </c>
      <c r="AS924" s="222">
        <f t="shared" si="591"/>
        <v>0</v>
      </c>
      <c r="AT924" s="767">
        <f t="shared" si="591"/>
        <v>0</v>
      </c>
      <c r="AU924" s="221">
        <f t="shared" si="591"/>
        <v>0</v>
      </c>
      <c r="AV924" s="222">
        <f t="shared" si="591"/>
        <v>0</v>
      </c>
      <c r="AW924" s="222">
        <f t="shared" si="591"/>
        <v>0</v>
      </c>
      <c r="AX924" s="767">
        <f t="shared" ref="AX924" si="615">AX551</f>
        <v>0</v>
      </c>
      <c r="AY924" s="221">
        <f t="shared" si="593"/>
        <v>0</v>
      </c>
      <c r="AZ924" s="222">
        <f t="shared" si="593"/>
        <v>0</v>
      </c>
      <c r="BA924" s="222">
        <f t="shared" si="593"/>
        <v>0</v>
      </c>
      <c r="BB924" s="767">
        <f t="shared" ref="BB924" si="616">BB551</f>
        <v>0</v>
      </c>
      <c r="BC924" s="221">
        <f t="shared" si="595"/>
        <v>0</v>
      </c>
      <c r="BD924" s="222">
        <f t="shared" si="595"/>
        <v>0</v>
      </c>
      <c r="BE924" s="222">
        <f t="shared" si="595"/>
        <v>0</v>
      </c>
      <c r="BF924" s="767">
        <f t="shared" ref="BF924" si="617">BF551</f>
        <v>0</v>
      </c>
      <c r="BG924" s="221">
        <f t="shared" si="608"/>
        <v>0</v>
      </c>
      <c r="BH924" s="222">
        <f t="shared" si="608"/>
        <v>0</v>
      </c>
      <c r="BI924" s="222">
        <f t="shared" si="608"/>
        <v>0</v>
      </c>
      <c r="BJ924" s="767">
        <f t="shared" ref="BJ924" si="618">BJ551</f>
        <v>0</v>
      </c>
      <c r="BK924" s="221">
        <f t="shared" si="610"/>
        <v>0</v>
      </c>
      <c r="BL924" s="222">
        <f t="shared" si="610"/>
        <v>0</v>
      </c>
      <c r="BM924" s="222">
        <f t="shared" si="610"/>
        <v>0</v>
      </c>
      <c r="BN924" s="767">
        <f t="shared" ref="BN924" si="619">BN551</f>
        <v>0</v>
      </c>
      <c r="BO924" s="221">
        <f t="shared" si="600"/>
        <v>0</v>
      </c>
      <c r="BP924" s="222">
        <f t="shared" si="600"/>
        <v>0</v>
      </c>
      <c r="BQ924" s="222">
        <f t="shared" si="600"/>
        <v>0</v>
      </c>
      <c r="BR924" s="767">
        <f t="shared" si="600"/>
        <v>0</v>
      </c>
      <c r="BS924" s="221">
        <f t="shared" si="600"/>
        <v>0</v>
      </c>
      <c r="BT924" s="222">
        <f t="shared" si="600"/>
        <v>0</v>
      </c>
      <c r="BU924" s="222">
        <f t="shared" si="600"/>
        <v>0</v>
      </c>
      <c r="BV924" s="223">
        <f t="shared" si="600"/>
        <v>0</v>
      </c>
      <c r="BW924" s="229"/>
      <c r="BX924" s="215"/>
      <c r="BY924" s="125">
        <f t="shared" si="526"/>
        <v>244.58</v>
      </c>
      <c r="BZ924" s="126">
        <f t="shared" si="527"/>
        <v>244.58</v>
      </c>
      <c r="CA924" s="126">
        <f t="shared" si="601"/>
        <v>264.08999999999997</v>
      </c>
      <c r="CB924" s="127">
        <f t="shared" si="601"/>
        <v>0</v>
      </c>
      <c r="CC924" s="768"/>
    </row>
    <row r="925" spans="1:81" s="230" customFormat="1" ht="15.75" customHeight="1" outlineLevel="5" x14ac:dyDescent="0.25">
      <c r="A925" s="215"/>
      <c r="B925" s="215"/>
      <c r="C925" s="216"/>
      <c r="D925" s="216"/>
      <c r="E925" s="216"/>
      <c r="F925" s="216"/>
      <c r="G925" s="216"/>
      <c r="H925" s="216"/>
      <c r="I925" s="216"/>
      <c r="J925" s="215"/>
      <c r="K925" s="217"/>
      <c r="L925" s="216"/>
      <c r="M925" s="215"/>
      <c r="N925" s="215"/>
      <c r="O925" s="215"/>
      <c r="P925" s="215"/>
      <c r="Q925" s="215"/>
      <c r="R925" s="215"/>
      <c r="S925" s="215"/>
      <c r="T925" s="215"/>
      <c r="U925" s="215"/>
      <c r="V925" s="215"/>
      <c r="W925" s="215"/>
      <c r="X925" s="215"/>
      <c r="Y925" s="215"/>
      <c r="Z925" s="215"/>
      <c r="AA925" s="215"/>
      <c r="AB925" s="218"/>
      <c r="AC925" s="219" t="s">
        <v>372</v>
      </c>
      <c r="AD925" s="220" t="s">
        <v>247</v>
      </c>
      <c r="AE925" s="221">
        <f t="shared" si="586"/>
        <v>80.37</v>
      </c>
      <c r="AF925" s="222">
        <f t="shared" si="586"/>
        <v>80.37</v>
      </c>
      <c r="AG925" s="222">
        <f t="shared" si="586"/>
        <v>88.44</v>
      </c>
      <c r="AH925" s="767">
        <f t="shared" ref="AH925" si="620">AH552</f>
        <v>0</v>
      </c>
      <c r="AI925" s="221">
        <f t="shared" si="586"/>
        <v>0</v>
      </c>
      <c r="AJ925" s="222">
        <f t="shared" si="586"/>
        <v>0</v>
      </c>
      <c r="AK925" s="222">
        <f t="shared" si="586"/>
        <v>0</v>
      </c>
      <c r="AL925" s="767">
        <f t="shared" ref="AL925" si="621">AL552</f>
        <v>0</v>
      </c>
      <c r="AM925" s="221">
        <f t="shared" si="589"/>
        <v>0</v>
      </c>
      <c r="AN925" s="222">
        <f t="shared" si="589"/>
        <v>0</v>
      </c>
      <c r="AO925" s="222">
        <f t="shared" si="589"/>
        <v>0</v>
      </c>
      <c r="AP925" s="767">
        <f t="shared" ref="AP925" si="622">AP552</f>
        <v>0</v>
      </c>
      <c r="AQ925" s="221">
        <f t="shared" si="591"/>
        <v>0</v>
      </c>
      <c r="AR925" s="222">
        <f t="shared" si="591"/>
        <v>0</v>
      </c>
      <c r="AS925" s="222">
        <f t="shared" si="591"/>
        <v>0</v>
      </c>
      <c r="AT925" s="767">
        <f t="shared" si="591"/>
        <v>0</v>
      </c>
      <c r="AU925" s="221">
        <f t="shared" si="591"/>
        <v>0</v>
      </c>
      <c r="AV925" s="222">
        <f t="shared" si="591"/>
        <v>0</v>
      </c>
      <c r="AW925" s="222">
        <f t="shared" si="591"/>
        <v>0</v>
      </c>
      <c r="AX925" s="767">
        <f t="shared" ref="AX925" si="623">AX552</f>
        <v>0</v>
      </c>
      <c r="AY925" s="221">
        <f t="shared" si="593"/>
        <v>0</v>
      </c>
      <c r="AZ925" s="222">
        <f t="shared" si="593"/>
        <v>0</v>
      </c>
      <c r="BA925" s="222">
        <f t="shared" si="593"/>
        <v>0</v>
      </c>
      <c r="BB925" s="767">
        <f t="shared" ref="BB925" si="624">BB552</f>
        <v>0</v>
      </c>
      <c r="BC925" s="221">
        <f t="shared" si="595"/>
        <v>0</v>
      </c>
      <c r="BD925" s="222">
        <f t="shared" si="595"/>
        <v>0</v>
      </c>
      <c r="BE925" s="222">
        <f t="shared" si="595"/>
        <v>0</v>
      </c>
      <c r="BF925" s="767">
        <f t="shared" ref="BF925" si="625">BF552</f>
        <v>0</v>
      </c>
      <c r="BG925" s="221">
        <f t="shared" si="608"/>
        <v>0</v>
      </c>
      <c r="BH925" s="222">
        <f t="shared" si="608"/>
        <v>0</v>
      </c>
      <c r="BI925" s="222">
        <f t="shared" si="608"/>
        <v>0</v>
      </c>
      <c r="BJ925" s="767">
        <f t="shared" ref="BJ925" si="626">BJ552</f>
        <v>0</v>
      </c>
      <c r="BK925" s="221">
        <f t="shared" si="610"/>
        <v>0</v>
      </c>
      <c r="BL925" s="222">
        <f t="shared" si="610"/>
        <v>0</v>
      </c>
      <c r="BM925" s="222">
        <f t="shared" si="610"/>
        <v>0</v>
      </c>
      <c r="BN925" s="767">
        <f t="shared" ref="BN925" si="627">BN552</f>
        <v>0</v>
      </c>
      <c r="BO925" s="221">
        <f t="shared" si="600"/>
        <v>0</v>
      </c>
      <c r="BP925" s="222">
        <f t="shared" si="600"/>
        <v>0</v>
      </c>
      <c r="BQ925" s="222">
        <f t="shared" si="600"/>
        <v>0</v>
      </c>
      <c r="BR925" s="767">
        <f t="shared" si="600"/>
        <v>0</v>
      </c>
      <c r="BS925" s="221">
        <f t="shared" si="600"/>
        <v>0</v>
      </c>
      <c r="BT925" s="222">
        <f t="shared" si="600"/>
        <v>0</v>
      </c>
      <c r="BU925" s="222">
        <f t="shared" si="600"/>
        <v>0</v>
      </c>
      <c r="BV925" s="223">
        <f t="shared" si="600"/>
        <v>0</v>
      </c>
      <c r="BW925" s="229"/>
      <c r="BX925" s="215"/>
      <c r="BY925" s="125">
        <f t="shared" si="526"/>
        <v>80.37</v>
      </c>
      <c r="BZ925" s="126">
        <f t="shared" si="527"/>
        <v>80.37</v>
      </c>
      <c r="CA925" s="126">
        <f t="shared" si="601"/>
        <v>88.44</v>
      </c>
      <c r="CB925" s="127">
        <f t="shared" si="601"/>
        <v>0</v>
      </c>
      <c r="CC925" s="768"/>
    </row>
    <row r="926" spans="1:81" s="230" customFormat="1" ht="15.75" customHeight="1" outlineLevel="5" x14ac:dyDescent="0.25">
      <c r="A926" s="215"/>
      <c r="B926" s="215"/>
      <c r="C926" s="216"/>
      <c r="D926" s="216"/>
      <c r="E926" s="216"/>
      <c r="F926" s="216"/>
      <c r="G926" s="216"/>
      <c r="H926" s="216"/>
      <c r="I926" s="216"/>
      <c r="J926" s="215"/>
      <c r="K926" s="217"/>
      <c r="L926" s="216"/>
      <c r="M926" s="215"/>
      <c r="N926" s="215"/>
      <c r="O926" s="215"/>
      <c r="P926" s="215"/>
      <c r="Q926" s="215"/>
      <c r="R926" s="215"/>
      <c r="S926" s="215"/>
      <c r="T926" s="215"/>
      <c r="U926" s="215"/>
      <c r="V926" s="215"/>
      <c r="W926" s="215"/>
      <c r="X926" s="215"/>
      <c r="Y926" s="215"/>
      <c r="Z926" s="215"/>
      <c r="AA926" s="215"/>
      <c r="AB926" s="218"/>
      <c r="AC926" s="219" t="s">
        <v>604</v>
      </c>
      <c r="AD926" s="220" t="s">
        <v>247</v>
      </c>
      <c r="AE926" s="221">
        <f t="shared" ref="AE926:AK931" si="628">AE555</f>
        <v>48.11</v>
      </c>
      <c r="AF926" s="222">
        <f t="shared" si="628"/>
        <v>48.11</v>
      </c>
      <c r="AG926" s="222">
        <f t="shared" si="628"/>
        <v>30.36</v>
      </c>
      <c r="AH926" s="767">
        <f t="shared" ref="AH926" si="629">AH555</f>
        <v>0</v>
      </c>
      <c r="AI926" s="221">
        <f t="shared" si="628"/>
        <v>0</v>
      </c>
      <c r="AJ926" s="222">
        <f t="shared" si="628"/>
        <v>0</v>
      </c>
      <c r="AK926" s="222">
        <f t="shared" si="628"/>
        <v>0</v>
      </c>
      <c r="AL926" s="767">
        <f t="shared" ref="AL926" si="630">AL555</f>
        <v>0</v>
      </c>
      <c r="AM926" s="221">
        <f t="shared" ref="AM926:AO931" si="631">AM555</f>
        <v>0</v>
      </c>
      <c r="AN926" s="222">
        <f t="shared" si="631"/>
        <v>0</v>
      </c>
      <c r="AO926" s="222">
        <f t="shared" si="631"/>
        <v>0</v>
      </c>
      <c r="AP926" s="767">
        <f t="shared" ref="AP926" si="632">AP555</f>
        <v>0</v>
      </c>
      <c r="AQ926" s="221">
        <f t="shared" ref="AQ926:AW931" si="633">AQ555</f>
        <v>0</v>
      </c>
      <c r="AR926" s="222">
        <f t="shared" si="633"/>
        <v>0</v>
      </c>
      <c r="AS926" s="222">
        <f t="shared" si="633"/>
        <v>0</v>
      </c>
      <c r="AT926" s="767">
        <f t="shared" si="633"/>
        <v>0</v>
      </c>
      <c r="AU926" s="221">
        <f t="shared" si="633"/>
        <v>0</v>
      </c>
      <c r="AV926" s="222">
        <f t="shared" si="633"/>
        <v>0</v>
      </c>
      <c r="AW926" s="222">
        <f t="shared" si="633"/>
        <v>0</v>
      </c>
      <c r="AX926" s="767">
        <f t="shared" ref="AX926" si="634">AX555</f>
        <v>0</v>
      </c>
      <c r="AY926" s="221">
        <f t="shared" ref="AY926:BA931" si="635">AY555</f>
        <v>0</v>
      </c>
      <c r="AZ926" s="222">
        <f t="shared" si="635"/>
        <v>0</v>
      </c>
      <c r="BA926" s="222">
        <f t="shared" si="635"/>
        <v>0</v>
      </c>
      <c r="BB926" s="767">
        <f t="shared" ref="BB926" si="636">BB555</f>
        <v>0</v>
      </c>
      <c r="BC926" s="221">
        <f t="shared" ref="BC926:BE931" si="637">BC555</f>
        <v>0</v>
      </c>
      <c r="BD926" s="222">
        <f t="shared" si="637"/>
        <v>0</v>
      </c>
      <c r="BE926" s="222">
        <f t="shared" si="637"/>
        <v>0</v>
      </c>
      <c r="BF926" s="767">
        <f t="shared" ref="BF926" si="638">BF555</f>
        <v>0</v>
      </c>
      <c r="BG926" s="221">
        <f t="shared" ref="BG926:BI931" si="639">BG555</f>
        <v>0</v>
      </c>
      <c r="BH926" s="222">
        <f t="shared" si="639"/>
        <v>0</v>
      </c>
      <c r="BI926" s="222">
        <f t="shared" si="639"/>
        <v>0</v>
      </c>
      <c r="BJ926" s="767">
        <f t="shared" ref="BJ926" si="640">BJ555</f>
        <v>0</v>
      </c>
      <c r="BK926" s="221">
        <f t="shared" ref="BK926:BM931" si="641">BK555</f>
        <v>0</v>
      </c>
      <c r="BL926" s="222">
        <f t="shared" si="641"/>
        <v>0</v>
      </c>
      <c r="BM926" s="222">
        <f t="shared" si="641"/>
        <v>0</v>
      </c>
      <c r="BN926" s="767">
        <f t="shared" ref="BN926" si="642">BN555</f>
        <v>0</v>
      </c>
      <c r="BO926" s="221">
        <f t="shared" ref="BO926:BV931" si="643">BO555</f>
        <v>0</v>
      </c>
      <c r="BP926" s="222">
        <f t="shared" si="643"/>
        <v>0</v>
      </c>
      <c r="BQ926" s="222">
        <f t="shared" si="643"/>
        <v>0</v>
      </c>
      <c r="BR926" s="767">
        <f t="shared" si="643"/>
        <v>0</v>
      </c>
      <c r="BS926" s="221">
        <f t="shared" si="643"/>
        <v>0</v>
      </c>
      <c r="BT926" s="222">
        <f t="shared" si="643"/>
        <v>0</v>
      </c>
      <c r="BU926" s="222">
        <f t="shared" si="643"/>
        <v>0</v>
      </c>
      <c r="BV926" s="223">
        <f t="shared" si="643"/>
        <v>0</v>
      </c>
      <c r="BW926" s="229"/>
      <c r="BX926" s="215"/>
      <c r="BY926" s="125">
        <f t="shared" si="526"/>
        <v>48.11</v>
      </c>
      <c r="BZ926" s="126">
        <f t="shared" si="527"/>
        <v>48.11</v>
      </c>
      <c r="CA926" s="126">
        <f t="shared" si="601"/>
        <v>30.36</v>
      </c>
      <c r="CB926" s="127">
        <f t="shared" si="601"/>
        <v>0</v>
      </c>
      <c r="CC926" s="768"/>
    </row>
    <row r="927" spans="1:81" s="230" customFormat="1" ht="15.75" customHeight="1" outlineLevel="5" x14ac:dyDescent="0.25">
      <c r="A927" s="215"/>
      <c r="B927" s="215"/>
      <c r="C927" s="216"/>
      <c r="D927" s="216"/>
      <c r="E927" s="216"/>
      <c r="F927" s="216"/>
      <c r="G927" s="216"/>
      <c r="H927" s="216"/>
      <c r="I927" s="216"/>
      <c r="J927" s="215"/>
      <c r="K927" s="217"/>
      <c r="L927" s="216"/>
      <c r="M927" s="215"/>
      <c r="N927" s="215"/>
      <c r="O927" s="215"/>
      <c r="P927" s="215"/>
      <c r="Q927" s="215"/>
      <c r="R927" s="215"/>
      <c r="S927" s="215"/>
      <c r="T927" s="215"/>
      <c r="U927" s="215"/>
      <c r="V927" s="215"/>
      <c r="W927" s="215"/>
      <c r="X927" s="215"/>
      <c r="Y927" s="215"/>
      <c r="Z927" s="215"/>
      <c r="AA927" s="215"/>
      <c r="AB927" s="218"/>
      <c r="AC927" s="219" t="s">
        <v>605</v>
      </c>
      <c r="AD927" s="220" t="s">
        <v>247</v>
      </c>
      <c r="AE927" s="221">
        <f t="shared" si="628"/>
        <v>9.67</v>
      </c>
      <c r="AF927" s="222">
        <f t="shared" si="628"/>
        <v>9.67</v>
      </c>
      <c r="AG927" s="222">
        <f t="shared" si="628"/>
        <v>10.64</v>
      </c>
      <c r="AH927" s="767">
        <f t="shared" ref="AH927" si="644">AH556</f>
        <v>0</v>
      </c>
      <c r="AI927" s="221">
        <f t="shared" si="628"/>
        <v>0</v>
      </c>
      <c r="AJ927" s="222">
        <f t="shared" si="628"/>
        <v>0</v>
      </c>
      <c r="AK927" s="222">
        <f t="shared" si="628"/>
        <v>0</v>
      </c>
      <c r="AL927" s="767">
        <f t="shared" ref="AL927" si="645">AL556</f>
        <v>0</v>
      </c>
      <c r="AM927" s="221">
        <f t="shared" si="631"/>
        <v>0</v>
      </c>
      <c r="AN927" s="222">
        <f t="shared" si="631"/>
        <v>0</v>
      </c>
      <c r="AO927" s="222">
        <f t="shared" si="631"/>
        <v>0</v>
      </c>
      <c r="AP927" s="767">
        <f t="shared" ref="AP927" si="646">AP556</f>
        <v>0</v>
      </c>
      <c r="AQ927" s="221">
        <f t="shared" si="633"/>
        <v>0</v>
      </c>
      <c r="AR927" s="222">
        <f t="shared" si="633"/>
        <v>0</v>
      </c>
      <c r="AS927" s="222">
        <f t="shared" si="633"/>
        <v>0</v>
      </c>
      <c r="AT927" s="767">
        <f t="shared" si="633"/>
        <v>0</v>
      </c>
      <c r="AU927" s="221">
        <f t="shared" si="633"/>
        <v>0</v>
      </c>
      <c r="AV927" s="222">
        <f t="shared" si="633"/>
        <v>0</v>
      </c>
      <c r="AW927" s="222">
        <f t="shared" si="633"/>
        <v>0</v>
      </c>
      <c r="AX927" s="767">
        <f t="shared" ref="AX927" si="647">AX556</f>
        <v>0</v>
      </c>
      <c r="AY927" s="221">
        <f t="shared" si="635"/>
        <v>0</v>
      </c>
      <c r="AZ927" s="222">
        <f t="shared" si="635"/>
        <v>0</v>
      </c>
      <c r="BA927" s="222">
        <f t="shared" si="635"/>
        <v>0</v>
      </c>
      <c r="BB927" s="767">
        <f t="shared" ref="BB927" si="648">BB556</f>
        <v>0</v>
      </c>
      <c r="BC927" s="221">
        <f t="shared" si="637"/>
        <v>0</v>
      </c>
      <c r="BD927" s="222">
        <f t="shared" si="637"/>
        <v>0</v>
      </c>
      <c r="BE927" s="222">
        <f t="shared" si="637"/>
        <v>0</v>
      </c>
      <c r="BF927" s="767">
        <f t="shared" ref="BF927" si="649">BF556</f>
        <v>0</v>
      </c>
      <c r="BG927" s="221">
        <f t="shared" si="639"/>
        <v>0</v>
      </c>
      <c r="BH927" s="222">
        <f t="shared" si="639"/>
        <v>0</v>
      </c>
      <c r="BI927" s="222">
        <f t="shared" si="639"/>
        <v>0</v>
      </c>
      <c r="BJ927" s="767">
        <f t="shared" ref="BJ927" si="650">BJ556</f>
        <v>0</v>
      </c>
      <c r="BK927" s="221">
        <f t="shared" si="641"/>
        <v>0</v>
      </c>
      <c r="BL927" s="222">
        <f t="shared" si="641"/>
        <v>0</v>
      </c>
      <c r="BM927" s="222">
        <f t="shared" si="641"/>
        <v>0</v>
      </c>
      <c r="BN927" s="767">
        <f t="shared" ref="BN927" si="651">BN556</f>
        <v>0</v>
      </c>
      <c r="BO927" s="221">
        <f t="shared" si="643"/>
        <v>0</v>
      </c>
      <c r="BP927" s="222">
        <f t="shared" si="643"/>
        <v>0</v>
      </c>
      <c r="BQ927" s="222">
        <f t="shared" si="643"/>
        <v>0</v>
      </c>
      <c r="BR927" s="767">
        <f t="shared" si="643"/>
        <v>0</v>
      </c>
      <c r="BS927" s="221">
        <f t="shared" si="643"/>
        <v>0</v>
      </c>
      <c r="BT927" s="222">
        <f t="shared" si="643"/>
        <v>0</v>
      </c>
      <c r="BU927" s="222">
        <f t="shared" si="643"/>
        <v>0</v>
      </c>
      <c r="BV927" s="223">
        <f t="shared" si="643"/>
        <v>0</v>
      </c>
      <c r="BW927" s="229"/>
      <c r="BX927" s="215"/>
      <c r="BY927" s="125">
        <f t="shared" si="526"/>
        <v>9.67</v>
      </c>
      <c r="BZ927" s="126">
        <f t="shared" si="527"/>
        <v>9.67</v>
      </c>
      <c r="CA927" s="126">
        <f t="shared" si="601"/>
        <v>10.64</v>
      </c>
      <c r="CB927" s="127">
        <f t="shared" si="601"/>
        <v>0</v>
      </c>
      <c r="CC927" s="768"/>
    </row>
    <row r="928" spans="1:81" s="230" customFormat="1" ht="15.75" customHeight="1" outlineLevel="5" x14ac:dyDescent="0.25">
      <c r="A928" s="215"/>
      <c r="B928" s="215"/>
      <c r="C928" s="216"/>
      <c r="D928" s="216"/>
      <c r="E928" s="216"/>
      <c r="F928" s="216"/>
      <c r="G928" s="216"/>
      <c r="H928" s="216"/>
      <c r="I928" s="216"/>
      <c r="J928" s="215"/>
      <c r="K928" s="217"/>
      <c r="L928" s="216"/>
      <c r="M928" s="215"/>
      <c r="N928" s="215"/>
      <c r="O928" s="215"/>
      <c r="P928" s="215"/>
      <c r="Q928" s="215"/>
      <c r="R928" s="215"/>
      <c r="S928" s="215"/>
      <c r="T928" s="215"/>
      <c r="U928" s="215"/>
      <c r="V928" s="215"/>
      <c r="W928" s="215"/>
      <c r="X928" s="215"/>
      <c r="Y928" s="215"/>
      <c r="Z928" s="215"/>
      <c r="AA928" s="215"/>
      <c r="AB928" s="218"/>
      <c r="AC928" s="219" t="s">
        <v>606</v>
      </c>
      <c r="AD928" s="220" t="s">
        <v>247</v>
      </c>
      <c r="AE928" s="221">
        <f t="shared" si="628"/>
        <v>18.940000000000001</v>
      </c>
      <c r="AF928" s="222">
        <f t="shared" si="628"/>
        <v>18.940000000000001</v>
      </c>
      <c r="AG928" s="222">
        <f t="shared" si="628"/>
        <v>20.84</v>
      </c>
      <c r="AH928" s="767">
        <f t="shared" ref="AH928" si="652">AH557</f>
        <v>0</v>
      </c>
      <c r="AI928" s="221">
        <f t="shared" si="628"/>
        <v>0</v>
      </c>
      <c r="AJ928" s="222">
        <f t="shared" si="628"/>
        <v>0</v>
      </c>
      <c r="AK928" s="222">
        <f t="shared" si="628"/>
        <v>0</v>
      </c>
      <c r="AL928" s="767">
        <f t="shared" ref="AL928" si="653">AL557</f>
        <v>0</v>
      </c>
      <c r="AM928" s="221">
        <f t="shared" si="631"/>
        <v>0</v>
      </c>
      <c r="AN928" s="222">
        <f t="shared" si="631"/>
        <v>0</v>
      </c>
      <c r="AO928" s="222">
        <f t="shared" si="631"/>
        <v>0</v>
      </c>
      <c r="AP928" s="767">
        <f t="shared" ref="AP928" si="654">AP557</f>
        <v>0</v>
      </c>
      <c r="AQ928" s="221">
        <f t="shared" si="633"/>
        <v>0</v>
      </c>
      <c r="AR928" s="222">
        <f t="shared" si="633"/>
        <v>0</v>
      </c>
      <c r="AS928" s="222">
        <f t="shared" si="633"/>
        <v>0</v>
      </c>
      <c r="AT928" s="767">
        <f t="shared" si="633"/>
        <v>0</v>
      </c>
      <c r="AU928" s="221">
        <f t="shared" si="633"/>
        <v>0</v>
      </c>
      <c r="AV928" s="222">
        <f t="shared" si="633"/>
        <v>0</v>
      </c>
      <c r="AW928" s="222">
        <f t="shared" si="633"/>
        <v>0</v>
      </c>
      <c r="AX928" s="767">
        <f t="shared" ref="AX928" si="655">AX557</f>
        <v>0</v>
      </c>
      <c r="AY928" s="221">
        <f t="shared" si="635"/>
        <v>0</v>
      </c>
      <c r="AZ928" s="222">
        <f t="shared" si="635"/>
        <v>0</v>
      </c>
      <c r="BA928" s="222">
        <f t="shared" si="635"/>
        <v>0</v>
      </c>
      <c r="BB928" s="767">
        <f t="shared" ref="BB928" si="656">BB557</f>
        <v>0</v>
      </c>
      <c r="BC928" s="221">
        <f t="shared" si="637"/>
        <v>0</v>
      </c>
      <c r="BD928" s="222">
        <f t="shared" si="637"/>
        <v>0</v>
      </c>
      <c r="BE928" s="222">
        <f t="shared" si="637"/>
        <v>0</v>
      </c>
      <c r="BF928" s="767">
        <f t="shared" ref="BF928" si="657">BF557</f>
        <v>0</v>
      </c>
      <c r="BG928" s="221">
        <f t="shared" si="639"/>
        <v>0</v>
      </c>
      <c r="BH928" s="222">
        <f t="shared" si="639"/>
        <v>0</v>
      </c>
      <c r="BI928" s="222">
        <f t="shared" si="639"/>
        <v>0</v>
      </c>
      <c r="BJ928" s="767">
        <f t="shared" ref="BJ928" si="658">BJ557</f>
        <v>0</v>
      </c>
      <c r="BK928" s="221">
        <f t="shared" si="641"/>
        <v>0</v>
      </c>
      <c r="BL928" s="222">
        <f t="shared" si="641"/>
        <v>0</v>
      </c>
      <c r="BM928" s="222">
        <f t="shared" si="641"/>
        <v>0</v>
      </c>
      <c r="BN928" s="767">
        <f t="shared" ref="BN928" si="659">BN557</f>
        <v>0</v>
      </c>
      <c r="BO928" s="221">
        <f t="shared" si="643"/>
        <v>0</v>
      </c>
      <c r="BP928" s="222">
        <f t="shared" si="643"/>
        <v>0</v>
      </c>
      <c r="BQ928" s="222">
        <f t="shared" si="643"/>
        <v>0</v>
      </c>
      <c r="BR928" s="767">
        <f t="shared" si="643"/>
        <v>0</v>
      </c>
      <c r="BS928" s="221">
        <f t="shared" si="643"/>
        <v>0</v>
      </c>
      <c r="BT928" s="222">
        <f t="shared" si="643"/>
        <v>0</v>
      </c>
      <c r="BU928" s="222">
        <f t="shared" si="643"/>
        <v>0</v>
      </c>
      <c r="BV928" s="223">
        <f t="shared" si="643"/>
        <v>0</v>
      </c>
      <c r="BW928" s="229"/>
      <c r="BX928" s="215"/>
      <c r="BY928" s="125">
        <f t="shared" si="526"/>
        <v>18.940000000000001</v>
      </c>
      <c r="BZ928" s="126">
        <f t="shared" si="527"/>
        <v>18.940000000000001</v>
      </c>
      <c r="CA928" s="126">
        <f t="shared" si="601"/>
        <v>20.84</v>
      </c>
      <c r="CB928" s="127">
        <f t="shared" si="601"/>
        <v>0</v>
      </c>
      <c r="CC928" s="768"/>
    </row>
    <row r="929" spans="1:82" s="230" customFormat="1" ht="15.75" customHeight="1" outlineLevel="5" x14ac:dyDescent="0.25">
      <c r="A929" s="215"/>
      <c r="B929" s="215"/>
      <c r="C929" s="216"/>
      <c r="D929" s="216"/>
      <c r="E929" s="216"/>
      <c r="F929" s="216"/>
      <c r="G929" s="216"/>
      <c r="H929" s="216"/>
      <c r="I929" s="216"/>
      <c r="J929" s="215"/>
      <c r="K929" s="217"/>
      <c r="L929" s="216"/>
      <c r="M929" s="215"/>
      <c r="N929" s="215"/>
      <c r="O929" s="215"/>
      <c r="P929" s="215"/>
      <c r="Q929" s="215"/>
      <c r="R929" s="215"/>
      <c r="S929" s="215"/>
      <c r="T929" s="215"/>
      <c r="U929" s="215"/>
      <c r="V929" s="215"/>
      <c r="W929" s="215"/>
      <c r="X929" s="215"/>
      <c r="Y929" s="215"/>
      <c r="Z929" s="215"/>
      <c r="AA929" s="215"/>
      <c r="AB929" s="218"/>
      <c r="AC929" s="219" t="s">
        <v>607</v>
      </c>
      <c r="AD929" s="220" t="s">
        <v>247</v>
      </c>
      <c r="AE929" s="221">
        <f t="shared" si="628"/>
        <v>131.88999999999999</v>
      </c>
      <c r="AF929" s="222">
        <f t="shared" si="628"/>
        <v>131.88999999999999</v>
      </c>
      <c r="AG929" s="222">
        <f t="shared" si="628"/>
        <v>145.12</v>
      </c>
      <c r="AH929" s="767">
        <f t="shared" ref="AH929" si="660">AH558</f>
        <v>0</v>
      </c>
      <c r="AI929" s="221">
        <f t="shared" si="628"/>
        <v>0</v>
      </c>
      <c r="AJ929" s="222">
        <f t="shared" si="628"/>
        <v>0</v>
      </c>
      <c r="AK929" s="222">
        <f t="shared" si="628"/>
        <v>0</v>
      </c>
      <c r="AL929" s="767">
        <f t="shared" ref="AL929" si="661">AL558</f>
        <v>0</v>
      </c>
      <c r="AM929" s="221">
        <f t="shared" si="631"/>
        <v>0</v>
      </c>
      <c r="AN929" s="222">
        <f t="shared" si="631"/>
        <v>0</v>
      </c>
      <c r="AO929" s="222">
        <f t="shared" si="631"/>
        <v>0</v>
      </c>
      <c r="AP929" s="767">
        <f t="shared" ref="AP929" si="662">AP558</f>
        <v>0</v>
      </c>
      <c r="AQ929" s="221">
        <f t="shared" si="633"/>
        <v>0</v>
      </c>
      <c r="AR929" s="222">
        <f t="shared" si="633"/>
        <v>0</v>
      </c>
      <c r="AS929" s="222">
        <f t="shared" si="633"/>
        <v>0</v>
      </c>
      <c r="AT929" s="767">
        <f t="shared" si="633"/>
        <v>0</v>
      </c>
      <c r="AU929" s="221">
        <f t="shared" si="633"/>
        <v>0</v>
      </c>
      <c r="AV929" s="222">
        <f t="shared" si="633"/>
        <v>0</v>
      </c>
      <c r="AW929" s="222">
        <f t="shared" si="633"/>
        <v>0</v>
      </c>
      <c r="AX929" s="767">
        <f t="shared" ref="AX929" si="663">AX558</f>
        <v>0</v>
      </c>
      <c r="AY929" s="221">
        <f t="shared" si="635"/>
        <v>0</v>
      </c>
      <c r="AZ929" s="222">
        <f t="shared" si="635"/>
        <v>0</v>
      </c>
      <c r="BA929" s="222">
        <f t="shared" si="635"/>
        <v>0</v>
      </c>
      <c r="BB929" s="767">
        <f t="shared" ref="BB929" si="664">BB558</f>
        <v>0</v>
      </c>
      <c r="BC929" s="221">
        <f t="shared" si="637"/>
        <v>0</v>
      </c>
      <c r="BD929" s="222">
        <f t="shared" si="637"/>
        <v>0</v>
      </c>
      <c r="BE929" s="222">
        <f t="shared" si="637"/>
        <v>0</v>
      </c>
      <c r="BF929" s="767">
        <f t="shared" ref="BF929" si="665">BF558</f>
        <v>0</v>
      </c>
      <c r="BG929" s="221">
        <f t="shared" si="639"/>
        <v>0</v>
      </c>
      <c r="BH929" s="222">
        <f t="shared" si="639"/>
        <v>0</v>
      </c>
      <c r="BI929" s="222">
        <f t="shared" si="639"/>
        <v>0</v>
      </c>
      <c r="BJ929" s="767">
        <f t="shared" ref="BJ929" si="666">BJ558</f>
        <v>0</v>
      </c>
      <c r="BK929" s="221">
        <f t="shared" si="641"/>
        <v>0</v>
      </c>
      <c r="BL929" s="222">
        <f t="shared" si="641"/>
        <v>0</v>
      </c>
      <c r="BM929" s="222">
        <f t="shared" si="641"/>
        <v>0</v>
      </c>
      <c r="BN929" s="767">
        <f t="shared" ref="BN929" si="667">BN558</f>
        <v>0</v>
      </c>
      <c r="BO929" s="221">
        <f t="shared" si="643"/>
        <v>0</v>
      </c>
      <c r="BP929" s="222">
        <f t="shared" si="643"/>
        <v>0</v>
      </c>
      <c r="BQ929" s="222">
        <f t="shared" si="643"/>
        <v>0</v>
      </c>
      <c r="BR929" s="767">
        <f t="shared" si="643"/>
        <v>0</v>
      </c>
      <c r="BS929" s="221">
        <f t="shared" si="643"/>
        <v>0</v>
      </c>
      <c r="BT929" s="222">
        <f t="shared" si="643"/>
        <v>0</v>
      </c>
      <c r="BU929" s="222">
        <f t="shared" si="643"/>
        <v>0</v>
      </c>
      <c r="BV929" s="223">
        <f t="shared" si="643"/>
        <v>0</v>
      </c>
      <c r="BW929" s="229"/>
      <c r="BX929" s="215"/>
      <c r="BY929" s="125">
        <f t="shared" si="526"/>
        <v>131.88999999999999</v>
      </c>
      <c r="BZ929" s="126">
        <f t="shared" si="527"/>
        <v>131.88999999999999</v>
      </c>
      <c r="CA929" s="126">
        <f t="shared" si="601"/>
        <v>145.12</v>
      </c>
      <c r="CB929" s="127">
        <f t="shared" si="601"/>
        <v>0</v>
      </c>
      <c r="CC929" s="768"/>
    </row>
    <row r="930" spans="1:82" s="230" customFormat="1" ht="15.75" customHeight="1" outlineLevel="5" x14ac:dyDescent="0.25">
      <c r="A930" s="215"/>
      <c r="B930" s="215"/>
      <c r="C930" s="216"/>
      <c r="D930" s="216"/>
      <c r="E930" s="216"/>
      <c r="F930" s="216"/>
      <c r="G930" s="216"/>
      <c r="H930" s="216"/>
      <c r="I930" s="216"/>
      <c r="J930" s="215"/>
      <c r="K930" s="217"/>
      <c r="L930" s="216"/>
      <c r="M930" s="215"/>
      <c r="N930" s="215"/>
      <c r="O930" s="215"/>
      <c r="P930" s="215"/>
      <c r="Q930" s="215"/>
      <c r="R930" s="215"/>
      <c r="S930" s="215"/>
      <c r="T930" s="215"/>
      <c r="U930" s="215"/>
      <c r="V930" s="215"/>
      <c r="W930" s="215"/>
      <c r="X930" s="215"/>
      <c r="Y930" s="215"/>
      <c r="Z930" s="215"/>
      <c r="AA930" s="215"/>
      <c r="AB930" s="218"/>
      <c r="AC930" s="219" t="s">
        <v>608</v>
      </c>
      <c r="AD930" s="220" t="s">
        <v>247</v>
      </c>
      <c r="AE930" s="221">
        <f t="shared" si="628"/>
        <v>539.54999999999995</v>
      </c>
      <c r="AF930" s="222">
        <f t="shared" si="628"/>
        <v>539.54999999999995</v>
      </c>
      <c r="AG930" s="222">
        <f t="shared" si="628"/>
        <v>593.67999999999995</v>
      </c>
      <c r="AH930" s="767">
        <f t="shared" ref="AH930" si="668">AH559</f>
        <v>0</v>
      </c>
      <c r="AI930" s="221">
        <f t="shared" si="628"/>
        <v>0</v>
      </c>
      <c r="AJ930" s="222">
        <f t="shared" si="628"/>
        <v>0</v>
      </c>
      <c r="AK930" s="222">
        <f t="shared" si="628"/>
        <v>0</v>
      </c>
      <c r="AL930" s="767">
        <f t="shared" ref="AL930" si="669">AL559</f>
        <v>0</v>
      </c>
      <c r="AM930" s="221">
        <f t="shared" si="631"/>
        <v>0</v>
      </c>
      <c r="AN930" s="222">
        <f t="shared" si="631"/>
        <v>0</v>
      </c>
      <c r="AO930" s="222">
        <f t="shared" si="631"/>
        <v>0</v>
      </c>
      <c r="AP930" s="767">
        <f t="shared" ref="AP930" si="670">AP559</f>
        <v>0</v>
      </c>
      <c r="AQ930" s="221">
        <f t="shared" si="633"/>
        <v>0</v>
      </c>
      <c r="AR930" s="222">
        <f t="shared" si="633"/>
        <v>0</v>
      </c>
      <c r="AS930" s="222">
        <f t="shared" si="633"/>
        <v>0</v>
      </c>
      <c r="AT930" s="767">
        <f t="shared" si="633"/>
        <v>0</v>
      </c>
      <c r="AU930" s="221">
        <f t="shared" si="633"/>
        <v>0</v>
      </c>
      <c r="AV930" s="222">
        <f t="shared" si="633"/>
        <v>0</v>
      </c>
      <c r="AW930" s="222">
        <f t="shared" si="633"/>
        <v>0</v>
      </c>
      <c r="AX930" s="767">
        <f t="shared" ref="AX930" si="671">AX559</f>
        <v>0</v>
      </c>
      <c r="AY930" s="221">
        <f t="shared" si="635"/>
        <v>0</v>
      </c>
      <c r="AZ930" s="222">
        <f t="shared" si="635"/>
        <v>0</v>
      </c>
      <c r="BA930" s="222">
        <f t="shared" si="635"/>
        <v>0</v>
      </c>
      <c r="BB930" s="767">
        <f t="shared" ref="BB930" si="672">BB559</f>
        <v>0</v>
      </c>
      <c r="BC930" s="221">
        <f t="shared" si="637"/>
        <v>0</v>
      </c>
      <c r="BD930" s="222">
        <f t="shared" si="637"/>
        <v>0</v>
      </c>
      <c r="BE930" s="222">
        <f t="shared" si="637"/>
        <v>0</v>
      </c>
      <c r="BF930" s="767">
        <f t="shared" ref="BF930" si="673">BF559</f>
        <v>0</v>
      </c>
      <c r="BG930" s="221">
        <f t="shared" si="639"/>
        <v>0</v>
      </c>
      <c r="BH930" s="222">
        <f t="shared" si="639"/>
        <v>0</v>
      </c>
      <c r="BI930" s="222">
        <f t="shared" si="639"/>
        <v>0</v>
      </c>
      <c r="BJ930" s="767">
        <f t="shared" ref="BJ930" si="674">BJ559</f>
        <v>0</v>
      </c>
      <c r="BK930" s="221">
        <f t="shared" si="641"/>
        <v>0</v>
      </c>
      <c r="BL930" s="222">
        <f t="shared" si="641"/>
        <v>0</v>
      </c>
      <c r="BM930" s="222">
        <f t="shared" si="641"/>
        <v>0</v>
      </c>
      <c r="BN930" s="767">
        <f t="shared" ref="BN930" si="675">BN559</f>
        <v>0</v>
      </c>
      <c r="BO930" s="221">
        <f t="shared" si="643"/>
        <v>0</v>
      </c>
      <c r="BP930" s="222">
        <f t="shared" si="643"/>
        <v>0</v>
      </c>
      <c r="BQ930" s="222">
        <f t="shared" si="643"/>
        <v>0</v>
      </c>
      <c r="BR930" s="767">
        <f t="shared" si="643"/>
        <v>0</v>
      </c>
      <c r="BS930" s="221">
        <f t="shared" si="643"/>
        <v>0</v>
      </c>
      <c r="BT930" s="222">
        <f t="shared" si="643"/>
        <v>0</v>
      </c>
      <c r="BU930" s="222">
        <f t="shared" si="643"/>
        <v>0</v>
      </c>
      <c r="BV930" s="223">
        <f t="shared" si="643"/>
        <v>0</v>
      </c>
      <c r="BW930" s="229"/>
      <c r="BX930" s="215"/>
      <c r="BY930" s="125">
        <f t="shared" si="526"/>
        <v>539.54999999999995</v>
      </c>
      <c r="BZ930" s="126">
        <f t="shared" si="527"/>
        <v>539.54999999999995</v>
      </c>
      <c r="CA930" s="126">
        <f t="shared" si="601"/>
        <v>593.67999999999995</v>
      </c>
      <c r="CB930" s="127">
        <f t="shared" si="601"/>
        <v>0</v>
      </c>
      <c r="CC930" s="768"/>
    </row>
    <row r="931" spans="1:82" s="230" customFormat="1" ht="15.75" customHeight="1" outlineLevel="5" x14ac:dyDescent="0.25">
      <c r="A931" s="215"/>
      <c r="B931" s="215"/>
      <c r="C931" s="216"/>
      <c r="D931" s="216"/>
      <c r="E931" s="216"/>
      <c r="F931" s="216"/>
      <c r="G931" s="216"/>
      <c r="H931" s="216"/>
      <c r="I931" s="216"/>
      <c r="J931" s="215"/>
      <c r="K931" s="217"/>
      <c r="L931" s="216"/>
      <c r="M931" s="215"/>
      <c r="N931" s="215"/>
      <c r="O931" s="215"/>
      <c r="P931" s="215"/>
      <c r="Q931" s="215"/>
      <c r="R931" s="215"/>
      <c r="S931" s="215"/>
      <c r="T931" s="215"/>
      <c r="U931" s="215"/>
      <c r="V931" s="215"/>
      <c r="W931" s="215"/>
      <c r="X931" s="215"/>
      <c r="Y931" s="215"/>
      <c r="Z931" s="215"/>
      <c r="AA931" s="215"/>
      <c r="AB931" s="218"/>
      <c r="AC931" s="219" t="s">
        <v>609</v>
      </c>
      <c r="AD931" s="220" t="s">
        <v>247</v>
      </c>
      <c r="AE931" s="221">
        <f t="shared" si="628"/>
        <v>1197.77</v>
      </c>
      <c r="AF931" s="222">
        <f t="shared" si="628"/>
        <v>1197.77</v>
      </c>
      <c r="AG931" s="222">
        <f t="shared" si="628"/>
        <v>1317.93</v>
      </c>
      <c r="AH931" s="767">
        <f t="shared" ref="AH931" si="676">AH560</f>
        <v>0</v>
      </c>
      <c r="AI931" s="221">
        <f t="shared" si="628"/>
        <v>0</v>
      </c>
      <c r="AJ931" s="222">
        <f t="shared" si="628"/>
        <v>0</v>
      </c>
      <c r="AK931" s="222">
        <f t="shared" si="628"/>
        <v>0</v>
      </c>
      <c r="AL931" s="767">
        <f t="shared" ref="AL931" si="677">AL560</f>
        <v>0</v>
      </c>
      <c r="AM931" s="221">
        <f t="shared" si="631"/>
        <v>0</v>
      </c>
      <c r="AN931" s="222">
        <f t="shared" si="631"/>
        <v>0</v>
      </c>
      <c r="AO931" s="222">
        <f t="shared" si="631"/>
        <v>0</v>
      </c>
      <c r="AP931" s="767">
        <f t="shared" ref="AP931" si="678">AP560</f>
        <v>0</v>
      </c>
      <c r="AQ931" s="221">
        <f t="shared" si="633"/>
        <v>0</v>
      </c>
      <c r="AR931" s="222">
        <f t="shared" si="633"/>
        <v>0</v>
      </c>
      <c r="AS931" s="222">
        <f t="shared" si="633"/>
        <v>0</v>
      </c>
      <c r="AT931" s="767">
        <f t="shared" si="633"/>
        <v>0</v>
      </c>
      <c r="AU931" s="221">
        <f t="shared" si="633"/>
        <v>0</v>
      </c>
      <c r="AV931" s="222">
        <f t="shared" si="633"/>
        <v>0</v>
      </c>
      <c r="AW931" s="222">
        <f t="shared" si="633"/>
        <v>0</v>
      </c>
      <c r="AX931" s="767">
        <f t="shared" ref="AX931" si="679">AX560</f>
        <v>0</v>
      </c>
      <c r="AY931" s="221">
        <f t="shared" si="635"/>
        <v>0</v>
      </c>
      <c r="AZ931" s="222">
        <f t="shared" si="635"/>
        <v>0</v>
      </c>
      <c r="BA931" s="222">
        <f t="shared" si="635"/>
        <v>0</v>
      </c>
      <c r="BB931" s="767">
        <f t="shared" ref="BB931" si="680">BB560</f>
        <v>0</v>
      </c>
      <c r="BC931" s="221">
        <f t="shared" si="637"/>
        <v>0</v>
      </c>
      <c r="BD931" s="222">
        <f t="shared" si="637"/>
        <v>0</v>
      </c>
      <c r="BE931" s="222">
        <f t="shared" si="637"/>
        <v>0</v>
      </c>
      <c r="BF931" s="767">
        <f t="shared" ref="BF931" si="681">BF560</f>
        <v>0</v>
      </c>
      <c r="BG931" s="221">
        <f t="shared" si="639"/>
        <v>0</v>
      </c>
      <c r="BH931" s="222">
        <f t="shared" si="639"/>
        <v>0</v>
      </c>
      <c r="BI931" s="222">
        <f t="shared" si="639"/>
        <v>0</v>
      </c>
      <c r="BJ931" s="767">
        <f t="shared" ref="BJ931" si="682">BJ560</f>
        <v>0</v>
      </c>
      <c r="BK931" s="221">
        <f t="shared" si="641"/>
        <v>0</v>
      </c>
      <c r="BL931" s="222">
        <f t="shared" si="641"/>
        <v>0</v>
      </c>
      <c r="BM931" s="222">
        <f t="shared" si="641"/>
        <v>0</v>
      </c>
      <c r="BN931" s="767">
        <f t="shared" ref="BN931" si="683">BN560</f>
        <v>0</v>
      </c>
      <c r="BO931" s="221">
        <f t="shared" si="643"/>
        <v>0</v>
      </c>
      <c r="BP931" s="222">
        <f t="shared" si="643"/>
        <v>0</v>
      </c>
      <c r="BQ931" s="222">
        <f t="shared" si="643"/>
        <v>0</v>
      </c>
      <c r="BR931" s="767">
        <f t="shared" si="643"/>
        <v>0</v>
      </c>
      <c r="BS931" s="221">
        <f t="shared" si="643"/>
        <v>0</v>
      </c>
      <c r="BT931" s="222">
        <f t="shared" si="643"/>
        <v>0</v>
      </c>
      <c r="BU931" s="222">
        <f t="shared" si="643"/>
        <v>0</v>
      </c>
      <c r="BV931" s="223">
        <f t="shared" si="643"/>
        <v>0</v>
      </c>
      <c r="BW931" s="229"/>
      <c r="BX931" s="215"/>
      <c r="BY931" s="125">
        <f t="shared" si="526"/>
        <v>1197.77</v>
      </c>
      <c r="BZ931" s="126">
        <f t="shared" si="527"/>
        <v>1197.77</v>
      </c>
      <c r="CA931" s="126">
        <f t="shared" si="601"/>
        <v>1317.93</v>
      </c>
      <c r="CB931" s="127">
        <f t="shared" si="601"/>
        <v>0</v>
      </c>
      <c r="CC931" s="768"/>
    </row>
    <row r="932" spans="1:82" s="214" customFormat="1" ht="15.75" customHeight="1" outlineLevel="4" x14ac:dyDescent="0.25">
      <c r="A932" s="10" t="b">
        <f>SETTING_OTHER_STRAIGHT="да"</f>
        <v>1</v>
      </c>
      <c r="B932" s="5"/>
      <c r="C932" s="10" t="s">
        <v>83</v>
      </c>
      <c r="D932" s="10" t="s">
        <v>84</v>
      </c>
      <c r="E932" s="10" t="s">
        <v>73</v>
      </c>
      <c r="F932" s="10" t="s">
        <v>74</v>
      </c>
      <c r="G932" s="10" t="str">
        <f>IF('[1]Общие настройки'!$M$13="Oracle","Прочие прямые расходы","Другие производственные расходы")</f>
        <v>Другие производственные расходы</v>
      </c>
      <c r="H932" s="10" t="s">
        <v>73</v>
      </c>
      <c r="I932" s="10" t="s">
        <v>73</v>
      </c>
      <c r="J932" s="5"/>
      <c r="K932" s="12" t="s">
        <v>73</v>
      </c>
      <c r="L932" s="10" t="s">
        <v>192</v>
      </c>
      <c r="M932" s="5" t="str">
        <f t="array" ref="M932">Y818</f>
        <v>1ХВС::1.1</v>
      </c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65" t="str">
        <f>AB891&amp;".8"</f>
        <v>3.1.1.1.6.8</v>
      </c>
      <c r="AC932" s="231" t="s">
        <v>266</v>
      </c>
      <c r="AD932" s="51" t="s">
        <v>111</v>
      </c>
      <c r="AE932" s="72">
        <f t="shared" ref="AE932:AK932" si="684">SUM(AE933:AE984)</f>
        <v>114588.78000000001</v>
      </c>
      <c r="AF932" s="73">
        <f t="shared" si="684"/>
        <v>51619.11</v>
      </c>
      <c r="AG932" s="73">
        <f>SUM(AG933:AG984)</f>
        <v>110282.11</v>
      </c>
      <c r="AH932" s="138">
        <f>SUM(AH933:AH984)</f>
        <v>110723.31999999999</v>
      </c>
      <c r="AI932" s="72">
        <f t="shared" si="684"/>
        <v>3232.0069999999996</v>
      </c>
      <c r="AJ932" s="73">
        <f t="shared" si="684"/>
        <v>1082.32</v>
      </c>
      <c r="AK932" s="73">
        <f t="shared" si="684"/>
        <v>5557.0279999999993</v>
      </c>
      <c r="AL932" s="138">
        <f t="shared" ref="AL932" si="685">SUM(AL933:AL984)</f>
        <v>722.38999999999987</v>
      </c>
      <c r="AM932" s="72">
        <f>SUM(AM933:AM984)</f>
        <v>2763.4399999999996</v>
      </c>
      <c r="AN932" s="73">
        <f>SUM(AN933:AN984)</f>
        <v>1956.08</v>
      </c>
      <c r="AO932" s="73">
        <f>SUM(AO933:AO984)</f>
        <v>5110.43</v>
      </c>
      <c r="AP932" s="138">
        <f>SUM(AP933:AP984)</f>
        <v>0</v>
      </c>
      <c r="AQ932" s="72">
        <f t="shared" ref="AQ932:AW932" si="686">SUM(AQ933:AQ984)</f>
        <v>4264.1299999999992</v>
      </c>
      <c r="AR932" s="73">
        <f t="shared" si="686"/>
        <v>905.87399999999991</v>
      </c>
      <c r="AS932" s="73">
        <f t="shared" si="686"/>
        <v>6103.5700000000006</v>
      </c>
      <c r="AT932" s="138">
        <f t="shared" si="686"/>
        <v>154.316</v>
      </c>
      <c r="AU932" s="72">
        <f t="shared" si="686"/>
        <v>2379.5700000000002</v>
      </c>
      <c r="AV932" s="73">
        <f t="shared" si="686"/>
        <v>1.72</v>
      </c>
      <c r="AW932" s="73">
        <f t="shared" si="686"/>
        <v>4239.05</v>
      </c>
      <c r="AX932" s="138">
        <f t="shared" ref="AX932" si="687">SUM(AX933:AX984)</f>
        <v>182.88</v>
      </c>
      <c r="AY932" s="72">
        <f>SUM(AY933:AY984)</f>
        <v>2685.2499999999995</v>
      </c>
      <c r="AZ932" s="73">
        <f>SUM(AZ933:AZ984)</f>
        <v>0</v>
      </c>
      <c r="BA932" s="73">
        <f>SUM(BA933:BA984)</f>
        <v>4768.67</v>
      </c>
      <c r="BB932" s="138">
        <f>SUM(BB933:BB984)</f>
        <v>0</v>
      </c>
      <c r="BC932" s="72">
        <f t="shared" ref="BC932:BM932" si="688">SUM(BC933:BC984)</f>
        <v>8755.6820000000007</v>
      </c>
      <c r="BD932" s="73">
        <f t="shared" si="688"/>
        <v>0</v>
      </c>
      <c r="BE932" s="73">
        <f t="shared" si="688"/>
        <v>12230.085000000003</v>
      </c>
      <c r="BF932" s="138">
        <f t="shared" si="688"/>
        <v>413.76499999999999</v>
      </c>
      <c r="BG932" s="72">
        <f t="shared" si="688"/>
        <v>16635.566000000003</v>
      </c>
      <c r="BH932" s="73">
        <f t="shared" si="688"/>
        <v>2223.7799999999997</v>
      </c>
      <c r="BI932" s="73">
        <f t="shared" si="688"/>
        <v>16872.017</v>
      </c>
      <c r="BJ932" s="138">
        <f t="shared" ref="BJ932" si="689">SUM(BJ933:BJ984)</f>
        <v>2313.7986144000001</v>
      </c>
      <c r="BK932" s="72">
        <f t="shared" si="688"/>
        <v>17007.47</v>
      </c>
      <c r="BL932" s="73">
        <f t="shared" si="688"/>
        <v>112.92999999999999</v>
      </c>
      <c r="BM932" s="73">
        <f t="shared" si="688"/>
        <v>19395.86</v>
      </c>
      <c r="BN932" s="138">
        <f>BN192+BN561</f>
        <v>0</v>
      </c>
      <c r="BO932" s="72">
        <f t="shared" ref="BO932:BV932" si="690">SUM(BO933:BO984)</f>
        <v>5139.4880000000003</v>
      </c>
      <c r="BP932" s="73">
        <f t="shared" si="690"/>
        <v>940.88</v>
      </c>
      <c r="BQ932" s="73">
        <f t="shared" si="690"/>
        <v>6528.0550000000003</v>
      </c>
      <c r="BR932" s="138">
        <f t="shared" si="690"/>
        <v>100.655</v>
      </c>
      <c r="BS932" s="72">
        <f t="shared" si="690"/>
        <v>3034.42</v>
      </c>
      <c r="BT932" s="73">
        <f t="shared" si="690"/>
        <v>2409.88</v>
      </c>
      <c r="BU932" s="73">
        <f t="shared" si="690"/>
        <v>4948.96</v>
      </c>
      <c r="BV932" s="74">
        <f t="shared" si="690"/>
        <v>286.86</v>
      </c>
      <c r="BW932" s="6"/>
      <c r="BX932" s="5"/>
      <c r="BY932" s="125">
        <f t="shared" si="526"/>
        <v>180485.80300000004</v>
      </c>
      <c r="BZ932" s="126">
        <f t="shared" si="527"/>
        <v>61252.574000000001</v>
      </c>
      <c r="CA932" s="126">
        <f t="shared" si="601"/>
        <v>196035.83499999999</v>
      </c>
      <c r="CB932" s="127">
        <f>AH932+AL932+AP932+AT932+AX932+BB932+BF932+BJ932+BN932+BR932+BV932</f>
        <v>114897.9846144</v>
      </c>
      <c r="CC932" s="1005"/>
      <c r="CD932" s="1028"/>
    </row>
    <row r="933" spans="1:82" s="230" customFormat="1" ht="15.75" customHeight="1" outlineLevel="5" x14ac:dyDescent="0.25">
      <c r="A933" s="216"/>
      <c r="B933" s="215"/>
      <c r="C933" s="216"/>
      <c r="D933" s="216"/>
      <c r="E933" s="216"/>
      <c r="F933" s="216"/>
      <c r="G933" s="216"/>
      <c r="H933" s="216"/>
      <c r="I933" s="216"/>
      <c r="J933" s="215"/>
      <c r="K933" s="217"/>
      <c r="L933" s="216"/>
      <c r="M933" s="215"/>
      <c r="N933" s="215"/>
      <c r="O933" s="215"/>
      <c r="P933" s="215"/>
      <c r="Q933" s="215"/>
      <c r="R933" s="215"/>
      <c r="S933" s="215"/>
      <c r="T933" s="215"/>
      <c r="U933" s="215"/>
      <c r="V933" s="215"/>
      <c r="W933" s="215"/>
      <c r="X933" s="215"/>
      <c r="Y933" s="215"/>
      <c r="Z933" s="215"/>
      <c r="AA933" s="215"/>
      <c r="AB933" s="232"/>
      <c r="AC933" s="219" t="s">
        <v>267</v>
      </c>
      <c r="AD933" s="220" t="s">
        <v>247</v>
      </c>
      <c r="AE933" s="221">
        <f t="shared" ref="AE933:AK933" si="691">AE193+AE570+AE566</f>
        <v>1058.1199999999999</v>
      </c>
      <c r="AF933" s="222">
        <f t="shared" si="691"/>
        <v>233.85</v>
      </c>
      <c r="AG933" s="222">
        <f t="shared" si="691"/>
        <v>5597.58</v>
      </c>
      <c r="AH933" s="767">
        <f>AH193+AH570+AH566</f>
        <v>4223.42</v>
      </c>
      <c r="AI933" s="221">
        <f t="shared" si="691"/>
        <v>23.14</v>
      </c>
      <c r="AJ933" s="222">
        <f t="shared" si="691"/>
        <v>0</v>
      </c>
      <c r="AK933" s="222">
        <f t="shared" si="691"/>
        <v>40.090000000000003</v>
      </c>
      <c r="AL933" s="767">
        <f t="shared" ref="AL933" si="692">AL193+AL570+AL566</f>
        <v>12.17</v>
      </c>
      <c r="AM933" s="221">
        <f>AM193+AM570+AM566+0.01</f>
        <v>36.019999999999996</v>
      </c>
      <c r="AN933" s="222">
        <f>AN193+AN570+AN566</f>
        <v>35</v>
      </c>
      <c r="AO933" s="222">
        <f>AO193+AO570+AO566</f>
        <v>114.48</v>
      </c>
      <c r="AP933" s="767">
        <f>AP193+AP570+AP566</f>
        <v>0</v>
      </c>
      <c r="AQ933" s="221">
        <f t="shared" ref="AQ933:AW933" si="693">AQ193+AQ570+AQ566</f>
        <v>81.510000000000005</v>
      </c>
      <c r="AR933" s="222">
        <f t="shared" si="693"/>
        <v>160.4</v>
      </c>
      <c r="AS933" s="222">
        <f t="shared" si="693"/>
        <v>134.72</v>
      </c>
      <c r="AT933" s="767">
        <f t="shared" si="693"/>
        <v>0</v>
      </c>
      <c r="AU933" s="221">
        <f t="shared" si="693"/>
        <v>77.28</v>
      </c>
      <c r="AV933" s="222">
        <f t="shared" si="693"/>
        <v>0</v>
      </c>
      <c r="AW933" s="222">
        <f t="shared" si="693"/>
        <v>112.75</v>
      </c>
      <c r="AX933" s="767">
        <f t="shared" ref="AX933" si="694">AX193+AX570+AX566</f>
        <v>46.3</v>
      </c>
      <c r="AY933" s="221">
        <f t="shared" ref="AY933:BJ933" si="695">AY193+AY570+AY566</f>
        <v>89.31</v>
      </c>
      <c r="AZ933" s="222">
        <f t="shared" si="695"/>
        <v>0</v>
      </c>
      <c r="BA933" s="222">
        <f t="shared" si="695"/>
        <v>179.18</v>
      </c>
      <c r="BB933" s="767">
        <f t="shared" si="695"/>
        <v>0</v>
      </c>
      <c r="BC933" s="221">
        <f t="shared" si="695"/>
        <v>393.86599999999999</v>
      </c>
      <c r="BD933" s="222">
        <f t="shared" si="695"/>
        <v>0</v>
      </c>
      <c r="BE933" s="222">
        <f t="shared" si="695"/>
        <v>573.42099999999994</v>
      </c>
      <c r="BF933" s="767">
        <f t="shared" si="695"/>
        <v>0</v>
      </c>
      <c r="BG933" s="221">
        <f t="shared" si="695"/>
        <v>0</v>
      </c>
      <c r="BH933" s="222">
        <f t="shared" si="695"/>
        <v>1086.58</v>
      </c>
      <c r="BI933" s="222">
        <f t="shared" si="695"/>
        <v>197.78299999999999</v>
      </c>
      <c r="BJ933" s="767">
        <f t="shared" si="695"/>
        <v>1130.5647584000001</v>
      </c>
      <c r="BK933" s="221">
        <f>BK193+BK570+BK566+0.01</f>
        <v>268.81</v>
      </c>
      <c r="BL933" s="222">
        <f>BL193+BL570+BL566</f>
        <v>0</v>
      </c>
      <c r="BM933" s="222">
        <f>BM193+BM570+BM566</f>
        <v>397.97</v>
      </c>
      <c r="BN933" s="767">
        <f>BN193+BN570+BN566</f>
        <v>0</v>
      </c>
      <c r="BO933" s="221">
        <f t="shared" ref="BO933:BV933" si="696">BO193+BO570+BO566</f>
        <v>28.63</v>
      </c>
      <c r="BP933" s="222">
        <f t="shared" si="696"/>
        <v>0</v>
      </c>
      <c r="BQ933" s="222">
        <f t="shared" si="696"/>
        <v>135.17000000000002</v>
      </c>
      <c r="BR933" s="767">
        <f t="shared" si="696"/>
        <v>0</v>
      </c>
      <c r="BS933" s="221">
        <f t="shared" si="696"/>
        <v>30.799999999999997</v>
      </c>
      <c r="BT933" s="222">
        <f t="shared" si="696"/>
        <v>78.16</v>
      </c>
      <c r="BU933" s="222">
        <f t="shared" si="696"/>
        <v>175.16</v>
      </c>
      <c r="BV933" s="223">
        <f t="shared" si="696"/>
        <v>0</v>
      </c>
      <c r="BW933" s="229"/>
      <c r="BX933" s="215"/>
      <c r="BY933" s="125">
        <f t="shared" si="526"/>
        <v>2087.4859999999999</v>
      </c>
      <c r="BZ933" s="126">
        <f t="shared" si="527"/>
        <v>1593.99</v>
      </c>
      <c r="CA933" s="126">
        <f t="shared" si="601"/>
        <v>7658.304000000001</v>
      </c>
      <c r="CB933" s="127">
        <f t="shared" si="601"/>
        <v>5412.4547584000002</v>
      </c>
      <c r="CC933" s="768"/>
    </row>
    <row r="934" spans="1:82" s="230" customFormat="1" ht="15.75" customHeight="1" outlineLevel="5" x14ac:dyDescent="0.25">
      <c r="A934" s="216"/>
      <c r="B934" s="215"/>
      <c r="C934" s="216"/>
      <c r="D934" s="216"/>
      <c r="E934" s="216"/>
      <c r="F934" s="216"/>
      <c r="G934" s="216"/>
      <c r="H934" s="216"/>
      <c r="I934" s="216"/>
      <c r="J934" s="215"/>
      <c r="K934" s="217"/>
      <c r="L934" s="216"/>
      <c r="M934" s="215"/>
      <c r="N934" s="215"/>
      <c r="O934" s="215"/>
      <c r="P934" s="215"/>
      <c r="Q934" s="215"/>
      <c r="R934" s="215"/>
      <c r="S934" s="215"/>
      <c r="T934" s="215"/>
      <c r="U934" s="215"/>
      <c r="V934" s="215"/>
      <c r="W934" s="215"/>
      <c r="X934" s="215"/>
      <c r="Y934" s="215"/>
      <c r="Z934" s="215"/>
      <c r="AA934" s="215"/>
      <c r="AB934" s="232"/>
      <c r="AC934" s="219" t="s">
        <v>268</v>
      </c>
      <c r="AD934" s="220" t="s">
        <v>247</v>
      </c>
      <c r="AE934" s="221">
        <f t="shared" ref="AE934:AK934" si="697">AE194+AE562</f>
        <v>8849.57</v>
      </c>
      <c r="AF934" s="222">
        <f t="shared" si="697"/>
        <v>13254.47</v>
      </c>
      <c r="AG934" s="222">
        <f t="shared" si="697"/>
        <v>9947</v>
      </c>
      <c r="AH934" s="767">
        <f>AH194+AH562</f>
        <v>13036.75</v>
      </c>
      <c r="AI934" s="221">
        <f t="shared" si="697"/>
        <v>94.52</v>
      </c>
      <c r="AJ934" s="222">
        <f t="shared" si="697"/>
        <v>0</v>
      </c>
      <c r="AK934" s="222">
        <f t="shared" si="697"/>
        <v>101.26</v>
      </c>
      <c r="AL934" s="767">
        <f t="shared" ref="AL934" si="698">AL194+AL562</f>
        <v>43</v>
      </c>
      <c r="AM934" s="221">
        <f>AM194+AM562</f>
        <v>235.81</v>
      </c>
      <c r="AN934" s="222">
        <f>AN194+AN562</f>
        <v>126.28</v>
      </c>
      <c r="AO934" s="222">
        <f>AO194+AO562</f>
        <v>259.47000000000003</v>
      </c>
      <c r="AP934" s="767">
        <f>AP194+AP562</f>
        <v>0</v>
      </c>
      <c r="AQ934" s="221">
        <f t="shared" ref="AQ934:AW934" si="699">AQ194+AQ562</f>
        <v>301.34999999999997</v>
      </c>
      <c r="AR934" s="222">
        <f t="shared" si="699"/>
        <v>0</v>
      </c>
      <c r="AS934" s="222">
        <f t="shared" si="699"/>
        <v>600.73</v>
      </c>
      <c r="AT934" s="767">
        <f t="shared" si="699"/>
        <v>93.825999999999993</v>
      </c>
      <c r="AU934" s="221">
        <f t="shared" si="699"/>
        <v>51.87</v>
      </c>
      <c r="AV934" s="222">
        <f t="shared" si="699"/>
        <v>0</v>
      </c>
      <c r="AW934" s="222">
        <f t="shared" si="699"/>
        <v>57.069999999999993</v>
      </c>
      <c r="AX934" s="767">
        <f t="shared" ref="AX934" si="700">AX194+AX562</f>
        <v>50</v>
      </c>
      <c r="AY934" s="221">
        <f t="shared" ref="AY934:BN934" si="701">AY194+AY562</f>
        <v>215.06</v>
      </c>
      <c r="AZ934" s="222">
        <f t="shared" si="701"/>
        <v>0</v>
      </c>
      <c r="BA934" s="222">
        <f t="shared" si="701"/>
        <v>236.63</v>
      </c>
      <c r="BB934" s="767">
        <f t="shared" si="701"/>
        <v>0</v>
      </c>
      <c r="BC934" s="221">
        <f t="shared" si="701"/>
        <v>148.678</v>
      </c>
      <c r="BD934" s="222">
        <f t="shared" si="701"/>
        <v>0</v>
      </c>
      <c r="BE934" s="222">
        <f t="shared" si="701"/>
        <v>743.14599999999996</v>
      </c>
      <c r="BF934" s="767">
        <f t="shared" si="701"/>
        <v>0</v>
      </c>
      <c r="BG934" s="221">
        <f t="shared" si="701"/>
        <v>1171.973</v>
      </c>
      <c r="BH934" s="222">
        <f t="shared" si="701"/>
        <v>825.78</v>
      </c>
      <c r="BI934" s="222">
        <f t="shared" si="701"/>
        <v>1651.558</v>
      </c>
      <c r="BJ934" s="767">
        <f t="shared" si="701"/>
        <v>859.2075744</v>
      </c>
      <c r="BK934" s="221">
        <f t="shared" si="701"/>
        <v>538.24</v>
      </c>
      <c r="BL934" s="222">
        <f t="shared" si="701"/>
        <v>0</v>
      </c>
      <c r="BM934" s="222">
        <f t="shared" si="701"/>
        <v>889.64</v>
      </c>
      <c r="BN934" s="767">
        <f t="shared" si="701"/>
        <v>0</v>
      </c>
      <c r="BO934" s="221">
        <f t="shared" ref="BO934:BV934" si="702">BO194+BO562</f>
        <v>176.63</v>
      </c>
      <c r="BP934" s="222">
        <f t="shared" si="702"/>
        <v>17.72</v>
      </c>
      <c r="BQ934" s="222">
        <f t="shared" si="702"/>
        <v>253.29000000000002</v>
      </c>
      <c r="BR934" s="767">
        <f t="shared" si="702"/>
        <v>100.655</v>
      </c>
      <c r="BS934" s="221">
        <f t="shared" si="702"/>
        <v>299.07</v>
      </c>
      <c r="BT934" s="222">
        <f t="shared" si="702"/>
        <v>187.54</v>
      </c>
      <c r="BU934" s="222">
        <f t="shared" si="702"/>
        <v>715.03</v>
      </c>
      <c r="BV934" s="223">
        <f t="shared" si="702"/>
        <v>113.42</v>
      </c>
      <c r="BW934" s="229"/>
      <c r="BX934" s="215"/>
      <c r="BY934" s="125">
        <f t="shared" si="526"/>
        <v>12082.770999999999</v>
      </c>
      <c r="BZ934" s="126">
        <f t="shared" si="527"/>
        <v>14411.79</v>
      </c>
      <c r="CA934" s="126">
        <f t="shared" si="601"/>
        <v>15454.823999999999</v>
      </c>
      <c r="CB934" s="127">
        <f t="shared" si="601"/>
        <v>14296.858574399999</v>
      </c>
      <c r="CC934" s="768"/>
      <c r="CD934" s="1041"/>
    </row>
    <row r="935" spans="1:82" s="230" customFormat="1" ht="15.75" customHeight="1" outlineLevel="5" x14ac:dyDescent="0.25">
      <c r="A935" s="216"/>
      <c r="B935" s="215"/>
      <c r="C935" s="216"/>
      <c r="D935" s="216"/>
      <c r="E935" s="216"/>
      <c r="F935" s="216"/>
      <c r="G935" s="216"/>
      <c r="H935" s="216"/>
      <c r="I935" s="216"/>
      <c r="J935" s="215"/>
      <c r="K935" s="217"/>
      <c r="L935" s="216"/>
      <c r="M935" s="215"/>
      <c r="N935" s="215"/>
      <c r="O935" s="215"/>
      <c r="P935" s="215"/>
      <c r="Q935" s="215"/>
      <c r="R935" s="215"/>
      <c r="S935" s="215"/>
      <c r="T935" s="215"/>
      <c r="U935" s="215"/>
      <c r="V935" s="215"/>
      <c r="W935" s="215"/>
      <c r="X935" s="215"/>
      <c r="Y935" s="215"/>
      <c r="Z935" s="215"/>
      <c r="AA935" s="215"/>
      <c r="AB935" s="232"/>
      <c r="AC935" s="219" t="s">
        <v>269</v>
      </c>
      <c r="AD935" s="220" t="s">
        <v>247</v>
      </c>
      <c r="AE935" s="221">
        <f t="shared" ref="AE935:AK940" si="703">AE195</f>
        <v>0</v>
      </c>
      <c r="AF935" s="222">
        <f t="shared" si="703"/>
        <v>0</v>
      </c>
      <c r="AG935" s="222">
        <f t="shared" si="703"/>
        <v>0</v>
      </c>
      <c r="AH935" s="767">
        <f t="shared" si="703"/>
        <v>0</v>
      </c>
      <c r="AI935" s="221">
        <f t="shared" si="703"/>
        <v>0</v>
      </c>
      <c r="AJ935" s="222">
        <f t="shared" si="703"/>
        <v>0</v>
      </c>
      <c r="AK935" s="222">
        <f t="shared" si="703"/>
        <v>0</v>
      </c>
      <c r="AL935" s="767">
        <f t="shared" ref="AL935" si="704">AL195</f>
        <v>0</v>
      </c>
      <c r="AM935" s="221">
        <f t="shared" ref="AM935:AO940" si="705">AM195</f>
        <v>0</v>
      </c>
      <c r="AN935" s="222">
        <f t="shared" si="705"/>
        <v>0</v>
      </c>
      <c r="AO935" s="222">
        <f t="shared" si="705"/>
        <v>0</v>
      </c>
      <c r="AP935" s="767">
        <f t="shared" ref="AP935" si="706">AP195</f>
        <v>0</v>
      </c>
      <c r="AQ935" s="221">
        <f t="shared" ref="AQ935:AW940" si="707">AQ195</f>
        <v>0</v>
      </c>
      <c r="AR935" s="222">
        <f t="shared" si="707"/>
        <v>12.45</v>
      </c>
      <c r="AS935" s="222">
        <f t="shared" si="707"/>
        <v>0</v>
      </c>
      <c r="AT935" s="767">
        <f t="shared" si="707"/>
        <v>0</v>
      </c>
      <c r="AU935" s="221">
        <f t="shared" si="707"/>
        <v>0</v>
      </c>
      <c r="AV935" s="222">
        <f t="shared" si="707"/>
        <v>0</v>
      </c>
      <c r="AW935" s="222">
        <f t="shared" si="707"/>
        <v>0</v>
      </c>
      <c r="AX935" s="767">
        <f t="shared" ref="AX935" si="708">AX195</f>
        <v>0</v>
      </c>
      <c r="AY935" s="221">
        <f t="shared" ref="AY935:BA940" si="709">AY195</f>
        <v>0</v>
      </c>
      <c r="AZ935" s="222">
        <f t="shared" si="709"/>
        <v>0</v>
      </c>
      <c r="BA935" s="222">
        <f t="shared" si="709"/>
        <v>0</v>
      </c>
      <c r="BB935" s="767">
        <f t="shared" ref="BB935" si="710">BB195</f>
        <v>0</v>
      </c>
      <c r="BC935" s="221">
        <f t="shared" ref="BC935:BE940" si="711">BC195</f>
        <v>19.260000000000002</v>
      </c>
      <c r="BD935" s="222">
        <f t="shared" si="711"/>
        <v>0</v>
      </c>
      <c r="BE935" s="222">
        <f t="shared" si="711"/>
        <v>21.192</v>
      </c>
      <c r="BF935" s="767">
        <f t="shared" ref="BF935" si="712">BF195</f>
        <v>0</v>
      </c>
      <c r="BG935" s="221">
        <f t="shared" ref="BG935:BI940" si="713">BG195</f>
        <v>9.6300000000000008</v>
      </c>
      <c r="BH935" s="222">
        <f t="shared" si="713"/>
        <v>0</v>
      </c>
      <c r="BI935" s="222">
        <f t="shared" si="713"/>
        <v>10.596</v>
      </c>
      <c r="BJ935" s="767">
        <f t="shared" ref="BJ935" si="714">BJ195</f>
        <v>0</v>
      </c>
      <c r="BK935" s="221">
        <f t="shared" ref="BK935:BM940" si="715">BK195</f>
        <v>0</v>
      </c>
      <c r="BL935" s="222">
        <f t="shared" si="715"/>
        <v>0</v>
      </c>
      <c r="BM935" s="222">
        <f t="shared" si="715"/>
        <v>0</v>
      </c>
      <c r="BN935" s="767">
        <f t="shared" ref="BN935" si="716">BN195</f>
        <v>0</v>
      </c>
      <c r="BO935" s="221">
        <f t="shared" ref="BO935:BV940" si="717">BO195</f>
        <v>9.6300000000000008</v>
      </c>
      <c r="BP935" s="222">
        <f t="shared" si="717"/>
        <v>1.1299999999999999</v>
      </c>
      <c r="BQ935" s="222">
        <f t="shared" si="717"/>
        <v>10.6</v>
      </c>
      <c r="BR935" s="767">
        <f t="shared" si="717"/>
        <v>0</v>
      </c>
      <c r="BS935" s="221">
        <f t="shared" si="717"/>
        <v>0</v>
      </c>
      <c r="BT935" s="222">
        <f t="shared" si="717"/>
        <v>0</v>
      </c>
      <c r="BU935" s="222">
        <f t="shared" si="717"/>
        <v>0</v>
      </c>
      <c r="BV935" s="223">
        <f t="shared" si="717"/>
        <v>0</v>
      </c>
      <c r="BW935" s="229"/>
      <c r="BX935" s="215"/>
      <c r="BY935" s="125">
        <f t="shared" si="526"/>
        <v>38.520000000000003</v>
      </c>
      <c r="BZ935" s="126">
        <f t="shared" si="527"/>
        <v>13.579999999999998</v>
      </c>
      <c r="CA935" s="126">
        <f t="shared" si="601"/>
        <v>42.387999999999998</v>
      </c>
      <c r="CB935" s="127">
        <f t="shared" si="601"/>
        <v>0</v>
      </c>
      <c r="CC935" s="768"/>
    </row>
    <row r="936" spans="1:82" s="230" customFormat="1" ht="15.75" customHeight="1" outlineLevel="5" x14ac:dyDescent="0.25">
      <c r="A936" s="216"/>
      <c r="B936" s="215"/>
      <c r="C936" s="216"/>
      <c r="D936" s="216"/>
      <c r="E936" s="216"/>
      <c r="F936" s="216"/>
      <c r="G936" s="216"/>
      <c r="H936" s="216"/>
      <c r="I936" s="216"/>
      <c r="J936" s="215"/>
      <c r="K936" s="217"/>
      <c r="L936" s="216"/>
      <c r="M936" s="215"/>
      <c r="N936" s="215"/>
      <c r="O936" s="215"/>
      <c r="P936" s="215"/>
      <c r="Q936" s="215"/>
      <c r="R936" s="215"/>
      <c r="S936" s="215"/>
      <c r="T936" s="215"/>
      <c r="U936" s="215"/>
      <c r="V936" s="215"/>
      <c r="W936" s="215"/>
      <c r="X936" s="215"/>
      <c r="Y936" s="215"/>
      <c r="Z936" s="215"/>
      <c r="AA936" s="215"/>
      <c r="AB936" s="232"/>
      <c r="AC936" s="219" t="s">
        <v>270</v>
      </c>
      <c r="AD936" s="220" t="s">
        <v>247</v>
      </c>
      <c r="AE936" s="221">
        <f t="shared" si="703"/>
        <v>721.72</v>
      </c>
      <c r="AF936" s="222">
        <f t="shared" si="703"/>
        <v>580</v>
      </c>
      <c r="AG936" s="222">
        <f t="shared" si="703"/>
        <v>780.61</v>
      </c>
      <c r="AH936" s="767">
        <f t="shared" si="703"/>
        <v>780</v>
      </c>
      <c r="AI936" s="221">
        <f t="shared" si="703"/>
        <v>0</v>
      </c>
      <c r="AJ936" s="222">
        <f t="shared" si="703"/>
        <v>0</v>
      </c>
      <c r="AK936" s="222">
        <f t="shared" si="703"/>
        <v>0</v>
      </c>
      <c r="AL936" s="767">
        <f t="shared" ref="AL936" si="718">AL196</f>
        <v>0</v>
      </c>
      <c r="AM936" s="221">
        <f t="shared" si="705"/>
        <v>0</v>
      </c>
      <c r="AN936" s="222">
        <f t="shared" si="705"/>
        <v>0</v>
      </c>
      <c r="AO936" s="222">
        <f t="shared" si="705"/>
        <v>0</v>
      </c>
      <c r="AP936" s="767">
        <f t="shared" ref="AP936" si="719">AP196</f>
        <v>0</v>
      </c>
      <c r="AQ936" s="221">
        <f t="shared" si="707"/>
        <v>0</v>
      </c>
      <c r="AR936" s="222">
        <f t="shared" si="707"/>
        <v>0</v>
      </c>
      <c r="AS936" s="222">
        <f t="shared" si="707"/>
        <v>0</v>
      </c>
      <c r="AT936" s="767">
        <f t="shared" si="707"/>
        <v>0</v>
      </c>
      <c r="AU936" s="221">
        <f t="shared" si="707"/>
        <v>0</v>
      </c>
      <c r="AV936" s="222">
        <f t="shared" si="707"/>
        <v>0</v>
      </c>
      <c r="AW936" s="222">
        <f t="shared" si="707"/>
        <v>0</v>
      </c>
      <c r="AX936" s="767">
        <f t="shared" ref="AX936" si="720">AX196</f>
        <v>0</v>
      </c>
      <c r="AY936" s="221">
        <f t="shared" si="709"/>
        <v>0</v>
      </c>
      <c r="AZ936" s="222">
        <f t="shared" si="709"/>
        <v>0</v>
      </c>
      <c r="BA936" s="222">
        <f t="shared" si="709"/>
        <v>0</v>
      </c>
      <c r="BB936" s="767">
        <f t="shared" ref="BB936" si="721">BB196</f>
        <v>0</v>
      </c>
      <c r="BC936" s="221">
        <f t="shared" si="711"/>
        <v>0</v>
      </c>
      <c r="BD936" s="222">
        <f t="shared" si="711"/>
        <v>0</v>
      </c>
      <c r="BE936" s="222">
        <f t="shared" si="711"/>
        <v>0</v>
      </c>
      <c r="BF936" s="767">
        <f t="shared" ref="BF936" si="722">BF196</f>
        <v>0</v>
      </c>
      <c r="BG936" s="221">
        <f t="shared" si="713"/>
        <v>0</v>
      </c>
      <c r="BH936" s="222">
        <f t="shared" si="713"/>
        <v>0</v>
      </c>
      <c r="BI936" s="222">
        <f t="shared" si="713"/>
        <v>0</v>
      </c>
      <c r="BJ936" s="767">
        <f t="shared" ref="BJ936" si="723">BJ196</f>
        <v>0</v>
      </c>
      <c r="BK936" s="221">
        <f t="shared" si="715"/>
        <v>0</v>
      </c>
      <c r="BL936" s="222">
        <f t="shared" si="715"/>
        <v>0</v>
      </c>
      <c r="BM936" s="222">
        <f t="shared" si="715"/>
        <v>0</v>
      </c>
      <c r="BN936" s="767">
        <f t="shared" ref="BN936" si="724">BN196</f>
        <v>0</v>
      </c>
      <c r="BO936" s="221">
        <f t="shared" si="717"/>
        <v>0</v>
      </c>
      <c r="BP936" s="222">
        <f t="shared" si="717"/>
        <v>0</v>
      </c>
      <c r="BQ936" s="222">
        <f t="shared" si="717"/>
        <v>0</v>
      </c>
      <c r="BR936" s="767">
        <f t="shared" si="717"/>
        <v>0</v>
      </c>
      <c r="BS936" s="221">
        <f t="shared" si="717"/>
        <v>0</v>
      </c>
      <c r="BT936" s="222">
        <f t="shared" si="717"/>
        <v>0</v>
      </c>
      <c r="BU936" s="222">
        <f t="shared" si="717"/>
        <v>0</v>
      </c>
      <c r="BV936" s="223">
        <f t="shared" si="717"/>
        <v>0</v>
      </c>
      <c r="BW936" s="229"/>
      <c r="BX936" s="215"/>
      <c r="BY936" s="125">
        <f t="shared" si="526"/>
        <v>721.72</v>
      </c>
      <c r="BZ936" s="126">
        <f t="shared" si="527"/>
        <v>580</v>
      </c>
      <c r="CA936" s="126">
        <f t="shared" si="601"/>
        <v>780.61</v>
      </c>
      <c r="CB936" s="127">
        <f t="shared" si="601"/>
        <v>780</v>
      </c>
      <c r="CC936" s="768"/>
    </row>
    <row r="937" spans="1:82" s="246" customFormat="1" ht="15.75" customHeight="1" outlineLevel="5" x14ac:dyDescent="0.25">
      <c r="A937" s="242"/>
      <c r="B937" s="229"/>
      <c r="C937" s="242"/>
      <c r="D937" s="242"/>
      <c r="E937" s="242"/>
      <c r="F937" s="242"/>
      <c r="G937" s="242"/>
      <c r="H937" s="242"/>
      <c r="I937" s="242"/>
      <c r="J937" s="229"/>
      <c r="K937" s="243"/>
      <c r="L937" s="242"/>
      <c r="M937" s="229"/>
      <c r="N937" s="229"/>
      <c r="O937" s="229"/>
      <c r="P937" s="229"/>
      <c r="Q937" s="229"/>
      <c r="R937" s="229"/>
      <c r="S937" s="229"/>
      <c r="T937" s="229"/>
      <c r="U937" s="229"/>
      <c r="V937" s="229"/>
      <c r="W937" s="229"/>
      <c r="X937" s="229"/>
      <c r="Y937" s="229"/>
      <c r="Z937" s="229"/>
      <c r="AA937" s="229"/>
      <c r="AB937" s="232"/>
      <c r="AC937" s="219" t="s">
        <v>271</v>
      </c>
      <c r="AD937" s="220" t="s">
        <v>247</v>
      </c>
      <c r="AE937" s="221">
        <f t="shared" si="703"/>
        <v>8790.31</v>
      </c>
      <c r="AF937" s="222">
        <f t="shared" si="703"/>
        <v>1020</v>
      </c>
      <c r="AG937" s="222">
        <f t="shared" si="703"/>
        <v>0</v>
      </c>
      <c r="AH937" s="767">
        <f t="shared" si="703"/>
        <v>1200</v>
      </c>
      <c r="AI937" s="221">
        <f t="shared" si="703"/>
        <v>0</v>
      </c>
      <c r="AJ937" s="222">
        <f t="shared" si="703"/>
        <v>0</v>
      </c>
      <c r="AK937" s="222">
        <f t="shared" si="703"/>
        <v>0</v>
      </c>
      <c r="AL937" s="767">
        <f t="shared" ref="AL937" si="725">AL197</f>
        <v>0</v>
      </c>
      <c r="AM937" s="221">
        <f t="shared" si="705"/>
        <v>0</v>
      </c>
      <c r="AN937" s="222">
        <f t="shared" si="705"/>
        <v>85.82</v>
      </c>
      <c r="AO937" s="222">
        <f t="shared" si="705"/>
        <v>0</v>
      </c>
      <c r="AP937" s="767">
        <f t="shared" ref="AP937" si="726">AP197</f>
        <v>0</v>
      </c>
      <c r="AQ937" s="221">
        <f t="shared" si="707"/>
        <v>0</v>
      </c>
      <c r="AR937" s="222">
        <f t="shared" si="707"/>
        <v>21.1</v>
      </c>
      <c r="AS937" s="222">
        <f t="shared" si="707"/>
        <v>0</v>
      </c>
      <c r="AT937" s="767">
        <f t="shared" si="707"/>
        <v>0</v>
      </c>
      <c r="AU937" s="221">
        <f t="shared" si="707"/>
        <v>0</v>
      </c>
      <c r="AV937" s="222">
        <f t="shared" si="707"/>
        <v>0</v>
      </c>
      <c r="AW937" s="222">
        <f t="shared" si="707"/>
        <v>0</v>
      </c>
      <c r="AX937" s="767">
        <f t="shared" ref="AX937" si="727">AX197</f>
        <v>0</v>
      </c>
      <c r="AY937" s="221">
        <f t="shared" si="709"/>
        <v>127.49</v>
      </c>
      <c r="AZ937" s="222">
        <f t="shared" si="709"/>
        <v>0</v>
      </c>
      <c r="BA937" s="222">
        <f t="shared" si="709"/>
        <v>140.28</v>
      </c>
      <c r="BB937" s="767">
        <f t="shared" ref="BB937" si="728">BB197</f>
        <v>0</v>
      </c>
      <c r="BC937" s="221">
        <f t="shared" si="711"/>
        <v>130.82599999999999</v>
      </c>
      <c r="BD937" s="222">
        <f t="shared" si="711"/>
        <v>0</v>
      </c>
      <c r="BE937" s="222">
        <f t="shared" si="711"/>
        <v>161.60499999999999</v>
      </c>
      <c r="BF937" s="767">
        <f t="shared" ref="BF937" si="729">BF197</f>
        <v>0</v>
      </c>
      <c r="BG937" s="221">
        <f t="shared" si="713"/>
        <v>0</v>
      </c>
      <c r="BH937" s="222">
        <f t="shared" si="713"/>
        <v>0</v>
      </c>
      <c r="BI937" s="222">
        <f t="shared" si="713"/>
        <v>0</v>
      </c>
      <c r="BJ937" s="767">
        <f t="shared" ref="BJ937" si="730">BJ197</f>
        <v>0</v>
      </c>
      <c r="BK937" s="221">
        <f t="shared" si="715"/>
        <v>1122.4000000000001</v>
      </c>
      <c r="BL937" s="222">
        <f t="shared" si="715"/>
        <v>0</v>
      </c>
      <c r="BM937" s="222">
        <f t="shared" si="715"/>
        <v>1445.22</v>
      </c>
      <c r="BN937" s="767">
        <f t="shared" ref="BN937" si="731">BN197</f>
        <v>0</v>
      </c>
      <c r="BO937" s="221">
        <f t="shared" si="717"/>
        <v>408.27</v>
      </c>
      <c r="BP937" s="222">
        <f t="shared" si="717"/>
        <v>311.81</v>
      </c>
      <c r="BQ937" s="222">
        <f t="shared" si="717"/>
        <v>449.23</v>
      </c>
      <c r="BR937" s="767">
        <f t="shared" si="717"/>
        <v>0</v>
      </c>
      <c r="BS937" s="221">
        <f t="shared" si="717"/>
        <v>180.28</v>
      </c>
      <c r="BT937" s="222">
        <f t="shared" si="717"/>
        <v>0</v>
      </c>
      <c r="BU937" s="222">
        <f t="shared" si="717"/>
        <v>198.36</v>
      </c>
      <c r="BV937" s="223">
        <f t="shared" si="717"/>
        <v>0</v>
      </c>
      <c r="BW937" s="229"/>
      <c r="BX937" s="229"/>
      <c r="BY937" s="125">
        <f t="shared" si="526"/>
        <v>10759.575999999999</v>
      </c>
      <c r="BZ937" s="126">
        <f t="shared" si="527"/>
        <v>1438.7299999999998</v>
      </c>
      <c r="CA937" s="126">
        <f t="shared" si="601"/>
        <v>2394.6950000000002</v>
      </c>
      <c r="CB937" s="127">
        <f t="shared" si="601"/>
        <v>1200</v>
      </c>
      <c r="CC937" s="771"/>
    </row>
    <row r="938" spans="1:82" s="230" customFormat="1" ht="15.75" customHeight="1" outlineLevel="5" x14ac:dyDescent="0.25">
      <c r="A938" s="216"/>
      <c r="B938" s="215"/>
      <c r="C938" s="216"/>
      <c r="D938" s="216"/>
      <c r="E938" s="216"/>
      <c r="F938" s="216"/>
      <c r="G938" s="216"/>
      <c r="H938" s="216"/>
      <c r="I938" s="216"/>
      <c r="J938" s="215"/>
      <c r="K938" s="217"/>
      <c r="L938" s="216"/>
      <c r="M938" s="215"/>
      <c r="N938" s="215"/>
      <c r="O938" s="215"/>
      <c r="P938" s="215"/>
      <c r="Q938" s="215"/>
      <c r="R938" s="215"/>
      <c r="S938" s="215"/>
      <c r="T938" s="215"/>
      <c r="U938" s="215"/>
      <c r="V938" s="215"/>
      <c r="W938" s="215"/>
      <c r="X938" s="215"/>
      <c r="Y938" s="215"/>
      <c r="Z938" s="215"/>
      <c r="AA938" s="215"/>
      <c r="AB938" s="232"/>
      <c r="AC938" s="219" t="s">
        <v>272</v>
      </c>
      <c r="AD938" s="220" t="s">
        <v>247</v>
      </c>
      <c r="AE938" s="221">
        <f t="shared" si="703"/>
        <v>31.5</v>
      </c>
      <c r="AF938" s="222">
        <f t="shared" si="703"/>
        <v>4.72</v>
      </c>
      <c r="AG938" s="222">
        <f t="shared" si="703"/>
        <v>34.4</v>
      </c>
      <c r="AH938" s="767">
        <f t="shared" si="703"/>
        <v>34.4</v>
      </c>
      <c r="AI938" s="221">
        <f t="shared" si="703"/>
        <v>0</v>
      </c>
      <c r="AJ938" s="222">
        <f t="shared" si="703"/>
        <v>0</v>
      </c>
      <c r="AK938" s="222">
        <f t="shared" si="703"/>
        <v>0</v>
      </c>
      <c r="AL938" s="767">
        <f t="shared" ref="AL938" si="732">AL198</f>
        <v>0</v>
      </c>
      <c r="AM938" s="221">
        <f t="shared" si="705"/>
        <v>0</v>
      </c>
      <c r="AN938" s="222">
        <f t="shared" si="705"/>
        <v>0</v>
      </c>
      <c r="AO938" s="222">
        <f t="shared" si="705"/>
        <v>0</v>
      </c>
      <c r="AP938" s="767">
        <f t="shared" ref="AP938" si="733">AP198</f>
        <v>0</v>
      </c>
      <c r="AQ938" s="221">
        <f t="shared" si="707"/>
        <v>0</v>
      </c>
      <c r="AR938" s="222">
        <f t="shared" si="707"/>
        <v>0</v>
      </c>
      <c r="AS938" s="222">
        <f t="shared" si="707"/>
        <v>0</v>
      </c>
      <c r="AT938" s="767">
        <f t="shared" si="707"/>
        <v>0</v>
      </c>
      <c r="AU938" s="221">
        <f t="shared" si="707"/>
        <v>0</v>
      </c>
      <c r="AV938" s="222">
        <f t="shared" si="707"/>
        <v>0</v>
      </c>
      <c r="AW938" s="222">
        <f t="shared" si="707"/>
        <v>0</v>
      </c>
      <c r="AX938" s="767">
        <f t="shared" ref="AX938" si="734">AX198</f>
        <v>0</v>
      </c>
      <c r="AY938" s="221">
        <f t="shared" si="709"/>
        <v>0</v>
      </c>
      <c r="AZ938" s="222">
        <f t="shared" si="709"/>
        <v>0</v>
      </c>
      <c r="BA938" s="222">
        <f t="shared" si="709"/>
        <v>0</v>
      </c>
      <c r="BB938" s="767">
        <f t="shared" ref="BB938" si="735">BB198</f>
        <v>0</v>
      </c>
      <c r="BC938" s="221">
        <f t="shared" si="711"/>
        <v>0</v>
      </c>
      <c r="BD938" s="222">
        <f t="shared" si="711"/>
        <v>0</v>
      </c>
      <c r="BE938" s="222">
        <f t="shared" si="711"/>
        <v>0</v>
      </c>
      <c r="BF938" s="767">
        <f t="shared" ref="BF938" si="736">BF198</f>
        <v>0</v>
      </c>
      <c r="BG938" s="221">
        <f t="shared" si="713"/>
        <v>0</v>
      </c>
      <c r="BH938" s="222">
        <f t="shared" si="713"/>
        <v>0</v>
      </c>
      <c r="BI938" s="222">
        <f t="shared" si="713"/>
        <v>0</v>
      </c>
      <c r="BJ938" s="767">
        <f t="shared" ref="BJ938" si="737">BJ198</f>
        <v>0</v>
      </c>
      <c r="BK938" s="221">
        <f t="shared" si="715"/>
        <v>0</v>
      </c>
      <c r="BL938" s="222">
        <f t="shared" si="715"/>
        <v>0</v>
      </c>
      <c r="BM938" s="222">
        <f t="shared" si="715"/>
        <v>0</v>
      </c>
      <c r="BN938" s="767">
        <f t="shared" ref="BN938" si="738">BN198</f>
        <v>0</v>
      </c>
      <c r="BO938" s="221">
        <f t="shared" si="717"/>
        <v>0</v>
      </c>
      <c r="BP938" s="222">
        <f t="shared" si="717"/>
        <v>0</v>
      </c>
      <c r="BQ938" s="222">
        <f t="shared" si="717"/>
        <v>0</v>
      </c>
      <c r="BR938" s="767">
        <f t="shared" si="717"/>
        <v>0</v>
      </c>
      <c r="BS938" s="221">
        <f t="shared" si="717"/>
        <v>0</v>
      </c>
      <c r="BT938" s="222">
        <f t="shared" si="717"/>
        <v>0</v>
      </c>
      <c r="BU938" s="222">
        <f t="shared" si="717"/>
        <v>0</v>
      </c>
      <c r="BV938" s="223">
        <f t="shared" si="717"/>
        <v>0</v>
      </c>
      <c r="BW938" s="229"/>
      <c r="BX938" s="215"/>
      <c r="BY938" s="125">
        <f t="shared" si="526"/>
        <v>31.5</v>
      </c>
      <c r="BZ938" s="126">
        <f t="shared" si="527"/>
        <v>4.72</v>
      </c>
      <c r="CA938" s="126">
        <f t="shared" si="601"/>
        <v>34.4</v>
      </c>
      <c r="CB938" s="127">
        <f t="shared" si="601"/>
        <v>34.4</v>
      </c>
      <c r="CC938" s="768"/>
    </row>
    <row r="939" spans="1:82" s="230" customFormat="1" ht="15.75" customHeight="1" outlineLevel="5" x14ac:dyDescent="0.25">
      <c r="A939" s="216"/>
      <c r="B939" s="215"/>
      <c r="C939" s="216"/>
      <c r="D939" s="216"/>
      <c r="E939" s="216"/>
      <c r="F939" s="216"/>
      <c r="G939" s="216"/>
      <c r="H939" s="216"/>
      <c r="I939" s="216"/>
      <c r="J939" s="215"/>
      <c r="K939" s="217"/>
      <c r="L939" s="216"/>
      <c r="M939" s="215"/>
      <c r="N939" s="215"/>
      <c r="O939" s="215"/>
      <c r="P939" s="215"/>
      <c r="Q939" s="215"/>
      <c r="R939" s="215"/>
      <c r="S939" s="215"/>
      <c r="T939" s="215"/>
      <c r="U939" s="215"/>
      <c r="V939" s="215"/>
      <c r="W939" s="215"/>
      <c r="X939" s="215"/>
      <c r="Y939" s="215"/>
      <c r="Z939" s="215"/>
      <c r="AA939" s="215"/>
      <c r="AB939" s="232"/>
      <c r="AC939" s="219" t="s">
        <v>273</v>
      </c>
      <c r="AD939" s="220" t="s">
        <v>247</v>
      </c>
      <c r="AE939" s="221">
        <f t="shared" si="703"/>
        <v>66.010000000000005</v>
      </c>
      <c r="AF939" s="222">
        <f t="shared" si="703"/>
        <v>67.680000000000007</v>
      </c>
      <c r="AG939" s="222">
        <f t="shared" si="703"/>
        <v>72.819999999999993</v>
      </c>
      <c r="AH939" s="767">
        <f t="shared" si="703"/>
        <v>70</v>
      </c>
      <c r="AI939" s="221">
        <f t="shared" si="703"/>
        <v>0</v>
      </c>
      <c r="AJ939" s="222">
        <f t="shared" si="703"/>
        <v>0</v>
      </c>
      <c r="AK939" s="222">
        <f t="shared" si="703"/>
        <v>0</v>
      </c>
      <c r="AL939" s="767">
        <f t="shared" ref="AL939" si="739">AL199</f>
        <v>0</v>
      </c>
      <c r="AM939" s="221">
        <f t="shared" si="705"/>
        <v>0</v>
      </c>
      <c r="AN939" s="222">
        <f t="shared" si="705"/>
        <v>0</v>
      </c>
      <c r="AO939" s="222">
        <f t="shared" si="705"/>
        <v>0</v>
      </c>
      <c r="AP939" s="767">
        <f t="shared" ref="AP939" si="740">AP199</f>
        <v>0</v>
      </c>
      <c r="AQ939" s="221">
        <f t="shared" si="707"/>
        <v>0</v>
      </c>
      <c r="AR939" s="222">
        <f t="shared" si="707"/>
        <v>0</v>
      </c>
      <c r="AS939" s="222">
        <f t="shared" si="707"/>
        <v>0</v>
      </c>
      <c r="AT939" s="767">
        <f t="shared" si="707"/>
        <v>0</v>
      </c>
      <c r="AU939" s="221">
        <f t="shared" si="707"/>
        <v>0</v>
      </c>
      <c r="AV939" s="222">
        <f t="shared" si="707"/>
        <v>0</v>
      </c>
      <c r="AW939" s="222">
        <f t="shared" si="707"/>
        <v>0</v>
      </c>
      <c r="AX939" s="767">
        <f t="shared" ref="AX939" si="741">AX199</f>
        <v>0</v>
      </c>
      <c r="AY939" s="221">
        <f t="shared" si="709"/>
        <v>0</v>
      </c>
      <c r="AZ939" s="222">
        <f t="shared" si="709"/>
        <v>0</v>
      </c>
      <c r="BA939" s="222">
        <f t="shared" si="709"/>
        <v>0</v>
      </c>
      <c r="BB939" s="767">
        <f t="shared" ref="BB939" si="742">BB199</f>
        <v>0</v>
      </c>
      <c r="BC939" s="221">
        <f t="shared" si="711"/>
        <v>0</v>
      </c>
      <c r="BD939" s="222">
        <f t="shared" si="711"/>
        <v>0</v>
      </c>
      <c r="BE939" s="222">
        <f t="shared" si="711"/>
        <v>0</v>
      </c>
      <c r="BF939" s="767">
        <f t="shared" ref="BF939" si="743">BF199</f>
        <v>0</v>
      </c>
      <c r="BG939" s="221">
        <f t="shared" si="713"/>
        <v>0</v>
      </c>
      <c r="BH939" s="222">
        <f t="shared" si="713"/>
        <v>0</v>
      </c>
      <c r="BI939" s="222">
        <f t="shared" si="713"/>
        <v>0</v>
      </c>
      <c r="BJ939" s="767">
        <f t="shared" ref="BJ939" si="744">BJ199</f>
        <v>0</v>
      </c>
      <c r="BK939" s="221">
        <f t="shared" si="715"/>
        <v>0</v>
      </c>
      <c r="BL939" s="222">
        <f t="shared" si="715"/>
        <v>0</v>
      </c>
      <c r="BM939" s="222">
        <f t="shared" si="715"/>
        <v>0</v>
      </c>
      <c r="BN939" s="767">
        <f t="shared" ref="BN939" si="745">BN199</f>
        <v>0</v>
      </c>
      <c r="BO939" s="221">
        <f t="shared" si="717"/>
        <v>0</v>
      </c>
      <c r="BP939" s="222">
        <f t="shared" si="717"/>
        <v>0</v>
      </c>
      <c r="BQ939" s="222">
        <f t="shared" si="717"/>
        <v>0</v>
      </c>
      <c r="BR939" s="767">
        <f t="shared" si="717"/>
        <v>0</v>
      </c>
      <c r="BS939" s="221">
        <f t="shared" si="717"/>
        <v>0</v>
      </c>
      <c r="BT939" s="222">
        <f t="shared" si="717"/>
        <v>0</v>
      </c>
      <c r="BU939" s="222">
        <f t="shared" si="717"/>
        <v>0</v>
      </c>
      <c r="BV939" s="223">
        <f t="shared" si="717"/>
        <v>0</v>
      </c>
      <c r="BW939" s="229"/>
      <c r="BX939" s="215"/>
      <c r="BY939" s="125">
        <f t="shared" si="526"/>
        <v>66.010000000000005</v>
      </c>
      <c r="BZ939" s="126">
        <f t="shared" si="527"/>
        <v>67.680000000000007</v>
      </c>
      <c r="CA939" s="126">
        <f t="shared" si="601"/>
        <v>72.819999999999993</v>
      </c>
      <c r="CB939" s="127">
        <f t="shared" si="601"/>
        <v>70</v>
      </c>
      <c r="CC939" s="768"/>
    </row>
    <row r="940" spans="1:82" s="230" customFormat="1" ht="15.75" customHeight="1" outlineLevel="5" x14ac:dyDescent="0.25">
      <c r="A940" s="216"/>
      <c r="B940" s="215"/>
      <c r="C940" s="216"/>
      <c r="D940" s="216"/>
      <c r="E940" s="216"/>
      <c r="F940" s="216"/>
      <c r="G940" s="216"/>
      <c r="H940" s="216"/>
      <c r="I940" s="216"/>
      <c r="J940" s="215"/>
      <c r="K940" s="217"/>
      <c r="L940" s="216"/>
      <c r="M940" s="215"/>
      <c r="N940" s="215"/>
      <c r="O940" s="215"/>
      <c r="P940" s="215"/>
      <c r="Q940" s="215"/>
      <c r="R940" s="215"/>
      <c r="S940" s="215"/>
      <c r="T940" s="215"/>
      <c r="U940" s="215"/>
      <c r="V940" s="215"/>
      <c r="W940" s="215"/>
      <c r="X940" s="215"/>
      <c r="Y940" s="215"/>
      <c r="Z940" s="215"/>
      <c r="AA940" s="215"/>
      <c r="AB940" s="232"/>
      <c r="AC940" s="219" t="s">
        <v>274</v>
      </c>
      <c r="AD940" s="220" t="s">
        <v>247</v>
      </c>
      <c r="AE940" s="221">
        <f t="shared" si="703"/>
        <v>2196.4299999999998</v>
      </c>
      <c r="AF940" s="222">
        <f t="shared" si="703"/>
        <v>550</v>
      </c>
      <c r="AG940" s="222">
        <f t="shared" si="703"/>
        <v>2232.85</v>
      </c>
      <c r="AH940" s="767">
        <f t="shared" si="703"/>
        <v>2230</v>
      </c>
      <c r="AI940" s="221">
        <f t="shared" si="703"/>
        <v>33.549999999999997</v>
      </c>
      <c r="AJ940" s="222">
        <f t="shared" si="703"/>
        <v>0</v>
      </c>
      <c r="AK940" s="222">
        <f t="shared" si="703"/>
        <v>34.89</v>
      </c>
      <c r="AL940" s="767">
        <f t="shared" ref="AL940" si="746">AL200</f>
        <v>0</v>
      </c>
      <c r="AM940" s="221">
        <f t="shared" si="705"/>
        <v>0</v>
      </c>
      <c r="AN940" s="222">
        <f t="shared" si="705"/>
        <v>0</v>
      </c>
      <c r="AO940" s="222">
        <f t="shared" si="705"/>
        <v>0</v>
      </c>
      <c r="AP940" s="767">
        <f t="shared" ref="AP940" si="747">AP200</f>
        <v>0</v>
      </c>
      <c r="AQ940" s="221">
        <f t="shared" si="707"/>
        <v>0</v>
      </c>
      <c r="AR940" s="222">
        <f t="shared" si="707"/>
        <v>0</v>
      </c>
      <c r="AS940" s="222">
        <f t="shared" si="707"/>
        <v>0</v>
      </c>
      <c r="AT940" s="767">
        <f t="shared" si="707"/>
        <v>0</v>
      </c>
      <c r="AU940" s="221">
        <f t="shared" si="707"/>
        <v>0</v>
      </c>
      <c r="AV940" s="222">
        <f t="shared" si="707"/>
        <v>0</v>
      </c>
      <c r="AW940" s="222">
        <f t="shared" si="707"/>
        <v>0</v>
      </c>
      <c r="AX940" s="767">
        <f t="shared" ref="AX940" si="748">AX200</f>
        <v>0</v>
      </c>
      <c r="AY940" s="221">
        <f t="shared" si="709"/>
        <v>0</v>
      </c>
      <c r="AZ940" s="222">
        <f t="shared" si="709"/>
        <v>0</v>
      </c>
      <c r="BA940" s="222">
        <f t="shared" si="709"/>
        <v>0</v>
      </c>
      <c r="BB940" s="767">
        <f t="shared" ref="BB940" si="749">BB200</f>
        <v>0</v>
      </c>
      <c r="BC940" s="221">
        <f t="shared" si="711"/>
        <v>0</v>
      </c>
      <c r="BD940" s="222">
        <f t="shared" si="711"/>
        <v>0</v>
      </c>
      <c r="BE940" s="222">
        <f t="shared" si="711"/>
        <v>0</v>
      </c>
      <c r="BF940" s="767">
        <f t="shared" ref="BF940" si="750">BF200</f>
        <v>0</v>
      </c>
      <c r="BG940" s="221">
        <f t="shared" si="713"/>
        <v>0</v>
      </c>
      <c r="BH940" s="222">
        <f t="shared" si="713"/>
        <v>0</v>
      </c>
      <c r="BI940" s="222">
        <f t="shared" si="713"/>
        <v>0</v>
      </c>
      <c r="BJ940" s="767">
        <f t="shared" ref="BJ940" si="751">BJ200</f>
        <v>0</v>
      </c>
      <c r="BK940" s="221">
        <f t="shared" si="715"/>
        <v>0</v>
      </c>
      <c r="BL940" s="222">
        <f t="shared" si="715"/>
        <v>0</v>
      </c>
      <c r="BM940" s="222">
        <f t="shared" si="715"/>
        <v>0</v>
      </c>
      <c r="BN940" s="767">
        <f t="shared" ref="BN940" si="752">BN200</f>
        <v>0</v>
      </c>
      <c r="BO940" s="221">
        <f t="shared" si="717"/>
        <v>0</v>
      </c>
      <c r="BP940" s="222">
        <f t="shared" si="717"/>
        <v>0</v>
      </c>
      <c r="BQ940" s="222">
        <f t="shared" si="717"/>
        <v>0</v>
      </c>
      <c r="BR940" s="767">
        <f t="shared" si="717"/>
        <v>0</v>
      </c>
      <c r="BS940" s="221">
        <f t="shared" si="717"/>
        <v>0</v>
      </c>
      <c r="BT940" s="222">
        <f t="shared" si="717"/>
        <v>0</v>
      </c>
      <c r="BU940" s="222">
        <f t="shared" si="717"/>
        <v>0</v>
      </c>
      <c r="BV940" s="223">
        <f t="shared" si="717"/>
        <v>0</v>
      </c>
      <c r="BW940" s="229"/>
      <c r="BX940" s="215"/>
      <c r="BY940" s="125">
        <f t="shared" si="526"/>
        <v>2229.98</v>
      </c>
      <c r="BZ940" s="126">
        <f t="shared" si="527"/>
        <v>550</v>
      </c>
      <c r="CA940" s="126">
        <f t="shared" si="601"/>
        <v>2267.7399999999998</v>
      </c>
      <c r="CB940" s="127">
        <f t="shared" si="601"/>
        <v>2230</v>
      </c>
      <c r="CC940" s="768"/>
    </row>
    <row r="941" spans="1:82" s="230" customFormat="1" ht="15.75" customHeight="1" outlineLevel="5" x14ac:dyDescent="0.25">
      <c r="A941" s="216"/>
      <c r="B941" s="215"/>
      <c r="C941" s="216"/>
      <c r="D941" s="216"/>
      <c r="E941" s="216"/>
      <c r="F941" s="216"/>
      <c r="G941" s="216"/>
      <c r="H941" s="216"/>
      <c r="I941" s="216"/>
      <c r="J941" s="215"/>
      <c r="K941" s="217"/>
      <c r="L941" s="216"/>
      <c r="M941" s="215"/>
      <c r="N941" s="215"/>
      <c r="O941" s="215"/>
      <c r="P941" s="215"/>
      <c r="Q941" s="215"/>
      <c r="R941" s="215"/>
      <c r="S941" s="215"/>
      <c r="T941" s="215"/>
      <c r="U941" s="215"/>
      <c r="V941" s="215"/>
      <c r="W941" s="215"/>
      <c r="X941" s="215"/>
      <c r="Y941" s="215"/>
      <c r="Z941" s="215"/>
      <c r="AA941" s="215"/>
      <c r="AB941" s="232"/>
      <c r="AC941" s="219" t="s">
        <v>275</v>
      </c>
      <c r="AD941" s="220" t="s">
        <v>247</v>
      </c>
      <c r="AE941" s="221">
        <f t="shared" ref="AE941:AK941" si="753">AE201+AE592</f>
        <v>14.18</v>
      </c>
      <c r="AF941" s="222">
        <f t="shared" si="753"/>
        <v>1.52</v>
      </c>
      <c r="AG941" s="222">
        <f t="shared" si="753"/>
        <v>2213.69</v>
      </c>
      <c r="AH941" s="767">
        <f t="shared" si="753"/>
        <v>2214</v>
      </c>
      <c r="AI941" s="221">
        <f t="shared" si="753"/>
        <v>0</v>
      </c>
      <c r="AJ941" s="222">
        <f t="shared" si="753"/>
        <v>0</v>
      </c>
      <c r="AK941" s="222">
        <f t="shared" si="753"/>
        <v>0</v>
      </c>
      <c r="AL941" s="767">
        <f t="shared" ref="AL941" si="754">AL201+AL592</f>
        <v>0</v>
      </c>
      <c r="AM941" s="221">
        <f>AM201+AM592</f>
        <v>0</v>
      </c>
      <c r="AN941" s="222">
        <f>AN201+AN592</f>
        <v>0</v>
      </c>
      <c r="AO941" s="222">
        <f>AO201+AO592</f>
        <v>0</v>
      </c>
      <c r="AP941" s="767">
        <f>AP201+AP592</f>
        <v>0</v>
      </c>
      <c r="AQ941" s="221">
        <f t="shared" ref="AQ941:AW941" si="755">AQ201+AQ592</f>
        <v>0</v>
      </c>
      <c r="AR941" s="222">
        <f t="shared" si="755"/>
        <v>2.65</v>
      </c>
      <c r="AS941" s="222">
        <f t="shared" si="755"/>
        <v>0</v>
      </c>
      <c r="AT941" s="767">
        <f t="shared" si="755"/>
        <v>0</v>
      </c>
      <c r="AU941" s="221">
        <f t="shared" si="755"/>
        <v>0</v>
      </c>
      <c r="AV941" s="222">
        <f t="shared" si="755"/>
        <v>0</v>
      </c>
      <c r="AW941" s="222">
        <f t="shared" si="755"/>
        <v>0</v>
      </c>
      <c r="AX941" s="767">
        <f t="shared" ref="AX941" si="756">AX201+AX592</f>
        <v>0</v>
      </c>
      <c r="AY941" s="221">
        <f t="shared" ref="AY941:BN941" si="757">AY201+AY592</f>
        <v>7.2</v>
      </c>
      <c r="AZ941" s="222">
        <f t="shared" si="757"/>
        <v>0</v>
      </c>
      <c r="BA941" s="222">
        <f t="shared" si="757"/>
        <v>7.92</v>
      </c>
      <c r="BB941" s="767">
        <f t="shared" si="757"/>
        <v>0</v>
      </c>
      <c r="BC941" s="221">
        <f t="shared" si="757"/>
        <v>0</v>
      </c>
      <c r="BD941" s="222">
        <f t="shared" si="757"/>
        <v>0</v>
      </c>
      <c r="BE941" s="222">
        <f t="shared" si="757"/>
        <v>0</v>
      </c>
      <c r="BF941" s="767">
        <f t="shared" si="757"/>
        <v>0</v>
      </c>
      <c r="BG941" s="221">
        <f t="shared" si="757"/>
        <v>0</v>
      </c>
      <c r="BH941" s="222">
        <f t="shared" si="757"/>
        <v>0</v>
      </c>
      <c r="BI941" s="222">
        <f t="shared" si="757"/>
        <v>0</v>
      </c>
      <c r="BJ941" s="767">
        <f t="shared" si="757"/>
        <v>0</v>
      </c>
      <c r="BK941" s="221">
        <f t="shared" si="757"/>
        <v>6.7</v>
      </c>
      <c r="BL941" s="222">
        <f t="shared" si="757"/>
        <v>0</v>
      </c>
      <c r="BM941" s="222">
        <f t="shared" si="757"/>
        <v>7.14</v>
      </c>
      <c r="BN941" s="767">
        <f t="shared" si="757"/>
        <v>0</v>
      </c>
      <c r="BO941" s="221">
        <f t="shared" ref="BO941:BV941" si="758">BO201+BO592</f>
        <v>0</v>
      </c>
      <c r="BP941" s="222">
        <f t="shared" si="758"/>
        <v>0</v>
      </c>
      <c r="BQ941" s="222">
        <f t="shared" si="758"/>
        <v>0</v>
      </c>
      <c r="BR941" s="767">
        <f t="shared" si="758"/>
        <v>0</v>
      </c>
      <c r="BS941" s="221">
        <f t="shared" si="758"/>
        <v>6.7</v>
      </c>
      <c r="BT941" s="222">
        <f t="shared" si="758"/>
        <v>0</v>
      </c>
      <c r="BU941" s="222">
        <f t="shared" si="758"/>
        <v>7.38</v>
      </c>
      <c r="BV941" s="223">
        <f t="shared" si="758"/>
        <v>0</v>
      </c>
      <c r="BW941" s="229"/>
      <c r="BX941" s="215"/>
      <c r="BY941" s="125">
        <f t="shared" si="526"/>
        <v>34.78</v>
      </c>
      <c r="BZ941" s="126">
        <f t="shared" si="527"/>
        <v>4.17</v>
      </c>
      <c r="CA941" s="126">
        <f t="shared" si="601"/>
        <v>2236.13</v>
      </c>
      <c r="CB941" s="127">
        <f t="shared" si="601"/>
        <v>2214</v>
      </c>
      <c r="CC941" s="768"/>
    </row>
    <row r="942" spans="1:82" s="230" customFormat="1" ht="15.75" customHeight="1" outlineLevel="5" x14ac:dyDescent="0.25">
      <c r="A942" s="216"/>
      <c r="B942" s="215"/>
      <c r="C942" s="216"/>
      <c r="D942" s="216"/>
      <c r="E942" s="216"/>
      <c r="F942" s="216"/>
      <c r="G942" s="216"/>
      <c r="H942" s="216"/>
      <c r="I942" s="216"/>
      <c r="J942" s="215"/>
      <c r="K942" s="217"/>
      <c r="L942" s="216"/>
      <c r="M942" s="215"/>
      <c r="N942" s="215"/>
      <c r="O942" s="215"/>
      <c r="P942" s="215"/>
      <c r="Q942" s="215"/>
      <c r="R942" s="215"/>
      <c r="S942" s="215"/>
      <c r="T942" s="215"/>
      <c r="U942" s="215"/>
      <c r="V942" s="215"/>
      <c r="W942" s="215"/>
      <c r="X942" s="215"/>
      <c r="Y942" s="215"/>
      <c r="Z942" s="215"/>
      <c r="AA942" s="215"/>
      <c r="AB942" s="232"/>
      <c r="AC942" s="219" t="s">
        <v>276</v>
      </c>
      <c r="AD942" s="220" t="s">
        <v>247</v>
      </c>
      <c r="AE942" s="221">
        <f t="shared" ref="AE942:AK942" si="759">AE202</f>
        <v>497.13</v>
      </c>
      <c r="AF942" s="222">
        <f t="shared" si="759"/>
        <v>540.63</v>
      </c>
      <c r="AG942" s="222">
        <f t="shared" si="759"/>
        <v>581.65</v>
      </c>
      <c r="AH942" s="767">
        <f t="shared" si="759"/>
        <v>591</v>
      </c>
      <c r="AI942" s="221">
        <f t="shared" si="759"/>
        <v>0</v>
      </c>
      <c r="AJ942" s="222">
        <f t="shared" si="759"/>
        <v>0</v>
      </c>
      <c r="AK942" s="222">
        <f t="shared" si="759"/>
        <v>0</v>
      </c>
      <c r="AL942" s="767">
        <f t="shared" ref="AL942" si="760">AL202</f>
        <v>0</v>
      </c>
      <c r="AM942" s="221">
        <f>AM202</f>
        <v>0</v>
      </c>
      <c r="AN942" s="222">
        <f>AN202</f>
        <v>0</v>
      </c>
      <c r="AO942" s="222">
        <f>AO202</f>
        <v>0</v>
      </c>
      <c r="AP942" s="767">
        <f>AP202</f>
        <v>0</v>
      </c>
      <c r="AQ942" s="221">
        <f t="shared" ref="AQ942:AW942" si="761">AQ202</f>
        <v>0</v>
      </c>
      <c r="AR942" s="222">
        <f t="shared" si="761"/>
        <v>0</v>
      </c>
      <c r="AS942" s="222">
        <f t="shared" si="761"/>
        <v>0</v>
      </c>
      <c r="AT942" s="767">
        <f t="shared" si="761"/>
        <v>0</v>
      </c>
      <c r="AU942" s="221">
        <f t="shared" si="761"/>
        <v>0</v>
      </c>
      <c r="AV942" s="222">
        <f t="shared" si="761"/>
        <v>0</v>
      </c>
      <c r="AW942" s="222">
        <f t="shared" si="761"/>
        <v>0</v>
      </c>
      <c r="AX942" s="767">
        <f t="shared" ref="AX942" si="762">AX202</f>
        <v>0</v>
      </c>
      <c r="AY942" s="221">
        <f t="shared" ref="AY942:BN942" si="763">AY202</f>
        <v>0</v>
      </c>
      <c r="AZ942" s="222">
        <f t="shared" si="763"/>
        <v>0</v>
      </c>
      <c r="BA942" s="222">
        <f t="shared" si="763"/>
        <v>0</v>
      </c>
      <c r="BB942" s="767">
        <f t="shared" si="763"/>
        <v>0</v>
      </c>
      <c r="BC942" s="221">
        <f t="shared" si="763"/>
        <v>0</v>
      </c>
      <c r="BD942" s="222">
        <f t="shared" si="763"/>
        <v>0</v>
      </c>
      <c r="BE942" s="222">
        <f t="shared" si="763"/>
        <v>0</v>
      </c>
      <c r="BF942" s="767">
        <f t="shared" si="763"/>
        <v>0</v>
      </c>
      <c r="BG942" s="221">
        <f t="shared" si="763"/>
        <v>0</v>
      </c>
      <c r="BH942" s="222">
        <f t="shared" si="763"/>
        <v>0</v>
      </c>
      <c r="BI942" s="222">
        <f t="shared" si="763"/>
        <v>0</v>
      </c>
      <c r="BJ942" s="767">
        <f t="shared" si="763"/>
        <v>0</v>
      </c>
      <c r="BK942" s="221">
        <f t="shared" si="763"/>
        <v>0</v>
      </c>
      <c r="BL942" s="222">
        <f t="shared" si="763"/>
        <v>0</v>
      </c>
      <c r="BM942" s="222">
        <f t="shared" si="763"/>
        <v>0</v>
      </c>
      <c r="BN942" s="767">
        <f t="shared" si="763"/>
        <v>0</v>
      </c>
      <c r="BO942" s="221">
        <f t="shared" ref="BO942:BV942" si="764">BO202</f>
        <v>0</v>
      </c>
      <c r="BP942" s="222">
        <f t="shared" si="764"/>
        <v>0</v>
      </c>
      <c r="BQ942" s="222">
        <f t="shared" si="764"/>
        <v>0</v>
      </c>
      <c r="BR942" s="767">
        <f t="shared" si="764"/>
        <v>0</v>
      </c>
      <c r="BS942" s="221">
        <f t="shared" si="764"/>
        <v>0</v>
      </c>
      <c r="BT942" s="222">
        <f t="shared" si="764"/>
        <v>0</v>
      </c>
      <c r="BU942" s="222">
        <f t="shared" si="764"/>
        <v>0</v>
      </c>
      <c r="BV942" s="223">
        <f t="shared" si="764"/>
        <v>0</v>
      </c>
      <c r="BW942" s="229"/>
      <c r="BX942" s="215"/>
      <c r="BY942" s="125">
        <f t="shared" si="526"/>
        <v>497.13</v>
      </c>
      <c r="BZ942" s="126">
        <f t="shared" si="527"/>
        <v>540.63</v>
      </c>
      <c r="CA942" s="126">
        <f t="shared" si="601"/>
        <v>581.65</v>
      </c>
      <c r="CB942" s="127">
        <f t="shared" si="601"/>
        <v>591</v>
      </c>
      <c r="CC942" s="768"/>
    </row>
    <row r="943" spans="1:82" s="230" customFormat="1" ht="15.75" customHeight="1" outlineLevel="5" x14ac:dyDescent="0.25">
      <c r="A943" s="216"/>
      <c r="B943" s="215"/>
      <c r="C943" s="216"/>
      <c r="D943" s="216"/>
      <c r="E943" s="216"/>
      <c r="F943" s="216"/>
      <c r="G943" s="216"/>
      <c r="H943" s="216"/>
      <c r="I943" s="216"/>
      <c r="J943" s="215"/>
      <c r="K943" s="217"/>
      <c r="L943" s="216"/>
      <c r="M943" s="215"/>
      <c r="N943" s="215"/>
      <c r="O943" s="215"/>
      <c r="P943" s="215"/>
      <c r="Q943" s="215"/>
      <c r="R943" s="215"/>
      <c r="S943" s="215"/>
      <c r="T943" s="215"/>
      <c r="U943" s="215"/>
      <c r="V943" s="215"/>
      <c r="W943" s="215"/>
      <c r="X943" s="215"/>
      <c r="Y943" s="215"/>
      <c r="Z943" s="215"/>
      <c r="AA943" s="215"/>
      <c r="AB943" s="232"/>
      <c r="AC943" s="219" t="s">
        <v>277</v>
      </c>
      <c r="AD943" s="220" t="s">
        <v>247</v>
      </c>
      <c r="AE943" s="221">
        <f t="shared" ref="AE943:AK943" si="765">AE203+AE568</f>
        <v>706.46</v>
      </c>
      <c r="AF943" s="222">
        <f t="shared" si="765"/>
        <v>680.71</v>
      </c>
      <c r="AG943" s="222">
        <f t="shared" si="765"/>
        <v>814.14</v>
      </c>
      <c r="AH943" s="767">
        <f t="shared" si="765"/>
        <v>814</v>
      </c>
      <c r="AI943" s="221">
        <f t="shared" si="765"/>
        <v>9.34</v>
      </c>
      <c r="AJ943" s="222">
        <f t="shared" si="765"/>
        <v>0</v>
      </c>
      <c r="AK943" s="222">
        <f t="shared" si="765"/>
        <v>9.7100000000000009</v>
      </c>
      <c r="AL943" s="767">
        <f t="shared" ref="AL943" si="766">AL203+AL568</f>
        <v>9.7100000000000009</v>
      </c>
      <c r="AM943" s="221">
        <f>AM203+AM568</f>
        <v>3.44</v>
      </c>
      <c r="AN943" s="222">
        <f>AN203+AN568</f>
        <v>26.19</v>
      </c>
      <c r="AO943" s="222">
        <f>AO203+AO568</f>
        <v>3.97</v>
      </c>
      <c r="AP943" s="767">
        <f>AP203+AP568</f>
        <v>0</v>
      </c>
      <c r="AQ943" s="221">
        <f t="shared" ref="AQ943:AW943" si="767">AQ203+AQ568</f>
        <v>19.420000000000002</v>
      </c>
      <c r="AR943" s="222">
        <f t="shared" si="767"/>
        <v>5.28</v>
      </c>
      <c r="AS943" s="222">
        <f t="shared" si="767"/>
        <v>94.710000000000008</v>
      </c>
      <c r="AT943" s="767">
        <f t="shared" si="767"/>
        <v>0</v>
      </c>
      <c r="AU943" s="221">
        <f t="shared" si="767"/>
        <v>3.95</v>
      </c>
      <c r="AV943" s="222">
        <f t="shared" si="767"/>
        <v>0</v>
      </c>
      <c r="AW943" s="222">
        <f t="shared" si="767"/>
        <v>4.3499999999999996</v>
      </c>
      <c r="AX943" s="767">
        <f t="shared" ref="AX943" si="768">AX203+AX568</f>
        <v>0</v>
      </c>
      <c r="AY943" s="221">
        <f t="shared" ref="AY943:BN943" si="769">AY203+AY568</f>
        <v>25.83</v>
      </c>
      <c r="AZ943" s="222">
        <f t="shared" si="769"/>
        <v>0</v>
      </c>
      <c r="BA943" s="222">
        <f t="shared" si="769"/>
        <v>30.46</v>
      </c>
      <c r="BB943" s="767">
        <f t="shared" si="769"/>
        <v>0</v>
      </c>
      <c r="BC943" s="221">
        <f t="shared" si="769"/>
        <v>5.0739999999999998</v>
      </c>
      <c r="BD943" s="222">
        <f t="shared" si="769"/>
        <v>0</v>
      </c>
      <c r="BE943" s="222">
        <f t="shared" si="769"/>
        <v>5.6779999999999999</v>
      </c>
      <c r="BF943" s="767">
        <f t="shared" si="769"/>
        <v>0</v>
      </c>
      <c r="BG943" s="221">
        <f t="shared" si="769"/>
        <v>21.382000000000001</v>
      </c>
      <c r="BH943" s="222">
        <f t="shared" si="769"/>
        <v>0</v>
      </c>
      <c r="BI943" s="222">
        <f t="shared" si="769"/>
        <v>28.021000000000001</v>
      </c>
      <c r="BJ943" s="767">
        <f t="shared" si="769"/>
        <v>0</v>
      </c>
      <c r="BK943" s="221">
        <f t="shared" si="769"/>
        <v>71.14</v>
      </c>
      <c r="BL943" s="222">
        <f t="shared" si="769"/>
        <v>0</v>
      </c>
      <c r="BM943" s="222">
        <f t="shared" si="769"/>
        <v>75.8</v>
      </c>
      <c r="BN943" s="767">
        <f t="shared" si="769"/>
        <v>0</v>
      </c>
      <c r="BO943" s="221">
        <f t="shared" ref="BO943:BV943" si="770">BO203+BO568</f>
        <v>0</v>
      </c>
      <c r="BP943" s="222">
        <f t="shared" si="770"/>
        <v>0</v>
      </c>
      <c r="BQ943" s="222">
        <f t="shared" si="770"/>
        <v>0</v>
      </c>
      <c r="BR943" s="767">
        <f t="shared" si="770"/>
        <v>0</v>
      </c>
      <c r="BS943" s="221">
        <f t="shared" si="770"/>
        <v>60.28</v>
      </c>
      <c r="BT943" s="222">
        <f t="shared" si="770"/>
        <v>29.21</v>
      </c>
      <c r="BU943" s="222">
        <f t="shared" si="770"/>
        <v>68.540000000000006</v>
      </c>
      <c r="BV943" s="223">
        <f t="shared" si="770"/>
        <v>0</v>
      </c>
      <c r="BW943" s="229"/>
      <c r="BX943" s="215"/>
      <c r="BY943" s="125">
        <f t="shared" si="526"/>
        <v>926.31600000000003</v>
      </c>
      <c r="BZ943" s="126">
        <f t="shared" si="527"/>
        <v>741.3900000000001</v>
      </c>
      <c r="CA943" s="126">
        <f t="shared" si="601"/>
        <v>1135.3790000000001</v>
      </c>
      <c r="CB943" s="127">
        <f t="shared" si="601"/>
        <v>823.71</v>
      </c>
      <c r="CC943" s="768"/>
    </row>
    <row r="944" spans="1:82" s="230" customFormat="1" ht="15.75" customHeight="1" outlineLevel="5" x14ac:dyDescent="0.25">
      <c r="A944" s="216"/>
      <c r="B944" s="215"/>
      <c r="C944" s="216"/>
      <c r="D944" s="216"/>
      <c r="E944" s="216"/>
      <c r="F944" s="216"/>
      <c r="G944" s="216"/>
      <c r="H944" s="216"/>
      <c r="I944" s="216"/>
      <c r="J944" s="215"/>
      <c r="K944" s="217"/>
      <c r="L944" s="216"/>
      <c r="M944" s="215"/>
      <c r="N944" s="215"/>
      <c r="O944" s="215"/>
      <c r="P944" s="215"/>
      <c r="Q944" s="215"/>
      <c r="R944" s="215"/>
      <c r="S944" s="215"/>
      <c r="T944" s="215"/>
      <c r="U944" s="215"/>
      <c r="V944" s="215"/>
      <c r="W944" s="215"/>
      <c r="X944" s="215"/>
      <c r="Y944" s="215"/>
      <c r="Z944" s="215"/>
      <c r="AA944" s="215"/>
      <c r="AB944" s="232"/>
      <c r="AC944" s="219" t="s">
        <v>712</v>
      </c>
      <c r="AD944" s="220" t="s">
        <v>247</v>
      </c>
      <c r="AE944" s="221">
        <f t="shared" ref="AE944:AK944" si="771">AE204+AE565</f>
        <v>2127.8199999999997</v>
      </c>
      <c r="AF944" s="222">
        <f t="shared" si="771"/>
        <v>1680</v>
      </c>
      <c r="AG944" s="222">
        <f t="shared" si="771"/>
        <v>3058.1600000000003</v>
      </c>
      <c r="AH944" s="767">
        <f t="shared" si="771"/>
        <v>3058.38</v>
      </c>
      <c r="AI944" s="221">
        <f t="shared" si="771"/>
        <v>115.54</v>
      </c>
      <c r="AJ944" s="222">
        <f t="shared" si="771"/>
        <v>0</v>
      </c>
      <c r="AK944" s="222">
        <f t="shared" si="771"/>
        <v>15.569999999999999</v>
      </c>
      <c r="AL944" s="767">
        <f t="shared" ref="AL944" si="772">AL204+AL565</f>
        <v>14.37</v>
      </c>
      <c r="AM944" s="221">
        <f>AM204+AM565</f>
        <v>0</v>
      </c>
      <c r="AN944" s="222">
        <f>AN204+AN565</f>
        <v>0</v>
      </c>
      <c r="AO944" s="222">
        <f>AO204+AO565</f>
        <v>0</v>
      </c>
      <c r="AP944" s="767">
        <f>AP204+AP565</f>
        <v>0</v>
      </c>
      <c r="AQ944" s="221">
        <f t="shared" ref="AQ944:AW944" si="773">AQ204+AQ565</f>
        <v>0</v>
      </c>
      <c r="AR944" s="222">
        <f t="shared" si="773"/>
        <v>0</v>
      </c>
      <c r="AS944" s="222">
        <f t="shared" si="773"/>
        <v>0</v>
      </c>
      <c r="AT944" s="767">
        <f t="shared" si="773"/>
        <v>0</v>
      </c>
      <c r="AU944" s="221">
        <f t="shared" si="773"/>
        <v>0</v>
      </c>
      <c r="AV944" s="222">
        <f t="shared" si="773"/>
        <v>0</v>
      </c>
      <c r="AW944" s="222">
        <f t="shared" si="773"/>
        <v>0</v>
      </c>
      <c r="AX944" s="767">
        <f t="shared" ref="AX944" si="774">AX204+AX565</f>
        <v>0</v>
      </c>
      <c r="AY944" s="221">
        <f t="shared" ref="AY944:BN944" si="775">AY204+AY565</f>
        <v>0</v>
      </c>
      <c r="AZ944" s="222">
        <f t="shared" si="775"/>
        <v>0</v>
      </c>
      <c r="BA944" s="222">
        <f t="shared" si="775"/>
        <v>0</v>
      </c>
      <c r="BB944" s="767">
        <f t="shared" si="775"/>
        <v>0</v>
      </c>
      <c r="BC944" s="221">
        <f t="shared" si="775"/>
        <v>0</v>
      </c>
      <c r="BD944" s="222">
        <f t="shared" si="775"/>
        <v>0</v>
      </c>
      <c r="BE944" s="222">
        <f t="shared" si="775"/>
        <v>0</v>
      </c>
      <c r="BF944" s="767">
        <f t="shared" si="775"/>
        <v>0</v>
      </c>
      <c r="BG944" s="221">
        <f t="shared" si="775"/>
        <v>0</v>
      </c>
      <c r="BH944" s="222">
        <f t="shared" si="775"/>
        <v>106.85</v>
      </c>
      <c r="BI944" s="222">
        <f t="shared" si="775"/>
        <v>0</v>
      </c>
      <c r="BJ944" s="767">
        <f t="shared" si="775"/>
        <v>111.17528799999999</v>
      </c>
      <c r="BK944" s="221">
        <f t="shared" si="775"/>
        <v>0</v>
      </c>
      <c r="BL944" s="222">
        <f t="shared" si="775"/>
        <v>0</v>
      </c>
      <c r="BM944" s="222">
        <f t="shared" si="775"/>
        <v>0</v>
      </c>
      <c r="BN944" s="767">
        <f t="shared" si="775"/>
        <v>0</v>
      </c>
      <c r="BO944" s="221">
        <f t="shared" ref="BO944:BV944" si="776">BO204+BO565</f>
        <v>0</v>
      </c>
      <c r="BP944" s="222">
        <f t="shared" si="776"/>
        <v>0</v>
      </c>
      <c r="BQ944" s="222">
        <f t="shared" si="776"/>
        <v>0</v>
      </c>
      <c r="BR944" s="767">
        <f t="shared" si="776"/>
        <v>0</v>
      </c>
      <c r="BS944" s="221">
        <f t="shared" si="776"/>
        <v>0</v>
      </c>
      <c r="BT944" s="222">
        <f t="shared" si="776"/>
        <v>0</v>
      </c>
      <c r="BU944" s="222">
        <f t="shared" si="776"/>
        <v>0</v>
      </c>
      <c r="BV944" s="223">
        <f t="shared" si="776"/>
        <v>0</v>
      </c>
      <c r="BW944" s="229"/>
      <c r="BX944" s="215"/>
      <c r="BY944" s="125">
        <f t="shared" si="526"/>
        <v>2243.3599999999997</v>
      </c>
      <c r="BZ944" s="126">
        <f t="shared" si="527"/>
        <v>1786.85</v>
      </c>
      <c r="CA944" s="126">
        <f t="shared" si="601"/>
        <v>3073.7300000000005</v>
      </c>
      <c r="CB944" s="127">
        <f t="shared" si="601"/>
        <v>3183.9252879999999</v>
      </c>
      <c r="CC944" s="768"/>
    </row>
    <row r="945" spans="1:81" s="230" customFormat="1" ht="15.75" customHeight="1" outlineLevel="5" x14ac:dyDescent="0.25">
      <c r="A945" s="216"/>
      <c r="B945" s="215"/>
      <c r="C945" s="216"/>
      <c r="D945" s="216"/>
      <c r="E945" s="216"/>
      <c r="F945" s="216"/>
      <c r="G945" s="216"/>
      <c r="H945" s="216"/>
      <c r="I945" s="216"/>
      <c r="J945" s="215"/>
      <c r="K945" s="217"/>
      <c r="L945" s="216"/>
      <c r="M945" s="215"/>
      <c r="N945" s="215"/>
      <c r="O945" s="215"/>
      <c r="P945" s="215"/>
      <c r="Q945" s="215"/>
      <c r="R945" s="215"/>
      <c r="S945" s="215"/>
      <c r="T945" s="215"/>
      <c r="U945" s="215"/>
      <c r="V945" s="215"/>
      <c r="W945" s="215"/>
      <c r="X945" s="215"/>
      <c r="Y945" s="215"/>
      <c r="Z945" s="215"/>
      <c r="AA945" s="215"/>
      <c r="AB945" s="232"/>
      <c r="AC945" s="219" t="s">
        <v>254</v>
      </c>
      <c r="AD945" s="220" t="s">
        <v>247</v>
      </c>
      <c r="AE945" s="221">
        <f t="shared" ref="AE945:AK945" si="777">AE205</f>
        <v>53.3</v>
      </c>
      <c r="AF945" s="222">
        <f t="shared" si="777"/>
        <v>42.45</v>
      </c>
      <c r="AG945" s="222">
        <f t="shared" si="777"/>
        <v>43.71</v>
      </c>
      <c r="AH945" s="767">
        <f t="shared" si="777"/>
        <v>43</v>
      </c>
      <c r="AI945" s="221">
        <f t="shared" si="777"/>
        <v>0</v>
      </c>
      <c r="AJ945" s="222">
        <f t="shared" si="777"/>
        <v>0</v>
      </c>
      <c r="AK945" s="222">
        <f t="shared" si="777"/>
        <v>0</v>
      </c>
      <c r="AL945" s="767">
        <f t="shared" ref="AL945" si="778">AL205</f>
        <v>0</v>
      </c>
      <c r="AM945" s="221">
        <f>AM205</f>
        <v>0</v>
      </c>
      <c r="AN945" s="222">
        <f>AN205</f>
        <v>0</v>
      </c>
      <c r="AO945" s="222">
        <f>AO205</f>
        <v>0</v>
      </c>
      <c r="AP945" s="767">
        <f>AP205</f>
        <v>0</v>
      </c>
      <c r="AQ945" s="221">
        <f t="shared" ref="AQ945:AW945" si="779">AQ205</f>
        <v>0</v>
      </c>
      <c r="AR945" s="222">
        <f t="shared" si="779"/>
        <v>73.87</v>
      </c>
      <c r="AS945" s="222">
        <f t="shared" si="779"/>
        <v>0</v>
      </c>
      <c r="AT945" s="767">
        <f t="shared" si="779"/>
        <v>0</v>
      </c>
      <c r="AU945" s="221">
        <f t="shared" si="779"/>
        <v>0</v>
      </c>
      <c r="AV945" s="222">
        <f t="shared" si="779"/>
        <v>0</v>
      </c>
      <c r="AW945" s="222">
        <f t="shared" si="779"/>
        <v>0</v>
      </c>
      <c r="AX945" s="767">
        <f t="shared" ref="AX945" si="780">AX205</f>
        <v>0</v>
      </c>
      <c r="AY945" s="221">
        <f t="shared" ref="AY945:BN945" si="781">AY205</f>
        <v>0</v>
      </c>
      <c r="AZ945" s="222">
        <f t="shared" si="781"/>
        <v>0</v>
      </c>
      <c r="BA945" s="222">
        <f t="shared" si="781"/>
        <v>0</v>
      </c>
      <c r="BB945" s="767">
        <f t="shared" si="781"/>
        <v>0</v>
      </c>
      <c r="BC945" s="221">
        <f t="shared" si="781"/>
        <v>0</v>
      </c>
      <c r="BD945" s="222">
        <f t="shared" si="781"/>
        <v>0</v>
      </c>
      <c r="BE945" s="222">
        <f t="shared" si="781"/>
        <v>0</v>
      </c>
      <c r="BF945" s="767">
        <f t="shared" si="781"/>
        <v>0</v>
      </c>
      <c r="BG945" s="221">
        <f t="shared" si="781"/>
        <v>0</v>
      </c>
      <c r="BH945" s="222">
        <f t="shared" si="781"/>
        <v>0</v>
      </c>
      <c r="BI945" s="222">
        <f t="shared" si="781"/>
        <v>0</v>
      </c>
      <c r="BJ945" s="767">
        <f t="shared" si="781"/>
        <v>0</v>
      </c>
      <c r="BK945" s="221">
        <f t="shared" si="781"/>
        <v>0</v>
      </c>
      <c r="BL945" s="222">
        <f t="shared" si="781"/>
        <v>0</v>
      </c>
      <c r="BM945" s="222">
        <f t="shared" si="781"/>
        <v>0</v>
      </c>
      <c r="BN945" s="767">
        <f t="shared" si="781"/>
        <v>0</v>
      </c>
      <c r="BO945" s="221">
        <f t="shared" ref="BO945:BV945" si="782">BO205</f>
        <v>0</v>
      </c>
      <c r="BP945" s="222">
        <f t="shared" si="782"/>
        <v>0</v>
      </c>
      <c r="BQ945" s="222">
        <f t="shared" si="782"/>
        <v>0</v>
      </c>
      <c r="BR945" s="767">
        <f t="shared" si="782"/>
        <v>0</v>
      </c>
      <c r="BS945" s="221">
        <f t="shared" si="782"/>
        <v>0</v>
      </c>
      <c r="BT945" s="222">
        <f t="shared" si="782"/>
        <v>0</v>
      </c>
      <c r="BU945" s="222">
        <f t="shared" si="782"/>
        <v>0</v>
      </c>
      <c r="BV945" s="223">
        <f t="shared" si="782"/>
        <v>0</v>
      </c>
      <c r="BW945" s="229"/>
      <c r="BX945" s="215"/>
      <c r="BY945" s="125">
        <f t="shared" si="526"/>
        <v>53.3</v>
      </c>
      <c r="BZ945" s="126">
        <f t="shared" si="527"/>
        <v>116.32000000000001</v>
      </c>
      <c r="CA945" s="126">
        <f t="shared" si="601"/>
        <v>43.71</v>
      </c>
      <c r="CB945" s="127">
        <f t="shared" si="601"/>
        <v>43</v>
      </c>
      <c r="CC945" s="768"/>
    </row>
    <row r="946" spans="1:81" s="230" customFormat="1" ht="15.75" customHeight="1" outlineLevel="5" x14ac:dyDescent="0.25">
      <c r="A946" s="216"/>
      <c r="B946" s="215"/>
      <c r="C946" s="216"/>
      <c r="D946" s="216"/>
      <c r="E946" s="216"/>
      <c r="F946" s="216"/>
      <c r="G946" s="216"/>
      <c r="H946" s="216"/>
      <c r="I946" s="216"/>
      <c r="J946" s="215"/>
      <c r="K946" s="217"/>
      <c r="L946" s="216"/>
      <c r="M946" s="215"/>
      <c r="N946" s="215"/>
      <c r="O946" s="215"/>
      <c r="P946" s="215"/>
      <c r="Q946" s="215"/>
      <c r="R946" s="215"/>
      <c r="S946" s="215"/>
      <c r="T946" s="215"/>
      <c r="U946" s="215"/>
      <c r="V946" s="215"/>
      <c r="W946" s="215"/>
      <c r="X946" s="215"/>
      <c r="Y946" s="215"/>
      <c r="Z946" s="215"/>
      <c r="AA946" s="215"/>
      <c r="AB946" s="247"/>
      <c r="AC946" s="219" t="s">
        <v>279</v>
      </c>
      <c r="AD946" s="220" t="s">
        <v>247</v>
      </c>
      <c r="AE946" s="221">
        <f t="shared" ref="AE946:AK946" si="783">AE206+AE563</f>
        <v>8346.4500000000007</v>
      </c>
      <c r="AF946" s="222">
        <f t="shared" si="783"/>
        <v>4484.1899999999996</v>
      </c>
      <c r="AG946" s="222">
        <f t="shared" si="783"/>
        <v>9932.7200000000012</v>
      </c>
      <c r="AH946" s="767">
        <f t="shared" si="783"/>
        <v>11746.19</v>
      </c>
      <c r="AI946" s="221">
        <f t="shared" si="783"/>
        <v>0</v>
      </c>
      <c r="AJ946" s="222">
        <f t="shared" si="783"/>
        <v>0</v>
      </c>
      <c r="AK946" s="222">
        <f t="shared" si="783"/>
        <v>196</v>
      </c>
      <c r="AL946" s="767">
        <f t="shared" ref="AL946" si="784">AL206+AL563</f>
        <v>0</v>
      </c>
      <c r="AM946" s="221">
        <f>AM206+AM563</f>
        <v>492.39</v>
      </c>
      <c r="AN946" s="222">
        <f>AN206+AN563</f>
        <v>257</v>
      </c>
      <c r="AO946" s="222">
        <f>AO206+AO563</f>
        <v>784</v>
      </c>
      <c r="AP946" s="767">
        <f>AP206+AP563</f>
        <v>0</v>
      </c>
      <c r="AQ946" s="221">
        <f t="shared" ref="AQ946:AW946" si="785">AQ206+AQ563</f>
        <v>536.61</v>
      </c>
      <c r="AR946" s="222">
        <f t="shared" si="785"/>
        <v>31.654</v>
      </c>
      <c r="AS946" s="222">
        <f t="shared" si="785"/>
        <v>647.30999999999995</v>
      </c>
      <c r="AT946" s="767">
        <f t="shared" si="785"/>
        <v>60.49</v>
      </c>
      <c r="AU946" s="221">
        <f t="shared" si="785"/>
        <v>175.07999999999998</v>
      </c>
      <c r="AV946" s="222">
        <f t="shared" si="785"/>
        <v>0</v>
      </c>
      <c r="AW946" s="222">
        <f t="shared" si="785"/>
        <v>653.12</v>
      </c>
      <c r="AX946" s="767">
        <f t="shared" ref="AX946" si="786">AX206+AX563</f>
        <v>86.58</v>
      </c>
      <c r="AY946" s="221">
        <f t="shared" ref="AY946:BN946" si="787">AY206+AY563</f>
        <v>285.88</v>
      </c>
      <c r="AZ946" s="222">
        <f t="shared" si="787"/>
        <v>0</v>
      </c>
      <c r="BA946" s="222">
        <f t="shared" si="787"/>
        <v>516.5</v>
      </c>
      <c r="BB946" s="767">
        <f t="shared" si="787"/>
        <v>0</v>
      </c>
      <c r="BC946" s="221">
        <f t="shared" si="787"/>
        <v>745.93200000000002</v>
      </c>
      <c r="BD946" s="222">
        <f t="shared" si="787"/>
        <v>0</v>
      </c>
      <c r="BE946" s="222">
        <f t="shared" si="787"/>
        <v>1235.1199999999999</v>
      </c>
      <c r="BF946" s="767">
        <f t="shared" si="787"/>
        <v>107.87</v>
      </c>
      <c r="BG946" s="221">
        <f t="shared" si="787"/>
        <v>157.685</v>
      </c>
      <c r="BH946" s="222">
        <f t="shared" si="787"/>
        <v>0</v>
      </c>
      <c r="BI946" s="222">
        <f t="shared" si="787"/>
        <v>324.28899999999999</v>
      </c>
      <c r="BJ946" s="767">
        <f t="shared" si="787"/>
        <v>0</v>
      </c>
      <c r="BK946" s="221">
        <f t="shared" si="787"/>
        <v>678.66000000000008</v>
      </c>
      <c r="BL946" s="222">
        <f t="shared" si="787"/>
        <v>0</v>
      </c>
      <c r="BM946" s="222">
        <f t="shared" si="787"/>
        <v>820.63</v>
      </c>
      <c r="BN946" s="767">
        <f t="shared" si="787"/>
        <v>0</v>
      </c>
      <c r="BO946" s="221">
        <f t="shared" ref="BO946:BV946" si="788">BO206+BO563</f>
        <v>2.73</v>
      </c>
      <c r="BP946" s="222">
        <f t="shared" si="788"/>
        <v>0</v>
      </c>
      <c r="BQ946" s="222">
        <f t="shared" si="788"/>
        <v>41.25</v>
      </c>
      <c r="BR946" s="767">
        <f t="shared" si="788"/>
        <v>0</v>
      </c>
      <c r="BS946" s="221">
        <f t="shared" si="788"/>
        <v>6.59</v>
      </c>
      <c r="BT946" s="222">
        <f t="shared" si="788"/>
        <v>0</v>
      </c>
      <c r="BU946" s="222">
        <f t="shared" si="788"/>
        <v>133.69999999999999</v>
      </c>
      <c r="BV946" s="223">
        <f t="shared" si="788"/>
        <v>0</v>
      </c>
      <c r="BW946" s="229"/>
      <c r="BX946" s="215"/>
      <c r="BY946" s="125">
        <f t="shared" ref="BY946:BY977" si="789">AE946+AI946+AM946+AQ946+AU946+AY946+BC946+BG946+BK946+BO946+BS946</f>
        <v>11428.007</v>
      </c>
      <c r="BZ946" s="126">
        <f t="shared" ref="BZ946:BZ977" si="790">AF946+AJ946+AN946+AR946+AV946+AZ946+BD946+BH946+BL946+BP946+BT946</f>
        <v>4772.8440000000001</v>
      </c>
      <c r="CA946" s="126">
        <f t="shared" ref="CA946:CB977" si="791">AG946+AK946+AO946+AS946+AW946+BA946+BE946+BI946+BM946+BQ946+BU946</f>
        <v>15284.639000000001</v>
      </c>
      <c r="CB946" s="127">
        <f t="shared" si="791"/>
        <v>12001.130000000001</v>
      </c>
      <c r="CC946" s="768"/>
    </row>
    <row r="947" spans="1:81" s="230" customFormat="1" ht="15.75" customHeight="1" outlineLevel="5" x14ac:dyDescent="0.25">
      <c r="A947" s="216"/>
      <c r="B947" s="215"/>
      <c r="C947" s="216"/>
      <c r="D947" s="216"/>
      <c r="E947" s="216"/>
      <c r="F947" s="216"/>
      <c r="G947" s="216"/>
      <c r="H947" s="216"/>
      <c r="I947" s="216"/>
      <c r="J947" s="215"/>
      <c r="K947" s="217"/>
      <c r="L947" s="216"/>
      <c r="M947" s="215"/>
      <c r="N947" s="215"/>
      <c r="O947" s="215"/>
      <c r="P947" s="215"/>
      <c r="Q947" s="215"/>
      <c r="R947" s="215"/>
      <c r="S947" s="215"/>
      <c r="T947" s="215"/>
      <c r="U947" s="215"/>
      <c r="V947" s="215"/>
      <c r="W947" s="215"/>
      <c r="X947" s="215"/>
      <c r="Y947" s="215"/>
      <c r="Z947" s="215"/>
      <c r="AA947" s="215"/>
      <c r="AB947" s="247"/>
      <c r="AC947" s="219" t="s">
        <v>280</v>
      </c>
      <c r="AD947" s="220" t="s">
        <v>247</v>
      </c>
      <c r="AE947" s="221">
        <f t="shared" ref="AE947:AK949" si="792">AE207</f>
        <v>917.28</v>
      </c>
      <c r="AF947" s="222">
        <f t="shared" si="792"/>
        <v>923.53</v>
      </c>
      <c r="AG947" s="222">
        <f t="shared" si="792"/>
        <v>993.59</v>
      </c>
      <c r="AH947" s="767">
        <f t="shared" si="792"/>
        <v>994</v>
      </c>
      <c r="AI947" s="221">
        <f t="shared" si="792"/>
        <v>0</v>
      </c>
      <c r="AJ947" s="222">
        <f t="shared" si="792"/>
        <v>0</v>
      </c>
      <c r="AK947" s="222">
        <f t="shared" si="792"/>
        <v>0</v>
      </c>
      <c r="AL947" s="767">
        <f t="shared" ref="AL947" si="793">AL207</f>
        <v>0</v>
      </c>
      <c r="AM947" s="221">
        <f t="shared" ref="AM947:AO949" si="794">AM207</f>
        <v>29.24</v>
      </c>
      <c r="AN947" s="222">
        <f t="shared" si="794"/>
        <v>0</v>
      </c>
      <c r="AO947" s="222">
        <f t="shared" si="794"/>
        <v>32.15</v>
      </c>
      <c r="AP947" s="767">
        <f t="shared" ref="AP947" si="795">AP207</f>
        <v>0</v>
      </c>
      <c r="AQ947" s="221">
        <f t="shared" ref="AQ947:AW949" si="796">AQ207</f>
        <v>11.8</v>
      </c>
      <c r="AR947" s="222">
        <f t="shared" si="796"/>
        <v>126.62</v>
      </c>
      <c r="AS947" s="222">
        <f t="shared" si="796"/>
        <v>12.98</v>
      </c>
      <c r="AT947" s="767">
        <f t="shared" si="796"/>
        <v>0</v>
      </c>
      <c r="AU947" s="221">
        <f t="shared" si="796"/>
        <v>0</v>
      </c>
      <c r="AV947" s="222">
        <f t="shared" si="796"/>
        <v>0</v>
      </c>
      <c r="AW947" s="222">
        <f t="shared" si="796"/>
        <v>0</v>
      </c>
      <c r="AX947" s="767">
        <f t="shared" ref="AX947" si="797">AX207</f>
        <v>0</v>
      </c>
      <c r="AY947" s="221">
        <f t="shared" ref="AY947:BA949" si="798">AY207</f>
        <v>7.0000000000000007E-2</v>
      </c>
      <c r="AZ947" s="222">
        <f t="shared" si="798"/>
        <v>0</v>
      </c>
      <c r="BA947" s="222">
        <f t="shared" si="798"/>
        <v>7.0000000000000007E-2</v>
      </c>
      <c r="BB947" s="767">
        <f t="shared" ref="BB947" si="799">BB207</f>
        <v>0</v>
      </c>
      <c r="BC947" s="221">
        <f t="shared" ref="BC947:BE949" si="800">BC207</f>
        <v>0</v>
      </c>
      <c r="BD947" s="222">
        <f t="shared" si="800"/>
        <v>0</v>
      </c>
      <c r="BE947" s="222">
        <f t="shared" si="800"/>
        <v>0</v>
      </c>
      <c r="BF947" s="767">
        <f t="shared" ref="BF947" si="801">BF207</f>
        <v>0</v>
      </c>
      <c r="BG947" s="221">
        <f t="shared" ref="BG947:BI949" si="802">BG207</f>
        <v>0</v>
      </c>
      <c r="BH947" s="222">
        <f t="shared" si="802"/>
        <v>0</v>
      </c>
      <c r="BI947" s="222">
        <f t="shared" si="802"/>
        <v>0</v>
      </c>
      <c r="BJ947" s="767">
        <f t="shared" ref="BJ947" si="803">BJ207</f>
        <v>0</v>
      </c>
      <c r="BK947" s="221">
        <f t="shared" ref="BK947:BM949" si="804">BK207</f>
        <v>0</v>
      </c>
      <c r="BL947" s="222">
        <f t="shared" si="804"/>
        <v>0</v>
      </c>
      <c r="BM947" s="222">
        <f t="shared" si="804"/>
        <v>0</v>
      </c>
      <c r="BN947" s="767">
        <f t="shared" ref="BN947" si="805">BN207</f>
        <v>0</v>
      </c>
      <c r="BO947" s="221">
        <f t="shared" ref="BO947:BV949" si="806">BO207</f>
        <v>0</v>
      </c>
      <c r="BP947" s="222">
        <f t="shared" si="806"/>
        <v>0</v>
      </c>
      <c r="BQ947" s="222">
        <f t="shared" si="806"/>
        <v>0</v>
      </c>
      <c r="BR947" s="767">
        <f t="shared" si="806"/>
        <v>0</v>
      </c>
      <c r="BS947" s="221">
        <f t="shared" si="806"/>
        <v>0</v>
      </c>
      <c r="BT947" s="222">
        <f t="shared" si="806"/>
        <v>0</v>
      </c>
      <c r="BU947" s="222">
        <f t="shared" si="806"/>
        <v>0</v>
      </c>
      <c r="BV947" s="223">
        <f t="shared" si="806"/>
        <v>0</v>
      </c>
      <c r="BW947" s="229"/>
      <c r="BX947" s="215"/>
      <c r="BY947" s="125">
        <f t="shared" si="789"/>
        <v>958.39</v>
      </c>
      <c r="BZ947" s="126">
        <f t="shared" si="790"/>
        <v>1050.1500000000001</v>
      </c>
      <c r="CA947" s="126">
        <f t="shared" si="791"/>
        <v>1038.79</v>
      </c>
      <c r="CB947" s="127">
        <f t="shared" si="791"/>
        <v>994</v>
      </c>
      <c r="CC947" s="768"/>
    </row>
    <row r="948" spans="1:81" s="230" customFormat="1" ht="15.75" customHeight="1" outlineLevel="5" x14ac:dyDescent="0.25">
      <c r="A948" s="216"/>
      <c r="B948" s="215"/>
      <c r="C948" s="216"/>
      <c r="D948" s="216"/>
      <c r="E948" s="216"/>
      <c r="F948" s="216"/>
      <c r="G948" s="216"/>
      <c r="H948" s="216"/>
      <c r="I948" s="216"/>
      <c r="J948" s="215"/>
      <c r="K948" s="217"/>
      <c r="L948" s="216"/>
      <c r="M948" s="215"/>
      <c r="N948" s="215"/>
      <c r="O948" s="215"/>
      <c r="P948" s="215"/>
      <c r="Q948" s="215"/>
      <c r="R948" s="215"/>
      <c r="S948" s="215"/>
      <c r="T948" s="215"/>
      <c r="U948" s="215"/>
      <c r="V948" s="215"/>
      <c r="W948" s="215"/>
      <c r="X948" s="215"/>
      <c r="Y948" s="215"/>
      <c r="Z948" s="215"/>
      <c r="AA948" s="215"/>
      <c r="AB948" s="247"/>
      <c r="AC948" s="219" t="s">
        <v>281</v>
      </c>
      <c r="AD948" s="220" t="s">
        <v>247</v>
      </c>
      <c r="AE948" s="221">
        <f t="shared" si="792"/>
        <v>2878.87</v>
      </c>
      <c r="AF948" s="222">
        <f t="shared" si="792"/>
        <v>0</v>
      </c>
      <c r="AG948" s="222">
        <f t="shared" si="792"/>
        <v>0</v>
      </c>
      <c r="AH948" s="767">
        <f t="shared" si="792"/>
        <v>0</v>
      </c>
      <c r="AI948" s="221">
        <f t="shared" si="792"/>
        <v>0</v>
      </c>
      <c r="AJ948" s="222">
        <f t="shared" si="792"/>
        <v>0</v>
      </c>
      <c r="AK948" s="222">
        <f t="shared" si="792"/>
        <v>0</v>
      </c>
      <c r="AL948" s="767">
        <f t="shared" ref="AL948" si="807">AL208</f>
        <v>0</v>
      </c>
      <c r="AM948" s="221">
        <f t="shared" si="794"/>
        <v>88.62</v>
      </c>
      <c r="AN948" s="222">
        <f t="shared" si="794"/>
        <v>30.5</v>
      </c>
      <c r="AO948" s="222">
        <f t="shared" si="794"/>
        <v>97.51</v>
      </c>
      <c r="AP948" s="767">
        <f t="shared" ref="AP948" si="808">AP208</f>
        <v>0</v>
      </c>
      <c r="AQ948" s="221">
        <f t="shared" si="796"/>
        <v>9.82</v>
      </c>
      <c r="AR948" s="222">
        <f t="shared" si="796"/>
        <v>0</v>
      </c>
      <c r="AS948" s="222">
        <f t="shared" si="796"/>
        <v>10.8</v>
      </c>
      <c r="AT948" s="767">
        <f t="shared" si="796"/>
        <v>0</v>
      </c>
      <c r="AU948" s="221">
        <f t="shared" si="796"/>
        <v>14.36</v>
      </c>
      <c r="AV948" s="222">
        <f t="shared" si="796"/>
        <v>0</v>
      </c>
      <c r="AW948" s="222">
        <f t="shared" si="796"/>
        <v>15.8</v>
      </c>
      <c r="AX948" s="767">
        <f t="shared" ref="AX948" si="809">AX208</f>
        <v>0</v>
      </c>
      <c r="AY948" s="221">
        <f t="shared" si="798"/>
        <v>2.31</v>
      </c>
      <c r="AZ948" s="222">
        <f t="shared" si="798"/>
        <v>0</v>
      </c>
      <c r="BA948" s="222">
        <f t="shared" si="798"/>
        <v>2.54</v>
      </c>
      <c r="BB948" s="767">
        <f t="shared" ref="BB948" si="810">BB208</f>
        <v>0</v>
      </c>
      <c r="BC948" s="221">
        <f t="shared" si="800"/>
        <v>146.084</v>
      </c>
      <c r="BD948" s="222">
        <f t="shared" si="800"/>
        <v>0</v>
      </c>
      <c r="BE948" s="222">
        <f t="shared" si="800"/>
        <v>29.658999999999999</v>
      </c>
      <c r="BF948" s="767">
        <f t="shared" ref="BF948" si="811">BF208</f>
        <v>0</v>
      </c>
      <c r="BG948" s="221">
        <f t="shared" si="802"/>
        <v>103.855</v>
      </c>
      <c r="BH948" s="222">
        <f t="shared" si="802"/>
        <v>8.06</v>
      </c>
      <c r="BI948" s="222">
        <f t="shared" si="802"/>
        <v>24.847999999999999</v>
      </c>
      <c r="BJ948" s="767">
        <f t="shared" ref="BJ948" si="812">BJ208</f>
        <v>8.3862688000000016</v>
      </c>
      <c r="BK948" s="221">
        <f t="shared" si="804"/>
        <v>99.25</v>
      </c>
      <c r="BL948" s="222">
        <f t="shared" si="804"/>
        <v>0</v>
      </c>
      <c r="BM948" s="222">
        <f t="shared" si="804"/>
        <v>59.84</v>
      </c>
      <c r="BN948" s="767">
        <f t="shared" ref="BN948" si="813">BN208</f>
        <v>0</v>
      </c>
      <c r="BO948" s="221">
        <f t="shared" si="806"/>
        <v>8.9550000000000001</v>
      </c>
      <c r="BP948" s="222">
        <f t="shared" si="806"/>
        <v>0</v>
      </c>
      <c r="BQ948" s="222">
        <f t="shared" si="806"/>
        <v>6.1849999999999996</v>
      </c>
      <c r="BR948" s="767">
        <f t="shared" si="806"/>
        <v>0</v>
      </c>
      <c r="BS948" s="221">
        <f t="shared" si="806"/>
        <v>5.76</v>
      </c>
      <c r="BT948" s="222">
        <f t="shared" si="806"/>
        <v>0</v>
      </c>
      <c r="BU948" s="222">
        <f t="shared" si="806"/>
        <v>6.33</v>
      </c>
      <c r="BV948" s="223">
        <f t="shared" si="806"/>
        <v>0</v>
      </c>
      <c r="BW948" s="229"/>
      <c r="BX948" s="215"/>
      <c r="BY948" s="125">
        <f t="shared" si="789"/>
        <v>3357.884</v>
      </c>
      <c r="BZ948" s="126">
        <f t="shared" si="790"/>
        <v>38.56</v>
      </c>
      <c r="CA948" s="126">
        <f t="shared" si="791"/>
        <v>253.512</v>
      </c>
      <c r="CB948" s="127">
        <f t="shared" si="791"/>
        <v>8.3862688000000016</v>
      </c>
      <c r="CC948" s="768"/>
    </row>
    <row r="949" spans="1:81" s="230" customFormat="1" ht="15.75" customHeight="1" outlineLevel="5" x14ac:dyDescent="0.25">
      <c r="A949" s="216"/>
      <c r="B949" s="215"/>
      <c r="C949" s="216"/>
      <c r="D949" s="216"/>
      <c r="E949" s="216"/>
      <c r="F949" s="216"/>
      <c r="G949" s="216"/>
      <c r="H949" s="216"/>
      <c r="I949" s="216"/>
      <c r="J949" s="215"/>
      <c r="K949" s="217"/>
      <c r="L949" s="216"/>
      <c r="M949" s="215"/>
      <c r="N949" s="215"/>
      <c r="O949" s="215"/>
      <c r="P949" s="215"/>
      <c r="Q949" s="215"/>
      <c r="R949" s="215"/>
      <c r="S949" s="215"/>
      <c r="T949" s="215"/>
      <c r="U949" s="215"/>
      <c r="V949" s="215"/>
      <c r="W949" s="215"/>
      <c r="X949" s="215"/>
      <c r="Y949" s="215"/>
      <c r="Z949" s="215"/>
      <c r="AA949" s="215"/>
      <c r="AB949" s="247"/>
      <c r="AC949" s="219" t="s">
        <v>282</v>
      </c>
      <c r="AD949" s="220" t="s">
        <v>247</v>
      </c>
      <c r="AE949" s="221">
        <f t="shared" si="792"/>
        <v>0</v>
      </c>
      <c r="AF949" s="222">
        <f t="shared" si="792"/>
        <v>0</v>
      </c>
      <c r="AG949" s="222">
        <f t="shared" si="792"/>
        <v>0</v>
      </c>
      <c r="AH949" s="767">
        <f t="shared" si="792"/>
        <v>0</v>
      </c>
      <c r="AI949" s="221">
        <f t="shared" si="792"/>
        <v>0</v>
      </c>
      <c r="AJ949" s="222">
        <f t="shared" si="792"/>
        <v>0</v>
      </c>
      <c r="AK949" s="222">
        <f t="shared" si="792"/>
        <v>0</v>
      </c>
      <c r="AL949" s="767">
        <f t="shared" ref="AL949" si="814">AL209</f>
        <v>0</v>
      </c>
      <c r="AM949" s="221">
        <f t="shared" si="794"/>
        <v>0</v>
      </c>
      <c r="AN949" s="222">
        <f t="shared" si="794"/>
        <v>4.33</v>
      </c>
      <c r="AO949" s="222">
        <f t="shared" si="794"/>
        <v>0</v>
      </c>
      <c r="AP949" s="767">
        <f t="shared" ref="AP949" si="815">AP209</f>
        <v>0</v>
      </c>
      <c r="AQ949" s="221">
        <f t="shared" si="796"/>
        <v>0</v>
      </c>
      <c r="AR949" s="222">
        <f t="shared" si="796"/>
        <v>96.03</v>
      </c>
      <c r="AS949" s="222">
        <f t="shared" si="796"/>
        <v>0</v>
      </c>
      <c r="AT949" s="767">
        <f t="shared" si="796"/>
        <v>0</v>
      </c>
      <c r="AU949" s="221">
        <f t="shared" si="796"/>
        <v>0</v>
      </c>
      <c r="AV949" s="222">
        <f t="shared" si="796"/>
        <v>0</v>
      </c>
      <c r="AW949" s="222">
        <f t="shared" si="796"/>
        <v>0</v>
      </c>
      <c r="AX949" s="767">
        <f t="shared" ref="AX949" si="816">AX209</f>
        <v>0</v>
      </c>
      <c r="AY949" s="221">
        <f t="shared" si="798"/>
        <v>0</v>
      </c>
      <c r="AZ949" s="222">
        <f t="shared" si="798"/>
        <v>0</v>
      </c>
      <c r="BA949" s="222">
        <f t="shared" si="798"/>
        <v>0</v>
      </c>
      <c r="BB949" s="767">
        <f t="shared" ref="BB949" si="817">BB209</f>
        <v>0</v>
      </c>
      <c r="BC949" s="221">
        <f t="shared" si="800"/>
        <v>0</v>
      </c>
      <c r="BD949" s="222">
        <f t="shared" si="800"/>
        <v>0</v>
      </c>
      <c r="BE949" s="222">
        <f t="shared" si="800"/>
        <v>0</v>
      </c>
      <c r="BF949" s="767">
        <f t="shared" ref="BF949" si="818">BF209</f>
        <v>0</v>
      </c>
      <c r="BG949" s="221">
        <f t="shared" si="802"/>
        <v>0</v>
      </c>
      <c r="BH949" s="222">
        <f t="shared" si="802"/>
        <v>0</v>
      </c>
      <c r="BI949" s="222">
        <f t="shared" si="802"/>
        <v>0</v>
      </c>
      <c r="BJ949" s="767">
        <f t="shared" ref="BJ949" si="819">BJ209</f>
        <v>0</v>
      </c>
      <c r="BK949" s="221">
        <f t="shared" si="804"/>
        <v>0</v>
      </c>
      <c r="BL949" s="222">
        <f t="shared" si="804"/>
        <v>0</v>
      </c>
      <c r="BM949" s="222">
        <f t="shared" si="804"/>
        <v>0</v>
      </c>
      <c r="BN949" s="767">
        <f t="shared" ref="BN949" si="820">BN209</f>
        <v>0</v>
      </c>
      <c r="BO949" s="221">
        <f t="shared" si="806"/>
        <v>0</v>
      </c>
      <c r="BP949" s="222">
        <f t="shared" si="806"/>
        <v>0</v>
      </c>
      <c r="BQ949" s="222">
        <f t="shared" si="806"/>
        <v>0</v>
      </c>
      <c r="BR949" s="767">
        <f t="shared" si="806"/>
        <v>0</v>
      </c>
      <c r="BS949" s="221">
        <f t="shared" si="806"/>
        <v>0</v>
      </c>
      <c r="BT949" s="222">
        <f t="shared" si="806"/>
        <v>0</v>
      </c>
      <c r="BU949" s="222">
        <f t="shared" si="806"/>
        <v>0</v>
      </c>
      <c r="BV949" s="223">
        <f t="shared" si="806"/>
        <v>0</v>
      </c>
      <c r="BW949" s="229"/>
      <c r="BX949" s="215"/>
      <c r="BY949" s="125">
        <f t="shared" si="789"/>
        <v>0</v>
      </c>
      <c r="BZ949" s="126">
        <f t="shared" si="790"/>
        <v>100.36</v>
      </c>
      <c r="CA949" s="126">
        <f t="shared" si="791"/>
        <v>0</v>
      </c>
      <c r="CB949" s="127">
        <f t="shared" si="791"/>
        <v>0</v>
      </c>
      <c r="CC949" s="768"/>
    </row>
    <row r="950" spans="1:81" s="230" customFormat="1" ht="15.75" customHeight="1" outlineLevel="5" x14ac:dyDescent="0.25">
      <c r="A950" s="216"/>
      <c r="B950" s="215"/>
      <c r="C950" s="216"/>
      <c r="D950" s="216"/>
      <c r="E950" s="216"/>
      <c r="F950" s="216"/>
      <c r="G950" s="216"/>
      <c r="H950" s="216"/>
      <c r="I950" s="216"/>
      <c r="J950" s="215"/>
      <c r="K950" s="217"/>
      <c r="L950" s="216"/>
      <c r="M950" s="215"/>
      <c r="N950" s="215"/>
      <c r="O950" s="215"/>
      <c r="P950" s="215"/>
      <c r="Q950" s="215"/>
      <c r="R950" s="215"/>
      <c r="S950" s="215"/>
      <c r="T950" s="215"/>
      <c r="U950" s="215"/>
      <c r="V950" s="215"/>
      <c r="W950" s="215"/>
      <c r="X950" s="215"/>
      <c r="Y950" s="215"/>
      <c r="Z950" s="215"/>
      <c r="AA950" s="215"/>
      <c r="AB950" s="247"/>
      <c r="AC950" s="219" t="s">
        <v>248</v>
      </c>
      <c r="AD950" s="220" t="s">
        <v>247</v>
      </c>
      <c r="AE950" s="221">
        <f t="shared" ref="AE950:AK950" si="821">AE210+AE589</f>
        <v>0</v>
      </c>
      <c r="AF950" s="222">
        <f t="shared" si="821"/>
        <v>0</v>
      </c>
      <c r="AG950" s="222">
        <f t="shared" si="821"/>
        <v>0</v>
      </c>
      <c r="AH950" s="767">
        <f t="shared" si="821"/>
        <v>0</v>
      </c>
      <c r="AI950" s="221">
        <f t="shared" si="821"/>
        <v>16.52</v>
      </c>
      <c r="AJ950" s="222">
        <f t="shared" si="821"/>
        <v>0</v>
      </c>
      <c r="AK950" s="222">
        <f t="shared" si="821"/>
        <v>17.18</v>
      </c>
      <c r="AL950" s="767">
        <f t="shared" ref="AL950" si="822">AL210+AL589</f>
        <v>0</v>
      </c>
      <c r="AM950" s="221">
        <f>AM210+AM589</f>
        <v>9.06</v>
      </c>
      <c r="AN950" s="222">
        <f>AN210+AN589</f>
        <v>29.4</v>
      </c>
      <c r="AO950" s="222">
        <f>AO210+AO589</f>
        <v>9.9700000000000006</v>
      </c>
      <c r="AP950" s="767">
        <f>AP210+AP589</f>
        <v>0</v>
      </c>
      <c r="AQ950" s="221">
        <f t="shared" ref="AQ950:AW950" si="823">AQ210+AQ589</f>
        <v>16.3</v>
      </c>
      <c r="AR950" s="222">
        <f t="shared" si="823"/>
        <v>21.1</v>
      </c>
      <c r="AS950" s="222">
        <f t="shared" si="823"/>
        <v>17.940000000000001</v>
      </c>
      <c r="AT950" s="767">
        <f t="shared" si="823"/>
        <v>0</v>
      </c>
      <c r="AU950" s="221">
        <f t="shared" si="823"/>
        <v>23.66</v>
      </c>
      <c r="AV950" s="222">
        <f t="shared" si="823"/>
        <v>0</v>
      </c>
      <c r="AW950" s="222">
        <f t="shared" si="823"/>
        <v>26.04</v>
      </c>
      <c r="AX950" s="767">
        <f t="shared" ref="AX950" si="824">AX210+AX589</f>
        <v>0</v>
      </c>
      <c r="AY950" s="221">
        <f t="shared" ref="AY950:BN950" si="825">AY210+AY589</f>
        <v>0</v>
      </c>
      <c r="AZ950" s="222">
        <f t="shared" si="825"/>
        <v>0</v>
      </c>
      <c r="BA950" s="222">
        <f t="shared" si="825"/>
        <v>0</v>
      </c>
      <c r="BB950" s="767">
        <f t="shared" si="825"/>
        <v>0</v>
      </c>
      <c r="BC950" s="221">
        <f t="shared" si="825"/>
        <v>20.619</v>
      </c>
      <c r="BD950" s="222">
        <f t="shared" si="825"/>
        <v>0</v>
      </c>
      <c r="BE950" s="222">
        <f t="shared" si="825"/>
        <v>20</v>
      </c>
      <c r="BF950" s="767">
        <f t="shared" si="825"/>
        <v>0</v>
      </c>
      <c r="BG950" s="221">
        <f t="shared" si="825"/>
        <v>21.6</v>
      </c>
      <c r="BH950" s="222">
        <f t="shared" si="825"/>
        <v>0</v>
      </c>
      <c r="BI950" s="222">
        <f t="shared" si="825"/>
        <v>23.766999999999999</v>
      </c>
      <c r="BJ950" s="767">
        <f t="shared" si="825"/>
        <v>0</v>
      </c>
      <c r="BK950" s="221">
        <f t="shared" si="825"/>
        <v>71.45</v>
      </c>
      <c r="BL950" s="222">
        <f t="shared" si="825"/>
        <v>0</v>
      </c>
      <c r="BM950" s="222">
        <f t="shared" si="825"/>
        <v>21.46</v>
      </c>
      <c r="BN950" s="767">
        <f t="shared" si="825"/>
        <v>0</v>
      </c>
      <c r="BO950" s="221">
        <f t="shared" ref="BO950:BV950" si="826">BO210+BO589</f>
        <v>8.7639999999999993</v>
      </c>
      <c r="BP950" s="222">
        <f t="shared" si="826"/>
        <v>0</v>
      </c>
      <c r="BQ950" s="222">
        <f t="shared" si="826"/>
        <v>9.6349999999999998</v>
      </c>
      <c r="BR950" s="767">
        <f t="shared" si="826"/>
        <v>0</v>
      </c>
      <c r="BS950" s="221">
        <f t="shared" si="826"/>
        <v>9.06</v>
      </c>
      <c r="BT950" s="222">
        <f t="shared" si="826"/>
        <v>0</v>
      </c>
      <c r="BU950" s="222">
        <f t="shared" si="826"/>
        <v>9.9700000000000006</v>
      </c>
      <c r="BV950" s="223">
        <f t="shared" si="826"/>
        <v>0</v>
      </c>
      <c r="BW950" s="229"/>
      <c r="BX950" s="215"/>
      <c r="BY950" s="125">
        <f t="shared" si="789"/>
        <v>197.03300000000002</v>
      </c>
      <c r="BZ950" s="126">
        <f t="shared" si="790"/>
        <v>50.5</v>
      </c>
      <c r="CA950" s="126">
        <f t="shared" si="791"/>
        <v>155.96199999999999</v>
      </c>
      <c r="CB950" s="127">
        <f t="shared" si="791"/>
        <v>0</v>
      </c>
      <c r="CC950" s="768"/>
    </row>
    <row r="951" spans="1:81" s="230" customFormat="1" ht="15.75" customHeight="1" outlineLevel="5" x14ac:dyDescent="0.25">
      <c r="A951" s="216"/>
      <c r="B951" s="215"/>
      <c r="C951" s="216"/>
      <c r="D951" s="216"/>
      <c r="E951" s="216"/>
      <c r="F951" s="216"/>
      <c r="G951" s="216"/>
      <c r="H951" s="216"/>
      <c r="I951" s="216"/>
      <c r="J951" s="215"/>
      <c r="K951" s="217"/>
      <c r="L951" s="216"/>
      <c r="M951" s="215"/>
      <c r="N951" s="215"/>
      <c r="O951" s="215"/>
      <c r="P951" s="215"/>
      <c r="Q951" s="215"/>
      <c r="R951" s="215"/>
      <c r="S951" s="215"/>
      <c r="T951" s="215"/>
      <c r="U951" s="215"/>
      <c r="V951" s="215"/>
      <c r="W951" s="215"/>
      <c r="X951" s="215"/>
      <c r="Y951" s="215"/>
      <c r="Z951" s="215"/>
      <c r="AA951" s="215"/>
      <c r="AB951" s="247"/>
      <c r="AC951" s="219" t="s">
        <v>255</v>
      </c>
      <c r="AD951" s="220" t="s">
        <v>247</v>
      </c>
      <c r="AE951" s="221">
        <f t="shared" ref="AE951:AK951" si="827">AE211+AE577</f>
        <v>0</v>
      </c>
      <c r="AF951" s="222">
        <f t="shared" si="827"/>
        <v>0</v>
      </c>
      <c r="AG951" s="222">
        <f t="shared" si="827"/>
        <v>0</v>
      </c>
      <c r="AH951" s="767">
        <f t="shared" si="827"/>
        <v>0</v>
      </c>
      <c r="AI951" s="221">
        <f t="shared" si="827"/>
        <v>5.23</v>
      </c>
      <c r="AJ951" s="222">
        <f t="shared" si="827"/>
        <v>0</v>
      </c>
      <c r="AK951" s="222">
        <f t="shared" si="827"/>
        <v>5.46</v>
      </c>
      <c r="AL951" s="767">
        <f t="shared" ref="AL951" si="828">AL211+AL577</f>
        <v>0</v>
      </c>
      <c r="AM951" s="221">
        <f>AM211+AM577</f>
        <v>123.65</v>
      </c>
      <c r="AN951" s="222">
        <f>AN211+AN577</f>
        <v>80</v>
      </c>
      <c r="AO951" s="222">
        <f>AO211+AO577</f>
        <v>136.05000000000001</v>
      </c>
      <c r="AP951" s="767">
        <f>AP211+AP577</f>
        <v>0</v>
      </c>
      <c r="AQ951" s="221">
        <f t="shared" ref="AQ951:AW951" si="829">AQ211+AQ577</f>
        <v>39.880000000000003</v>
      </c>
      <c r="AR951" s="222">
        <f t="shared" si="829"/>
        <v>36.93</v>
      </c>
      <c r="AS951" s="222">
        <f t="shared" si="829"/>
        <v>43.89</v>
      </c>
      <c r="AT951" s="767">
        <f t="shared" si="829"/>
        <v>0</v>
      </c>
      <c r="AU951" s="221">
        <f t="shared" si="829"/>
        <v>0</v>
      </c>
      <c r="AV951" s="222">
        <f t="shared" si="829"/>
        <v>0</v>
      </c>
      <c r="AW951" s="222">
        <f t="shared" si="829"/>
        <v>0</v>
      </c>
      <c r="AX951" s="767">
        <f t="shared" ref="AX951" si="830">AX211+AX577</f>
        <v>0</v>
      </c>
      <c r="AY951" s="221">
        <f t="shared" ref="AY951:BN951" si="831">AY211+AY577</f>
        <v>279.73</v>
      </c>
      <c r="AZ951" s="222">
        <f t="shared" si="831"/>
        <v>0</v>
      </c>
      <c r="BA951" s="222">
        <f t="shared" si="831"/>
        <v>347.45</v>
      </c>
      <c r="BB951" s="767">
        <f t="shared" si="831"/>
        <v>0</v>
      </c>
      <c r="BC951" s="221">
        <f t="shared" si="831"/>
        <v>657.274</v>
      </c>
      <c r="BD951" s="222">
        <f t="shared" si="831"/>
        <v>0</v>
      </c>
      <c r="BE951" s="222">
        <f t="shared" si="831"/>
        <v>723.21</v>
      </c>
      <c r="BF951" s="767">
        <f t="shared" si="831"/>
        <v>0</v>
      </c>
      <c r="BG951" s="221">
        <f t="shared" si="831"/>
        <v>605.59699999999998</v>
      </c>
      <c r="BH951" s="222">
        <f t="shared" si="831"/>
        <v>0</v>
      </c>
      <c r="BI951" s="222">
        <f t="shared" si="831"/>
        <v>666.351</v>
      </c>
      <c r="BJ951" s="767">
        <f t="shared" si="831"/>
        <v>0</v>
      </c>
      <c r="BK951" s="221">
        <f t="shared" si="831"/>
        <v>7439.62</v>
      </c>
      <c r="BL951" s="222">
        <f t="shared" si="831"/>
        <v>0</v>
      </c>
      <c r="BM951" s="222">
        <f t="shared" si="831"/>
        <v>8560.7800000000007</v>
      </c>
      <c r="BN951" s="767">
        <f t="shared" si="831"/>
        <v>0</v>
      </c>
      <c r="BO951" s="221">
        <f t="shared" ref="BO951:BV951" si="832">BO211+BO577</f>
        <v>0</v>
      </c>
      <c r="BP951" s="222">
        <f t="shared" si="832"/>
        <v>0</v>
      </c>
      <c r="BQ951" s="222">
        <f t="shared" si="832"/>
        <v>0</v>
      </c>
      <c r="BR951" s="767">
        <f t="shared" si="832"/>
        <v>0</v>
      </c>
      <c r="BS951" s="221">
        <f t="shared" si="832"/>
        <v>281.53999999999996</v>
      </c>
      <c r="BT951" s="222">
        <f t="shared" si="832"/>
        <v>48.63</v>
      </c>
      <c r="BU951" s="222">
        <f t="shared" si="832"/>
        <v>340.25</v>
      </c>
      <c r="BV951" s="223">
        <f t="shared" si="832"/>
        <v>0</v>
      </c>
      <c r="BW951" s="229"/>
      <c r="BX951" s="215"/>
      <c r="BY951" s="125">
        <f t="shared" si="789"/>
        <v>9432.5210000000006</v>
      </c>
      <c r="BZ951" s="126">
        <f t="shared" si="790"/>
        <v>165.56</v>
      </c>
      <c r="CA951" s="126">
        <f t="shared" si="791"/>
        <v>10823.441000000001</v>
      </c>
      <c r="CB951" s="127">
        <f t="shared" si="791"/>
        <v>0</v>
      </c>
      <c r="CC951" s="768"/>
    </row>
    <row r="952" spans="1:81" s="230" customFormat="1" ht="15.75" customHeight="1" outlineLevel="5" x14ac:dyDescent="0.25">
      <c r="A952" s="216"/>
      <c r="B952" s="215"/>
      <c r="C952" s="216"/>
      <c r="D952" s="216"/>
      <c r="E952" s="216"/>
      <c r="F952" s="216"/>
      <c r="G952" s="216"/>
      <c r="H952" s="216"/>
      <c r="I952" s="216"/>
      <c r="J952" s="215"/>
      <c r="K952" s="217"/>
      <c r="L952" s="216"/>
      <c r="M952" s="215"/>
      <c r="N952" s="215"/>
      <c r="O952" s="215"/>
      <c r="P952" s="215"/>
      <c r="Q952" s="215"/>
      <c r="R952" s="215"/>
      <c r="S952" s="215"/>
      <c r="T952" s="215"/>
      <c r="U952" s="215"/>
      <c r="V952" s="215"/>
      <c r="W952" s="215"/>
      <c r="X952" s="215"/>
      <c r="Y952" s="215"/>
      <c r="Z952" s="215"/>
      <c r="AA952" s="215"/>
      <c r="AB952" s="247"/>
      <c r="AC952" s="219" t="s">
        <v>253</v>
      </c>
      <c r="AD952" s="220" t="s">
        <v>247</v>
      </c>
      <c r="AE952" s="221">
        <f t="shared" ref="AE952:AK952" si="833">AE212+AE574</f>
        <v>0</v>
      </c>
      <c r="AF952" s="222">
        <f t="shared" si="833"/>
        <v>0</v>
      </c>
      <c r="AG952" s="222">
        <f t="shared" si="833"/>
        <v>0</v>
      </c>
      <c r="AH952" s="767">
        <f t="shared" si="833"/>
        <v>0</v>
      </c>
      <c r="AI952" s="221">
        <f t="shared" si="833"/>
        <v>0</v>
      </c>
      <c r="AJ952" s="222">
        <f t="shared" si="833"/>
        <v>0</v>
      </c>
      <c r="AK952" s="222">
        <f t="shared" si="833"/>
        <v>0</v>
      </c>
      <c r="AL952" s="767">
        <f t="shared" ref="AL952" si="834">AL212+AL574</f>
        <v>0</v>
      </c>
      <c r="AM952" s="221">
        <f>AM212+AM574</f>
        <v>36.770000000000003</v>
      </c>
      <c r="AN952" s="222">
        <f>AN212+AN574</f>
        <v>0</v>
      </c>
      <c r="AO952" s="222">
        <f>AO212+AO574</f>
        <v>40.46</v>
      </c>
      <c r="AP952" s="767">
        <f>AP212+AP574</f>
        <v>0</v>
      </c>
      <c r="AQ952" s="221">
        <f t="shared" ref="AQ952:AW952" si="835">AQ212+AQ574</f>
        <v>261.67</v>
      </c>
      <c r="AR952" s="222">
        <f t="shared" si="835"/>
        <v>0</v>
      </c>
      <c r="AS952" s="222">
        <f t="shared" si="835"/>
        <v>287.90999999999997</v>
      </c>
      <c r="AT952" s="767">
        <f t="shared" si="835"/>
        <v>0</v>
      </c>
      <c r="AU952" s="221">
        <f t="shared" si="835"/>
        <v>86.99</v>
      </c>
      <c r="AV952" s="222">
        <f t="shared" si="835"/>
        <v>0</v>
      </c>
      <c r="AW952" s="222">
        <f t="shared" si="835"/>
        <v>95.710000000000008</v>
      </c>
      <c r="AX952" s="767">
        <f t="shared" ref="AX952" si="836">AX212+AX574</f>
        <v>0</v>
      </c>
      <c r="AY952" s="221">
        <f t="shared" ref="AY952:BN952" si="837">AY212+AY574</f>
        <v>74.61</v>
      </c>
      <c r="AZ952" s="222">
        <f t="shared" si="837"/>
        <v>0</v>
      </c>
      <c r="BA952" s="222">
        <f t="shared" si="837"/>
        <v>82.09</v>
      </c>
      <c r="BB952" s="767">
        <f t="shared" si="837"/>
        <v>0</v>
      </c>
      <c r="BC952" s="221">
        <f t="shared" si="837"/>
        <v>201.15100000000001</v>
      </c>
      <c r="BD952" s="222">
        <f t="shared" si="837"/>
        <v>0</v>
      </c>
      <c r="BE952" s="222">
        <f t="shared" si="837"/>
        <v>200.232</v>
      </c>
      <c r="BF952" s="767">
        <f t="shared" si="837"/>
        <v>0</v>
      </c>
      <c r="BG952" s="221">
        <f t="shared" si="837"/>
        <v>1873.5070000000001</v>
      </c>
      <c r="BH952" s="222">
        <f t="shared" si="837"/>
        <v>0</v>
      </c>
      <c r="BI952" s="222">
        <f t="shared" si="837"/>
        <v>910.98099999999999</v>
      </c>
      <c r="BJ952" s="767">
        <f t="shared" si="837"/>
        <v>0</v>
      </c>
      <c r="BK952" s="221">
        <f t="shared" si="837"/>
        <v>806.75</v>
      </c>
      <c r="BL952" s="222">
        <f t="shared" si="837"/>
        <v>0</v>
      </c>
      <c r="BM952" s="222">
        <f t="shared" si="837"/>
        <v>213.57</v>
      </c>
      <c r="BN952" s="767">
        <f t="shared" si="837"/>
        <v>0</v>
      </c>
      <c r="BO952" s="221">
        <f t="shared" ref="BO952:BV952" si="838">BO212+BO574</f>
        <v>0</v>
      </c>
      <c r="BP952" s="222">
        <f t="shared" si="838"/>
        <v>0</v>
      </c>
      <c r="BQ952" s="222">
        <f t="shared" si="838"/>
        <v>0</v>
      </c>
      <c r="BR952" s="767">
        <f t="shared" si="838"/>
        <v>0</v>
      </c>
      <c r="BS952" s="221">
        <f t="shared" si="838"/>
        <v>0</v>
      </c>
      <c r="BT952" s="222">
        <f t="shared" si="838"/>
        <v>0</v>
      </c>
      <c r="BU952" s="222">
        <f t="shared" si="838"/>
        <v>0</v>
      </c>
      <c r="BV952" s="223">
        <f t="shared" si="838"/>
        <v>0</v>
      </c>
      <c r="BW952" s="229"/>
      <c r="BX952" s="215"/>
      <c r="BY952" s="125">
        <f t="shared" si="789"/>
        <v>3341.4480000000003</v>
      </c>
      <c r="BZ952" s="126">
        <f t="shared" si="790"/>
        <v>0</v>
      </c>
      <c r="CA952" s="126">
        <f t="shared" si="791"/>
        <v>1830.9529999999997</v>
      </c>
      <c r="CB952" s="127">
        <f t="shared" si="791"/>
        <v>0</v>
      </c>
      <c r="CC952" s="768"/>
    </row>
    <row r="953" spans="1:81" s="230" customFormat="1" ht="28.15" customHeight="1" outlineLevel="5" x14ac:dyDescent="0.25">
      <c r="A953" s="216"/>
      <c r="B953" s="215"/>
      <c r="C953" s="216"/>
      <c r="D953" s="216"/>
      <c r="E953" s="216"/>
      <c r="F953" s="216"/>
      <c r="G953" s="216"/>
      <c r="H953" s="216"/>
      <c r="I953" s="216"/>
      <c r="J953" s="215"/>
      <c r="K953" s="217"/>
      <c r="L953" s="216"/>
      <c r="M953" s="215"/>
      <c r="N953" s="215"/>
      <c r="O953" s="215"/>
      <c r="P953" s="215"/>
      <c r="Q953" s="215"/>
      <c r="R953" s="215"/>
      <c r="S953" s="215"/>
      <c r="T953" s="215"/>
      <c r="U953" s="215"/>
      <c r="V953" s="215"/>
      <c r="W953" s="215"/>
      <c r="X953" s="215"/>
      <c r="Y953" s="215"/>
      <c r="Z953" s="215"/>
      <c r="AA953" s="215"/>
      <c r="AB953" s="247"/>
      <c r="AC953" s="219" t="s">
        <v>283</v>
      </c>
      <c r="AD953" s="220" t="s">
        <v>247</v>
      </c>
      <c r="AE953" s="221">
        <f t="shared" ref="AE953:AK954" si="839">AE213</f>
        <v>0</v>
      </c>
      <c r="AF953" s="222">
        <f t="shared" si="839"/>
        <v>0</v>
      </c>
      <c r="AG953" s="222">
        <f t="shared" si="839"/>
        <v>0</v>
      </c>
      <c r="AH953" s="767">
        <f t="shared" si="839"/>
        <v>0</v>
      </c>
      <c r="AI953" s="221">
        <f t="shared" si="839"/>
        <v>0</v>
      </c>
      <c r="AJ953" s="222">
        <f t="shared" si="839"/>
        <v>0</v>
      </c>
      <c r="AK953" s="222">
        <f t="shared" si="839"/>
        <v>0</v>
      </c>
      <c r="AL953" s="767">
        <f t="shared" ref="AL953" si="840">AL213</f>
        <v>0</v>
      </c>
      <c r="AM953" s="221">
        <f t="shared" ref="AM953:AO954" si="841">AM213</f>
        <v>0</v>
      </c>
      <c r="AN953" s="222">
        <f t="shared" si="841"/>
        <v>22.57</v>
      </c>
      <c r="AO953" s="222">
        <f t="shared" si="841"/>
        <v>0</v>
      </c>
      <c r="AP953" s="767">
        <f t="shared" ref="AP953" si="842">AP213</f>
        <v>0</v>
      </c>
      <c r="AQ953" s="221">
        <f t="shared" ref="AQ953:AW954" si="843">AQ213</f>
        <v>0</v>
      </c>
      <c r="AR953" s="222">
        <f t="shared" si="843"/>
        <v>0</v>
      </c>
      <c r="AS953" s="222">
        <f t="shared" si="843"/>
        <v>0</v>
      </c>
      <c r="AT953" s="767">
        <f t="shared" si="843"/>
        <v>0</v>
      </c>
      <c r="AU953" s="221">
        <f t="shared" si="843"/>
        <v>0</v>
      </c>
      <c r="AV953" s="222">
        <f t="shared" si="843"/>
        <v>0</v>
      </c>
      <c r="AW953" s="222">
        <f t="shared" si="843"/>
        <v>0</v>
      </c>
      <c r="AX953" s="767">
        <f t="shared" ref="AX953" si="844">AX213</f>
        <v>0</v>
      </c>
      <c r="AY953" s="221">
        <f t="shared" ref="AY953:BA954" si="845">AY213</f>
        <v>0</v>
      </c>
      <c r="AZ953" s="222">
        <f t="shared" si="845"/>
        <v>0</v>
      </c>
      <c r="BA953" s="222">
        <f t="shared" si="845"/>
        <v>0</v>
      </c>
      <c r="BB953" s="767">
        <f t="shared" ref="BB953" si="846">BB213</f>
        <v>0</v>
      </c>
      <c r="BC953" s="221">
        <f t="shared" ref="BC953:BE954" si="847">BC213</f>
        <v>0</v>
      </c>
      <c r="BD953" s="222">
        <f t="shared" si="847"/>
        <v>0</v>
      </c>
      <c r="BE953" s="222">
        <f t="shared" si="847"/>
        <v>0</v>
      </c>
      <c r="BF953" s="767">
        <f t="shared" ref="BF953" si="848">BF213</f>
        <v>0</v>
      </c>
      <c r="BG953" s="221">
        <f t="shared" ref="BG953:BI954" si="849">BG213</f>
        <v>0</v>
      </c>
      <c r="BH953" s="222">
        <f t="shared" si="849"/>
        <v>0</v>
      </c>
      <c r="BI953" s="222">
        <f t="shared" si="849"/>
        <v>0</v>
      </c>
      <c r="BJ953" s="767">
        <f t="shared" ref="BJ953" si="850">BJ213</f>
        <v>0</v>
      </c>
      <c r="BK953" s="221">
        <f t="shared" ref="BK953:BM954" si="851">BK213</f>
        <v>0</v>
      </c>
      <c r="BL953" s="222">
        <f t="shared" si="851"/>
        <v>0</v>
      </c>
      <c r="BM953" s="222">
        <f t="shared" si="851"/>
        <v>0</v>
      </c>
      <c r="BN953" s="767">
        <f t="shared" ref="BN953" si="852">BN213</f>
        <v>0</v>
      </c>
      <c r="BO953" s="221">
        <f t="shared" ref="BO953:BV954" si="853">BO213</f>
        <v>0</v>
      </c>
      <c r="BP953" s="222">
        <f t="shared" si="853"/>
        <v>0</v>
      </c>
      <c r="BQ953" s="222">
        <f t="shared" si="853"/>
        <v>0</v>
      </c>
      <c r="BR953" s="767">
        <f t="shared" si="853"/>
        <v>0</v>
      </c>
      <c r="BS953" s="221">
        <f t="shared" si="853"/>
        <v>0</v>
      </c>
      <c r="BT953" s="222">
        <f t="shared" si="853"/>
        <v>0</v>
      </c>
      <c r="BU953" s="222">
        <f t="shared" si="853"/>
        <v>0</v>
      </c>
      <c r="BV953" s="223">
        <f t="shared" si="853"/>
        <v>0</v>
      </c>
      <c r="BW953" s="229"/>
      <c r="BX953" s="215"/>
      <c r="BY953" s="125">
        <f t="shared" si="789"/>
        <v>0</v>
      </c>
      <c r="BZ953" s="126">
        <f t="shared" si="790"/>
        <v>22.57</v>
      </c>
      <c r="CA953" s="126">
        <f t="shared" si="791"/>
        <v>0</v>
      </c>
      <c r="CB953" s="127">
        <f t="shared" si="791"/>
        <v>0</v>
      </c>
      <c r="CC953" s="768"/>
    </row>
    <row r="954" spans="1:81" s="230" customFormat="1" ht="14.85" customHeight="1" outlineLevel="5" x14ac:dyDescent="0.25">
      <c r="A954" s="216"/>
      <c r="B954" s="215"/>
      <c r="C954" s="216"/>
      <c r="D954" s="216"/>
      <c r="E954" s="216"/>
      <c r="F954" s="216"/>
      <c r="G954" s="216"/>
      <c r="H954" s="216"/>
      <c r="I954" s="216"/>
      <c r="J954" s="215"/>
      <c r="K954" s="217"/>
      <c r="L954" s="216"/>
      <c r="M954" s="215"/>
      <c r="N954" s="215"/>
      <c r="O954" s="215"/>
      <c r="P954" s="215"/>
      <c r="Q954" s="215"/>
      <c r="R954" s="215"/>
      <c r="S954" s="215"/>
      <c r="T954" s="215"/>
      <c r="U954" s="215"/>
      <c r="V954" s="215"/>
      <c r="W954" s="215"/>
      <c r="X954" s="215"/>
      <c r="Y954" s="215"/>
      <c r="Z954" s="215"/>
      <c r="AA954" s="215"/>
      <c r="AB954" s="247"/>
      <c r="AC954" s="219" t="s">
        <v>284</v>
      </c>
      <c r="AD954" s="220" t="s">
        <v>247</v>
      </c>
      <c r="AE954" s="221">
        <f t="shared" si="839"/>
        <v>0</v>
      </c>
      <c r="AF954" s="222">
        <f t="shared" si="839"/>
        <v>0</v>
      </c>
      <c r="AG954" s="222">
        <f t="shared" si="839"/>
        <v>0</v>
      </c>
      <c r="AH954" s="767">
        <f t="shared" si="839"/>
        <v>0</v>
      </c>
      <c r="AI954" s="221">
        <f t="shared" si="839"/>
        <v>0</v>
      </c>
      <c r="AJ954" s="222">
        <f t="shared" si="839"/>
        <v>0</v>
      </c>
      <c r="AK954" s="222">
        <f t="shared" si="839"/>
        <v>0</v>
      </c>
      <c r="AL954" s="767">
        <f t="shared" ref="AL954" si="854">AL214</f>
        <v>0</v>
      </c>
      <c r="AM954" s="221">
        <f t="shared" si="841"/>
        <v>17.63</v>
      </c>
      <c r="AN954" s="222">
        <f t="shared" si="841"/>
        <v>42.05</v>
      </c>
      <c r="AO954" s="222">
        <f t="shared" si="841"/>
        <v>21.06</v>
      </c>
      <c r="AP954" s="767">
        <f t="shared" ref="AP954" si="855">AP214</f>
        <v>0</v>
      </c>
      <c r="AQ954" s="221">
        <f t="shared" si="843"/>
        <v>21.98</v>
      </c>
      <c r="AR954" s="222">
        <f t="shared" si="843"/>
        <v>0</v>
      </c>
      <c r="AS954" s="222">
        <f t="shared" si="843"/>
        <v>24.19</v>
      </c>
      <c r="AT954" s="767">
        <f t="shared" si="843"/>
        <v>0</v>
      </c>
      <c r="AU954" s="221">
        <f t="shared" si="843"/>
        <v>0</v>
      </c>
      <c r="AV954" s="222">
        <f t="shared" si="843"/>
        <v>0</v>
      </c>
      <c r="AW954" s="222">
        <f t="shared" si="843"/>
        <v>0</v>
      </c>
      <c r="AX954" s="767">
        <f t="shared" ref="AX954" si="856">AX214</f>
        <v>0</v>
      </c>
      <c r="AY954" s="221">
        <f t="shared" si="845"/>
        <v>20.84</v>
      </c>
      <c r="AZ954" s="222">
        <f t="shared" si="845"/>
        <v>0</v>
      </c>
      <c r="BA954" s="222">
        <f t="shared" si="845"/>
        <v>30.84</v>
      </c>
      <c r="BB954" s="767">
        <f t="shared" ref="BB954" si="857">BB214</f>
        <v>0</v>
      </c>
      <c r="BC954" s="221">
        <f t="shared" si="847"/>
        <v>0</v>
      </c>
      <c r="BD954" s="222">
        <f t="shared" si="847"/>
        <v>0</v>
      </c>
      <c r="BE954" s="222">
        <f t="shared" si="847"/>
        <v>0</v>
      </c>
      <c r="BF954" s="767">
        <f t="shared" ref="BF954" si="858">BF214</f>
        <v>0</v>
      </c>
      <c r="BG954" s="221">
        <f t="shared" si="849"/>
        <v>0</v>
      </c>
      <c r="BH954" s="222">
        <f t="shared" si="849"/>
        <v>0</v>
      </c>
      <c r="BI954" s="222">
        <f t="shared" si="849"/>
        <v>0</v>
      </c>
      <c r="BJ954" s="767">
        <f t="shared" ref="BJ954" si="859">BJ214</f>
        <v>0</v>
      </c>
      <c r="BK954" s="221">
        <f t="shared" si="851"/>
        <v>0</v>
      </c>
      <c r="BL954" s="222">
        <f t="shared" si="851"/>
        <v>0</v>
      </c>
      <c r="BM954" s="222">
        <f t="shared" si="851"/>
        <v>52.38</v>
      </c>
      <c r="BN954" s="767">
        <f t="shared" ref="BN954" si="860">BN214</f>
        <v>0</v>
      </c>
      <c r="BO954" s="221">
        <f t="shared" si="853"/>
        <v>23.655000000000001</v>
      </c>
      <c r="BP954" s="222">
        <f t="shared" si="853"/>
        <v>0</v>
      </c>
      <c r="BQ954" s="222">
        <f t="shared" si="853"/>
        <v>0</v>
      </c>
      <c r="BR954" s="767">
        <f t="shared" si="853"/>
        <v>0</v>
      </c>
      <c r="BS954" s="221">
        <f t="shared" si="853"/>
        <v>38.770000000000003</v>
      </c>
      <c r="BT954" s="222">
        <f t="shared" si="853"/>
        <v>0</v>
      </c>
      <c r="BU954" s="222">
        <f t="shared" si="853"/>
        <v>0</v>
      </c>
      <c r="BV954" s="223">
        <f t="shared" si="853"/>
        <v>0</v>
      </c>
      <c r="BW954" s="229"/>
      <c r="BX954" s="215"/>
      <c r="BY954" s="125">
        <f t="shared" si="789"/>
        <v>122.875</v>
      </c>
      <c r="BZ954" s="126">
        <f t="shared" si="790"/>
        <v>42.05</v>
      </c>
      <c r="CA954" s="126">
        <f t="shared" si="791"/>
        <v>128.47</v>
      </c>
      <c r="CB954" s="127">
        <f t="shared" si="791"/>
        <v>0</v>
      </c>
      <c r="CC954" s="768"/>
    </row>
    <row r="955" spans="1:81" s="230" customFormat="1" ht="14.85" customHeight="1" outlineLevel="5" x14ac:dyDescent="0.25">
      <c r="A955" s="216"/>
      <c r="B955" s="215"/>
      <c r="C955" s="216"/>
      <c r="D955" s="216"/>
      <c r="E955" s="216"/>
      <c r="F955" s="216"/>
      <c r="G955" s="216"/>
      <c r="H955" s="216"/>
      <c r="I955" s="216"/>
      <c r="J955" s="215"/>
      <c r="K955" s="217"/>
      <c r="L955" s="216"/>
      <c r="M955" s="215"/>
      <c r="N955" s="215"/>
      <c r="O955" s="215"/>
      <c r="P955" s="215"/>
      <c r="Q955" s="215"/>
      <c r="R955" s="215"/>
      <c r="S955" s="215"/>
      <c r="T955" s="215"/>
      <c r="U955" s="215"/>
      <c r="V955" s="215"/>
      <c r="W955" s="215"/>
      <c r="X955" s="215"/>
      <c r="Y955" s="215"/>
      <c r="Z955" s="215"/>
      <c r="AA955" s="215"/>
      <c r="AB955" s="247"/>
      <c r="AC955" s="219" t="s">
        <v>285</v>
      </c>
      <c r="AD955" s="220" t="s">
        <v>247</v>
      </c>
      <c r="AE955" s="221">
        <f t="shared" ref="AE955:AK955" si="861">AE215+AE590</f>
        <v>0</v>
      </c>
      <c r="AF955" s="222">
        <f t="shared" si="861"/>
        <v>0</v>
      </c>
      <c r="AG955" s="222">
        <f t="shared" si="861"/>
        <v>0</v>
      </c>
      <c r="AH955" s="767">
        <f t="shared" si="861"/>
        <v>0</v>
      </c>
      <c r="AI955" s="221">
        <f t="shared" si="861"/>
        <v>49.51</v>
      </c>
      <c r="AJ955" s="222">
        <f t="shared" si="861"/>
        <v>664.31</v>
      </c>
      <c r="AK955" s="222">
        <f t="shared" si="861"/>
        <v>51.49</v>
      </c>
      <c r="AL955" s="767">
        <f t="shared" ref="AL955" si="862">AL215+AL590</f>
        <v>0</v>
      </c>
      <c r="AM955" s="221">
        <f>AM215+AM590</f>
        <v>0</v>
      </c>
      <c r="AN955" s="222">
        <f>AN215+AN590</f>
        <v>0</v>
      </c>
      <c r="AO955" s="222">
        <f>AO215+AO590</f>
        <v>0</v>
      </c>
      <c r="AP955" s="767">
        <f>AP215+AP590</f>
        <v>0</v>
      </c>
      <c r="AQ955" s="221">
        <f t="shared" ref="AQ955:AW955" si="863">AQ215+AQ590</f>
        <v>0</v>
      </c>
      <c r="AR955" s="222">
        <f t="shared" si="863"/>
        <v>0</v>
      </c>
      <c r="AS955" s="222">
        <f t="shared" si="863"/>
        <v>0</v>
      </c>
      <c r="AT955" s="767">
        <f t="shared" si="863"/>
        <v>0</v>
      </c>
      <c r="AU955" s="221">
        <f t="shared" si="863"/>
        <v>0</v>
      </c>
      <c r="AV955" s="222">
        <f t="shared" si="863"/>
        <v>0</v>
      </c>
      <c r="AW955" s="222">
        <f t="shared" si="863"/>
        <v>0</v>
      </c>
      <c r="AX955" s="767">
        <f t="shared" ref="AX955" si="864">AX215+AX590</f>
        <v>0</v>
      </c>
      <c r="AY955" s="221">
        <f t="shared" ref="AY955:BF955" si="865">AY215+AY590</f>
        <v>0</v>
      </c>
      <c r="AZ955" s="222">
        <f t="shared" si="865"/>
        <v>0</v>
      </c>
      <c r="BA955" s="222">
        <f t="shared" si="865"/>
        <v>0</v>
      </c>
      <c r="BB955" s="767">
        <f t="shared" si="865"/>
        <v>0</v>
      </c>
      <c r="BC955" s="221">
        <f t="shared" si="865"/>
        <v>0</v>
      </c>
      <c r="BD955" s="222">
        <f t="shared" si="865"/>
        <v>0</v>
      </c>
      <c r="BE955" s="222">
        <f t="shared" si="865"/>
        <v>0</v>
      </c>
      <c r="BF955" s="767">
        <f t="shared" si="865"/>
        <v>0</v>
      </c>
      <c r="BG955" s="221">
        <f t="shared" ref="BG955:BM955" si="866">BG215+BG590</f>
        <v>0</v>
      </c>
      <c r="BH955" s="222">
        <f t="shared" si="866"/>
        <v>193.66</v>
      </c>
      <c r="BI955" s="222">
        <f t="shared" si="866"/>
        <v>100.9</v>
      </c>
      <c r="BJ955" s="767">
        <f t="shared" ref="BJ955" si="867">BJ215+BJ590</f>
        <v>201.49935680000002</v>
      </c>
      <c r="BK955" s="221">
        <f t="shared" si="866"/>
        <v>0</v>
      </c>
      <c r="BL955" s="222">
        <f t="shared" si="866"/>
        <v>0</v>
      </c>
      <c r="BM955" s="222">
        <f t="shared" si="866"/>
        <v>0</v>
      </c>
      <c r="BN955" s="767">
        <f t="shared" ref="BN955" si="868">BN215+BN590</f>
        <v>0</v>
      </c>
      <c r="BO955" s="221">
        <f t="shared" ref="BO955:BV955" si="869">BO215+BO590</f>
        <v>0</v>
      </c>
      <c r="BP955" s="222">
        <f t="shared" si="869"/>
        <v>0</v>
      </c>
      <c r="BQ955" s="222">
        <f t="shared" si="869"/>
        <v>0</v>
      </c>
      <c r="BR955" s="767">
        <f t="shared" si="869"/>
        <v>0</v>
      </c>
      <c r="BS955" s="221">
        <f t="shared" si="869"/>
        <v>0</v>
      </c>
      <c r="BT955" s="222">
        <f t="shared" si="869"/>
        <v>0</v>
      </c>
      <c r="BU955" s="222">
        <f t="shared" si="869"/>
        <v>0</v>
      </c>
      <c r="BV955" s="223">
        <f t="shared" si="869"/>
        <v>0</v>
      </c>
      <c r="BW955" s="229"/>
      <c r="BX955" s="215"/>
      <c r="BY955" s="125">
        <f t="shared" si="789"/>
        <v>49.51</v>
      </c>
      <c r="BZ955" s="126">
        <f t="shared" si="790"/>
        <v>857.96999999999991</v>
      </c>
      <c r="CA955" s="126">
        <f t="shared" si="791"/>
        <v>152.39000000000001</v>
      </c>
      <c r="CB955" s="127">
        <f t="shared" si="791"/>
        <v>201.49935680000002</v>
      </c>
      <c r="CC955" s="768"/>
    </row>
    <row r="956" spans="1:81" s="230" customFormat="1" ht="14.85" customHeight="1" outlineLevel="5" x14ac:dyDescent="0.25">
      <c r="A956" s="216"/>
      <c r="B956" s="215"/>
      <c r="C956" s="216"/>
      <c r="D956" s="216"/>
      <c r="E956" s="216"/>
      <c r="F956" s="216"/>
      <c r="G956" s="216"/>
      <c r="H956" s="216"/>
      <c r="I956" s="216"/>
      <c r="J956" s="215"/>
      <c r="K956" s="217"/>
      <c r="L956" s="216"/>
      <c r="M956" s="215"/>
      <c r="N956" s="215"/>
      <c r="O956" s="215"/>
      <c r="P956" s="215"/>
      <c r="Q956" s="215"/>
      <c r="R956" s="215"/>
      <c r="S956" s="215"/>
      <c r="T956" s="215"/>
      <c r="U956" s="215"/>
      <c r="V956" s="215"/>
      <c r="W956" s="215"/>
      <c r="X956" s="215"/>
      <c r="Y956" s="215"/>
      <c r="Z956" s="215"/>
      <c r="AA956" s="215"/>
      <c r="AB956" s="247"/>
      <c r="AC956" s="219" t="s">
        <v>724</v>
      </c>
      <c r="AD956" s="220" t="s">
        <v>247</v>
      </c>
      <c r="AE956" s="221">
        <f t="shared" ref="AE956:AK956" si="870">AE216+AE582</f>
        <v>0</v>
      </c>
      <c r="AF956" s="222">
        <f t="shared" si="870"/>
        <v>0</v>
      </c>
      <c r="AG956" s="222">
        <f t="shared" si="870"/>
        <v>0</v>
      </c>
      <c r="AH956" s="767">
        <f t="shared" si="870"/>
        <v>0</v>
      </c>
      <c r="AI956" s="221">
        <f t="shared" si="870"/>
        <v>0</v>
      </c>
      <c r="AJ956" s="222">
        <f t="shared" si="870"/>
        <v>0</v>
      </c>
      <c r="AK956" s="222">
        <f t="shared" si="870"/>
        <v>0</v>
      </c>
      <c r="AL956" s="767">
        <f t="shared" ref="AL956" si="871">AL216+AL582</f>
        <v>0</v>
      </c>
      <c r="AM956" s="221">
        <f>AM216+AM582</f>
        <v>0</v>
      </c>
      <c r="AN956" s="222">
        <f>AN216+AN582</f>
        <v>0</v>
      </c>
      <c r="AO956" s="222">
        <f>AO216+AO582</f>
        <v>0</v>
      </c>
      <c r="AP956" s="767">
        <f>AP216+AP582</f>
        <v>0</v>
      </c>
      <c r="AQ956" s="221">
        <f t="shared" ref="AQ956:AW956" si="872">AQ216+AQ582</f>
        <v>0</v>
      </c>
      <c r="AR956" s="222">
        <f t="shared" si="872"/>
        <v>0</v>
      </c>
      <c r="AS956" s="222">
        <f t="shared" si="872"/>
        <v>0</v>
      </c>
      <c r="AT956" s="767">
        <f t="shared" si="872"/>
        <v>0</v>
      </c>
      <c r="AU956" s="221">
        <f t="shared" si="872"/>
        <v>0</v>
      </c>
      <c r="AV956" s="222">
        <f t="shared" si="872"/>
        <v>0</v>
      </c>
      <c r="AW956" s="222">
        <f t="shared" si="872"/>
        <v>0</v>
      </c>
      <c r="AX956" s="767">
        <f t="shared" ref="AX956" si="873">AX216+AX582</f>
        <v>0</v>
      </c>
      <c r="AY956" s="221">
        <f t="shared" ref="AY956:BE956" si="874">AY216+AY582</f>
        <v>22.189999999999998</v>
      </c>
      <c r="AZ956" s="222">
        <f t="shared" si="874"/>
        <v>0</v>
      </c>
      <c r="BA956" s="222">
        <f t="shared" si="874"/>
        <v>24.41</v>
      </c>
      <c r="BB956" s="767">
        <f t="shared" si="874"/>
        <v>0</v>
      </c>
      <c r="BC956" s="221">
        <f t="shared" si="874"/>
        <v>132.99</v>
      </c>
      <c r="BD956" s="222">
        <f t="shared" si="874"/>
        <v>0</v>
      </c>
      <c r="BE956" s="222">
        <f t="shared" si="874"/>
        <v>146.33199999999999</v>
      </c>
      <c r="BF956" s="767">
        <f>BF582+BF216</f>
        <v>283.77999999999997</v>
      </c>
      <c r="BG956" s="221">
        <f t="shared" ref="BG956:BN956" si="875">BG216+BG582</f>
        <v>0</v>
      </c>
      <c r="BH956" s="222">
        <f t="shared" si="875"/>
        <v>0</v>
      </c>
      <c r="BI956" s="222">
        <f t="shared" si="875"/>
        <v>0</v>
      </c>
      <c r="BJ956" s="767">
        <f t="shared" si="875"/>
        <v>0</v>
      </c>
      <c r="BK956" s="221">
        <f t="shared" si="875"/>
        <v>0</v>
      </c>
      <c r="BL956" s="222">
        <f t="shared" si="875"/>
        <v>0</v>
      </c>
      <c r="BM956" s="222">
        <f t="shared" si="875"/>
        <v>0</v>
      </c>
      <c r="BN956" s="767">
        <f t="shared" si="875"/>
        <v>0</v>
      </c>
      <c r="BO956" s="221">
        <f t="shared" ref="BO956:BV956" si="876">BO216+BO582</f>
        <v>0</v>
      </c>
      <c r="BP956" s="222">
        <f t="shared" si="876"/>
        <v>0</v>
      </c>
      <c r="BQ956" s="222">
        <f t="shared" si="876"/>
        <v>0</v>
      </c>
      <c r="BR956" s="767">
        <f t="shared" si="876"/>
        <v>0</v>
      </c>
      <c r="BS956" s="221">
        <f t="shared" si="876"/>
        <v>0</v>
      </c>
      <c r="BT956" s="222">
        <f t="shared" si="876"/>
        <v>0</v>
      </c>
      <c r="BU956" s="222">
        <f t="shared" si="876"/>
        <v>0</v>
      </c>
      <c r="BV956" s="223">
        <f t="shared" si="876"/>
        <v>0</v>
      </c>
      <c r="BW956" s="229"/>
      <c r="BX956" s="215"/>
      <c r="BY956" s="125">
        <f t="shared" si="789"/>
        <v>155.18</v>
      </c>
      <c r="BZ956" s="126">
        <f t="shared" si="790"/>
        <v>0</v>
      </c>
      <c r="CA956" s="126">
        <f t="shared" si="791"/>
        <v>170.74199999999999</v>
      </c>
      <c r="CB956" s="127">
        <f t="shared" si="791"/>
        <v>283.77999999999997</v>
      </c>
      <c r="CC956" s="768"/>
    </row>
    <row r="957" spans="1:81" s="230" customFormat="1" ht="14.85" customHeight="1" outlineLevel="5" x14ac:dyDescent="0.25">
      <c r="A957" s="216"/>
      <c r="B957" s="215"/>
      <c r="C957" s="216"/>
      <c r="D957" s="216"/>
      <c r="E957" s="216"/>
      <c r="F957" s="216"/>
      <c r="G957" s="216"/>
      <c r="H957" s="216"/>
      <c r="I957" s="216"/>
      <c r="J957" s="215"/>
      <c r="K957" s="217"/>
      <c r="L957" s="216"/>
      <c r="M957" s="215"/>
      <c r="N957" s="215"/>
      <c r="O957" s="215"/>
      <c r="P957" s="215"/>
      <c r="Q957" s="215"/>
      <c r="R957" s="215"/>
      <c r="S957" s="215"/>
      <c r="T957" s="215"/>
      <c r="U957" s="215"/>
      <c r="V957" s="215"/>
      <c r="W957" s="215"/>
      <c r="X957" s="215"/>
      <c r="Y957" s="215"/>
      <c r="Z957" s="215"/>
      <c r="AA957" s="215"/>
      <c r="AB957" s="247"/>
      <c r="AC957" s="219" t="s">
        <v>287</v>
      </c>
      <c r="AD957" s="220" t="s">
        <v>247</v>
      </c>
      <c r="AE957" s="221">
        <f t="shared" ref="AE957:AK957" si="877">AE217+AE569</f>
        <v>0</v>
      </c>
      <c r="AF957" s="222">
        <f t="shared" si="877"/>
        <v>0</v>
      </c>
      <c r="AG957" s="222">
        <f t="shared" si="877"/>
        <v>0</v>
      </c>
      <c r="AH957" s="767">
        <f t="shared" si="877"/>
        <v>0</v>
      </c>
      <c r="AI957" s="221">
        <f t="shared" si="877"/>
        <v>9.6300000000000008</v>
      </c>
      <c r="AJ957" s="222">
        <f t="shared" si="877"/>
        <v>0</v>
      </c>
      <c r="AK957" s="222">
        <f t="shared" si="877"/>
        <v>0</v>
      </c>
      <c r="AL957" s="767">
        <f t="shared" ref="AL957" si="878">AL217+AL569</f>
        <v>0</v>
      </c>
      <c r="AM957" s="221">
        <f>AM217+AM569</f>
        <v>9.6300000000000008</v>
      </c>
      <c r="AN957" s="222">
        <f>AN217+AN569</f>
        <v>11.35</v>
      </c>
      <c r="AO957" s="222">
        <f>AO217+AO569</f>
        <v>10.6</v>
      </c>
      <c r="AP957" s="767">
        <f>AP217+AP569</f>
        <v>0</v>
      </c>
      <c r="AQ957" s="221">
        <f t="shared" ref="AQ957:AW957" si="879">AQ217+AQ569</f>
        <v>28.89</v>
      </c>
      <c r="AR957" s="222">
        <f t="shared" si="879"/>
        <v>0</v>
      </c>
      <c r="AS957" s="222">
        <f t="shared" si="879"/>
        <v>31.79</v>
      </c>
      <c r="AT957" s="767">
        <f t="shared" si="879"/>
        <v>0</v>
      </c>
      <c r="AU957" s="221">
        <f t="shared" si="879"/>
        <v>9.6300000000000008</v>
      </c>
      <c r="AV957" s="222">
        <f t="shared" si="879"/>
        <v>0</v>
      </c>
      <c r="AW957" s="222">
        <f t="shared" si="879"/>
        <v>10.6</v>
      </c>
      <c r="AX957" s="767">
        <f t="shared" ref="AX957" si="880">AX217+AX569</f>
        <v>0</v>
      </c>
      <c r="AY957" s="221">
        <f t="shared" ref="AY957:BN957" si="881">AY217+AY569</f>
        <v>32.58</v>
      </c>
      <c r="AZ957" s="222">
        <f t="shared" si="881"/>
        <v>0</v>
      </c>
      <c r="BA957" s="222">
        <f t="shared" si="881"/>
        <v>18.84</v>
      </c>
      <c r="BB957" s="767">
        <f t="shared" si="881"/>
        <v>0</v>
      </c>
      <c r="BC957" s="221">
        <f t="shared" si="881"/>
        <v>9.6300000000000008</v>
      </c>
      <c r="BD957" s="222">
        <f t="shared" si="881"/>
        <v>0</v>
      </c>
      <c r="BE957" s="222">
        <f t="shared" si="881"/>
        <v>10.596</v>
      </c>
      <c r="BF957" s="767">
        <f t="shared" si="881"/>
        <v>0</v>
      </c>
      <c r="BG957" s="221">
        <f t="shared" si="881"/>
        <v>19.260000000000002</v>
      </c>
      <c r="BH957" s="222">
        <f t="shared" si="881"/>
        <v>0</v>
      </c>
      <c r="BI957" s="222">
        <f t="shared" si="881"/>
        <v>21.192</v>
      </c>
      <c r="BJ957" s="767">
        <f t="shared" si="881"/>
        <v>0</v>
      </c>
      <c r="BK957" s="221">
        <f t="shared" si="881"/>
        <v>0</v>
      </c>
      <c r="BL957" s="222">
        <f t="shared" si="881"/>
        <v>0</v>
      </c>
      <c r="BM957" s="222">
        <f t="shared" si="881"/>
        <v>0</v>
      </c>
      <c r="BN957" s="767">
        <f t="shared" si="881"/>
        <v>0</v>
      </c>
      <c r="BO957" s="221">
        <f t="shared" ref="BO957:BV957" si="882">BO217+BO569</f>
        <v>0</v>
      </c>
      <c r="BP957" s="222">
        <f t="shared" si="882"/>
        <v>0</v>
      </c>
      <c r="BQ957" s="222">
        <f t="shared" si="882"/>
        <v>0</v>
      </c>
      <c r="BR957" s="767">
        <f t="shared" si="882"/>
        <v>0</v>
      </c>
      <c r="BS957" s="221">
        <f t="shared" si="882"/>
        <v>0</v>
      </c>
      <c r="BT957" s="222">
        <f t="shared" si="882"/>
        <v>0</v>
      </c>
      <c r="BU957" s="222">
        <f t="shared" si="882"/>
        <v>0</v>
      </c>
      <c r="BV957" s="223">
        <f t="shared" si="882"/>
        <v>0</v>
      </c>
      <c r="BW957" s="229"/>
      <c r="BX957" s="215"/>
      <c r="BY957" s="125">
        <f t="shared" si="789"/>
        <v>119.25000000000001</v>
      </c>
      <c r="BZ957" s="126">
        <f t="shared" si="790"/>
        <v>11.35</v>
      </c>
      <c r="CA957" s="126">
        <f t="shared" si="791"/>
        <v>103.61799999999999</v>
      </c>
      <c r="CB957" s="127">
        <f t="shared" si="791"/>
        <v>0</v>
      </c>
      <c r="CC957" s="768"/>
    </row>
    <row r="958" spans="1:81" s="230" customFormat="1" ht="14.85" customHeight="1" outlineLevel="5" x14ac:dyDescent="0.25">
      <c r="A958" s="216"/>
      <c r="B958" s="215"/>
      <c r="C958" s="216"/>
      <c r="D958" s="216"/>
      <c r="E958" s="216"/>
      <c r="F958" s="216"/>
      <c r="G958" s="216"/>
      <c r="H958" s="216"/>
      <c r="I958" s="216"/>
      <c r="J958" s="215"/>
      <c r="K958" s="217"/>
      <c r="L958" s="216"/>
      <c r="M958" s="215"/>
      <c r="N958" s="215"/>
      <c r="O958" s="215"/>
      <c r="P958" s="215"/>
      <c r="Q958" s="215"/>
      <c r="R958" s="215"/>
      <c r="S958" s="215"/>
      <c r="T958" s="215"/>
      <c r="U958" s="215"/>
      <c r="V958" s="215"/>
      <c r="W958" s="215"/>
      <c r="X958" s="215"/>
      <c r="Y958" s="215"/>
      <c r="Z958" s="215"/>
      <c r="AA958" s="215"/>
      <c r="AB958" s="247"/>
      <c r="AC958" s="219" t="s">
        <v>288</v>
      </c>
      <c r="AD958" s="220" t="s">
        <v>247</v>
      </c>
      <c r="AE958" s="221">
        <f t="shared" ref="AE958:AK958" si="883">AE218+AE576</f>
        <v>0</v>
      </c>
      <c r="AF958" s="222">
        <f t="shared" si="883"/>
        <v>0</v>
      </c>
      <c r="AG958" s="222">
        <f t="shared" si="883"/>
        <v>0</v>
      </c>
      <c r="AH958" s="767">
        <f t="shared" si="883"/>
        <v>0</v>
      </c>
      <c r="AI958" s="221">
        <f t="shared" si="883"/>
        <v>0</v>
      </c>
      <c r="AJ958" s="222">
        <f t="shared" si="883"/>
        <v>0</v>
      </c>
      <c r="AK958" s="222">
        <f t="shared" si="883"/>
        <v>0</v>
      </c>
      <c r="AL958" s="767">
        <f t="shared" ref="AL958" si="884">AL218+AL576</f>
        <v>0</v>
      </c>
      <c r="AM958" s="221">
        <f>AM218+AM576</f>
        <v>44.01</v>
      </c>
      <c r="AN958" s="222">
        <f>AN218+AN576</f>
        <v>1.9</v>
      </c>
      <c r="AO958" s="222">
        <f>AO218+AO576</f>
        <v>48.43</v>
      </c>
      <c r="AP958" s="767">
        <f>AP218+AP576</f>
        <v>0</v>
      </c>
      <c r="AQ958" s="221">
        <f t="shared" ref="AQ958:AW958" si="885">AQ218+AQ576</f>
        <v>3.28</v>
      </c>
      <c r="AR958" s="222">
        <f t="shared" si="885"/>
        <v>0</v>
      </c>
      <c r="AS958" s="222">
        <f t="shared" si="885"/>
        <v>3.6100000000000003</v>
      </c>
      <c r="AT958" s="767">
        <f t="shared" si="885"/>
        <v>0</v>
      </c>
      <c r="AU958" s="221">
        <f t="shared" si="885"/>
        <v>79.2</v>
      </c>
      <c r="AV958" s="222">
        <f t="shared" si="885"/>
        <v>0</v>
      </c>
      <c r="AW958" s="222">
        <f t="shared" si="885"/>
        <v>87.14</v>
      </c>
      <c r="AX958" s="767">
        <f t="shared" ref="AX958" si="886">AX218+AX576</f>
        <v>0</v>
      </c>
      <c r="AY958" s="221">
        <f t="shared" ref="AY958:BN958" si="887">AY218+AY576</f>
        <v>110.62</v>
      </c>
      <c r="AZ958" s="222">
        <f t="shared" si="887"/>
        <v>0</v>
      </c>
      <c r="BA958" s="222">
        <f t="shared" si="887"/>
        <v>121.72</v>
      </c>
      <c r="BB958" s="767">
        <f t="shared" si="887"/>
        <v>0</v>
      </c>
      <c r="BC958" s="221">
        <f t="shared" si="887"/>
        <v>68.125999999999991</v>
      </c>
      <c r="BD958" s="222">
        <f t="shared" si="887"/>
        <v>0</v>
      </c>
      <c r="BE958" s="222">
        <f t="shared" si="887"/>
        <v>2.9569999999999999</v>
      </c>
      <c r="BF958" s="767">
        <f t="shared" si="887"/>
        <v>0</v>
      </c>
      <c r="BG958" s="221">
        <f t="shared" si="887"/>
        <v>136.816</v>
      </c>
      <c r="BH958" s="222">
        <f t="shared" si="887"/>
        <v>0</v>
      </c>
      <c r="BI958" s="222">
        <f t="shared" si="887"/>
        <v>150.542</v>
      </c>
      <c r="BJ958" s="767">
        <f t="shared" si="887"/>
        <v>0</v>
      </c>
      <c r="BK958" s="221">
        <f t="shared" si="887"/>
        <v>10.28</v>
      </c>
      <c r="BL958" s="222">
        <f t="shared" si="887"/>
        <v>0</v>
      </c>
      <c r="BM958" s="222">
        <f t="shared" si="887"/>
        <v>0</v>
      </c>
      <c r="BN958" s="767">
        <f t="shared" si="887"/>
        <v>0</v>
      </c>
      <c r="BO958" s="221">
        <f t="shared" ref="BO958:BV958" si="888">BO218+BO576</f>
        <v>0</v>
      </c>
      <c r="BP958" s="222">
        <f t="shared" si="888"/>
        <v>0</v>
      </c>
      <c r="BQ958" s="222">
        <f t="shared" si="888"/>
        <v>0</v>
      </c>
      <c r="BR958" s="767">
        <f t="shared" si="888"/>
        <v>0</v>
      </c>
      <c r="BS958" s="221">
        <f t="shared" si="888"/>
        <v>0</v>
      </c>
      <c r="BT958" s="222">
        <f t="shared" si="888"/>
        <v>0</v>
      </c>
      <c r="BU958" s="222">
        <f t="shared" si="888"/>
        <v>0</v>
      </c>
      <c r="BV958" s="223">
        <f t="shared" si="888"/>
        <v>0</v>
      </c>
      <c r="BW958" s="229"/>
      <c r="BX958" s="215"/>
      <c r="BY958" s="125">
        <f t="shared" si="789"/>
        <v>452.33199999999999</v>
      </c>
      <c r="BZ958" s="126">
        <f t="shared" si="790"/>
        <v>1.9</v>
      </c>
      <c r="CA958" s="126">
        <f t="shared" si="791"/>
        <v>414.399</v>
      </c>
      <c r="CB958" s="127">
        <f t="shared" si="791"/>
        <v>0</v>
      </c>
      <c r="CC958" s="768"/>
    </row>
    <row r="959" spans="1:81" s="230" customFormat="1" ht="14.85" customHeight="1" outlineLevel="5" x14ac:dyDescent="0.25">
      <c r="A959" s="216"/>
      <c r="B959" s="215"/>
      <c r="C959" s="216"/>
      <c r="D959" s="216"/>
      <c r="E959" s="216"/>
      <c r="F959" s="216"/>
      <c r="G959" s="216"/>
      <c r="H959" s="216"/>
      <c r="I959" s="216"/>
      <c r="J959" s="215"/>
      <c r="K959" s="217"/>
      <c r="L959" s="216"/>
      <c r="M959" s="215"/>
      <c r="N959" s="215"/>
      <c r="O959" s="215"/>
      <c r="P959" s="215"/>
      <c r="Q959" s="215"/>
      <c r="R959" s="215"/>
      <c r="S959" s="215"/>
      <c r="T959" s="215"/>
      <c r="U959" s="215"/>
      <c r="V959" s="215"/>
      <c r="W959" s="215"/>
      <c r="X959" s="215"/>
      <c r="Y959" s="215"/>
      <c r="Z959" s="215"/>
      <c r="AA959" s="215"/>
      <c r="AB959" s="247"/>
      <c r="AC959" s="219" t="s">
        <v>289</v>
      </c>
      <c r="AD959" s="220" t="s">
        <v>247</v>
      </c>
      <c r="AE959" s="221">
        <f t="shared" ref="AE959:AK959" si="889">AE219+AE567</f>
        <v>0</v>
      </c>
      <c r="AF959" s="222">
        <f t="shared" si="889"/>
        <v>0</v>
      </c>
      <c r="AG959" s="222">
        <f t="shared" si="889"/>
        <v>0</v>
      </c>
      <c r="AH959" s="767">
        <f t="shared" si="889"/>
        <v>0</v>
      </c>
      <c r="AI959" s="221">
        <f t="shared" si="889"/>
        <v>11.8</v>
      </c>
      <c r="AJ959" s="222">
        <f t="shared" si="889"/>
        <v>0</v>
      </c>
      <c r="AK959" s="222">
        <f t="shared" si="889"/>
        <v>12.27</v>
      </c>
      <c r="AL959" s="767">
        <f t="shared" ref="AL959" si="890">AL219+AL567</f>
        <v>12.27</v>
      </c>
      <c r="AM959" s="221">
        <f>AM219+AM567</f>
        <v>47.02</v>
      </c>
      <c r="AN959" s="222">
        <f>AN219+AN567</f>
        <v>49.91</v>
      </c>
      <c r="AO959" s="222">
        <f>AO219+AO567</f>
        <v>59.19</v>
      </c>
      <c r="AP959" s="767">
        <f>AP219+AP567</f>
        <v>0</v>
      </c>
      <c r="AQ959" s="221">
        <f t="shared" ref="AQ959:AW959" si="891">AQ219+AQ567</f>
        <v>20.189999999999998</v>
      </c>
      <c r="AR959" s="222">
        <f t="shared" si="891"/>
        <v>237.98</v>
      </c>
      <c r="AS959" s="222">
        <f t="shared" si="891"/>
        <v>74.7</v>
      </c>
      <c r="AT959" s="767">
        <f t="shared" si="891"/>
        <v>0</v>
      </c>
      <c r="AU959" s="221">
        <f t="shared" si="891"/>
        <v>18.09</v>
      </c>
      <c r="AV959" s="222">
        <f t="shared" si="891"/>
        <v>0</v>
      </c>
      <c r="AW959" s="222">
        <f t="shared" si="891"/>
        <v>19.899999999999999</v>
      </c>
      <c r="AX959" s="767">
        <f t="shared" ref="AX959" si="892">AX219+AX567</f>
        <v>0</v>
      </c>
      <c r="AY959" s="221">
        <f t="shared" ref="AY959:BE959" si="893">AY219+AY567</f>
        <v>43.400000000000006</v>
      </c>
      <c r="AZ959" s="222">
        <f t="shared" si="893"/>
        <v>0</v>
      </c>
      <c r="BA959" s="222">
        <f t="shared" si="893"/>
        <v>47.76</v>
      </c>
      <c r="BB959" s="767">
        <f t="shared" si="893"/>
        <v>0</v>
      </c>
      <c r="BC959" s="221">
        <f t="shared" si="893"/>
        <v>27.731000000000002</v>
      </c>
      <c r="BD959" s="222">
        <f t="shared" si="893"/>
        <v>0</v>
      </c>
      <c r="BE959" s="222">
        <f t="shared" si="893"/>
        <v>34.908000000000001</v>
      </c>
      <c r="BF959" s="767">
        <f>BF567+BF219</f>
        <v>22.115000000000002</v>
      </c>
      <c r="BG959" s="221">
        <f t="shared" ref="BG959:BN959" si="894">BG219+BG567</f>
        <v>268.45</v>
      </c>
      <c r="BH959" s="222">
        <f t="shared" si="894"/>
        <v>0</v>
      </c>
      <c r="BI959" s="222">
        <f t="shared" si="894"/>
        <v>418.99200000000002</v>
      </c>
      <c r="BJ959" s="767">
        <f t="shared" si="894"/>
        <v>0</v>
      </c>
      <c r="BK959" s="221">
        <f t="shared" si="894"/>
        <v>121.77000000000001</v>
      </c>
      <c r="BL959" s="222">
        <f t="shared" si="894"/>
        <v>0</v>
      </c>
      <c r="BM959" s="222">
        <f t="shared" si="894"/>
        <v>271.31</v>
      </c>
      <c r="BN959" s="767">
        <f t="shared" si="894"/>
        <v>0</v>
      </c>
      <c r="BO959" s="221">
        <f t="shared" ref="BO959:BV959" si="895">BO219+BO567</f>
        <v>18.09</v>
      </c>
      <c r="BP959" s="222">
        <f t="shared" si="895"/>
        <v>13.07</v>
      </c>
      <c r="BQ959" s="222">
        <f t="shared" si="895"/>
        <v>22.77</v>
      </c>
      <c r="BR959" s="767">
        <f t="shared" si="895"/>
        <v>0</v>
      </c>
      <c r="BS959" s="221">
        <f t="shared" si="895"/>
        <v>104.34</v>
      </c>
      <c r="BT959" s="222">
        <f t="shared" si="895"/>
        <v>68.569999999999993</v>
      </c>
      <c r="BU959" s="222">
        <f t="shared" si="895"/>
        <v>133.92000000000002</v>
      </c>
      <c r="BV959" s="223">
        <f t="shared" si="895"/>
        <v>0</v>
      </c>
      <c r="BW959" s="229"/>
      <c r="BX959" s="215"/>
      <c r="BY959" s="125">
        <f t="shared" si="789"/>
        <v>680.88100000000009</v>
      </c>
      <c r="BZ959" s="126">
        <f t="shared" si="790"/>
        <v>369.53</v>
      </c>
      <c r="CA959" s="126">
        <f t="shared" si="791"/>
        <v>1095.72</v>
      </c>
      <c r="CB959" s="127">
        <f t="shared" si="791"/>
        <v>34.385000000000005</v>
      </c>
      <c r="CC959" s="768"/>
    </row>
    <row r="960" spans="1:81" s="246" customFormat="1" ht="40.5" customHeight="1" outlineLevel="5" x14ac:dyDescent="0.25">
      <c r="A960" s="242"/>
      <c r="B960" s="229"/>
      <c r="C960" s="242"/>
      <c r="D960" s="242"/>
      <c r="E960" s="242"/>
      <c r="F960" s="242"/>
      <c r="G960" s="242"/>
      <c r="H960" s="242"/>
      <c r="I960" s="242"/>
      <c r="J960" s="229"/>
      <c r="K960" s="243"/>
      <c r="L960" s="242"/>
      <c r="M960" s="229"/>
      <c r="N960" s="229"/>
      <c r="O960" s="229"/>
      <c r="P960" s="229"/>
      <c r="Q960" s="229"/>
      <c r="R960" s="229"/>
      <c r="S960" s="229"/>
      <c r="T960" s="229"/>
      <c r="U960" s="229"/>
      <c r="V960" s="229"/>
      <c r="W960" s="229"/>
      <c r="X960" s="229"/>
      <c r="Y960" s="229"/>
      <c r="Z960" s="229"/>
      <c r="AA960" s="229"/>
      <c r="AB960" s="247"/>
      <c r="AC960" s="219" t="s">
        <v>290</v>
      </c>
      <c r="AD960" s="220" t="s">
        <v>247</v>
      </c>
      <c r="AE960" s="221">
        <f t="shared" ref="AE960:AK962" si="896">AE220</f>
        <v>0</v>
      </c>
      <c r="AF960" s="222">
        <f t="shared" si="896"/>
        <v>0</v>
      </c>
      <c r="AG960" s="222">
        <f t="shared" si="896"/>
        <v>0</v>
      </c>
      <c r="AH960" s="767">
        <f t="shared" si="896"/>
        <v>0</v>
      </c>
      <c r="AI960" s="221">
        <f t="shared" si="896"/>
        <v>0</v>
      </c>
      <c r="AJ960" s="222">
        <f t="shared" si="896"/>
        <v>0</v>
      </c>
      <c r="AK960" s="222">
        <f t="shared" si="896"/>
        <v>0</v>
      </c>
      <c r="AL960" s="767">
        <f t="shared" ref="AL960" si="897">AL220</f>
        <v>0</v>
      </c>
      <c r="AM960" s="221">
        <f t="shared" ref="AM960:AO962" si="898">AM220</f>
        <v>0</v>
      </c>
      <c r="AN960" s="222">
        <f t="shared" si="898"/>
        <v>0</v>
      </c>
      <c r="AO960" s="222">
        <f t="shared" si="898"/>
        <v>0</v>
      </c>
      <c r="AP960" s="767">
        <f t="shared" ref="AP960" si="899">AP220</f>
        <v>0</v>
      </c>
      <c r="AQ960" s="221">
        <f t="shared" ref="AQ960:AW962" si="900">AQ220</f>
        <v>0</v>
      </c>
      <c r="AR960" s="222">
        <f t="shared" si="900"/>
        <v>0</v>
      </c>
      <c r="AS960" s="222">
        <f t="shared" si="900"/>
        <v>0</v>
      </c>
      <c r="AT960" s="767">
        <f t="shared" si="900"/>
        <v>0</v>
      </c>
      <c r="AU960" s="221">
        <f t="shared" si="900"/>
        <v>0</v>
      </c>
      <c r="AV960" s="222">
        <f t="shared" si="900"/>
        <v>0</v>
      </c>
      <c r="AW960" s="222">
        <f t="shared" si="900"/>
        <v>0</v>
      </c>
      <c r="AX960" s="767">
        <f t="shared" ref="AX960" si="901">AX220</f>
        <v>0</v>
      </c>
      <c r="AY960" s="221">
        <f t="shared" ref="AY960:BA962" si="902">AY220</f>
        <v>0</v>
      </c>
      <c r="AZ960" s="222">
        <f t="shared" si="902"/>
        <v>0</v>
      </c>
      <c r="BA960" s="222">
        <f t="shared" si="902"/>
        <v>0</v>
      </c>
      <c r="BB960" s="767">
        <f t="shared" ref="BB960" si="903">BB220</f>
        <v>0</v>
      </c>
      <c r="BC960" s="221">
        <f t="shared" ref="BC960:BE962" si="904">BC220</f>
        <v>0</v>
      </c>
      <c r="BD960" s="222">
        <f t="shared" si="904"/>
        <v>0</v>
      </c>
      <c r="BE960" s="222">
        <f t="shared" si="904"/>
        <v>0</v>
      </c>
      <c r="BF960" s="767">
        <f t="shared" ref="BF960" si="905">BF220</f>
        <v>0</v>
      </c>
      <c r="BG960" s="221">
        <f t="shared" ref="BG960:BI962" si="906">BG220</f>
        <v>0</v>
      </c>
      <c r="BH960" s="222">
        <f t="shared" si="906"/>
        <v>0</v>
      </c>
      <c r="BI960" s="222">
        <f t="shared" si="906"/>
        <v>0</v>
      </c>
      <c r="BJ960" s="767">
        <f t="shared" ref="BJ960" si="907">BJ220</f>
        <v>0</v>
      </c>
      <c r="BK960" s="221">
        <f t="shared" ref="BK960:BM962" si="908">BK220</f>
        <v>0</v>
      </c>
      <c r="BL960" s="222">
        <f t="shared" si="908"/>
        <v>0</v>
      </c>
      <c r="BM960" s="222">
        <f t="shared" si="908"/>
        <v>0</v>
      </c>
      <c r="BN960" s="767">
        <f t="shared" ref="BN960" si="909">BN220</f>
        <v>0</v>
      </c>
      <c r="BO960" s="221">
        <f t="shared" ref="BO960:BV962" si="910">BO220</f>
        <v>0</v>
      </c>
      <c r="BP960" s="222">
        <f t="shared" si="910"/>
        <v>0</v>
      </c>
      <c r="BQ960" s="222">
        <f t="shared" si="910"/>
        <v>0</v>
      </c>
      <c r="BR960" s="767">
        <f t="shared" si="910"/>
        <v>0</v>
      </c>
      <c r="BS960" s="221">
        <f t="shared" si="910"/>
        <v>0</v>
      </c>
      <c r="BT960" s="222">
        <f t="shared" si="910"/>
        <v>0</v>
      </c>
      <c r="BU960" s="222">
        <f t="shared" si="910"/>
        <v>0</v>
      </c>
      <c r="BV960" s="223">
        <f t="shared" si="910"/>
        <v>0</v>
      </c>
      <c r="BW960" s="229"/>
      <c r="BX960" s="229"/>
      <c r="BY960" s="125">
        <f t="shared" si="789"/>
        <v>0</v>
      </c>
      <c r="BZ960" s="126">
        <f t="shared" si="790"/>
        <v>0</v>
      </c>
      <c r="CA960" s="126">
        <f t="shared" si="791"/>
        <v>0</v>
      </c>
      <c r="CB960" s="127">
        <f t="shared" si="791"/>
        <v>0</v>
      </c>
      <c r="CC960" s="771"/>
    </row>
    <row r="961" spans="1:81" s="230" customFormat="1" ht="15.75" customHeight="1" outlineLevel="5" x14ac:dyDescent="0.25">
      <c r="A961" s="216"/>
      <c r="B961" s="215"/>
      <c r="C961" s="216"/>
      <c r="D961" s="216"/>
      <c r="E961" s="216"/>
      <c r="F961" s="216"/>
      <c r="G961" s="216"/>
      <c r="H961" s="216"/>
      <c r="I961" s="216"/>
      <c r="J961" s="215"/>
      <c r="K961" s="217"/>
      <c r="L961" s="216"/>
      <c r="M961" s="215"/>
      <c r="N961" s="215"/>
      <c r="O961" s="215"/>
      <c r="P961" s="215"/>
      <c r="Q961" s="215"/>
      <c r="R961" s="215"/>
      <c r="S961" s="215"/>
      <c r="T961" s="215"/>
      <c r="U961" s="215"/>
      <c r="V961" s="215"/>
      <c r="W961" s="215"/>
      <c r="X961" s="215"/>
      <c r="Y961" s="215"/>
      <c r="Z961" s="215"/>
      <c r="AA961" s="215"/>
      <c r="AB961" s="247"/>
      <c r="AC961" s="219" t="s">
        <v>291</v>
      </c>
      <c r="AD961" s="220" t="s">
        <v>247</v>
      </c>
      <c r="AE961" s="221">
        <f t="shared" si="896"/>
        <v>0</v>
      </c>
      <c r="AF961" s="222">
        <f t="shared" si="896"/>
        <v>0</v>
      </c>
      <c r="AG961" s="222">
        <f t="shared" si="896"/>
        <v>0</v>
      </c>
      <c r="AH961" s="767">
        <f t="shared" si="896"/>
        <v>0</v>
      </c>
      <c r="AI961" s="221">
        <f t="shared" si="896"/>
        <v>0</v>
      </c>
      <c r="AJ961" s="222">
        <f t="shared" si="896"/>
        <v>0</v>
      </c>
      <c r="AK961" s="222">
        <f t="shared" si="896"/>
        <v>0</v>
      </c>
      <c r="AL961" s="767">
        <f t="shared" ref="AL961" si="911">AL221</f>
        <v>0</v>
      </c>
      <c r="AM961" s="221">
        <f t="shared" si="898"/>
        <v>0</v>
      </c>
      <c r="AN961" s="222">
        <f t="shared" si="898"/>
        <v>0</v>
      </c>
      <c r="AO961" s="222">
        <f t="shared" si="898"/>
        <v>0</v>
      </c>
      <c r="AP961" s="767">
        <f t="shared" ref="AP961" si="912">AP221</f>
        <v>0</v>
      </c>
      <c r="AQ961" s="221">
        <f t="shared" si="900"/>
        <v>32.33</v>
      </c>
      <c r="AR961" s="222">
        <f t="shared" si="900"/>
        <v>0</v>
      </c>
      <c r="AS961" s="222">
        <f t="shared" si="900"/>
        <v>45.95</v>
      </c>
      <c r="AT961" s="767">
        <f t="shared" si="900"/>
        <v>0</v>
      </c>
      <c r="AU961" s="221">
        <f t="shared" si="900"/>
        <v>0</v>
      </c>
      <c r="AV961" s="222">
        <f t="shared" si="900"/>
        <v>0</v>
      </c>
      <c r="AW961" s="222">
        <f t="shared" si="900"/>
        <v>0</v>
      </c>
      <c r="AX961" s="767">
        <f t="shared" ref="AX961" si="913">AX221</f>
        <v>0</v>
      </c>
      <c r="AY961" s="221">
        <f t="shared" si="902"/>
        <v>0</v>
      </c>
      <c r="AZ961" s="222">
        <f t="shared" si="902"/>
        <v>0</v>
      </c>
      <c r="BA961" s="222">
        <f t="shared" si="902"/>
        <v>0</v>
      </c>
      <c r="BB961" s="767">
        <f t="shared" ref="BB961" si="914">BB221</f>
        <v>0</v>
      </c>
      <c r="BC961" s="221">
        <f t="shared" si="904"/>
        <v>0</v>
      </c>
      <c r="BD961" s="222">
        <f t="shared" si="904"/>
        <v>0</v>
      </c>
      <c r="BE961" s="222">
        <f t="shared" si="904"/>
        <v>0</v>
      </c>
      <c r="BF961" s="767">
        <f t="shared" ref="BF961" si="915">BF221</f>
        <v>0</v>
      </c>
      <c r="BG961" s="221">
        <f t="shared" si="906"/>
        <v>0</v>
      </c>
      <c r="BH961" s="222">
        <f t="shared" si="906"/>
        <v>0</v>
      </c>
      <c r="BI961" s="222">
        <f t="shared" si="906"/>
        <v>0</v>
      </c>
      <c r="BJ961" s="767">
        <f t="shared" ref="BJ961" si="916">BJ221</f>
        <v>0</v>
      </c>
      <c r="BK961" s="221">
        <f t="shared" si="908"/>
        <v>0</v>
      </c>
      <c r="BL961" s="222">
        <f t="shared" si="908"/>
        <v>0</v>
      </c>
      <c r="BM961" s="222">
        <f t="shared" si="908"/>
        <v>0</v>
      </c>
      <c r="BN961" s="767">
        <f t="shared" ref="BN961" si="917">BN221</f>
        <v>0</v>
      </c>
      <c r="BO961" s="221">
        <f t="shared" si="910"/>
        <v>0</v>
      </c>
      <c r="BP961" s="222">
        <f t="shared" si="910"/>
        <v>0</v>
      </c>
      <c r="BQ961" s="222">
        <f t="shared" si="910"/>
        <v>0</v>
      </c>
      <c r="BR961" s="767">
        <f t="shared" si="910"/>
        <v>0</v>
      </c>
      <c r="BS961" s="221">
        <f t="shared" si="910"/>
        <v>0</v>
      </c>
      <c r="BT961" s="222">
        <f t="shared" si="910"/>
        <v>0</v>
      </c>
      <c r="BU961" s="222">
        <f t="shared" si="910"/>
        <v>0</v>
      </c>
      <c r="BV961" s="223">
        <f t="shared" si="910"/>
        <v>0</v>
      </c>
      <c r="BW961" s="229"/>
      <c r="BX961" s="215"/>
      <c r="BY961" s="125">
        <f t="shared" si="789"/>
        <v>32.33</v>
      </c>
      <c r="BZ961" s="126">
        <f t="shared" si="790"/>
        <v>0</v>
      </c>
      <c r="CA961" s="126">
        <f t="shared" si="791"/>
        <v>45.95</v>
      </c>
      <c r="CB961" s="127">
        <f t="shared" si="791"/>
        <v>0</v>
      </c>
      <c r="CC961" s="768"/>
    </row>
    <row r="962" spans="1:81" s="230" customFormat="1" ht="15.75" customHeight="1" outlineLevel="5" x14ac:dyDescent="0.25">
      <c r="A962" s="216"/>
      <c r="B962" s="215"/>
      <c r="C962" s="216"/>
      <c r="D962" s="216"/>
      <c r="E962" s="216"/>
      <c r="F962" s="216"/>
      <c r="G962" s="216"/>
      <c r="H962" s="216"/>
      <c r="I962" s="216"/>
      <c r="J962" s="215"/>
      <c r="K962" s="217"/>
      <c r="L962" s="216"/>
      <c r="M962" s="215"/>
      <c r="N962" s="215"/>
      <c r="O962" s="215"/>
      <c r="P962" s="215"/>
      <c r="Q962" s="215"/>
      <c r="R962" s="215"/>
      <c r="S962" s="215"/>
      <c r="T962" s="215"/>
      <c r="U962" s="215"/>
      <c r="V962" s="215"/>
      <c r="W962" s="215"/>
      <c r="X962" s="215"/>
      <c r="Y962" s="215"/>
      <c r="Z962" s="215"/>
      <c r="AA962" s="215"/>
      <c r="AB962" s="247"/>
      <c r="AC962" s="219" t="s">
        <v>292</v>
      </c>
      <c r="AD962" s="220" t="s">
        <v>247</v>
      </c>
      <c r="AE962" s="221">
        <f t="shared" si="896"/>
        <v>0</v>
      </c>
      <c r="AF962" s="222">
        <f t="shared" si="896"/>
        <v>0</v>
      </c>
      <c r="AG962" s="222">
        <f t="shared" si="896"/>
        <v>0</v>
      </c>
      <c r="AH962" s="767">
        <f t="shared" si="896"/>
        <v>0</v>
      </c>
      <c r="AI962" s="221">
        <f t="shared" si="896"/>
        <v>0</v>
      </c>
      <c r="AJ962" s="222">
        <f t="shared" si="896"/>
        <v>0</v>
      </c>
      <c r="AK962" s="222">
        <f t="shared" si="896"/>
        <v>0</v>
      </c>
      <c r="AL962" s="767">
        <f t="shared" ref="AL962" si="918">AL222</f>
        <v>0</v>
      </c>
      <c r="AM962" s="221">
        <f t="shared" si="898"/>
        <v>0</v>
      </c>
      <c r="AN962" s="222">
        <f t="shared" si="898"/>
        <v>0</v>
      </c>
      <c r="AO962" s="222">
        <f t="shared" si="898"/>
        <v>0</v>
      </c>
      <c r="AP962" s="767">
        <f t="shared" ref="AP962" si="919">AP222</f>
        <v>0</v>
      </c>
      <c r="AQ962" s="221">
        <f t="shared" si="900"/>
        <v>46.09</v>
      </c>
      <c r="AR962" s="222">
        <f t="shared" si="900"/>
        <v>69.650000000000006</v>
      </c>
      <c r="AS962" s="222">
        <f t="shared" si="900"/>
        <v>50.71</v>
      </c>
      <c r="AT962" s="767">
        <f t="shared" si="900"/>
        <v>0</v>
      </c>
      <c r="AU962" s="221">
        <f t="shared" si="900"/>
        <v>0</v>
      </c>
      <c r="AV962" s="222">
        <f t="shared" si="900"/>
        <v>0</v>
      </c>
      <c r="AW962" s="222">
        <f t="shared" si="900"/>
        <v>0</v>
      </c>
      <c r="AX962" s="767">
        <f t="shared" ref="AX962" si="920">AX222</f>
        <v>0</v>
      </c>
      <c r="AY962" s="221">
        <f t="shared" si="902"/>
        <v>0</v>
      </c>
      <c r="AZ962" s="222">
        <f t="shared" si="902"/>
        <v>0</v>
      </c>
      <c r="BA962" s="222">
        <f t="shared" si="902"/>
        <v>0</v>
      </c>
      <c r="BB962" s="767">
        <f t="shared" ref="BB962" si="921">BB222</f>
        <v>0</v>
      </c>
      <c r="BC962" s="221">
        <f t="shared" si="904"/>
        <v>0</v>
      </c>
      <c r="BD962" s="222">
        <f t="shared" si="904"/>
        <v>0</v>
      </c>
      <c r="BE962" s="222">
        <f t="shared" si="904"/>
        <v>0</v>
      </c>
      <c r="BF962" s="767">
        <f t="shared" ref="BF962" si="922">BF222</f>
        <v>0</v>
      </c>
      <c r="BG962" s="221">
        <f t="shared" si="906"/>
        <v>0</v>
      </c>
      <c r="BH962" s="222">
        <f t="shared" si="906"/>
        <v>0</v>
      </c>
      <c r="BI962" s="222">
        <f t="shared" si="906"/>
        <v>0</v>
      </c>
      <c r="BJ962" s="767">
        <f t="shared" ref="BJ962" si="923">BJ222</f>
        <v>0</v>
      </c>
      <c r="BK962" s="221">
        <f t="shared" si="908"/>
        <v>0</v>
      </c>
      <c r="BL962" s="222">
        <f t="shared" si="908"/>
        <v>0</v>
      </c>
      <c r="BM962" s="222">
        <f t="shared" si="908"/>
        <v>0</v>
      </c>
      <c r="BN962" s="767">
        <f t="shared" ref="BN962" si="924">BN222</f>
        <v>0</v>
      </c>
      <c r="BO962" s="221">
        <f t="shared" si="910"/>
        <v>0</v>
      </c>
      <c r="BP962" s="222">
        <f t="shared" si="910"/>
        <v>0</v>
      </c>
      <c r="BQ962" s="222">
        <f t="shared" si="910"/>
        <v>0</v>
      </c>
      <c r="BR962" s="767">
        <f t="shared" si="910"/>
        <v>0</v>
      </c>
      <c r="BS962" s="221">
        <f t="shared" si="910"/>
        <v>0</v>
      </c>
      <c r="BT962" s="222">
        <f t="shared" si="910"/>
        <v>0</v>
      </c>
      <c r="BU962" s="222">
        <f t="shared" si="910"/>
        <v>0</v>
      </c>
      <c r="BV962" s="223">
        <f t="shared" si="910"/>
        <v>0</v>
      </c>
      <c r="BW962" s="229"/>
      <c r="BX962" s="215"/>
      <c r="BY962" s="125">
        <f t="shared" si="789"/>
        <v>46.09</v>
      </c>
      <c r="BZ962" s="126">
        <f t="shared" si="790"/>
        <v>69.650000000000006</v>
      </c>
      <c r="CA962" s="126">
        <f t="shared" si="791"/>
        <v>50.71</v>
      </c>
      <c r="CB962" s="127">
        <f t="shared" si="791"/>
        <v>0</v>
      </c>
      <c r="CC962" s="768"/>
    </row>
    <row r="963" spans="1:81" s="246" customFormat="1" ht="54" customHeight="1" outlineLevel="5" x14ac:dyDescent="0.25">
      <c r="A963" s="242"/>
      <c r="B963" s="229"/>
      <c r="C963" s="242"/>
      <c r="D963" s="242"/>
      <c r="E963" s="242"/>
      <c r="F963" s="242"/>
      <c r="G963" s="242"/>
      <c r="H963" s="242"/>
      <c r="I963" s="242"/>
      <c r="J963" s="229"/>
      <c r="K963" s="243"/>
      <c r="L963" s="242"/>
      <c r="M963" s="229"/>
      <c r="N963" s="229"/>
      <c r="O963" s="229"/>
      <c r="P963" s="229"/>
      <c r="Q963" s="229"/>
      <c r="R963" s="229"/>
      <c r="S963" s="229"/>
      <c r="T963" s="229"/>
      <c r="U963" s="229"/>
      <c r="V963" s="229"/>
      <c r="W963" s="229"/>
      <c r="X963" s="229"/>
      <c r="Y963" s="229"/>
      <c r="Z963" s="229"/>
      <c r="AA963" s="229"/>
      <c r="AB963" s="247"/>
      <c r="AC963" s="219" t="s">
        <v>293</v>
      </c>
      <c r="AD963" s="220" t="s">
        <v>247</v>
      </c>
      <c r="AE963" s="221">
        <f t="shared" ref="AE963:AK963" si="925">AE223+AE584</f>
        <v>0</v>
      </c>
      <c r="AF963" s="222">
        <f t="shared" si="925"/>
        <v>0</v>
      </c>
      <c r="AG963" s="222">
        <f t="shared" si="925"/>
        <v>0</v>
      </c>
      <c r="AH963" s="767">
        <f t="shared" si="925"/>
        <v>0</v>
      </c>
      <c r="AI963" s="221">
        <f t="shared" si="925"/>
        <v>6.33</v>
      </c>
      <c r="AJ963" s="222">
        <f t="shared" si="925"/>
        <v>0</v>
      </c>
      <c r="AK963" s="222">
        <f t="shared" si="925"/>
        <v>6.58</v>
      </c>
      <c r="AL963" s="767">
        <f t="shared" ref="AL963" si="926">AL223+AL584</f>
        <v>0</v>
      </c>
      <c r="AM963" s="221">
        <f>AM223+AM584</f>
        <v>21.66</v>
      </c>
      <c r="AN963" s="222">
        <f>AN223+AN584</f>
        <v>43.76</v>
      </c>
      <c r="AO963" s="222">
        <f>AO223+AO584</f>
        <v>23.83</v>
      </c>
      <c r="AP963" s="767">
        <f>AP223+AP584</f>
        <v>0</v>
      </c>
      <c r="AQ963" s="221">
        <f t="shared" ref="AQ963:AW963" si="927">AQ223+AQ584</f>
        <v>62.97</v>
      </c>
      <c r="AR963" s="222">
        <f t="shared" si="927"/>
        <v>0</v>
      </c>
      <c r="AS963" s="222">
        <f t="shared" si="927"/>
        <v>69.28</v>
      </c>
      <c r="AT963" s="767">
        <f t="shared" si="927"/>
        <v>0</v>
      </c>
      <c r="AU963" s="221">
        <f t="shared" si="927"/>
        <v>32.380000000000003</v>
      </c>
      <c r="AV963" s="222">
        <f t="shared" si="927"/>
        <v>0</v>
      </c>
      <c r="AW963" s="222">
        <f t="shared" si="927"/>
        <v>35.619999999999997</v>
      </c>
      <c r="AX963" s="767">
        <f t="shared" ref="AX963" si="928">AX223+AX584</f>
        <v>0</v>
      </c>
      <c r="AY963" s="221">
        <f t="shared" ref="AY963:BN963" si="929">AY223+AY584</f>
        <v>68.72</v>
      </c>
      <c r="AZ963" s="222">
        <f t="shared" si="929"/>
        <v>0</v>
      </c>
      <c r="BA963" s="222">
        <f t="shared" si="929"/>
        <v>75.47</v>
      </c>
      <c r="BB963" s="767">
        <f t="shared" si="929"/>
        <v>0</v>
      </c>
      <c r="BC963" s="221">
        <f t="shared" si="929"/>
        <v>436.40600000000001</v>
      </c>
      <c r="BD963" s="222">
        <f t="shared" si="929"/>
        <v>0</v>
      </c>
      <c r="BE963" s="222">
        <f t="shared" si="929"/>
        <v>425.75400000000002</v>
      </c>
      <c r="BF963" s="767">
        <f t="shared" si="929"/>
        <v>0</v>
      </c>
      <c r="BG963" s="221">
        <f t="shared" si="929"/>
        <v>91.968000000000004</v>
      </c>
      <c r="BH963" s="222">
        <f t="shared" si="929"/>
        <v>0</v>
      </c>
      <c r="BI963" s="222">
        <f t="shared" si="929"/>
        <v>101.19399999999999</v>
      </c>
      <c r="BJ963" s="767">
        <f t="shared" si="929"/>
        <v>0</v>
      </c>
      <c r="BK963" s="221">
        <f t="shared" si="929"/>
        <v>70</v>
      </c>
      <c r="BL963" s="222">
        <f t="shared" si="929"/>
        <v>0</v>
      </c>
      <c r="BM963" s="222">
        <f t="shared" si="929"/>
        <v>286.90999999999997</v>
      </c>
      <c r="BN963" s="767">
        <f t="shared" si="929"/>
        <v>0</v>
      </c>
      <c r="BO963" s="221">
        <f t="shared" ref="BO963:BV963" si="930">BO223+BO584</f>
        <v>0</v>
      </c>
      <c r="BP963" s="222">
        <f t="shared" si="930"/>
        <v>0</v>
      </c>
      <c r="BQ963" s="222">
        <f t="shared" si="930"/>
        <v>0</v>
      </c>
      <c r="BR963" s="767">
        <f t="shared" si="930"/>
        <v>0</v>
      </c>
      <c r="BS963" s="221">
        <f t="shared" si="930"/>
        <v>18.5</v>
      </c>
      <c r="BT963" s="222">
        <f t="shared" si="930"/>
        <v>2.1549999999999998</v>
      </c>
      <c r="BU963" s="222">
        <f t="shared" si="930"/>
        <v>20.36</v>
      </c>
      <c r="BV963" s="223">
        <f t="shared" si="930"/>
        <v>0</v>
      </c>
      <c r="BW963" s="229"/>
      <c r="BX963" s="229"/>
      <c r="BY963" s="125">
        <f t="shared" si="789"/>
        <v>808.93399999999997</v>
      </c>
      <c r="BZ963" s="126">
        <f t="shared" si="790"/>
        <v>45.914999999999999</v>
      </c>
      <c r="CA963" s="126">
        <f t="shared" si="791"/>
        <v>1044.9979999999998</v>
      </c>
      <c r="CB963" s="127">
        <f t="shared" si="791"/>
        <v>0</v>
      </c>
      <c r="CC963" s="771"/>
    </row>
    <row r="964" spans="1:81" s="230" customFormat="1" ht="36.75" customHeight="1" outlineLevel="5" x14ac:dyDescent="0.25">
      <c r="A964" s="216"/>
      <c r="B964" s="215"/>
      <c r="C964" s="216"/>
      <c r="D964" s="216"/>
      <c r="E964" s="216"/>
      <c r="F964" s="216"/>
      <c r="G964" s="216"/>
      <c r="H964" s="216"/>
      <c r="I964" s="216"/>
      <c r="J964" s="215"/>
      <c r="K964" s="217"/>
      <c r="L964" s="216"/>
      <c r="M964" s="215"/>
      <c r="N964" s="215"/>
      <c r="O964" s="215"/>
      <c r="P964" s="215"/>
      <c r="Q964" s="215"/>
      <c r="R964" s="215"/>
      <c r="S964" s="215"/>
      <c r="T964" s="215"/>
      <c r="U964" s="215"/>
      <c r="V964" s="215"/>
      <c r="W964" s="215"/>
      <c r="X964" s="215"/>
      <c r="Y964" s="215"/>
      <c r="Z964" s="215"/>
      <c r="AA964" s="215"/>
      <c r="AB964" s="247"/>
      <c r="AC964" s="219" t="s">
        <v>294</v>
      </c>
      <c r="AD964" s="220" t="s">
        <v>247</v>
      </c>
      <c r="AE964" s="221">
        <f t="shared" ref="AE964:AK964" si="931">AE224+AE572</f>
        <v>0</v>
      </c>
      <c r="AF964" s="222">
        <f t="shared" si="931"/>
        <v>0</v>
      </c>
      <c r="AG964" s="222">
        <f t="shared" si="931"/>
        <v>0</v>
      </c>
      <c r="AH964" s="767">
        <f t="shared" si="931"/>
        <v>0</v>
      </c>
      <c r="AI964" s="221">
        <f t="shared" si="931"/>
        <v>5.78</v>
      </c>
      <c r="AJ964" s="222">
        <f t="shared" si="931"/>
        <v>0</v>
      </c>
      <c r="AK964" s="222">
        <f t="shared" si="931"/>
        <v>43.7</v>
      </c>
      <c r="AL964" s="767">
        <f t="shared" ref="AL964" si="932">AL224+AL572</f>
        <v>3.2</v>
      </c>
      <c r="AM964" s="221">
        <f>AM224+AM572</f>
        <v>8.8000000000000007</v>
      </c>
      <c r="AN964" s="222">
        <f>AN224+AN572</f>
        <v>19.37</v>
      </c>
      <c r="AO964" s="222">
        <f>AO224+AO572</f>
        <v>10.67</v>
      </c>
      <c r="AP964" s="767">
        <f>AP224+AP572</f>
        <v>0</v>
      </c>
      <c r="AQ964" s="221">
        <f t="shared" ref="AQ964:AW964" si="933">AQ224+AQ572</f>
        <v>0</v>
      </c>
      <c r="AR964" s="222">
        <f t="shared" si="933"/>
        <v>0</v>
      </c>
      <c r="AS964" s="222">
        <f t="shared" si="933"/>
        <v>3.29</v>
      </c>
      <c r="AT964" s="767">
        <f t="shared" si="933"/>
        <v>0</v>
      </c>
      <c r="AU964" s="221">
        <f t="shared" si="933"/>
        <v>0</v>
      </c>
      <c r="AV964" s="222">
        <f t="shared" si="933"/>
        <v>0</v>
      </c>
      <c r="AW964" s="222">
        <f t="shared" si="933"/>
        <v>1.3</v>
      </c>
      <c r="AX964" s="767">
        <f t="shared" ref="AX964" si="934">AX224+AX572</f>
        <v>0</v>
      </c>
      <c r="AY964" s="221">
        <f t="shared" ref="AY964:BN964" si="935">AY224+AY572</f>
        <v>0</v>
      </c>
      <c r="AZ964" s="222">
        <f t="shared" si="935"/>
        <v>0</v>
      </c>
      <c r="BA964" s="222">
        <f t="shared" si="935"/>
        <v>1.34</v>
      </c>
      <c r="BB964" s="767">
        <f t="shared" si="935"/>
        <v>0</v>
      </c>
      <c r="BC964" s="221">
        <f t="shared" si="935"/>
        <v>1.49</v>
      </c>
      <c r="BD964" s="222">
        <f t="shared" si="935"/>
        <v>0</v>
      </c>
      <c r="BE964" s="222">
        <f t="shared" si="935"/>
        <v>2.9219999999999997</v>
      </c>
      <c r="BF964" s="767">
        <f t="shared" si="935"/>
        <v>0</v>
      </c>
      <c r="BG964" s="221">
        <f t="shared" si="935"/>
        <v>28.6</v>
      </c>
      <c r="BH964" s="222">
        <f t="shared" si="935"/>
        <v>0</v>
      </c>
      <c r="BI964" s="222">
        <f t="shared" si="935"/>
        <v>7.3010000000000002</v>
      </c>
      <c r="BJ964" s="767">
        <f t="shared" si="935"/>
        <v>0</v>
      </c>
      <c r="BK964" s="221">
        <f t="shared" si="935"/>
        <v>10.199999999999999</v>
      </c>
      <c r="BL964" s="222">
        <f t="shared" si="935"/>
        <v>0</v>
      </c>
      <c r="BM964" s="222">
        <f t="shared" si="935"/>
        <v>48.28</v>
      </c>
      <c r="BN964" s="767">
        <f t="shared" si="935"/>
        <v>0</v>
      </c>
      <c r="BO964" s="221">
        <f t="shared" ref="BO964:BV964" si="936">BO224+BO572</f>
        <v>0</v>
      </c>
      <c r="BP964" s="222">
        <f t="shared" si="936"/>
        <v>0</v>
      </c>
      <c r="BQ964" s="222">
        <f t="shared" si="936"/>
        <v>1.44</v>
      </c>
      <c r="BR964" s="767">
        <f t="shared" si="936"/>
        <v>0</v>
      </c>
      <c r="BS964" s="221">
        <f t="shared" si="936"/>
        <v>12.3</v>
      </c>
      <c r="BT964" s="222">
        <f t="shared" si="936"/>
        <v>0</v>
      </c>
      <c r="BU964" s="222">
        <f t="shared" si="936"/>
        <v>29.54</v>
      </c>
      <c r="BV964" s="223">
        <f t="shared" si="936"/>
        <v>0</v>
      </c>
      <c r="BW964" s="229"/>
      <c r="BX964" s="215"/>
      <c r="BY964" s="125">
        <f t="shared" si="789"/>
        <v>67.17</v>
      </c>
      <c r="BZ964" s="126">
        <f t="shared" si="790"/>
        <v>19.37</v>
      </c>
      <c r="CA964" s="126">
        <f t="shared" si="791"/>
        <v>149.78299999999999</v>
      </c>
      <c r="CB964" s="127">
        <f t="shared" si="791"/>
        <v>3.2</v>
      </c>
      <c r="CC964" s="768"/>
    </row>
    <row r="965" spans="1:81" s="230" customFormat="1" ht="15.75" customHeight="1" outlineLevel="5" x14ac:dyDescent="0.25">
      <c r="A965" s="216"/>
      <c r="B965" s="215"/>
      <c r="C965" s="216"/>
      <c r="D965" s="216"/>
      <c r="E965" s="216"/>
      <c r="F965" s="216"/>
      <c r="G965" s="216"/>
      <c r="H965" s="216"/>
      <c r="I965" s="216"/>
      <c r="J965" s="215"/>
      <c r="K965" s="217"/>
      <c r="L965" s="216"/>
      <c r="M965" s="215"/>
      <c r="N965" s="215"/>
      <c r="O965" s="215"/>
      <c r="P965" s="215"/>
      <c r="Q965" s="215"/>
      <c r="R965" s="215"/>
      <c r="S965" s="215"/>
      <c r="T965" s="215"/>
      <c r="U965" s="215"/>
      <c r="V965" s="215"/>
      <c r="W965" s="215"/>
      <c r="X965" s="215"/>
      <c r="Y965" s="215"/>
      <c r="Z965" s="215"/>
      <c r="AA965" s="215"/>
      <c r="AB965" s="247"/>
      <c r="AC965" s="219" t="s">
        <v>295</v>
      </c>
      <c r="AD965" s="220" t="s">
        <v>247</v>
      </c>
      <c r="AE965" s="221">
        <f t="shared" ref="AE965:AK965" si="937">AE225+AE591</f>
        <v>0</v>
      </c>
      <c r="AF965" s="222">
        <f t="shared" si="937"/>
        <v>0</v>
      </c>
      <c r="AG965" s="222">
        <f t="shared" si="937"/>
        <v>0</v>
      </c>
      <c r="AH965" s="767">
        <f t="shared" si="937"/>
        <v>0</v>
      </c>
      <c r="AI965" s="221">
        <f t="shared" si="937"/>
        <v>0</v>
      </c>
      <c r="AJ965" s="222">
        <f t="shared" si="937"/>
        <v>0</v>
      </c>
      <c r="AK965" s="222">
        <f t="shared" si="937"/>
        <v>0</v>
      </c>
      <c r="AL965" s="767">
        <f t="shared" ref="AL965" si="938">AL225+AL591</f>
        <v>0</v>
      </c>
      <c r="AM965" s="221">
        <f>AM225+AM591</f>
        <v>42.55</v>
      </c>
      <c r="AN965" s="222">
        <f>AN225+AN591</f>
        <v>0</v>
      </c>
      <c r="AO965" s="222">
        <f>AO225+AO591</f>
        <v>46.82</v>
      </c>
      <c r="AP965" s="767">
        <f>AP225+AP591</f>
        <v>0</v>
      </c>
      <c r="AQ965" s="221">
        <f t="shared" ref="AQ965:AW965" si="939">AQ225+AQ591</f>
        <v>0</v>
      </c>
      <c r="AR965" s="222">
        <f t="shared" si="939"/>
        <v>0</v>
      </c>
      <c r="AS965" s="222">
        <f t="shared" si="939"/>
        <v>0</v>
      </c>
      <c r="AT965" s="767">
        <f t="shared" si="939"/>
        <v>0</v>
      </c>
      <c r="AU965" s="221">
        <f t="shared" si="939"/>
        <v>0</v>
      </c>
      <c r="AV965" s="222">
        <f t="shared" si="939"/>
        <v>0</v>
      </c>
      <c r="AW965" s="222">
        <f t="shared" si="939"/>
        <v>0</v>
      </c>
      <c r="AX965" s="767">
        <f t="shared" ref="AX965" si="940">AX225+AX591</f>
        <v>0</v>
      </c>
      <c r="AY965" s="221">
        <f t="shared" ref="AY965:BN965" si="941">AY225+AY591</f>
        <v>0</v>
      </c>
      <c r="AZ965" s="222">
        <f t="shared" si="941"/>
        <v>0</v>
      </c>
      <c r="BA965" s="222">
        <f t="shared" si="941"/>
        <v>0</v>
      </c>
      <c r="BB965" s="767">
        <f t="shared" si="941"/>
        <v>0</v>
      </c>
      <c r="BC965" s="221">
        <f t="shared" si="941"/>
        <v>0</v>
      </c>
      <c r="BD965" s="222">
        <f t="shared" si="941"/>
        <v>0</v>
      </c>
      <c r="BE965" s="222">
        <f t="shared" si="941"/>
        <v>0</v>
      </c>
      <c r="BF965" s="767">
        <f t="shared" si="941"/>
        <v>0</v>
      </c>
      <c r="BG965" s="221">
        <f t="shared" si="941"/>
        <v>5.4</v>
      </c>
      <c r="BH965" s="222">
        <f t="shared" si="941"/>
        <v>0</v>
      </c>
      <c r="BI965" s="222">
        <f t="shared" si="941"/>
        <v>109.607</v>
      </c>
      <c r="BJ965" s="767">
        <f t="shared" si="941"/>
        <v>0</v>
      </c>
      <c r="BK965" s="221">
        <f t="shared" si="941"/>
        <v>14.5</v>
      </c>
      <c r="BL965" s="222">
        <f t="shared" si="941"/>
        <v>0</v>
      </c>
      <c r="BM965" s="222">
        <f t="shared" si="941"/>
        <v>0</v>
      </c>
      <c r="BN965" s="767">
        <f t="shared" si="941"/>
        <v>0</v>
      </c>
      <c r="BO965" s="221">
        <f t="shared" ref="BO965:BV965" si="942">BO225+BO591</f>
        <v>0</v>
      </c>
      <c r="BP965" s="222">
        <f t="shared" si="942"/>
        <v>0</v>
      </c>
      <c r="BQ965" s="222">
        <f t="shared" si="942"/>
        <v>0</v>
      </c>
      <c r="BR965" s="767">
        <f t="shared" si="942"/>
        <v>0</v>
      </c>
      <c r="BS965" s="221">
        <f t="shared" si="942"/>
        <v>0</v>
      </c>
      <c r="BT965" s="222">
        <f t="shared" si="942"/>
        <v>0</v>
      </c>
      <c r="BU965" s="222">
        <f t="shared" si="942"/>
        <v>0</v>
      </c>
      <c r="BV965" s="223">
        <f t="shared" si="942"/>
        <v>0</v>
      </c>
      <c r="BW965" s="229"/>
      <c r="BX965" s="215"/>
      <c r="BY965" s="125">
        <f t="shared" si="789"/>
        <v>62.449999999999996</v>
      </c>
      <c r="BZ965" s="126">
        <f t="shared" si="790"/>
        <v>0</v>
      </c>
      <c r="CA965" s="126">
        <f t="shared" si="791"/>
        <v>156.42699999999999</v>
      </c>
      <c r="CB965" s="127">
        <f t="shared" si="791"/>
        <v>0</v>
      </c>
      <c r="CC965" s="768"/>
    </row>
    <row r="966" spans="1:81" s="230" customFormat="1" ht="15.75" customHeight="1" outlineLevel="5" x14ac:dyDescent="0.25">
      <c r="A966" s="216"/>
      <c r="B966" s="215"/>
      <c r="C966" s="216"/>
      <c r="D966" s="216"/>
      <c r="E966" s="216"/>
      <c r="F966" s="216"/>
      <c r="G966" s="216"/>
      <c r="H966" s="216"/>
      <c r="I966" s="216"/>
      <c r="J966" s="215"/>
      <c r="K966" s="217"/>
      <c r="L966" s="216"/>
      <c r="M966" s="215"/>
      <c r="N966" s="215"/>
      <c r="O966" s="215"/>
      <c r="P966" s="215"/>
      <c r="Q966" s="215"/>
      <c r="R966" s="215"/>
      <c r="S966" s="215"/>
      <c r="T966" s="215"/>
      <c r="U966" s="215"/>
      <c r="V966" s="215"/>
      <c r="W966" s="215"/>
      <c r="X966" s="215"/>
      <c r="Y966" s="215"/>
      <c r="Z966" s="215"/>
      <c r="AA966" s="215"/>
      <c r="AB966" s="247"/>
      <c r="AC966" s="219" t="s">
        <v>246</v>
      </c>
      <c r="AD966" s="220" t="s">
        <v>247</v>
      </c>
      <c r="AE966" s="221">
        <f t="shared" ref="AE966:AK968" si="943">AE226</f>
        <v>0</v>
      </c>
      <c r="AF966" s="222">
        <f t="shared" si="943"/>
        <v>0</v>
      </c>
      <c r="AG966" s="222">
        <f t="shared" si="943"/>
        <v>0</v>
      </c>
      <c r="AH966" s="767">
        <f t="shared" si="943"/>
        <v>0</v>
      </c>
      <c r="AI966" s="221">
        <f t="shared" si="943"/>
        <v>0</v>
      </c>
      <c r="AJ966" s="222">
        <f t="shared" si="943"/>
        <v>0</v>
      </c>
      <c r="AK966" s="222">
        <f t="shared" si="943"/>
        <v>0</v>
      </c>
      <c r="AL966" s="767">
        <f t="shared" ref="AL966" si="944">AL226</f>
        <v>0</v>
      </c>
      <c r="AM966" s="221">
        <f t="shared" ref="AM966:AO968" si="945">AM226</f>
        <v>0</v>
      </c>
      <c r="AN966" s="222">
        <f t="shared" si="945"/>
        <v>0</v>
      </c>
      <c r="AO966" s="222">
        <f t="shared" si="945"/>
        <v>0</v>
      </c>
      <c r="AP966" s="767">
        <f t="shared" ref="AP966" si="946">AP226</f>
        <v>0</v>
      </c>
      <c r="AQ966" s="221">
        <f t="shared" ref="AQ966:AW968" si="947">AQ226</f>
        <v>5.24</v>
      </c>
      <c r="AR966" s="222">
        <f t="shared" si="947"/>
        <v>10.16</v>
      </c>
      <c r="AS966" s="222">
        <f t="shared" si="947"/>
        <v>5.76</v>
      </c>
      <c r="AT966" s="767">
        <f t="shared" si="947"/>
        <v>0</v>
      </c>
      <c r="AU966" s="221">
        <f t="shared" si="947"/>
        <v>0</v>
      </c>
      <c r="AV966" s="222">
        <f t="shared" si="947"/>
        <v>0</v>
      </c>
      <c r="AW966" s="222">
        <f t="shared" si="947"/>
        <v>0</v>
      </c>
      <c r="AX966" s="767">
        <f t="shared" ref="AX966" si="948">AX226</f>
        <v>0</v>
      </c>
      <c r="AY966" s="221">
        <f t="shared" ref="AY966:BA968" si="949">AY226</f>
        <v>0</v>
      </c>
      <c r="AZ966" s="222">
        <f t="shared" si="949"/>
        <v>0</v>
      </c>
      <c r="BA966" s="222">
        <f t="shared" si="949"/>
        <v>0</v>
      </c>
      <c r="BB966" s="767">
        <f t="shared" ref="BB966" si="950">BB226</f>
        <v>0</v>
      </c>
      <c r="BC966" s="221">
        <f t="shared" ref="BC966:BE968" si="951">BC226</f>
        <v>0</v>
      </c>
      <c r="BD966" s="222">
        <f t="shared" si="951"/>
        <v>0</v>
      </c>
      <c r="BE966" s="222">
        <f t="shared" si="951"/>
        <v>0</v>
      </c>
      <c r="BF966" s="767">
        <f t="shared" ref="BF966" si="952">BF226</f>
        <v>0</v>
      </c>
      <c r="BG966" s="221">
        <f t="shared" ref="BG966:BI968" si="953">BG226</f>
        <v>0</v>
      </c>
      <c r="BH966" s="222">
        <f t="shared" si="953"/>
        <v>0</v>
      </c>
      <c r="BI966" s="222">
        <f t="shared" si="953"/>
        <v>0</v>
      </c>
      <c r="BJ966" s="767">
        <f t="shared" ref="BJ966" si="954">BJ226</f>
        <v>0</v>
      </c>
      <c r="BK966" s="221">
        <f t="shared" ref="BK966:BM968" si="955">BK226</f>
        <v>20.86</v>
      </c>
      <c r="BL966" s="222">
        <f t="shared" si="955"/>
        <v>0</v>
      </c>
      <c r="BM966" s="222">
        <f t="shared" si="955"/>
        <v>2.08</v>
      </c>
      <c r="BN966" s="767">
        <f t="shared" ref="BN966" si="956">BN226</f>
        <v>0</v>
      </c>
      <c r="BO966" s="221">
        <f t="shared" ref="BO966:BV968" si="957">BO226</f>
        <v>0</v>
      </c>
      <c r="BP966" s="222">
        <f t="shared" si="957"/>
        <v>0</v>
      </c>
      <c r="BQ966" s="222">
        <f t="shared" si="957"/>
        <v>0</v>
      </c>
      <c r="BR966" s="767">
        <f t="shared" si="957"/>
        <v>0</v>
      </c>
      <c r="BS966" s="221">
        <f t="shared" si="957"/>
        <v>0</v>
      </c>
      <c r="BT966" s="222">
        <f t="shared" si="957"/>
        <v>0</v>
      </c>
      <c r="BU966" s="222">
        <f t="shared" si="957"/>
        <v>0</v>
      </c>
      <c r="BV966" s="223">
        <f t="shared" si="957"/>
        <v>0</v>
      </c>
      <c r="BW966" s="229"/>
      <c r="BX966" s="215"/>
      <c r="BY966" s="125">
        <f t="shared" si="789"/>
        <v>26.1</v>
      </c>
      <c r="BZ966" s="126">
        <f t="shared" si="790"/>
        <v>10.16</v>
      </c>
      <c r="CA966" s="126">
        <f t="shared" si="791"/>
        <v>7.84</v>
      </c>
      <c r="CB966" s="127">
        <f t="shared" si="791"/>
        <v>0</v>
      </c>
      <c r="CC966" s="768"/>
    </row>
    <row r="967" spans="1:81" s="230" customFormat="1" ht="30" customHeight="1" outlineLevel="5" x14ac:dyDescent="0.25">
      <c r="A967" s="216"/>
      <c r="B967" s="215"/>
      <c r="C967" s="216"/>
      <c r="D967" s="216"/>
      <c r="E967" s="216"/>
      <c r="F967" s="216"/>
      <c r="G967" s="216"/>
      <c r="H967" s="216"/>
      <c r="I967" s="216"/>
      <c r="J967" s="215"/>
      <c r="K967" s="217"/>
      <c r="L967" s="216"/>
      <c r="M967" s="215"/>
      <c r="N967" s="215"/>
      <c r="O967" s="215"/>
      <c r="P967" s="215"/>
      <c r="Q967" s="215"/>
      <c r="R967" s="215"/>
      <c r="S967" s="215"/>
      <c r="T967" s="215"/>
      <c r="U967" s="215"/>
      <c r="V967" s="215"/>
      <c r="W967" s="215"/>
      <c r="X967" s="215"/>
      <c r="Y967" s="215"/>
      <c r="Z967" s="215"/>
      <c r="AA967" s="215"/>
      <c r="AB967" s="247"/>
      <c r="AC967" s="219" t="s">
        <v>296</v>
      </c>
      <c r="AD967" s="220" t="s">
        <v>247</v>
      </c>
      <c r="AE967" s="221">
        <f t="shared" si="943"/>
        <v>0</v>
      </c>
      <c r="AF967" s="222">
        <f t="shared" si="943"/>
        <v>0</v>
      </c>
      <c r="AG967" s="222">
        <f t="shared" si="943"/>
        <v>0</v>
      </c>
      <c r="AH967" s="767">
        <f t="shared" si="943"/>
        <v>0</v>
      </c>
      <c r="AI967" s="221">
        <f t="shared" si="943"/>
        <v>0</v>
      </c>
      <c r="AJ967" s="222">
        <f t="shared" si="943"/>
        <v>0</v>
      </c>
      <c r="AK967" s="222">
        <f t="shared" si="943"/>
        <v>0</v>
      </c>
      <c r="AL967" s="767">
        <f t="shared" ref="AL967" si="958">AL227</f>
        <v>0</v>
      </c>
      <c r="AM967" s="221">
        <f t="shared" si="945"/>
        <v>7.5</v>
      </c>
      <c r="AN967" s="222">
        <f t="shared" si="945"/>
        <v>0</v>
      </c>
      <c r="AO967" s="222">
        <f t="shared" si="945"/>
        <v>7.54</v>
      </c>
      <c r="AP967" s="767">
        <f t="shared" ref="AP967" si="959">AP227</f>
        <v>0</v>
      </c>
      <c r="AQ967" s="221">
        <f t="shared" si="947"/>
        <v>0</v>
      </c>
      <c r="AR967" s="222">
        <f t="shared" si="947"/>
        <v>0</v>
      </c>
      <c r="AS967" s="222">
        <f t="shared" si="947"/>
        <v>0</v>
      </c>
      <c r="AT967" s="767">
        <f t="shared" si="947"/>
        <v>0</v>
      </c>
      <c r="AU967" s="221">
        <f t="shared" si="947"/>
        <v>0</v>
      </c>
      <c r="AV967" s="222">
        <f t="shared" si="947"/>
        <v>0</v>
      </c>
      <c r="AW967" s="222">
        <f t="shared" si="947"/>
        <v>0</v>
      </c>
      <c r="AX967" s="767">
        <f t="shared" ref="AX967" si="960">AX227</f>
        <v>0</v>
      </c>
      <c r="AY967" s="221">
        <f t="shared" si="949"/>
        <v>0</v>
      </c>
      <c r="AZ967" s="222">
        <f t="shared" si="949"/>
        <v>0</v>
      </c>
      <c r="BA967" s="222">
        <f t="shared" si="949"/>
        <v>3.13</v>
      </c>
      <c r="BB967" s="767">
        <f t="shared" ref="BB967" si="961">BB227</f>
        <v>0</v>
      </c>
      <c r="BC967" s="221">
        <f t="shared" si="951"/>
        <v>0</v>
      </c>
      <c r="BD967" s="222">
        <f t="shared" si="951"/>
        <v>0</v>
      </c>
      <c r="BE967" s="222">
        <f t="shared" si="951"/>
        <v>0</v>
      </c>
      <c r="BF967" s="767">
        <f t="shared" ref="BF967" si="962">BF227</f>
        <v>0</v>
      </c>
      <c r="BG967" s="221">
        <f t="shared" si="953"/>
        <v>0</v>
      </c>
      <c r="BH967" s="222">
        <f t="shared" si="953"/>
        <v>0</v>
      </c>
      <c r="BI967" s="222">
        <f t="shared" si="953"/>
        <v>0</v>
      </c>
      <c r="BJ967" s="767">
        <f t="shared" ref="BJ967" si="963">BJ227</f>
        <v>0</v>
      </c>
      <c r="BK967" s="221">
        <f t="shared" si="955"/>
        <v>12.31</v>
      </c>
      <c r="BL967" s="222">
        <f t="shared" si="955"/>
        <v>0</v>
      </c>
      <c r="BM967" s="222">
        <f t="shared" si="955"/>
        <v>48.76</v>
      </c>
      <c r="BN967" s="767">
        <f t="shared" ref="BN967" si="964">BN227</f>
        <v>0</v>
      </c>
      <c r="BO967" s="221">
        <f t="shared" si="957"/>
        <v>0</v>
      </c>
      <c r="BP967" s="222">
        <f t="shared" si="957"/>
        <v>0</v>
      </c>
      <c r="BQ967" s="222">
        <f t="shared" si="957"/>
        <v>1.4350000000000001</v>
      </c>
      <c r="BR967" s="767">
        <f t="shared" si="957"/>
        <v>0</v>
      </c>
      <c r="BS967" s="221">
        <f t="shared" si="957"/>
        <v>0</v>
      </c>
      <c r="BT967" s="222">
        <f t="shared" si="957"/>
        <v>0</v>
      </c>
      <c r="BU967" s="222">
        <f t="shared" si="957"/>
        <v>0</v>
      </c>
      <c r="BV967" s="223">
        <f t="shared" si="957"/>
        <v>0</v>
      </c>
      <c r="BW967" s="229"/>
      <c r="BX967" s="215"/>
      <c r="BY967" s="125">
        <f t="shared" si="789"/>
        <v>19.810000000000002</v>
      </c>
      <c r="BZ967" s="126">
        <f t="shared" si="790"/>
        <v>0</v>
      </c>
      <c r="CA967" s="126">
        <f t="shared" si="791"/>
        <v>60.865000000000002</v>
      </c>
      <c r="CB967" s="127">
        <f t="shared" si="791"/>
        <v>0</v>
      </c>
      <c r="CC967" s="768"/>
    </row>
    <row r="968" spans="1:81" s="230" customFormat="1" ht="30.75" customHeight="1" outlineLevel="5" x14ac:dyDescent="0.25">
      <c r="A968" s="216"/>
      <c r="B968" s="215"/>
      <c r="C968" s="216"/>
      <c r="D968" s="216"/>
      <c r="E968" s="216"/>
      <c r="F968" s="216"/>
      <c r="G968" s="216"/>
      <c r="H968" s="216"/>
      <c r="I968" s="216"/>
      <c r="J968" s="215"/>
      <c r="K968" s="217"/>
      <c r="L968" s="216"/>
      <c r="M968" s="215"/>
      <c r="N968" s="215"/>
      <c r="O968" s="215"/>
      <c r="P968" s="215"/>
      <c r="Q968" s="215"/>
      <c r="R968" s="215"/>
      <c r="S968" s="215"/>
      <c r="T968" s="215"/>
      <c r="U968" s="215"/>
      <c r="V968" s="215"/>
      <c r="W968" s="215"/>
      <c r="X968" s="215"/>
      <c r="Y968" s="215"/>
      <c r="Z968" s="215"/>
      <c r="AA968" s="215"/>
      <c r="AB968" s="247"/>
      <c r="AC968" s="250" t="s">
        <v>297</v>
      </c>
      <c r="AD968" s="220" t="s">
        <v>247</v>
      </c>
      <c r="AE968" s="221">
        <f t="shared" si="943"/>
        <v>0</v>
      </c>
      <c r="AF968" s="222">
        <f t="shared" si="943"/>
        <v>0</v>
      </c>
      <c r="AG968" s="222">
        <f t="shared" si="943"/>
        <v>0</v>
      </c>
      <c r="AH968" s="767">
        <f t="shared" si="943"/>
        <v>0</v>
      </c>
      <c r="AI968" s="221">
        <f t="shared" si="943"/>
        <v>0</v>
      </c>
      <c r="AJ968" s="222">
        <f t="shared" si="943"/>
        <v>0</v>
      </c>
      <c r="AK968" s="222">
        <f t="shared" si="943"/>
        <v>0</v>
      </c>
      <c r="AL968" s="767">
        <f t="shared" ref="AL968" si="965">AL228</f>
        <v>0</v>
      </c>
      <c r="AM968" s="221">
        <f t="shared" si="945"/>
        <v>0</v>
      </c>
      <c r="AN968" s="222">
        <f t="shared" si="945"/>
        <v>0</v>
      </c>
      <c r="AO968" s="222">
        <f t="shared" si="945"/>
        <v>0</v>
      </c>
      <c r="AP968" s="767">
        <f t="shared" ref="AP968" si="966">AP228</f>
        <v>0</v>
      </c>
      <c r="AQ968" s="221">
        <f t="shared" si="947"/>
        <v>0</v>
      </c>
      <c r="AR968" s="222">
        <f t="shared" si="947"/>
        <v>0</v>
      </c>
      <c r="AS968" s="222">
        <f t="shared" si="947"/>
        <v>0</v>
      </c>
      <c r="AT968" s="767">
        <f t="shared" si="947"/>
        <v>0</v>
      </c>
      <c r="AU968" s="221">
        <f t="shared" si="947"/>
        <v>0</v>
      </c>
      <c r="AV968" s="222">
        <f t="shared" si="947"/>
        <v>0</v>
      </c>
      <c r="AW968" s="222">
        <f t="shared" si="947"/>
        <v>0</v>
      </c>
      <c r="AX968" s="767">
        <f t="shared" ref="AX968" si="967">AX228</f>
        <v>0</v>
      </c>
      <c r="AY968" s="221">
        <f t="shared" si="949"/>
        <v>0</v>
      </c>
      <c r="AZ968" s="222">
        <f t="shared" si="949"/>
        <v>0</v>
      </c>
      <c r="BA968" s="222">
        <f t="shared" si="949"/>
        <v>0</v>
      </c>
      <c r="BB968" s="767">
        <f t="shared" ref="BB968" si="968">BB228</f>
        <v>0</v>
      </c>
      <c r="BC968" s="221">
        <f t="shared" si="951"/>
        <v>0</v>
      </c>
      <c r="BD968" s="222">
        <f t="shared" si="951"/>
        <v>0</v>
      </c>
      <c r="BE968" s="222">
        <f t="shared" si="951"/>
        <v>0</v>
      </c>
      <c r="BF968" s="767">
        <f t="shared" ref="BF968" si="969">BF228</f>
        <v>0</v>
      </c>
      <c r="BG968" s="221">
        <f t="shared" si="953"/>
        <v>0</v>
      </c>
      <c r="BH968" s="222">
        <f t="shared" si="953"/>
        <v>0</v>
      </c>
      <c r="BI968" s="222">
        <f t="shared" si="953"/>
        <v>0</v>
      </c>
      <c r="BJ968" s="767">
        <f t="shared" ref="BJ968" si="970">BJ228</f>
        <v>0</v>
      </c>
      <c r="BK968" s="221">
        <f t="shared" si="955"/>
        <v>0</v>
      </c>
      <c r="BL968" s="222">
        <f t="shared" si="955"/>
        <v>0</v>
      </c>
      <c r="BM968" s="222">
        <f t="shared" si="955"/>
        <v>0</v>
      </c>
      <c r="BN968" s="767">
        <f t="shared" ref="BN968" si="971">BN228</f>
        <v>0</v>
      </c>
      <c r="BO968" s="221">
        <f t="shared" si="957"/>
        <v>0</v>
      </c>
      <c r="BP968" s="222">
        <f t="shared" si="957"/>
        <v>0</v>
      </c>
      <c r="BQ968" s="222">
        <f t="shared" si="957"/>
        <v>0</v>
      </c>
      <c r="BR968" s="767">
        <f t="shared" si="957"/>
        <v>0</v>
      </c>
      <c r="BS968" s="221">
        <f t="shared" si="957"/>
        <v>0</v>
      </c>
      <c r="BT968" s="222">
        <f t="shared" si="957"/>
        <v>0</v>
      </c>
      <c r="BU968" s="222">
        <f t="shared" si="957"/>
        <v>0</v>
      </c>
      <c r="BV968" s="223">
        <f t="shared" si="957"/>
        <v>0</v>
      </c>
      <c r="BW968" s="229"/>
      <c r="BX968" s="215"/>
      <c r="BY968" s="125">
        <f t="shared" si="789"/>
        <v>0</v>
      </c>
      <c r="BZ968" s="126">
        <f t="shared" si="790"/>
        <v>0</v>
      </c>
      <c r="CA968" s="126">
        <f t="shared" si="791"/>
        <v>0</v>
      </c>
      <c r="CB968" s="127">
        <f t="shared" si="791"/>
        <v>0</v>
      </c>
      <c r="CC968" s="768"/>
    </row>
    <row r="969" spans="1:81" s="230" customFormat="1" ht="17.45" customHeight="1" outlineLevel="5" x14ac:dyDescent="0.25">
      <c r="A969" s="216"/>
      <c r="B969" s="215"/>
      <c r="C969" s="216"/>
      <c r="D969" s="216"/>
      <c r="E969" s="216"/>
      <c r="F969" s="216"/>
      <c r="G969" s="216"/>
      <c r="H969" s="216"/>
      <c r="I969" s="216"/>
      <c r="J969" s="215"/>
      <c r="K969" s="217"/>
      <c r="L969" s="216"/>
      <c r="M969" s="215"/>
      <c r="N969" s="215"/>
      <c r="O969" s="215"/>
      <c r="P969" s="215"/>
      <c r="Q969" s="215"/>
      <c r="R969" s="215"/>
      <c r="S969" s="215"/>
      <c r="T969" s="215"/>
      <c r="U969" s="215"/>
      <c r="V969" s="215"/>
      <c r="W969" s="215"/>
      <c r="X969" s="215"/>
      <c r="Y969" s="215"/>
      <c r="Z969" s="215"/>
      <c r="AA969" s="215"/>
      <c r="AB969" s="247"/>
      <c r="AC969" s="219" t="s">
        <v>298</v>
      </c>
      <c r="AD969" s="220" t="s">
        <v>247</v>
      </c>
      <c r="AE969" s="221">
        <f t="shared" ref="AE969:AK969" si="972">AE229+AE571</f>
        <v>0</v>
      </c>
      <c r="AF969" s="222">
        <f t="shared" si="972"/>
        <v>0</v>
      </c>
      <c r="AG969" s="222">
        <f t="shared" si="972"/>
        <v>0</v>
      </c>
      <c r="AH969" s="767">
        <f t="shared" si="972"/>
        <v>0</v>
      </c>
      <c r="AI969" s="221">
        <f t="shared" si="972"/>
        <v>58.49</v>
      </c>
      <c r="AJ969" s="222">
        <f t="shared" si="972"/>
        <v>0</v>
      </c>
      <c r="AK969" s="222">
        <f t="shared" si="972"/>
        <v>60.83</v>
      </c>
      <c r="AL969" s="767">
        <f t="shared" ref="AL969" si="973">AL229+AL571</f>
        <v>60.83</v>
      </c>
      <c r="AM969" s="221">
        <f>AM229+AM571</f>
        <v>39.549999999999997</v>
      </c>
      <c r="AN969" s="222">
        <f>AN229+AN571</f>
        <v>0</v>
      </c>
      <c r="AO969" s="222">
        <f>AO229+AO571</f>
        <v>43.52</v>
      </c>
      <c r="AP969" s="767">
        <f>AP229+AP571</f>
        <v>0</v>
      </c>
      <c r="AQ969" s="221">
        <f t="shared" ref="AQ969:AW969" si="974">AQ229+AQ571</f>
        <v>90.9</v>
      </c>
      <c r="AR969" s="222">
        <f t="shared" si="974"/>
        <v>0</v>
      </c>
      <c r="AS969" s="222">
        <f t="shared" si="974"/>
        <v>100.02</v>
      </c>
      <c r="AT969" s="767">
        <f t="shared" si="974"/>
        <v>0</v>
      </c>
      <c r="AU969" s="221">
        <f t="shared" si="974"/>
        <v>19.7</v>
      </c>
      <c r="AV969" s="222">
        <f t="shared" si="974"/>
        <v>1.72</v>
      </c>
      <c r="AW969" s="222">
        <f t="shared" si="974"/>
        <v>29.22</v>
      </c>
      <c r="AX969" s="767">
        <f t="shared" ref="AX969" si="975">AX229+AX571</f>
        <v>0</v>
      </c>
      <c r="AY969" s="221">
        <f t="shared" ref="AY969:BN969" si="976">AY229+AY571</f>
        <v>9.6999999999999993</v>
      </c>
      <c r="AZ969" s="222">
        <f t="shared" si="976"/>
        <v>0</v>
      </c>
      <c r="BA969" s="222">
        <f t="shared" si="976"/>
        <v>10.67</v>
      </c>
      <c r="BB969" s="767">
        <f t="shared" si="976"/>
        <v>0</v>
      </c>
      <c r="BC969" s="221">
        <f t="shared" si="976"/>
        <v>89.242000000000004</v>
      </c>
      <c r="BD969" s="222">
        <f t="shared" si="976"/>
        <v>0</v>
      </c>
      <c r="BE969" s="222">
        <f t="shared" si="976"/>
        <v>89</v>
      </c>
      <c r="BF969" s="767">
        <f t="shared" si="976"/>
        <v>0</v>
      </c>
      <c r="BG969" s="221">
        <f t="shared" si="976"/>
        <v>0</v>
      </c>
      <c r="BH969" s="222">
        <f t="shared" si="976"/>
        <v>0</v>
      </c>
      <c r="BI969" s="222">
        <f t="shared" si="976"/>
        <v>0</v>
      </c>
      <c r="BJ969" s="767">
        <f t="shared" si="976"/>
        <v>0</v>
      </c>
      <c r="BK969" s="221">
        <f t="shared" si="976"/>
        <v>0</v>
      </c>
      <c r="BL969" s="222">
        <f t="shared" si="976"/>
        <v>0</v>
      </c>
      <c r="BM969" s="222">
        <f t="shared" si="976"/>
        <v>0</v>
      </c>
      <c r="BN969" s="767">
        <f t="shared" si="976"/>
        <v>0</v>
      </c>
      <c r="BO969" s="221">
        <f t="shared" ref="BO969:BV969" si="977">BO229+BO571</f>
        <v>0</v>
      </c>
      <c r="BP969" s="222">
        <f t="shared" si="977"/>
        <v>0</v>
      </c>
      <c r="BQ969" s="222">
        <f t="shared" si="977"/>
        <v>0</v>
      </c>
      <c r="BR969" s="767">
        <f t="shared" si="977"/>
        <v>0</v>
      </c>
      <c r="BS969" s="221">
        <f t="shared" si="977"/>
        <v>0</v>
      </c>
      <c r="BT969" s="222">
        <f t="shared" si="977"/>
        <v>0</v>
      </c>
      <c r="BU969" s="222">
        <f t="shared" si="977"/>
        <v>0</v>
      </c>
      <c r="BV969" s="223">
        <f t="shared" si="977"/>
        <v>0</v>
      </c>
      <c r="BW969" s="229"/>
      <c r="BX969" s="215"/>
      <c r="BY969" s="125">
        <f t="shared" si="789"/>
        <v>307.58199999999999</v>
      </c>
      <c r="BZ969" s="126">
        <f t="shared" si="790"/>
        <v>1.72</v>
      </c>
      <c r="CA969" s="126">
        <f t="shared" si="791"/>
        <v>333.26</v>
      </c>
      <c r="CB969" s="127">
        <f t="shared" si="791"/>
        <v>60.83</v>
      </c>
      <c r="CC969" s="768"/>
    </row>
    <row r="970" spans="1:81" s="230" customFormat="1" ht="17.45" customHeight="1" outlineLevel="5" x14ac:dyDescent="0.25">
      <c r="A970" s="216"/>
      <c r="B970" s="215"/>
      <c r="C970" s="216"/>
      <c r="D970" s="216"/>
      <c r="E970" s="216"/>
      <c r="F970" s="216"/>
      <c r="G970" s="216"/>
      <c r="H970" s="216"/>
      <c r="I970" s="216"/>
      <c r="J970" s="215"/>
      <c r="K970" s="217"/>
      <c r="L970" s="216"/>
      <c r="M970" s="215"/>
      <c r="N970" s="215"/>
      <c r="O970" s="215"/>
      <c r="P970" s="215"/>
      <c r="Q970" s="215"/>
      <c r="R970" s="215"/>
      <c r="S970" s="215"/>
      <c r="T970" s="215"/>
      <c r="U970" s="215"/>
      <c r="V970" s="215"/>
      <c r="W970" s="215"/>
      <c r="X970" s="215"/>
      <c r="Y970" s="215"/>
      <c r="Z970" s="215"/>
      <c r="AA970" s="215"/>
      <c r="AB970" s="247"/>
      <c r="AC970" s="219" t="s">
        <v>299</v>
      </c>
      <c r="AD970" s="220" t="s">
        <v>247</v>
      </c>
      <c r="AE970" s="221">
        <f t="shared" ref="AE970:AK970" si="978">AE230</f>
        <v>0</v>
      </c>
      <c r="AF970" s="222">
        <f t="shared" si="978"/>
        <v>0</v>
      </c>
      <c r="AG970" s="222">
        <f t="shared" si="978"/>
        <v>0</v>
      </c>
      <c r="AH970" s="767">
        <f t="shared" si="978"/>
        <v>0</v>
      </c>
      <c r="AI970" s="221">
        <f t="shared" si="978"/>
        <v>0</v>
      </c>
      <c r="AJ970" s="222">
        <f t="shared" si="978"/>
        <v>0</v>
      </c>
      <c r="AK970" s="222">
        <f t="shared" si="978"/>
        <v>0</v>
      </c>
      <c r="AL970" s="767">
        <f t="shared" ref="AL970" si="979">AL230</f>
        <v>0</v>
      </c>
      <c r="AM970" s="221">
        <f>AM230</f>
        <v>0</v>
      </c>
      <c r="AN970" s="222">
        <f>AN230</f>
        <v>0</v>
      </c>
      <c r="AO970" s="222">
        <f>AO230</f>
        <v>700</v>
      </c>
      <c r="AP970" s="767">
        <f>AP230</f>
        <v>0</v>
      </c>
      <c r="AQ970" s="221">
        <f t="shared" ref="AQ970:AW970" si="980">AQ230</f>
        <v>0</v>
      </c>
      <c r="AR970" s="222">
        <f t="shared" si="980"/>
        <v>0</v>
      </c>
      <c r="AS970" s="222">
        <f t="shared" si="980"/>
        <v>0</v>
      </c>
      <c r="AT970" s="767">
        <f t="shared" si="980"/>
        <v>0</v>
      </c>
      <c r="AU970" s="221">
        <f t="shared" si="980"/>
        <v>0</v>
      </c>
      <c r="AV970" s="222">
        <f t="shared" si="980"/>
        <v>0</v>
      </c>
      <c r="AW970" s="222">
        <f t="shared" si="980"/>
        <v>0</v>
      </c>
      <c r="AX970" s="767">
        <f t="shared" ref="AX970" si="981">AX230</f>
        <v>0</v>
      </c>
      <c r="AY970" s="221">
        <f t="shared" ref="AY970:BN970" si="982">AY230</f>
        <v>0</v>
      </c>
      <c r="AZ970" s="222">
        <f t="shared" si="982"/>
        <v>0</v>
      </c>
      <c r="BA970" s="222">
        <f t="shared" si="982"/>
        <v>277.5</v>
      </c>
      <c r="BB970" s="767">
        <f t="shared" si="982"/>
        <v>0</v>
      </c>
      <c r="BC970" s="221">
        <f t="shared" si="982"/>
        <v>0</v>
      </c>
      <c r="BD970" s="222">
        <f t="shared" si="982"/>
        <v>0</v>
      </c>
      <c r="BE970" s="222">
        <f t="shared" si="982"/>
        <v>124.167</v>
      </c>
      <c r="BF970" s="767">
        <f t="shared" si="982"/>
        <v>0</v>
      </c>
      <c r="BG970" s="221">
        <f t="shared" si="982"/>
        <v>0</v>
      </c>
      <c r="BH970" s="222">
        <f t="shared" si="982"/>
        <v>0</v>
      </c>
      <c r="BI970" s="222">
        <f t="shared" si="982"/>
        <v>352.5</v>
      </c>
      <c r="BJ970" s="767">
        <f t="shared" si="982"/>
        <v>0</v>
      </c>
      <c r="BK970" s="221">
        <f t="shared" si="982"/>
        <v>0</v>
      </c>
      <c r="BL970" s="222">
        <f t="shared" si="982"/>
        <v>0</v>
      </c>
      <c r="BM970" s="222">
        <f t="shared" si="982"/>
        <v>0</v>
      </c>
      <c r="BN970" s="767">
        <f t="shared" si="982"/>
        <v>0</v>
      </c>
      <c r="BO970" s="221">
        <f t="shared" ref="BO970:BV970" si="983">BO230</f>
        <v>0</v>
      </c>
      <c r="BP970" s="222">
        <f t="shared" si="983"/>
        <v>0</v>
      </c>
      <c r="BQ970" s="222">
        <f t="shared" si="983"/>
        <v>0</v>
      </c>
      <c r="BR970" s="767">
        <f t="shared" si="983"/>
        <v>0</v>
      </c>
      <c r="BS970" s="221">
        <f t="shared" si="983"/>
        <v>0</v>
      </c>
      <c r="BT970" s="222">
        <f t="shared" si="983"/>
        <v>0</v>
      </c>
      <c r="BU970" s="222">
        <f t="shared" si="983"/>
        <v>0</v>
      </c>
      <c r="BV970" s="223">
        <f t="shared" si="983"/>
        <v>0</v>
      </c>
      <c r="BW970" s="229"/>
      <c r="BX970" s="215"/>
      <c r="BY970" s="125">
        <f t="shared" si="789"/>
        <v>0</v>
      </c>
      <c r="BZ970" s="126">
        <f t="shared" si="790"/>
        <v>0</v>
      </c>
      <c r="CA970" s="126">
        <f t="shared" si="791"/>
        <v>1454.1669999999999</v>
      </c>
      <c r="CB970" s="127">
        <f t="shared" si="791"/>
        <v>0</v>
      </c>
      <c r="CC970" s="768"/>
    </row>
    <row r="971" spans="1:81" s="230" customFormat="1" ht="17.45" customHeight="1" outlineLevel="5" x14ac:dyDescent="0.25">
      <c r="A971" s="216"/>
      <c r="B971" s="215"/>
      <c r="C971" s="216"/>
      <c r="D971" s="216"/>
      <c r="E971" s="216"/>
      <c r="F971" s="216"/>
      <c r="G971" s="216"/>
      <c r="H971" s="216"/>
      <c r="I971" s="216"/>
      <c r="J971" s="215"/>
      <c r="K971" s="217"/>
      <c r="L971" s="216"/>
      <c r="M971" s="215"/>
      <c r="N971" s="215"/>
      <c r="O971" s="215"/>
      <c r="P971" s="215"/>
      <c r="Q971" s="215"/>
      <c r="R971" s="215"/>
      <c r="S971" s="215"/>
      <c r="T971" s="215"/>
      <c r="U971" s="215"/>
      <c r="V971" s="215"/>
      <c r="W971" s="215"/>
      <c r="X971" s="215"/>
      <c r="Y971" s="215"/>
      <c r="Z971" s="215"/>
      <c r="AA971" s="215"/>
      <c r="AB971" s="247"/>
      <c r="AC971" s="219" t="s">
        <v>300</v>
      </c>
      <c r="AD971" s="220" t="s">
        <v>247</v>
      </c>
      <c r="AE971" s="221">
        <f t="shared" ref="AE971:AK971" si="984">AE231+AE578+AE564</f>
        <v>61524.07</v>
      </c>
      <c r="AF971" s="222">
        <f t="shared" si="984"/>
        <v>27555.360000000001</v>
      </c>
      <c r="AG971" s="222">
        <f t="shared" si="984"/>
        <v>73908.33</v>
      </c>
      <c r="AH971" s="767">
        <f t="shared" si="984"/>
        <v>52869.85</v>
      </c>
      <c r="AI971" s="221">
        <f t="shared" si="984"/>
        <v>2635.2</v>
      </c>
      <c r="AJ971" s="222">
        <f t="shared" si="984"/>
        <v>418.01</v>
      </c>
      <c r="AK971" s="222">
        <f t="shared" si="984"/>
        <v>4730.3999999999996</v>
      </c>
      <c r="AL971" s="767">
        <f t="shared" ref="AL971" si="985">AL231+AL578+AL564</f>
        <v>505.30999999999995</v>
      </c>
      <c r="AM971" s="221">
        <f>AM231+AM578+AM564</f>
        <v>1389.6</v>
      </c>
      <c r="AN971" s="222">
        <f>AN231+AN578+AN564</f>
        <v>1054.71</v>
      </c>
      <c r="AO971" s="222">
        <f>AO231+AO578+AO564</f>
        <v>2464.08</v>
      </c>
      <c r="AP971" s="767">
        <f>AP231+AP578+AP564</f>
        <v>0</v>
      </c>
      <c r="AQ971" s="221">
        <f t="shared" ref="AQ971:AW971" si="986">AQ231+AQ578+AQ564</f>
        <v>1743.1</v>
      </c>
      <c r="AR971" s="222">
        <f t="shared" si="986"/>
        <v>0</v>
      </c>
      <c r="AS971" s="222">
        <f t="shared" si="986"/>
        <v>2656.28</v>
      </c>
      <c r="AT971" s="767">
        <f t="shared" si="986"/>
        <v>0</v>
      </c>
      <c r="AU971" s="221">
        <f t="shared" si="986"/>
        <v>1404.6</v>
      </c>
      <c r="AV971" s="222">
        <f t="shared" si="986"/>
        <v>0</v>
      </c>
      <c r="AW971" s="222">
        <f t="shared" si="986"/>
        <v>2497.8000000000002</v>
      </c>
      <c r="AX971" s="767">
        <f t="shared" ref="AX971" si="987">AX231+AX578+AX564</f>
        <v>0</v>
      </c>
      <c r="AY971" s="221">
        <f t="shared" ref="AY971:BK971" si="988">AY231+AY578+AY564</f>
        <v>1173.5999999999999</v>
      </c>
      <c r="AZ971" s="222">
        <f t="shared" si="988"/>
        <v>0</v>
      </c>
      <c r="BA971" s="222">
        <f t="shared" si="988"/>
        <v>2476.8000000000002</v>
      </c>
      <c r="BB971" s="767">
        <f t="shared" si="988"/>
        <v>0</v>
      </c>
      <c r="BC971" s="221">
        <f t="shared" si="988"/>
        <v>1600.79</v>
      </c>
      <c r="BD971" s="222">
        <f t="shared" si="988"/>
        <v>0</v>
      </c>
      <c r="BE971" s="222">
        <f t="shared" si="988"/>
        <v>2600.0160000000001</v>
      </c>
      <c r="BF971" s="767">
        <f t="shared" si="988"/>
        <v>0</v>
      </c>
      <c r="BG971" s="221">
        <f t="shared" si="988"/>
        <v>261.05</v>
      </c>
      <c r="BH971" s="222">
        <f t="shared" si="988"/>
        <v>0</v>
      </c>
      <c r="BI971" s="222">
        <f t="shared" si="988"/>
        <v>180.048</v>
      </c>
      <c r="BJ971" s="767">
        <f t="shared" si="988"/>
        <v>0</v>
      </c>
      <c r="BK971" s="221">
        <f t="shared" si="988"/>
        <v>4343.49</v>
      </c>
      <c r="BL971" s="222">
        <f>BL231+BL578+BL564+0.02</f>
        <v>112.92999999999999</v>
      </c>
      <c r="BM971" s="222">
        <f>BM231+BM578+BM564</f>
        <v>4651.25</v>
      </c>
      <c r="BN971" s="767">
        <f>BN231+BN578+BN564</f>
        <v>0</v>
      </c>
      <c r="BO971" s="221">
        <f t="shared" ref="BO971:BV971" si="989">BO231+BO578+BO564</f>
        <v>1317.6</v>
      </c>
      <c r="BP971" s="222">
        <f t="shared" si="989"/>
        <v>515.03</v>
      </c>
      <c r="BQ971" s="222">
        <f t="shared" si="989"/>
        <v>2419.1999999999998</v>
      </c>
      <c r="BR971" s="767">
        <f t="shared" si="989"/>
        <v>0</v>
      </c>
      <c r="BS971" s="221">
        <f t="shared" si="989"/>
        <v>1402.6</v>
      </c>
      <c r="BT971" s="222">
        <f t="shared" si="989"/>
        <v>1648.98</v>
      </c>
      <c r="BU971" s="222">
        <f t="shared" si="989"/>
        <v>2458.8000000000002</v>
      </c>
      <c r="BV971" s="223">
        <f t="shared" si="989"/>
        <v>173.44</v>
      </c>
      <c r="BW971" s="229"/>
      <c r="BX971" s="215"/>
      <c r="BY971" s="125">
        <f t="shared" si="789"/>
        <v>78795.700000000026</v>
      </c>
      <c r="BZ971" s="126">
        <f t="shared" si="790"/>
        <v>31305.019999999997</v>
      </c>
      <c r="CA971" s="126">
        <f t="shared" si="791"/>
        <v>101043.004</v>
      </c>
      <c r="CB971" s="127">
        <f t="shared" si="791"/>
        <v>53548.6</v>
      </c>
      <c r="CC971" s="768"/>
    </row>
    <row r="972" spans="1:81" s="230" customFormat="1" ht="17.45" customHeight="1" outlineLevel="5" x14ac:dyDescent="0.25">
      <c r="A972" s="216"/>
      <c r="B972" s="215"/>
      <c r="C972" s="216"/>
      <c r="D972" s="216"/>
      <c r="E972" s="216"/>
      <c r="F972" s="216"/>
      <c r="G972" s="216"/>
      <c r="H972" s="216"/>
      <c r="I972" s="216"/>
      <c r="J972" s="215"/>
      <c r="K972" s="217"/>
      <c r="L972" s="216"/>
      <c r="M972" s="215"/>
      <c r="N972" s="215"/>
      <c r="O972" s="215"/>
      <c r="P972" s="215"/>
      <c r="Q972" s="215"/>
      <c r="R972" s="215"/>
      <c r="S972" s="215"/>
      <c r="T972" s="215"/>
      <c r="U972" s="215"/>
      <c r="V972" s="215"/>
      <c r="W972" s="215"/>
      <c r="X972" s="215"/>
      <c r="Y972" s="215"/>
      <c r="Z972" s="215"/>
      <c r="AA972" s="215"/>
      <c r="AB972" s="247"/>
      <c r="AC972" s="219" t="s">
        <v>301</v>
      </c>
      <c r="AD972" s="220" t="s">
        <v>247</v>
      </c>
      <c r="AE972" s="221">
        <f t="shared" ref="AE972:AK972" si="990">AE232</f>
        <v>0</v>
      </c>
      <c r="AF972" s="222">
        <f t="shared" si="990"/>
        <v>0</v>
      </c>
      <c r="AG972" s="222">
        <f t="shared" si="990"/>
        <v>0</v>
      </c>
      <c r="AH972" s="767">
        <f t="shared" si="990"/>
        <v>0</v>
      </c>
      <c r="AI972" s="221">
        <f t="shared" si="990"/>
        <v>0</v>
      </c>
      <c r="AJ972" s="222">
        <f t="shared" si="990"/>
        <v>0</v>
      </c>
      <c r="AK972" s="222">
        <f t="shared" si="990"/>
        <v>0</v>
      </c>
      <c r="AL972" s="767">
        <f t="shared" ref="AL972" si="991">AL232</f>
        <v>0</v>
      </c>
      <c r="AM972" s="221">
        <f>AM232</f>
        <v>0</v>
      </c>
      <c r="AN972" s="222">
        <f>AN232</f>
        <v>0</v>
      </c>
      <c r="AO972" s="222">
        <f>AO232</f>
        <v>0</v>
      </c>
      <c r="AP972" s="767">
        <f>AP232</f>
        <v>0</v>
      </c>
      <c r="AQ972" s="221">
        <f t="shared" ref="AQ972:AW972" si="992">AQ232</f>
        <v>0</v>
      </c>
      <c r="AR972" s="222">
        <f t="shared" si="992"/>
        <v>0</v>
      </c>
      <c r="AS972" s="222">
        <f t="shared" si="992"/>
        <v>0</v>
      </c>
      <c r="AT972" s="767">
        <f t="shared" si="992"/>
        <v>0</v>
      </c>
      <c r="AU972" s="221">
        <f t="shared" si="992"/>
        <v>0</v>
      </c>
      <c r="AV972" s="222">
        <f t="shared" si="992"/>
        <v>0</v>
      </c>
      <c r="AW972" s="222">
        <f t="shared" si="992"/>
        <v>0</v>
      </c>
      <c r="AX972" s="767">
        <f t="shared" ref="AX972" si="993">AX232</f>
        <v>0</v>
      </c>
      <c r="AY972" s="221">
        <f t="shared" ref="AY972:BN972" si="994">AY232</f>
        <v>0</v>
      </c>
      <c r="AZ972" s="222">
        <f t="shared" si="994"/>
        <v>0</v>
      </c>
      <c r="BA972" s="222">
        <f t="shared" si="994"/>
        <v>0</v>
      </c>
      <c r="BB972" s="767">
        <f t="shared" si="994"/>
        <v>0</v>
      </c>
      <c r="BC972" s="221">
        <f t="shared" si="994"/>
        <v>0</v>
      </c>
      <c r="BD972" s="222">
        <f t="shared" si="994"/>
        <v>0</v>
      </c>
      <c r="BE972" s="222">
        <f t="shared" si="994"/>
        <v>0</v>
      </c>
      <c r="BF972" s="767">
        <f t="shared" si="994"/>
        <v>0</v>
      </c>
      <c r="BG972" s="221">
        <f t="shared" si="994"/>
        <v>0</v>
      </c>
      <c r="BH972" s="222">
        <f t="shared" si="994"/>
        <v>0</v>
      </c>
      <c r="BI972" s="222">
        <f t="shared" si="994"/>
        <v>0</v>
      </c>
      <c r="BJ972" s="767">
        <f t="shared" si="994"/>
        <v>0</v>
      </c>
      <c r="BK972" s="221">
        <f t="shared" si="994"/>
        <v>0</v>
      </c>
      <c r="BL972" s="222">
        <f t="shared" si="994"/>
        <v>0</v>
      </c>
      <c r="BM972" s="222">
        <f t="shared" si="994"/>
        <v>0</v>
      </c>
      <c r="BN972" s="767">
        <f t="shared" si="994"/>
        <v>0</v>
      </c>
      <c r="BO972" s="221">
        <f t="shared" ref="BO972:BV972" si="995">BO232</f>
        <v>0</v>
      </c>
      <c r="BP972" s="222">
        <f t="shared" si="995"/>
        <v>0</v>
      </c>
      <c r="BQ972" s="222">
        <f t="shared" si="995"/>
        <v>0</v>
      </c>
      <c r="BR972" s="767">
        <f t="shared" si="995"/>
        <v>0</v>
      </c>
      <c r="BS972" s="221">
        <f t="shared" si="995"/>
        <v>0</v>
      </c>
      <c r="BT972" s="222">
        <f t="shared" si="995"/>
        <v>0</v>
      </c>
      <c r="BU972" s="222">
        <f t="shared" si="995"/>
        <v>0</v>
      </c>
      <c r="BV972" s="223">
        <f t="shared" si="995"/>
        <v>0</v>
      </c>
      <c r="BW972" s="229"/>
      <c r="BX972" s="215"/>
      <c r="BY972" s="125">
        <f t="shared" si="789"/>
        <v>0</v>
      </c>
      <c r="BZ972" s="126">
        <f t="shared" si="790"/>
        <v>0</v>
      </c>
      <c r="CA972" s="126">
        <f t="shared" si="791"/>
        <v>0</v>
      </c>
      <c r="CB972" s="127">
        <f t="shared" si="791"/>
        <v>0</v>
      </c>
      <c r="CC972" s="768"/>
    </row>
    <row r="973" spans="1:81" s="230" customFormat="1" ht="17.45" customHeight="1" outlineLevel="5" x14ac:dyDescent="0.25">
      <c r="A973" s="216"/>
      <c r="B973" s="215"/>
      <c r="C973" s="216"/>
      <c r="D973" s="216"/>
      <c r="E973" s="216"/>
      <c r="F973" s="216"/>
      <c r="G973" s="216"/>
      <c r="H973" s="216"/>
      <c r="I973" s="216"/>
      <c r="J973" s="215"/>
      <c r="K973" s="217"/>
      <c r="L973" s="216"/>
      <c r="M973" s="215"/>
      <c r="N973" s="215"/>
      <c r="O973" s="215"/>
      <c r="P973" s="215"/>
      <c r="Q973" s="215"/>
      <c r="R973" s="215"/>
      <c r="S973" s="215"/>
      <c r="T973" s="215"/>
      <c r="U973" s="215"/>
      <c r="V973" s="215"/>
      <c r="W973" s="215"/>
      <c r="X973" s="215"/>
      <c r="Y973" s="215"/>
      <c r="Z973" s="215"/>
      <c r="AA973" s="215"/>
      <c r="AB973" s="247"/>
      <c r="AC973" s="219" t="s">
        <v>302</v>
      </c>
      <c r="AD973" s="220" t="s">
        <v>247</v>
      </c>
      <c r="AE973" s="221">
        <f t="shared" ref="AE973:AK974" si="996">AE233+AE579</f>
        <v>0</v>
      </c>
      <c r="AF973" s="222">
        <f t="shared" si="996"/>
        <v>0</v>
      </c>
      <c r="AG973" s="222">
        <f t="shared" si="996"/>
        <v>0</v>
      </c>
      <c r="AH973" s="767">
        <f t="shared" si="996"/>
        <v>0</v>
      </c>
      <c r="AI973" s="221">
        <f t="shared" si="996"/>
        <v>0</v>
      </c>
      <c r="AJ973" s="222">
        <f t="shared" si="996"/>
        <v>0</v>
      </c>
      <c r="AK973" s="222">
        <f t="shared" si="996"/>
        <v>0</v>
      </c>
      <c r="AL973" s="767">
        <f t="shared" ref="AL973" si="997">AL233+AL579</f>
        <v>0</v>
      </c>
      <c r="AM973" s="221">
        <f t="shared" ref="AM973:AO974" si="998">AM233+AM579</f>
        <v>58.5</v>
      </c>
      <c r="AN973" s="222">
        <f t="shared" si="998"/>
        <v>0</v>
      </c>
      <c r="AO973" s="222">
        <f t="shared" si="998"/>
        <v>64.37</v>
      </c>
      <c r="AP973" s="767">
        <f t="shared" ref="AP973" si="999">AP233+AP579</f>
        <v>0</v>
      </c>
      <c r="AQ973" s="221">
        <f t="shared" ref="AQ973:AW974" si="1000">AQ233+AQ579</f>
        <v>58.2</v>
      </c>
      <c r="AR973" s="222">
        <f t="shared" si="1000"/>
        <v>0</v>
      </c>
      <c r="AS973" s="222">
        <f t="shared" si="1000"/>
        <v>64.040000000000006</v>
      </c>
      <c r="AT973" s="767">
        <f t="shared" si="1000"/>
        <v>0</v>
      </c>
      <c r="AU973" s="221">
        <f t="shared" si="1000"/>
        <v>23.88</v>
      </c>
      <c r="AV973" s="222">
        <f t="shared" si="1000"/>
        <v>0</v>
      </c>
      <c r="AW973" s="222">
        <f t="shared" si="1000"/>
        <v>26.27</v>
      </c>
      <c r="AX973" s="767">
        <f t="shared" ref="AX973" si="1001">AX233+AX579</f>
        <v>0</v>
      </c>
      <c r="AY973" s="221">
        <f t="shared" ref="AY973:BA974" si="1002">AY233+AY579</f>
        <v>0</v>
      </c>
      <c r="AZ973" s="222">
        <f t="shared" si="1002"/>
        <v>0</v>
      </c>
      <c r="BA973" s="222">
        <f t="shared" si="1002"/>
        <v>0</v>
      </c>
      <c r="BB973" s="767">
        <f t="shared" ref="BB973" si="1003">BB233+BB579</f>
        <v>0</v>
      </c>
      <c r="BC973" s="221">
        <f t="shared" ref="BC973:BE974" si="1004">BC233+BC579</f>
        <v>0</v>
      </c>
      <c r="BD973" s="222">
        <f t="shared" si="1004"/>
        <v>0</v>
      </c>
      <c r="BE973" s="222">
        <f t="shared" si="1004"/>
        <v>0</v>
      </c>
      <c r="BF973" s="767">
        <f t="shared" ref="BF973" si="1005">BF233+BF579</f>
        <v>0</v>
      </c>
      <c r="BG973" s="221">
        <f t="shared" ref="BG973:BI974" si="1006">BG233+BG579</f>
        <v>0</v>
      </c>
      <c r="BH973" s="222">
        <f t="shared" si="1006"/>
        <v>0</v>
      </c>
      <c r="BI973" s="222">
        <f t="shared" si="1006"/>
        <v>0</v>
      </c>
      <c r="BJ973" s="767">
        <f t="shared" ref="BJ973" si="1007">BJ233+BJ579</f>
        <v>0</v>
      </c>
      <c r="BK973" s="221">
        <f t="shared" ref="BK973:BM974" si="1008">BK233+BK579</f>
        <v>18.75</v>
      </c>
      <c r="BL973" s="222">
        <f t="shared" si="1008"/>
        <v>0</v>
      </c>
      <c r="BM973" s="222">
        <f t="shared" si="1008"/>
        <v>0</v>
      </c>
      <c r="BN973" s="767">
        <f t="shared" ref="BN973" si="1009">BN233+BN579</f>
        <v>0</v>
      </c>
      <c r="BO973" s="221">
        <f t="shared" ref="BO973:BV974" si="1010">BO233+BO579</f>
        <v>0</v>
      </c>
      <c r="BP973" s="222">
        <f t="shared" si="1010"/>
        <v>0</v>
      </c>
      <c r="BQ973" s="222">
        <f t="shared" si="1010"/>
        <v>0</v>
      </c>
      <c r="BR973" s="767">
        <f t="shared" si="1010"/>
        <v>0</v>
      </c>
      <c r="BS973" s="221">
        <f t="shared" si="1010"/>
        <v>0</v>
      </c>
      <c r="BT973" s="222">
        <f t="shared" si="1010"/>
        <v>0</v>
      </c>
      <c r="BU973" s="222">
        <f t="shared" si="1010"/>
        <v>0</v>
      </c>
      <c r="BV973" s="223">
        <f t="shared" si="1010"/>
        <v>0</v>
      </c>
      <c r="BW973" s="229"/>
      <c r="BX973" s="215"/>
      <c r="BY973" s="125">
        <f t="shared" si="789"/>
        <v>159.33000000000001</v>
      </c>
      <c r="BZ973" s="126">
        <f t="shared" si="790"/>
        <v>0</v>
      </c>
      <c r="CA973" s="126">
        <f t="shared" si="791"/>
        <v>154.68000000000004</v>
      </c>
      <c r="CB973" s="127">
        <f t="shared" si="791"/>
        <v>0</v>
      </c>
      <c r="CC973" s="768"/>
    </row>
    <row r="974" spans="1:81" s="230" customFormat="1" ht="17.45" customHeight="1" outlineLevel="5" x14ac:dyDescent="0.25">
      <c r="A974" s="216"/>
      <c r="B974" s="215"/>
      <c r="C974" s="216"/>
      <c r="D974" s="216"/>
      <c r="E974" s="216"/>
      <c r="F974" s="216"/>
      <c r="G974" s="216"/>
      <c r="H974" s="216"/>
      <c r="I974" s="216"/>
      <c r="J974" s="215"/>
      <c r="K974" s="217"/>
      <c r="L974" s="216"/>
      <c r="M974" s="215"/>
      <c r="N974" s="215"/>
      <c r="O974" s="215"/>
      <c r="P974" s="215"/>
      <c r="Q974" s="215"/>
      <c r="R974" s="215"/>
      <c r="S974" s="215"/>
      <c r="T974" s="215"/>
      <c r="U974" s="215"/>
      <c r="V974" s="215"/>
      <c r="W974" s="215"/>
      <c r="X974" s="215"/>
      <c r="Y974" s="215"/>
      <c r="Z974" s="215"/>
      <c r="AA974" s="215"/>
      <c r="AB974" s="247"/>
      <c r="AC974" s="250" t="s">
        <v>303</v>
      </c>
      <c r="AD974" s="220" t="s">
        <v>247</v>
      </c>
      <c r="AE974" s="221">
        <f t="shared" si="996"/>
        <v>0</v>
      </c>
      <c r="AF974" s="222">
        <f t="shared" si="996"/>
        <v>0</v>
      </c>
      <c r="AG974" s="222">
        <f t="shared" si="996"/>
        <v>0</v>
      </c>
      <c r="AH974" s="767">
        <f t="shared" si="996"/>
        <v>0</v>
      </c>
      <c r="AI974" s="221">
        <f t="shared" si="996"/>
        <v>0</v>
      </c>
      <c r="AJ974" s="222">
        <f t="shared" si="996"/>
        <v>0</v>
      </c>
      <c r="AK974" s="222">
        <f t="shared" si="996"/>
        <v>0</v>
      </c>
      <c r="AL974" s="767">
        <f t="shared" ref="AL974" si="1011">AL234+AL580</f>
        <v>0</v>
      </c>
      <c r="AM974" s="221">
        <f t="shared" si="998"/>
        <v>0</v>
      </c>
      <c r="AN974" s="222">
        <f t="shared" si="998"/>
        <v>0</v>
      </c>
      <c r="AO974" s="222">
        <f t="shared" si="998"/>
        <v>0</v>
      </c>
      <c r="AP974" s="767">
        <f t="shared" ref="AP974" si="1012">AP234+AP580</f>
        <v>0</v>
      </c>
      <c r="AQ974" s="221">
        <f t="shared" si="1000"/>
        <v>45.32</v>
      </c>
      <c r="AR974" s="222">
        <f t="shared" si="1000"/>
        <v>0</v>
      </c>
      <c r="AS974" s="222">
        <f t="shared" si="1000"/>
        <v>49.86</v>
      </c>
      <c r="AT974" s="767">
        <f t="shared" si="1000"/>
        <v>0</v>
      </c>
      <c r="AU974" s="221">
        <f t="shared" si="1000"/>
        <v>181.70999999999998</v>
      </c>
      <c r="AV974" s="222">
        <f t="shared" si="1000"/>
        <v>0</v>
      </c>
      <c r="AW974" s="222">
        <f t="shared" si="1000"/>
        <v>199.93</v>
      </c>
      <c r="AX974" s="767">
        <f t="shared" ref="AX974" si="1013">AX234+AX580</f>
        <v>0</v>
      </c>
      <c r="AY974" s="221">
        <f t="shared" si="1002"/>
        <v>10.83</v>
      </c>
      <c r="AZ974" s="222">
        <f t="shared" si="1002"/>
        <v>0</v>
      </c>
      <c r="BA974" s="222">
        <f t="shared" si="1002"/>
        <v>11.92</v>
      </c>
      <c r="BB974" s="767">
        <f t="shared" ref="BB974" si="1014">BB234+BB580</f>
        <v>0</v>
      </c>
      <c r="BC974" s="221">
        <f t="shared" si="1004"/>
        <v>12.036</v>
      </c>
      <c r="BD974" s="222">
        <f t="shared" si="1004"/>
        <v>0</v>
      </c>
      <c r="BE974" s="222">
        <f t="shared" si="1004"/>
        <v>12</v>
      </c>
      <c r="BF974" s="767">
        <f t="shared" ref="BF974" si="1015">BF234+BF580</f>
        <v>0</v>
      </c>
      <c r="BG974" s="221">
        <f t="shared" si="1006"/>
        <v>58.332999999999998</v>
      </c>
      <c r="BH974" s="222">
        <f t="shared" si="1006"/>
        <v>0</v>
      </c>
      <c r="BI974" s="222">
        <f t="shared" si="1006"/>
        <v>58.33</v>
      </c>
      <c r="BJ974" s="767">
        <f t="shared" ref="BJ974" si="1016">BJ234+BJ580</f>
        <v>0</v>
      </c>
      <c r="BK974" s="221">
        <f t="shared" si="1008"/>
        <v>4.16</v>
      </c>
      <c r="BL974" s="222">
        <f t="shared" si="1008"/>
        <v>0</v>
      </c>
      <c r="BM974" s="222">
        <f t="shared" si="1008"/>
        <v>41.089999999999996</v>
      </c>
      <c r="BN974" s="767">
        <f t="shared" ref="BN974" si="1017">BN234+BN580</f>
        <v>0</v>
      </c>
      <c r="BO974" s="221">
        <f t="shared" si="1010"/>
        <v>0</v>
      </c>
      <c r="BP974" s="222">
        <f t="shared" si="1010"/>
        <v>0</v>
      </c>
      <c r="BQ974" s="222">
        <f t="shared" si="1010"/>
        <v>0</v>
      </c>
      <c r="BR974" s="767">
        <f t="shared" si="1010"/>
        <v>0</v>
      </c>
      <c r="BS974" s="221">
        <f t="shared" si="1010"/>
        <v>0</v>
      </c>
      <c r="BT974" s="222">
        <f t="shared" si="1010"/>
        <v>0</v>
      </c>
      <c r="BU974" s="222">
        <f t="shared" si="1010"/>
        <v>0</v>
      </c>
      <c r="BV974" s="223">
        <f t="shared" si="1010"/>
        <v>0</v>
      </c>
      <c r="BW974" s="229"/>
      <c r="BX974" s="215"/>
      <c r="BY974" s="125">
        <f t="shared" si="789"/>
        <v>312.38900000000001</v>
      </c>
      <c r="BZ974" s="126">
        <f t="shared" si="790"/>
        <v>0</v>
      </c>
      <c r="CA974" s="126">
        <f t="shared" si="791"/>
        <v>373.13</v>
      </c>
      <c r="CB974" s="127">
        <f t="shared" si="791"/>
        <v>0</v>
      </c>
      <c r="CC974" s="768"/>
    </row>
    <row r="975" spans="1:81" s="230" customFormat="1" ht="17.45" customHeight="1" outlineLevel="5" x14ac:dyDescent="0.25">
      <c r="A975" s="216"/>
      <c r="B975" s="215"/>
      <c r="C975" s="216"/>
      <c r="D975" s="216"/>
      <c r="E975" s="216"/>
      <c r="F975" s="216"/>
      <c r="G975" s="216"/>
      <c r="H975" s="216"/>
      <c r="I975" s="216"/>
      <c r="J975" s="215"/>
      <c r="K975" s="217"/>
      <c r="L975" s="216"/>
      <c r="M975" s="215"/>
      <c r="N975" s="215"/>
      <c r="O975" s="215"/>
      <c r="P975" s="215"/>
      <c r="Q975" s="215"/>
      <c r="R975" s="215"/>
      <c r="S975" s="215"/>
      <c r="T975" s="215"/>
      <c r="U975" s="215"/>
      <c r="V975" s="215"/>
      <c r="W975" s="215"/>
      <c r="X975" s="215"/>
      <c r="Y975" s="215"/>
      <c r="Z975" s="215"/>
      <c r="AA975" s="215"/>
      <c r="AB975" s="247"/>
      <c r="AC975" s="219" t="s">
        <v>304</v>
      </c>
      <c r="AD975" s="220" t="s">
        <v>247</v>
      </c>
      <c r="AE975" s="221">
        <f t="shared" ref="AE975:AK975" si="1018">AE235+AE583</f>
        <v>0</v>
      </c>
      <c r="AF975" s="222">
        <f t="shared" si="1018"/>
        <v>0</v>
      </c>
      <c r="AG975" s="222">
        <f t="shared" si="1018"/>
        <v>0</v>
      </c>
      <c r="AH975" s="767">
        <f t="shared" si="1018"/>
        <v>0</v>
      </c>
      <c r="AI975" s="221">
        <f t="shared" si="1018"/>
        <v>0</v>
      </c>
      <c r="AJ975" s="222">
        <f t="shared" si="1018"/>
        <v>0</v>
      </c>
      <c r="AK975" s="222">
        <f t="shared" si="1018"/>
        <v>0</v>
      </c>
      <c r="AL975" s="767">
        <f t="shared" ref="AL975" si="1019">AL235+AL583</f>
        <v>0</v>
      </c>
      <c r="AM975" s="221">
        <f>AM235+AM583</f>
        <v>0</v>
      </c>
      <c r="AN975" s="222">
        <f>AN235+AN583</f>
        <v>0</v>
      </c>
      <c r="AO975" s="222">
        <f>AO235+AO583</f>
        <v>97.51</v>
      </c>
      <c r="AP975" s="767">
        <f>AP235+AP583</f>
        <v>0</v>
      </c>
      <c r="AQ975" s="221">
        <f t="shared" ref="AQ975:AW975" si="1020">AQ235+AQ583</f>
        <v>0</v>
      </c>
      <c r="AR975" s="222">
        <f t="shared" si="1020"/>
        <v>0</v>
      </c>
      <c r="AS975" s="222">
        <f t="shared" si="1020"/>
        <v>32.5</v>
      </c>
      <c r="AT975" s="767">
        <f t="shared" si="1020"/>
        <v>0</v>
      </c>
      <c r="AU975" s="221">
        <f t="shared" si="1020"/>
        <v>0</v>
      </c>
      <c r="AV975" s="222">
        <f t="shared" si="1020"/>
        <v>0</v>
      </c>
      <c r="AW975" s="222">
        <f t="shared" si="1020"/>
        <v>48.76</v>
      </c>
      <c r="AX975" s="767">
        <f t="shared" ref="AX975" si="1021">AX235+AX583</f>
        <v>0</v>
      </c>
      <c r="AY975" s="221">
        <f t="shared" ref="AY975:BN975" si="1022">AY235+AY583</f>
        <v>0</v>
      </c>
      <c r="AZ975" s="222">
        <f t="shared" si="1022"/>
        <v>0</v>
      </c>
      <c r="BA975" s="222">
        <f t="shared" si="1022"/>
        <v>7.74</v>
      </c>
      <c r="BB975" s="767">
        <f t="shared" si="1022"/>
        <v>0</v>
      </c>
      <c r="BC975" s="221">
        <f t="shared" si="1022"/>
        <v>6.0540000000000003</v>
      </c>
      <c r="BD975" s="222">
        <f t="shared" si="1022"/>
        <v>0</v>
      </c>
      <c r="BE975" s="222">
        <f t="shared" si="1022"/>
        <v>1.2290000000000001</v>
      </c>
      <c r="BF975" s="767">
        <f t="shared" si="1022"/>
        <v>0</v>
      </c>
      <c r="BG975" s="221">
        <f t="shared" si="1022"/>
        <v>2.4369999999999998</v>
      </c>
      <c r="BH975" s="222">
        <f t="shared" si="1022"/>
        <v>2.85</v>
      </c>
      <c r="BI975" s="222">
        <f t="shared" si="1022"/>
        <v>10.457000000000001</v>
      </c>
      <c r="BJ975" s="767">
        <f t="shared" si="1022"/>
        <v>2.9653680000000002</v>
      </c>
      <c r="BK975" s="221">
        <f t="shared" si="1022"/>
        <v>59.120000000000005</v>
      </c>
      <c r="BL975" s="222">
        <f t="shared" si="1022"/>
        <v>0</v>
      </c>
      <c r="BM975" s="222">
        <f t="shared" si="1022"/>
        <v>34.86</v>
      </c>
      <c r="BN975" s="767">
        <f t="shared" si="1022"/>
        <v>0</v>
      </c>
      <c r="BO975" s="221">
        <f t="shared" ref="BO975:BV975" si="1023">BO235+BO583</f>
        <v>3.2440000000000002</v>
      </c>
      <c r="BP975" s="222">
        <f t="shared" si="1023"/>
        <v>0</v>
      </c>
      <c r="BQ975" s="222">
        <f t="shared" si="1023"/>
        <v>3.1</v>
      </c>
      <c r="BR975" s="767">
        <f t="shared" si="1023"/>
        <v>0</v>
      </c>
      <c r="BS975" s="221">
        <f t="shared" si="1023"/>
        <v>0</v>
      </c>
      <c r="BT975" s="222">
        <f t="shared" si="1023"/>
        <v>0</v>
      </c>
      <c r="BU975" s="222">
        <f t="shared" si="1023"/>
        <v>6.33</v>
      </c>
      <c r="BV975" s="223">
        <f t="shared" si="1023"/>
        <v>0</v>
      </c>
      <c r="BW975" s="229"/>
      <c r="BX975" s="215"/>
      <c r="BY975" s="125">
        <f t="shared" si="789"/>
        <v>70.855000000000004</v>
      </c>
      <c r="BZ975" s="126">
        <f t="shared" si="790"/>
        <v>2.85</v>
      </c>
      <c r="CA975" s="126">
        <f t="shared" si="791"/>
        <v>242.48599999999999</v>
      </c>
      <c r="CB975" s="127">
        <f t="shared" si="791"/>
        <v>2.9653680000000002</v>
      </c>
      <c r="CC975" s="768"/>
    </row>
    <row r="976" spans="1:81" s="230" customFormat="1" ht="17.45" customHeight="1" outlineLevel="5" x14ac:dyDescent="0.25">
      <c r="A976" s="216"/>
      <c r="B976" s="215"/>
      <c r="C976" s="216"/>
      <c r="D976" s="216"/>
      <c r="E976" s="216"/>
      <c r="F976" s="216"/>
      <c r="G976" s="216"/>
      <c r="H976" s="216"/>
      <c r="I976" s="216"/>
      <c r="J976" s="215"/>
      <c r="K976" s="217"/>
      <c r="L976" s="216"/>
      <c r="M976" s="215"/>
      <c r="N976" s="215"/>
      <c r="O976" s="215"/>
      <c r="P976" s="215"/>
      <c r="Q976" s="215"/>
      <c r="R976" s="215"/>
      <c r="S976" s="215"/>
      <c r="T976" s="215"/>
      <c r="U976" s="215"/>
      <c r="V976" s="215"/>
      <c r="W976" s="215"/>
      <c r="X976" s="215"/>
      <c r="Y976" s="215"/>
      <c r="Z976" s="215"/>
      <c r="AA976" s="215"/>
      <c r="AB976" s="247"/>
      <c r="AC976" s="219" t="s">
        <v>299</v>
      </c>
      <c r="AD976" s="220" t="s">
        <v>247</v>
      </c>
      <c r="AE976" s="221">
        <f t="shared" ref="AE976:AK977" si="1024">AE236</f>
        <v>0</v>
      </c>
      <c r="AF976" s="222">
        <f t="shared" si="1024"/>
        <v>0</v>
      </c>
      <c r="AG976" s="222">
        <f t="shared" si="1024"/>
        <v>0</v>
      </c>
      <c r="AH976" s="767">
        <f t="shared" si="1024"/>
        <v>0</v>
      </c>
      <c r="AI976" s="221">
        <f t="shared" si="1024"/>
        <v>0</v>
      </c>
      <c r="AJ976" s="222">
        <f t="shared" si="1024"/>
        <v>0</v>
      </c>
      <c r="AK976" s="222">
        <f t="shared" si="1024"/>
        <v>68.599999999999994</v>
      </c>
      <c r="AL976" s="767">
        <f t="shared" ref="AL976" si="1025">AL236</f>
        <v>0</v>
      </c>
      <c r="AM976" s="221">
        <f t="shared" ref="AM976:AO977" si="1026">AM236</f>
        <v>0</v>
      </c>
      <c r="AN976" s="222">
        <f t="shared" si="1026"/>
        <v>0</v>
      </c>
      <c r="AO976" s="222">
        <f t="shared" si="1026"/>
        <v>0</v>
      </c>
      <c r="AP976" s="767">
        <f t="shared" ref="AP976" si="1027">AP236</f>
        <v>0</v>
      </c>
      <c r="AQ976" s="221">
        <f t="shared" ref="AQ976:AW977" si="1028">AQ236</f>
        <v>0</v>
      </c>
      <c r="AR976" s="222">
        <f t="shared" si="1028"/>
        <v>0</v>
      </c>
      <c r="AS976" s="222">
        <f t="shared" si="1028"/>
        <v>124.17</v>
      </c>
      <c r="AT976" s="767">
        <f t="shared" si="1028"/>
        <v>0</v>
      </c>
      <c r="AU976" s="221">
        <f t="shared" si="1028"/>
        <v>0</v>
      </c>
      <c r="AV976" s="222">
        <f t="shared" si="1028"/>
        <v>0</v>
      </c>
      <c r="AW976" s="222">
        <f t="shared" si="1028"/>
        <v>0</v>
      </c>
      <c r="AX976" s="767">
        <f t="shared" ref="AX976" si="1029">AX236</f>
        <v>0</v>
      </c>
      <c r="AY976" s="221">
        <f t="shared" ref="AY976:BA977" si="1030">AY236</f>
        <v>0</v>
      </c>
      <c r="AZ976" s="222">
        <f t="shared" si="1030"/>
        <v>0</v>
      </c>
      <c r="BA976" s="222">
        <f t="shared" si="1030"/>
        <v>0</v>
      </c>
      <c r="BB976" s="767">
        <f t="shared" ref="BB976" si="1031">BB236</f>
        <v>0</v>
      </c>
      <c r="BC976" s="221">
        <f t="shared" ref="BC976:BE977" si="1032">BC236</f>
        <v>0</v>
      </c>
      <c r="BD976" s="222">
        <f t="shared" si="1032"/>
        <v>0</v>
      </c>
      <c r="BE976" s="222">
        <f t="shared" si="1032"/>
        <v>0</v>
      </c>
      <c r="BF976" s="767">
        <f t="shared" ref="BF976" si="1033">BF236</f>
        <v>0</v>
      </c>
      <c r="BG976" s="221">
        <f t="shared" ref="BG976:BI977" si="1034">BG236</f>
        <v>0</v>
      </c>
      <c r="BH976" s="222">
        <f t="shared" si="1034"/>
        <v>0</v>
      </c>
      <c r="BI976" s="222">
        <f t="shared" si="1034"/>
        <v>0</v>
      </c>
      <c r="BJ976" s="767">
        <f t="shared" ref="BJ976" si="1035">BJ236</f>
        <v>0</v>
      </c>
      <c r="BK976" s="221">
        <f t="shared" ref="BK976:BM977" si="1036">BK236</f>
        <v>0</v>
      </c>
      <c r="BL976" s="222">
        <f t="shared" si="1036"/>
        <v>0</v>
      </c>
      <c r="BM976" s="222">
        <f t="shared" si="1036"/>
        <v>0</v>
      </c>
      <c r="BN976" s="767">
        <f t="shared" ref="BN976" si="1037">BN236</f>
        <v>0</v>
      </c>
      <c r="BO976" s="221">
        <f t="shared" ref="BO976:BV977" si="1038">BO236</f>
        <v>0</v>
      </c>
      <c r="BP976" s="222">
        <f t="shared" si="1038"/>
        <v>0</v>
      </c>
      <c r="BQ976" s="222">
        <f t="shared" si="1038"/>
        <v>0</v>
      </c>
      <c r="BR976" s="767">
        <f t="shared" si="1038"/>
        <v>0</v>
      </c>
      <c r="BS976" s="221">
        <f t="shared" si="1038"/>
        <v>0</v>
      </c>
      <c r="BT976" s="222">
        <f t="shared" si="1038"/>
        <v>0</v>
      </c>
      <c r="BU976" s="222">
        <f t="shared" si="1038"/>
        <v>0</v>
      </c>
      <c r="BV976" s="223">
        <f t="shared" si="1038"/>
        <v>0</v>
      </c>
      <c r="BW976" s="229"/>
      <c r="BX976" s="215"/>
      <c r="BY976" s="125">
        <f t="shared" si="789"/>
        <v>0</v>
      </c>
      <c r="BZ976" s="126">
        <f t="shared" si="790"/>
        <v>0</v>
      </c>
      <c r="CA976" s="126">
        <f t="shared" si="791"/>
        <v>192.76999999999998</v>
      </c>
      <c r="CB976" s="127">
        <f t="shared" si="791"/>
        <v>0</v>
      </c>
      <c r="CC976" s="768"/>
    </row>
    <row r="977" spans="1:82" s="230" customFormat="1" ht="17.45" customHeight="1" outlineLevel="5" x14ac:dyDescent="0.25">
      <c r="A977" s="216"/>
      <c r="B977" s="215"/>
      <c r="C977" s="216"/>
      <c r="D977" s="216"/>
      <c r="E977" s="216"/>
      <c r="F977" s="216"/>
      <c r="G977" s="216"/>
      <c r="H977" s="216"/>
      <c r="I977" s="216"/>
      <c r="J977" s="215"/>
      <c r="K977" s="217"/>
      <c r="L977" s="216"/>
      <c r="M977" s="215"/>
      <c r="N977" s="215"/>
      <c r="O977" s="215"/>
      <c r="P977" s="215"/>
      <c r="Q977" s="215"/>
      <c r="R977" s="215"/>
      <c r="S977" s="215"/>
      <c r="T977" s="215"/>
      <c r="U977" s="215"/>
      <c r="V977" s="215"/>
      <c r="W977" s="215"/>
      <c r="X977" s="215"/>
      <c r="Y977" s="215"/>
      <c r="Z977" s="215"/>
      <c r="AA977" s="215"/>
      <c r="AB977" s="247"/>
      <c r="AC977" s="219" t="s">
        <v>305</v>
      </c>
      <c r="AD977" s="220" t="s">
        <v>247</v>
      </c>
      <c r="AE977" s="221">
        <f t="shared" si="1024"/>
        <v>0</v>
      </c>
      <c r="AF977" s="222">
        <f t="shared" si="1024"/>
        <v>0</v>
      </c>
      <c r="AG977" s="222">
        <f t="shared" si="1024"/>
        <v>0</v>
      </c>
      <c r="AH977" s="767">
        <f t="shared" si="1024"/>
        <v>0</v>
      </c>
      <c r="AI977" s="221">
        <f t="shared" si="1024"/>
        <v>0</v>
      </c>
      <c r="AJ977" s="222">
        <f t="shared" si="1024"/>
        <v>0</v>
      </c>
      <c r="AK977" s="222">
        <f t="shared" si="1024"/>
        <v>0</v>
      </c>
      <c r="AL977" s="767">
        <f t="shared" ref="AL977" si="1039">AL237</f>
        <v>0</v>
      </c>
      <c r="AM977" s="221">
        <f t="shared" si="1026"/>
        <v>0</v>
      </c>
      <c r="AN977" s="222">
        <f t="shared" si="1026"/>
        <v>0</v>
      </c>
      <c r="AO977" s="222">
        <f t="shared" si="1026"/>
        <v>0</v>
      </c>
      <c r="AP977" s="767">
        <f t="shared" ref="AP977" si="1040">AP237</f>
        <v>0</v>
      </c>
      <c r="AQ977" s="221">
        <f t="shared" si="1028"/>
        <v>2.74</v>
      </c>
      <c r="AR977" s="222">
        <f t="shared" si="1028"/>
        <v>0</v>
      </c>
      <c r="AS977" s="222">
        <f t="shared" si="1028"/>
        <v>3.01</v>
      </c>
      <c r="AT977" s="767">
        <f t="shared" si="1028"/>
        <v>0</v>
      </c>
      <c r="AU977" s="221">
        <f t="shared" si="1028"/>
        <v>0</v>
      </c>
      <c r="AV977" s="222">
        <f t="shared" si="1028"/>
        <v>0</v>
      </c>
      <c r="AW977" s="222">
        <f t="shared" si="1028"/>
        <v>124.17</v>
      </c>
      <c r="AX977" s="767">
        <f t="shared" ref="AX977" si="1041">AX237</f>
        <v>0</v>
      </c>
      <c r="AY977" s="221">
        <f t="shared" si="1030"/>
        <v>0</v>
      </c>
      <c r="AZ977" s="222">
        <f t="shared" si="1030"/>
        <v>0</v>
      </c>
      <c r="BA977" s="222">
        <f t="shared" si="1030"/>
        <v>0</v>
      </c>
      <c r="BB977" s="767">
        <f t="shared" ref="BB977" si="1042">BB237</f>
        <v>0</v>
      </c>
      <c r="BC977" s="221">
        <f t="shared" si="1032"/>
        <v>0.65</v>
      </c>
      <c r="BD977" s="222">
        <f t="shared" si="1032"/>
        <v>0</v>
      </c>
      <c r="BE977" s="222">
        <f t="shared" si="1032"/>
        <v>1</v>
      </c>
      <c r="BF977" s="767">
        <f t="shared" ref="BF977" si="1043">BF237</f>
        <v>0</v>
      </c>
      <c r="BG977" s="221">
        <f t="shared" si="1034"/>
        <v>0</v>
      </c>
      <c r="BH977" s="222">
        <f t="shared" si="1034"/>
        <v>0</v>
      </c>
      <c r="BI977" s="222">
        <f t="shared" si="1034"/>
        <v>0</v>
      </c>
      <c r="BJ977" s="767">
        <f t="shared" ref="BJ977" si="1044">BJ237</f>
        <v>0</v>
      </c>
      <c r="BK977" s="221">
        <f t="shared" si="1036"/>
        <v>0</v>
      </c>
      <c r="BL977" s="222">
        <f t="shared" si="1036"/>
        <v>0</v>
      </c>
      <c r="BM977" s="222">
        <f t="shared" si="1036"/>
        <v>0</v>
      </c>
      <c r="BN977" s="767">
        <f t="shared" ref="BN977" si="1045">BN237</f>
        <v>0</v>
      </c>
      <c r="BO977" s="221">
        <f t="shared" si="1038"/>
        <v>0</v>
      </c>
      <c r="BP977" s="222">
        <f t="shared" si="1038"/>
        <v>0</v>
      </c>
      <c r="BQ977" s="222">
        <f t="shared" si="1038"/>
        <v>0</v>
      </c>
      <c r="BR977" s="767">
        <f t="shared" si="1038"/>
        <v>0</v>
      </c>
      <c r="BS977" s="221">
        <f t="shared" si="1038"/>
        <v>0</v>
      </c>
      <c r="BT977" s="222">
        <f t="shared" si="1038"/>
        <v>0</v>
      </c>
      <c r="BU977" s="222">
        <f t="shared" si="1038"/>
        <v>0</v>
      </c>
      <c r="BV977" s="223">
        <f t="shared" si="1038"/>
        <v>0</v>
      </c>
      <c r="BW977" s="229"/>
      <c r="BX977" s="215"/>
      <c r="BY977" s="125">
        <f t="shared" si="789"/>
        <v>3.39</v>
      </c>
      <c r="BZ977" s="126">
        <f t="shared" si="790"/>
        <v>0</v>
      </c>
      <c r="CA977" s="126">
        <f t="shared" si="791"/>
        <v>128.18</v>
      </c>
      <c r="CB977" s="127">
        <f t="shared" si="791"/>
        <v>0</v>
      </c>
      <c r="CC977" s="768"/>
    </row>
    <row r="978" spans="1:82" s="246" customFormat="1" ht="17.45" customHeight="1" outlineLevel="5" x14ac:dyDescent="0.25">
      <c r="A978" s="242"/>
      <c r="B978" s="229"/>
      <c r="C978" s="242"/>
      <c r="D978" s="242"/>
      <c r="E978" s="242"/>
      <c r="F978" s="242"/>
      <c r="G978" s="242"/>
      <c r="H978" s="242"/>
      <c r="I978" s="242"/>
      <c r="J978" s="229"/>
      <c r="K978" s="243"/>
      <c r="L978" s="242"/>
      <c r="M978" s="229"/>
      <c r="N978" s="229"/>
      <c r="O978" s="229"/>
      <c r="P978" s="229"/>
      <c r="Q978" s="229"/>
      <c r="R978" s="229"/>
      <c r="S978" s="229"/>
      <c r="T978" s="229"/>
      <c r="U978" s="229"/>
      <c r="V978" s="229"/>
      <c r="W978" s="229"/>
      <c r="X978" s="229"/>
      <c r="Y978" s="229"/>
      <c r="Z978" s="229"/>
      <c r="AA978" s="229"/>
      <c r="AB978" s="247"/>
      <c r="AC978" s="219" t="s">
        <v>306</v>
      </c>
      <c r="AD978" s="220" t="s">
        <v>247</v>
      </c>
      <c r="AE978" s="221">
        <f t="shared" ref="AE978:AK978" si="1046">AE238+AE575</f>
        <v>15716.1</v>
      </c>
      <c r="AF978" s="222">
        <f t="shared" si="1046"/>
        <v>0</v>
      </c>
      <c r="AG978" s="222">
        <f t="shared" si="1046"/>
        <v>0</v>
      </c>
      <c r="AH978" s="767">
        <f t="shared" si="1046"/>
        <v>16818.330000000002</v>
      </c>
      <c r="AI978" s="221">
        <f t="shared" si="1046"/>
        <v>145.49700000000001</v>
      </c>
      <c r="AJ978" s="222">
        <f t="shared" si="1046"/>
        <v>0</v>
      </c>
      <c r="AK978" s="222">
        <f t="shared" si="1046"/>
        <v>152.71800000000002</v>
      </c>
      <c r="AL978" s="767">
        <f t="shared" ref="AL978" si="1047">AL238+AL575</f>
        <v>61.53</v>
      </c>
      <c r="AM978" s="221">
        <f>AM238+AM575</f>
        <v>21.99</v>
      </c>
      <c r="AN978" s="222">
        <f>AN238+AN575</f>
        <v>35.94</v>
      </c>
      <c r="AO978" s="222">
        <f>AO238+AO575</f>
        <v>24.19</v>
      </c>
      <c r="AP978" s="767">
        <f>AP238+AP575</f>
        <v>0</v>
      </c>
      <c r="AQ978" s="221">
        <f t="shared" ref="AQ978:AW978" si="1048">AQ238+AQ575</f>
        <v>824.54</v>
      </c>
      <c r="AR978" s="222">
        <f t="shared" si="1048"/>
        <v>0</v>
      </c>
      <c r="AS978" s="222">
        <f t="shared" si="1048"/>
        <v>907.26</v>
      </c>
      <c r="AT978" s="767">
        <f t="shared" si="1048"/>
        <v>0</v>
      </c>
      <c r="AU978" s="221">
        <f t="shared" si="1048"/>
        <v>174.53</v>
      </c>
      <c r="AV978" s="222">
        <f t="shared" si="1048"/>
        <v>0</v>
      </c>
      <c r="AW978" s="222">
        <f t="shared" si="1048"/>
        <v>192.04000000000002</v>
      </c>
      <c r="AX978" s="767">
        <f t="shared" ref="AX978" si="1049">AX238+AX575</f>
        <v>0</v>
      </c>
      <c r="AY978" s="221">
        <f t="shared" ref="AY978:BN978" si="1050">AY238+AY575</f>
        <v>2.08</v>
      </c>
      <c r="AZ978" s="222">
        <f t="shared" si="1050"/>
        <v>0</v>
      </c>
      <c r="BA978" s="222">
        <f t="shared" si="1050"/>
        <v>47.8</v>
      </c>
      <c r="BB978" s="767">
        <f t="shared" si="1050"/>
        <v>0</v>
      </c>
      <c r="BC978" s="221">
        <f t="shared" si="1050"/>
        <v>235.85300000000001</v>
      </c>
      <c r="BD978" s="222">
        <f t="shared" si="1050"/>
        <v>0</v>
      </c>
      <c r="BE978" s="222">
        <f t="shared" si="1050"/>
        <v>259.51299999999998</v>
      </c>
      <c r="BF978" s="767">
        <f t="shared" si="1050"/>
        <v>0</v>
      </c>
      <c r="BG978" s="221">
        <f t="shared" si="1050"/>
        <v>479.827</v>
      </c>
      <c r="BH978" s="222">
        <f t="shared" si="1050"/>
        <v>0</v>
      </c>
      <c r="BI978" s="222">
        <f t="shared" si="1050"/>
        <v>527.96</v>
      </c>
      <c r="BJ978" s="767">
        <f t="shared" si="1050"/>
        <v>0</v>
      </c>
      <c r="BK978" s="221">
        <f t="shared" si="1050"/>
        <v>888.18999999999994</v>
      </c>
      <c r="BL978" s="222">
        <f t="shared" si="1050"/>
        <v>0</v>
      </c>
      <c r="BM978" s="222">
        <f t="shared" si="1050"/>
        <v>1448.98</v>
      </c>
      <c r="BN978" s="767">
        <f t="shared" si="1050"/>
        <v>0</v>
      </c>
      <c r="BO978" s="221">
        <f t="shared" ref="BO978:BV978" si="1051">BO238+BO575</f>
        <v>419.60999999999996</v>
      </c>
      <c r="BP978" s="222">
        <f t="shared" si="1051"/>
        <v>82.12</v>
      </c>
      <c r="BQ978" s="222">
        <f t="shared" si="1051"/>
        <v>461.71000000000004</v>
      </c>
      <c r="BR978" s="767">
        <f t="shared" si="1051"/>
        <v>0</v>
      </c>
      <c r="BS978" s="221">
        <f t="shared" si="1051"/>
        <v>221.54999999999998</v>
      </c>
      <c r="BT978" s="222">
        <f t="shared" si="1051"/>
        <v>107.57</v>
      </c>
      <c r="BU978" s="222">
        <f t="shared" si="1051"/>
        <v>243.76</v>
      </c>
      <c r="BV978" s="223">
        <f t="shared" si="1051"/>
        <v>0</v>
      </c>
      <c r="BW978" s="229"/>
      <c r="BX978" s="229"/>
      <c r="BY978" s="125">
        <f t="shared" ref="BY978:BY989" si="1052">AE978+AI978+AM978+AQ978+AU978+AY978+BC978+BG978+BK978+BO978+BS978</f>
        <v>19129.767</v>
      </c>
      <c r="BZ978" s="126">
        <f t="shared" ref="BZ978:BZ989" si="1053">AF978+AJ978+AN978+AR978+AV978+AZ978+BD978+BH978+BL978+BP978+BT978</f>
        <v>225.63</v>
      </c>
      <c r="CA978" s="126">
        <f t="shared" ref="CA978:CB989" si="1054">AG978+AK978+AO978+AS978+AW978+BA978+BE978+BI978+BM978+BQ978+BU978</f>
        <v>4265.9309999999996</v>
      </c>
      <c r="CB978" s="127">
        <f t="shared" si="1054"/>
        <v>16879.86</v>
      </c>
      <c r="CC978" s="771"/>
    </row>
    <row r="979" spans="1:82" s="246" customFormat="1" ht="17.45" customHeight="1" outlineLevel="5" x14ac:dyDescent="0.25">
      <c r="A979" s="242"/>
      <c r="B979" s="229"/>
      <c r="C979" s="242"/>
      <c r="D979" s="242"/>
      <c r="E979" s="242"/>
      <c r="F979" s="242"/>
      <c r="G979" s="242"/>
      <c r="H979" s="242"/>
      <c r="I979" s="242"/>
      <c r="J979" s="229"/>
      <c r="K979" s="243"/>
      <c r="L979" s="242"/>
      <c r="M979" s="229"/>
      <c r="N979" s="229"/>
      <c r="O979" s="229"/>
      <c r="P979" s="229"/>
      <c r="Q979" s="229"/>
      <c r="R979" s="229"/>
      <c r="S979" s="229"/>
      <c r="T979" s="229"/>
      <c r="U979" s="229"/>
      <c r="V979" s="229"/>
      <c r="W979" s="229"/>
      <c r="X979" s="229"/>
      <c r="Y979" s="229"/>
      <c r="Z979" s="229"/>
      <c r="AA979" s="229"/>
      <c r="AB979" s="247"/>
      <c r="AC979" s="219" t="s">
        <v>307</v>
      </c>
      <c r="AD979" s="220" t="s">
        <v>247</v>
      </c>
      <c r="AE979" s="221">
        <f t="shared" ref="AE979:AK979" si="1055">AE239+AE581</f>
        <v>93.46</v>
      </c>
      <c r="AF979" s="222">
        <f t="shared" si="1055"/>
        <v>0</v>
      </c>
      <c r="AG979" s="222">
        <f t="shared" si="1055"/>
        <v>70.86</v>
      </c>
      <c r="AH979" s="767">
        <f t="shared" si="1055"/>
        <v>0</v>
      </c>
      <c r="AI979" s="221">
        <f t="shared" si="1055"/>
        <v>11.93</v>
      </c>
      <c r="AJ979" s="222">
        <f t="shared" si="1055"/>
        <v>0</v>
      </c>
      <c r="AK979" s="222">
        <f t="shared" si="1055"/>
        <v>10.280000000000001</v>
      </c>
      <c r="AL979" s="767">
        <f t="shared" ref="AL979" si="1056">AL239+AL581</f>
        <v>0</v>
      </c>
      <c r="AM979" s="221">
        <f>AM239+AM581</f>
        <v>0</v>
      </c>
      <c r="AN979" s="222">
        <f>AN239+AN581</f>
        <v>0</v>
      </c>
      <c r="AO979" s="222">
        <f>AO239+AO581</f>
        <v>10.56</v>
      </c>
      <c r="AP979" s="767">
        <f>AP239+AP581</f>
        <v>0</v>
      </c>
      <c r="AQ979" s="221">
        <f t="shared" ref="AQ979:AW979" si="1057">AQ239+AQ581</f>
        <v>0</v>
      </c>
      <c r="AR979" s="222">
        <f t="shared" si="1057"/>
        <v>0</v>
      </c>
      <c r="AS979" s="222">
        <f t="shared" si="1057"/>
        <v>6.16</v>
      </c>
      <c r="AT979" s="767">
        <f t="shared" si="1057"/>
        <v>0</v>
      </c>
      <c r="AU979" s="221">
        <f t="shared" si="1057"/>
        <v>2.66</v>
      </c>
      <c r="AV979" s="222">
        <f t="shared" si="1057"/>
        <v>0</v>
      </c>
      <c r="AW979" s="222">
        <f t="shared" si="1057"/>
        <v>1.46</v>
      </c>
      <c r="AX979" s="767">
        <f t="shared" ref="AX979" si="1058">AX239+AX581</f>
        <v>0</v>
      </c>
      <c r="AY979" s="221">
        <f t="shared" ref="AY979:BN979" si="1059">AY239+AY581</f>
        <v>83.2</v>
      </c>
      <c r="AZ979" s="222">
        <f t="shared" si="1059"/>
        <v>0</v>
      </c>
      <c r="BA979" s="222">
        <f t="shared" si="1059"/>
        <v>69.610000000000014</v>
      </c>
      <c r="BB979" s="767">
        <f t="shared" si="1059"/>
        <v>0</v>
      </c>
      <c r="BC979" s="221">
        <f t="shared" si="1059"/>
        <v>7.0670000000000002</v>
      </c>
      <c r="BD979" s="222">
        <f t="shared" si="1059"/>
        <v>0</v>
      </c>
      <c r="BE979" s="222">
        <f t="shared" si="1059"/>
        <v>8.0689999999999991</v>
      </c>
      <c r="BF979" s="767">
        <f t="shared" si="1059"/>
        <v>0</v>
      </c>
      <c r="BG979" s="221">
        <f t="shared" si="1059"/>
        <v>43.322999999999993</v>
      </c>
      <c r="BH979" s="222">
        <f t="shared" si="1059"/>
        <v>0</v>
      </c>
      <c r="BI979" s="222">
        <f t="shared" si="1059"/>
        <v>14.67</v>
      </c>
      <c r="BJ979" s="767">
        <f t="shared" si="1059"/>
        <v>0</v>
      </c>
      <c r="BK979" s="221">
        <f t="shared" si="1059"/>
        <v>330.82</v>
      </c>
      <c r="BL979" s="222">
        <f t="shared" si="1059"/>
        <v>0</v>
      </c>
      <c r="BM979" s="222">
        <f t="shared" si="1059"/>
        <v>17.91</v>
      </c>
      <c r="BN979" s="767">
        <f t="shared" si="1059"/>
        <v>0</v>
      </c>
      <c r="BO979" s="221">
        <f t="shared" ref="BO979:BV979" si="1060">BO239+BO581</f>
        <v>2.4000000000000004</v>
      </c>
      <c r="BP979" s="222">
        <f t="shared" si="1060"/>
        <v>0</v>
      </c>
      <c r="BQ979" s="222">
        <f t="shared" si="1060"/>
        <v>1.76</v>
      </c>
      <c r="BR979" s="767">
        <f t="shared" si="1060"/>
        <v>0</v>
      </c>
      <c r="BS979" s="221">
        <f t="shared" si="1060"/>
        <v>6</v>
      </c>
      <c r="BT979" s="222">
        <f t="shared" si="1060"/>
        <v>1.66</v>
      </c>
      <c r="BU979" s="222">
        <f t="shared" si="1060"/>
        <v>4.4000000000000004</v>
      </c>
      <c r="BV979" s="223">
        <f t="shared" si="1060"/>
        <v>0</v>
      </c>
      <c r="BW979" s="229"/>
      <c r="BX979" s="229"/>
      <c r="BY979" s="125">
        <f t="shared" si="1052"/>
        <v>580.86</v>
      </c>
      <c r="BZ979" s="126">
        <f t="shared" si="1053"/>
        <v>1.66</v>
      </c>
      <c r="CA979" s="126">
        <f t="shared" si="1054"/>
        <v>215.73899999999998</v>
      </c>
      <c r="CB979" s="127">
        <f t="shared" si="1054"/>
        <v>0</v>
      </c>
      <c r="CC979" s="771"/>
    </row>
    <row r="980" spans="1:82" s="230" customFormat="1" ht="17.45" customHeight="1" outlineLevel="5" x14ac:dyDescent="0.25">
      <c r="A980" s="216"/>
      <c r="B980" s="215"/>
      <c r="C980" s="216"/>
      <c r="D980" s="216"/>
      <c r="E980" s="216"/>
      <c r="F980" s="216"/>
      <c r="G980" s="216"/>
      <c r="H980" s="216"/>
      <c r="I980" s="216"/>
      <c r="J980" s="215"/>
      <c r="K980" s="217"/>
      <c r="L980" s="216"/>
      <c r="M980" s="215"/>
      <c r="N980" s="215"/>
      <c r="O980" s="215"/>
      <c r="P980" s="215"/>
      <c r="Q980" s="215"/>
      <c r="R980" s="215"/>
      <c r="S980" s="215"/>
      <c r="T980" s="215"/>
      <c r="U980" s="215"/>
      <c r="V980" s="215"/>
      <c r="W980" s="215"/>
      <c r="X980" s="215"/>
      <c r="Y980" s="215"/>
      <c r="Z980" s="215"/>
      <c r="AA980" s="215"/>
      <c r="AB980" s="247"/>
      <c r="AC980" s="219" t="s">
        <v>308</v>
      </c>
      <c r="AD980" s="220" t="s">
        <v>247</v>
      </c>
      <c r="AE980" s="221">
        <f t="shared" ref="AE980:AK983" si="1061">AE240+AE585</f>
        <v>0</v>
      </c>
      <c r="AF980" s="222">
        <f t="shared" si="1061"/>
        <v>0</v>
      </c>
      <c r="AG980" s="222">
        <f t="shared" si="1061"/>
        <v>0</v>
      </c>
      <c r="AH980" s="767">
        <f t="shared" si="1061"/>
        <v>0</v>
      </c>
      <c r="AI980" s="221">
        <f t="shared" si="1061"/>
        <v>0</v>
      </c>
      <c r="AJ980" s="222">
        <f t="shared" si="1061"/>
        <v>0</v>
      </c>
      <c r="AK980" s="222">
        <f t="shared" si="1061"/>
        <v>0</v>
      </c>
      <c r="AL980" s="767">
        <f t="shared" ref="AL980" si="1062">AL240+AL585</f>
        <v>0</v>
      </c>
      <c r="AM980" s="221">
        <f t="shared" ref="AM980:AO983" si="1063">AM240+AM585</f>
        <v>0</v>
      </c>
      <c r="AN980" s="222">
        <f t="shared" si="1063"/>
        <v>0</v>
      </c>
      <c r="AO980" s="222">
        <f t="shared" si="1063"/>
        <v>0</v>
      </c>
      <c r="AP980" s="767">
        <f t="shared" ref="AP980" si="1064">AP240+AP585</f>
        <v>0</v>
      </c>
      <c r="AQ980" s="221">
        <f t="shared" ref="AQ980:AW983" si="1065">AQ240+AQ585</f>
        <v>0</v>
      </c>
      <c r="AR980" s="222">
        <f t="shared" si="1065"/>
        <v>0</v>
      </c>
      <c r="AS980" s="222">
        <f t="shared" si="1065"/>
        <v>0</v>
      </c>
      <c r="AT980" s="767">
        <f t="shared" si="1065"/>
        <v>0</v>
      </c>
      <c r="AU980" s="221">
        <f t="shared" si="1065"/>
        <v>0</v>
      </c>
      <c r="AV980" s="222">
        <f t="shared" si="1065"/>
        <v>0</v>
      </c>
      <c r="AW980" s="222">
        <f t="shared" si="1065"/>
        <v>0</v>
      </c>
      <c r="AX980" s="767">
        <f t="shared" ref="AX980" si="1066">AX240+AX585</f>
        <v>0</v>
      </c>
      <c r="AY980" s="221">
        <f t="shared" ref="AY980:BA983" si="1067">AY240+AY585</f>
        <v>0</v>
      </c>
      <c r="AZ980" s="222">
        <f t="shared" si="1067"/>
        <v>0</v>
      </c>
      <c r="BA980" s="222">
        <f t="shared" si="1067"/>
        <v>0</v>
      </c>
      <c r="BB980" s="767">
        <f t="shared" ref="BB980" si="1068">BB240+BB585</f>
        <v>0</v>
      </c>
      <c r="BC980" s="221">
        <f t="shared" ref="BC980:BE983" si="1069">BC240+BC585</f>
        <v>3658.8530000000001</v>
      </c>
      <c r="BD980" s="222">
        <f t="shared" si="1069"/>
        <v>0</v>
      </c>
      <c r="BE980" s="222">
        <f t="shared" si="1069"/>
        <v>4798.3590000000004</v>
      </c>
      <c r="BF980" s="767">
        <f t="shared" ref="BF980" si="1070">BF240+BF585</f>
        <v>0</v>
      </c>
      <c r="BG980" s="221">
        <f t="shared" ref="BG980:BI983" si="1071">BG240+BG585</f>
        <v>7571.9030000000002</v>
      </c>
      <c r="BH980" s="222">
        <f t="shared" si="1071"/>
        <v>0</v>
      </c>
      <c r="BI980" s="222">
        <f t="shared" si="1071"/>
        <v>10980.13</v>
      </c>
      <c r="BJ980" s="767">
        <f t="shared" ref="BJ980" si="1072">BJ240+BJ585</f>
        <v>0</v>
      </c>
      <c r="BK980" s="221">
        <f t="shared" ref="BK980:BM983" si="1073">BK240+BK585</f>
        <v>0</v>
      </c>
      <c r="BL980" s="222">
        <f t="shared" si="1073"/>
        <v>0</v>
      </c>
      <c r="BM980" s="222">
        <f t="shared" si="1073"/>
        <v>0</v>
      </c>
      <c r="BN980" s="767">
        <f t="shared" ref="BN980" si="1074">BN240+BN585</f>
        <v>0</v>
      </c>
      <c r="BO980" s="221">
        <f t="shared" ref="BO980:BV983" si="1075">BO240+BO585</f>
        <v>2711.28</v>
      </c>
      <c r="BP980" s="222">
        <f t="shared" si="1075"/>
        <v>0</v>
      </c>
      <c r="BQ980" s="222">
        <f t="shared" si="1075"/>
        <v>2711.28</v>
      </c>
      <c r="BR980" s="767">
        <f t="shared" si="1075"/>
        <v>0</v>
      </c>
      <c r="BS980" s="221">
        <f t="shared" si="1075"/>
        <v>0</v>
      </c>
      <c r="BT980" s="222">
        <f t="shared" si="1075"/>
        <v>0</v>
      </c>
      <c r="BU980" s="222">
        <f t="shared" si="1075"/>
        <v>0</v>
      </c>
      <c r="BV980" s="223">
        <f t="shared" si="1075"/>
        <v>0</v>
      </c>
      <c r="BW980" s="229"/>
      <c r="BX980" s="215"/>
      <c r="BY980" s="125">
        <f t="shared" si="1052"/>
        <v>13942.036000000002</v>
      </c>
      <c r="BZ980" s="126">
        <f t="shared" si="1053"/>
        <v>0</v>
      </c>
      <c r="CA980" s="126">
        <f t="shared" si="1054"/>
        <v>18489.769</v>
      </c>
      <c r="CB980" s="127">
        <f t="shared" si="1054"/>
        <v>0</v>
      </c>
      <c r="CC980" s="768"/>
    </row>
    <row r="981" spans="1:82" s="230" customFormat="1" ht="17.45" customHeight="1" outlineLevel="5" x14ac:dyDescent="0.25">
      <c r="A981" s="216"/>
      <c r="B981" s="215"/>
      <c r="C981" s="216"/>
      <c r="D981" s="216"/>
      <c r="E981" s="216"/>
      <c r="F981" s="216"/>
      <c r="G981" s="216"/>
      <c r="H981" s="216"/>
      <c r="I981" s="216"/>
      <c r="J981" s="215"/>
      <c r="K981" s="217"/>
      <c r="L981" s="216"/>
      <c r="M981" s="215"/>
      <c r="N981" s="215"/>
      <c r="O981" s="215"/>
      <c r="P981" s="215"/>
      <c r="Q981" s="215"/>
      <c r="R981" s="215"/>
      <c r="S981" s="215"/>
      <c r="T981" s="215"/>
      <c r="U981" s="215"/>
      <c r="V981" s="215"/>
      <c r="W981" s="215"/>
      <c r="X981" s="215"/>
      <c r="Y981" s="215"/>
      <c r="Z981" s="215"/>
      <c r="AA981" s="215"/>
      <c r="AB981" s="251"/>
      <c r="AC981" s="219" t="s">
        <v>309</v>
      </c>
      <c r="AD981" s="220" t="s">
        <v>247</v>
      </c>
      <c r="AE981" s="221">
        <f t="shared" si="1061"/>
        <v>0</v>
      </c>
      <c r="AF981" s="222">
        <f t="shared" si="1061"/>
        <v>0</v>
      </c>
      <c r="AG981" s="222">
        <f t="shared" si="1061"/>
        <v>0</v>
      </c>
      <c r="AH981" s="767">
        <f t="shared" si="1061"/>
        <v>0</v>
      </c>
      <c r="AI981" s="221">
        <f t="shared" si="1061"/>
        <v>0</v>
      </c>
      <c r="AJ981" s="222">
        <f t="shared" si="1061"/>
        <v>0</v>
      </c>
      <c r="AK981" s="222">
        <f t="shared" si="1061"/>
        <v>0</v>
      </c>
      <c r="AL981" s="767">
        <f t="shared" ref="AL981" si="1076">AL241+AL586</f>
        <v>0</v>
      </c>
      <c r="AM981" s="221">
        <f t="shared" si="1063"/>
        <v>0</v>
      </c>
      <c r="AN981" s="222">
        <f t="shared" si="1063"/>
        <v>0</v>
      </c>
      <c r="AO981" s="222">
        <f t="shared" si="1063"/>
        <v>0</v>
      </c>
      <c r="AP981" s="767">
        <f t="shared" ref="AP981" si="1077">AP241+AP586</f>
        <v>0</v>
      </c>
      <c r="AQ981" s="221">
        <f t="shared" si="1065"/>
        <v>0</v>
      </c>
      <c r="AR981" s="222">
        <f t="shared" si="1065"/>
        <v>0</v>
      </c>
      <c r="AS981" s="222">
        <f t="shared" si="1065"/>
        <v>0</v>
      </c>
      <c r="AT981" s="767">
        <f t="shared" si="1065"/>
        <v>0</v>
      </c>
      <c r="AU981" s="221">
        <f t="shared" si="1065"/>
        <v>0</v>
      </c>
      <c r="AV981" s="222">
        <f t="shared" si="1065"/>
        <v>0</v>
      </c>
      <c r="AW981" s="222">
        <f t="shared" si="1065"/>
        <v>0</v>
      </c>
      <c r="AX981" s="767">
        <f t="shared" ref="AX981" si="1078">AX241+AX586</f>
        <v>0</v>
      </c>
      <c r="AY981" s="221">
        <f t="shared" si="1067"/>
        <v>0</v>
      </c>
      <c r="AZ981" s="222">
        <f t="shared" si="1067"/>
        <v>0</v>
      </c>
      <c r="BA981" s="222">
        <f t="shared" si="1067"/>
        <v>0</v>
      </c>
      <c r="BB981" s="767">
        <f t="shared" ref="BB981" si="1079">BB241+BB586</f>
        <v>0</v>
      </c>
      <c r="BC981" s="221">
        <f t="shared" si="1069"/>
        <v>0</v>
      </c>
      <c r="BD981" s="222">
        <f t="shared" si="1069"/>
        <v>0</v>
      </c>
      <c r="BE981" s="222">
        <f t="shared" si="1069"/>
        <v>0</v>
      </c>
      <c r="BF981" s="767">
        <f t="shared" ref="BF981" si="1080">BF241+BF586</f>
        <v>0</v>
      </c>
      <c r="BG981" s="221">
        <f t="shared" si="1071"/>
        <v>0</v>
      </c>
      <c r="BH981" s="222">
        <f t="shared" si="1071"/>
        <v>0</v>
      </c>
      <c r="BI981" s="222">
        <f t="shared" si="1071"/>
        <v>0</v>
      </c>
      <c r="BJ981" s="767">
        <f t="shared" ref="BJ981" si="1081">BJ241+BJ586</f>
        <v>0</v>
      </c>
      <c r="BK981" s="221">
        <f t="shared" si="1073"/>
        <v>0</v>
      </c>
      <c r="BL981" s="222">
        <f t="shared" si="1073"/>
        <v>0</v>
      </c>
      <c r="BM981" s="222">
        <f t="shared" si="1073"/>
        <v>0</v>
      </c>
      <c r="BN981" s="767">
        <f t="shared" ref="BN981" si="1082">BN241+BN586</f>
        <v>0</v>
      </c>
      <c r="BO981" s="221">
        <f t="shared" si="1075"/>
        <v>0</v>
      </c>
      <c r="BP981" s="222">
        <f t="shared" si="1075"/>
        <v>0</v>
      </c>
      <c r="BQ981" s="222">
        <f t="shared" si="1075"/>
        <v>0</v>
      </c>
      <c r="BR981" s="767">
        <f t="shared" si="1075"/>
        <v>0</v>
      </c>
      <c r="BS981" s="221">
        <f t="shared" si="1075"/>
        <v>295.27999999999997</v>
      </c>
      <c r="BT981" s="222">
        <f t="shared" si="1075"/>
        <v>176</v>
      </c>
      <c r="BU981" s="222">
        <f t="shared" si="1075"/>
        <v>336.6</v>
      </c>
      <c r="BV981" s="223">
        <f t="shared" si="1075"/>
        <v>0</v>
      </c>
      <c r="BW981" s="229"/>
      <c r="BX981" s="215"/>
      <c r="BY981" s="125">
        <f t="shared" si="1052"/>
        <v>295.27999999999997</v>
      </c>
      <c r="BZ981" s="126">
        <f t="shared" si="1053"/>
        <v>176</v>
      </c>
      <c r="CA981" s="126">
        <f t="shared" si="1054"/>
        <v>336.6</v>
      </c>
      <c r="CB981" s="127">
        <f t="shared" si="1054"/>
        <v>0</v>
      </c>
      <c r="CC981" s="768"/>
    </row>
    <row r="982" spans="1:82" s="230" customFormat="1" ht="17.45" customHeight="1" outlineLevel="5" x14ac:dyDescent="0.25">
      <c r="A982" s="216"/>
      <c r="B982" s="215"/>
      <c r="C982" s="216"/>
      <c r="D982" s="216"/>
      <c r="E982" s="216"/>
      <c r="F982" s="216"/>
      <c r="G982" s="216"/>
      <c r="H982" s="216"/>
      <c r="I982" s="216"/>
      <c r="J982" s="215"/>
      <c r="K982" s="217"/>
      <c r="L982" s="216"/>
      <c r="M982" s="215"/>
      <c r="N982" s="215"/>
      <c r="O982" s="215"/>
      <c r="P982" s="215"/>
      <c r="Q982" s="215"/>
      <c r="R982" s="215"/>
      <c r="S982" s="215"/>
      <c r="T982" s="215"/>
      <c r="U982" s="215"/>
      <c r="V982" s="215"/>
      <c r="W982" s="215"/>
      <c r="X982" s="215"/>
      <c r="Y982" s="215"/>
      <c r="Z982" s="215"/>
      <c r="AA982" s="215"/>
      <c r="AB982" s="251"/>
      <c r="AC982" s="219" t="s">
        <v>310</v>
      </c>
      <c r="AD982" s="220" t="s">
        <v>247</v>
      </c>
      <c r="AE982" s="221">
        <f t="shared" si="1061"/>
        <v>0</v>
      </c>
      <c r="AF982" s="222">
        <f t="shared" si="1061"/>
        <v>0</v>
      </c>
      <c r="AG982" s="222">
        <f t="shared" si="1061"/>
        <v>0</v>
      </c>
      <c r="AH982" s="767">
        <f t="shared" si="1061"/>
        <v>0</v>
      </c>
      <c r="AI982" s="221">
        <f t="shared" si="1061"/>
        <v>0</v>
      </c>
      <c r="AJ982" s="222">
        <f t="shared" si="1061"/>
        <v>0</v>
      </c>
      <c r="AK982" s="222">
        <f t="shared" si="1061"/>
        <v>0</v>
      </c>
      <c r="AL982" s="767">
        <f t="shared" ref="AL982" si="1083">AL242+AL587</f>
        <v>0</v>
      </c>
      <c r="AM982" s="221">
        <f t="shared" si="1063"/>
        <v>0</v>
      </c>
      <c r="AN982" s="222">
        <f t="shared" si="1063"/>
        <v>0</v>
      </c>
      <c r="AO982" s="222">
        <f t="shared" si="1063"/>
        <v>0</v>
      </c>
      <c r="AP982" s="767">
        <f t="shared" ref="AP982" si="1084">AP242+AP587</f>
        <v>0</v>
      </c>
      <c r="AQ982" s="221">
        <f t="shared" si="1065"/>
        <v>0</v>
      </c>
      <c r="AR982" s="222">
        <f t="shared" si="1065"/>
        <v>0</v>
      </c>
      <c r="AS982" s="222">
        <f t="shared" si="1065"/>
        <v>0</v>
      </c>
      <c r="AT982" s="767">
        <f t="shared" si="1065"/>
        <v>0</v>
      </c>
      <c r="AU982" s="221">
        <f t="shared" si="1065"/>
        <v>0</v>
      </c>
      <c r="AV982" s="222">
        <f t="shared" si="1065"/>
        <v>0</v>
      </c>
      <c r="AW982" s="222">
        <f t="shared" si="1065"/>
        <v>0</v>
      </c>
      <c r="AX982" s="767">
        <f t="shared" ref="AX982" si="1085">AX242+AX587</f>
        <v>0</v>
      </c>
      <c r="AY982" s="221">
        <f t="shared" si="1067"/>
        <v>0</v>
      </c>
      <c r="AZ982" s="222">
        <f t="shared" si="1067"/>
        <v>0</v>
      </c>
      <c r="BA982" s="222">
        <f t="shared" si="1067"/>
        <v>0</v>
      </c>
      <c r="BB982" s="767">
        <f t="shared" ref="BB982" si="1086">BB242+BB587</f>
        <v>0</v>
      </c>
      <c r="BC982" s="221">
        <f t="shared" si="1069"/>
        <v>0</v>
      </c>
      <c r="BD982" s="222">
        <f t="shared" si="1069"/>
        <v>0</v>
      </c>
      <c r="BE982" s="222">
        <f t="shared" si="1069"/>
        <v>0</v>
      </c>
      <c r="BF982" s="767">
        <f t="shared" ref="BF982" si="1087">BF242+BF587</f>
        <v>0</v>
      </c>
      <c r="BG982" s="221">
        <f t="shared" si="1071"/>
        <v>0</v>
      </c>
      <c r="BH982" s="222">
        <f t="shared" si="1071"/>
        <v>0</v>
      </c>
      <c r="BI982" s="222">
        <f t="shared" si="1071"/>
        <v>0</v>
      </c>
      <c r="BJ982" s="767">
        <f t="shared" ref="BJ982" si="1088">BJ242+BJ587</f>
        <v>0</v>
      </c>
      <c r="BK982" s="221">
        <f t="shared" si="1073"/>
        <v>0</v>
      </c>
      <c r="BL982" s="222">
        <f t="shared" si="1073"/>
        <v>0</v>
      </c>
      <c r="BM982" s="222">
        <f t="shared" si="1073"/>
        <v>0</v>
      </c>
      <c r="BN982" s="767">
        <f t="shared" ref="BN982" si="1089">BN242+BN587</f>
        <v>0</v>
      </c>
      <c r="BO982" s="221">
        <f t="shared" si="1075"/>
        <v>0</v>
      </c>
      <c r="BP982" s="222">
        <f t="shared" si="1075"/>
        <v>0</v>
      </c>
      <c r="BQ982" s="222">
        <f t="shared" si="1075"/>
        <v>0</v>
      </c>
      <c r="BR982" s="767">
        <f t="shared" si="1075"/>
        <v>0</v>
      </c>
      <c r="BS982" s="221">
        <f t="shared" si="1075"/>
        <v>2.7800000000000002</v>
      </c>
      <c r="BT982" s="222">
        <f t="shared" si="1075"/>
        <v>5.5</v>
      </c>
      <c r="BU982" s="222">
        <f t="shared" si="1075"/>
        <v>3.0700000000000003</v>
      </c>
      <c r="BV982" s="223">
        <f t="shared" si="1075"/>
        <v>0</v>
      </c>
      <c r="BW982" s="229"/>
      <c r="BX982" s="215"/>
      <c r="BY982" s="125">
        <f t="shared" si="1052"/>
        <v>2.7800000000000002</v>
      </c>
      <c r="BZ982" s="126">
        <f t="shared" si="1053"/>
        <v>5.5</v>
      </c>
      <c r="CA982" s="126">
        <f t="shared" si="1054"/>
        <v>3.0700000000000003</v>
      </c>
      <c r="CB982" s="127">
        <f t="shared" si="1054"/>
        <v>0</v>
      </c>
      <c r="CC982" s="768"/>
    </row>
    <row r="983" spans="1:82" s="230" customFormat="1" ht="17.45" customHeight="1" outlineLevel="5" x14ac:dyDescent="0.25">
      <c r="A983" s="216"/>
      <c r="B983" s="215"/>
      <c r="C983" s="216"/>
      <c r="D983" s="216"/>
      <c r="E983" s="216"/>
      <c r="F983" s="216"/>
      <c r="G983" s="216"/>
      <c r="H983" s="216"/>
      <c r="I983" s="216"/>
      <c r="J983" s="215"/>
      <c r="K983" s="217"/>
      <c r="L983" s="216"/>
      <c r="M983" s="215"/>
      <c r="N983" s="215"/>
      <c r="O983" s="215"/>
      <c r="P983" s="215"/>
      <c r="Q983" s="215"/>
      <c r="R983" s="215"/>
      <c r="S983" s="215"/>
      <c r="T983" s="215"/>
      <c r="U983" s="215"/>
      <c r="V983" s="215"/>
      <c r="W983" s="215"/>
      <c r="X983" s="215"/>
      <c r="Y983" s="215"/>
      <c r="Z983" s="215"/>
      <c r="AA983" s="215"/>
      <c r="AB983" s="251"/>
      <c r="AC983" s="219" t="s">
        <v>311</v>
      </c>
      <c r="AD983" s="220" t="s">
        <v>247</v>
      </c>
      <c r="AE983" s="221">
        <f t="shared" si="1061"/>
        <v>0</v>
      </c>
      <c r="AF983" s="222">
        <f t="shared" si="1061"/>
        <v>0</v>
      </c>
      <c r="AG983" s="222">
        <f t="shared" si="1061"/>
        <v>0</v>
      </c>
      <c r="AH983" s="767">
        <f t="shared" si="1061"/>
        <v>0</v>
      </c>
      <c r="AI983" s="221">
        <f t="shared" si="1061"/>
        <v>0</v>
      </c>
      <c r="AJ983" s="222">
        <f t="shared" si="1061"/>
        <v>0</v>
      </c>
      <c r="AK983" s="222">
        <f t="shared" si="1061"/>
        <v>0</v>
      </c>
      <c r="AL983" s="767">
        <f t="shared" ref="AL983" si="1090">AL243+AL588</f>
        <v>0</v>
      </c>
      <c r="AM983" s="221">
        <f t="shared" si="1063"/>
        <v>0</v>
      </c>
      <c r="AN983" s="222">
        <f t="shared" si="1063"/>
        <v>0</v>
      </c>
      <c r="AO983" s="222">
        <f t="shared" si="1063"/>
        <v>0</v>
      </c>
      <c r="AP983" s="767">
        <f t="shared" ref="AP983" si="1091">AP243+AP588</f>
        <v>0</v>
      </c>
      <c r="AQ983" s="221">
        <f t="shared" si="1065"/>
        <v>0</v>
      </c>
      <c r="AR983" s="222">
        <f t="shared" si="1065"/>
        <v>0</v>
      </c>
      <c r="AS983" s="222">
        <f t="shared" si="1065"/>
        <v>0</v>
      </c>
      <c r="AT983" s="767">
        <f t="shared" si="1065"/>
        <v>0</v>
      </c>
      <c r="AU983" s="221">
        <f t="shared" si="1065"/>
        <v>0</v>
      </c>
      <c r="AV983" s="222">
        <f t="shared" si="1065"/>
        <v>0</v>
      </c>
      <c r="AW983" s="222">
        <f t="shared" si="1065"/>
        <v>0</v>
      </c>
      <c r="AX983" s="767">
        <f t="shared" ref="AX983" si="1092">AX243+AX588</f>
        <v>0</v>
      </c>
      <c r="AY983" s="221">
        <f t="shared" si="1067"/>
        <v>0</v>
      </c>
      <c r="AZ983" s="222">
        <f t="shared" si="1067"/>
        <v>0</v>
      </c>
      <c r="BA983" s="222">
        <f t="shared" si="1067"/>
        <v>0</v>
      </c>
      <c r="BB983" s="767">
        <f t="shared" ref="BB983" si="1093">BB243+BB588</f>
        <v>0</v>
      </c>
      <c r="BC983" s="221">
        <f t="shared" si="1069"/>
        <v>0</v>
      </c>
      <c r="BD983" s="222">
        <f t="shared" si="1069"/>
        <v>0</v>
      </c>
      <c r="BE983" s="222">
        <f t="shared" si="1069"/>
        <v>0</v>
      </c>
      <c r="BF983" s="767">
        <f t="shared" ref="BF983" si="1094">BF243+BF588</f>
        <v>0</v>
      </c>
      <c r="BG983" s="221">
        <f t="shared" si="1071"/>
        <v>0</v>
      </c>
      <c r="BH983" s="222">
        <f t="shared" si="1071"/>
        <v>0</v>
      </c>
      <c r="BI983" s="222">
        <f t="shared" si="1071"/>
        <v>0</v>
      </c>
      <c r="BJ983" s="767">
        <f t="shared" ref="BJ983" si="1095">BJ243+BJ588</f>
        <v>0</v>
      </c>
      <c r="BK983" s="221">
        <f t="shared" si="1073"/>
        <v>0</v>
      </c>
      <c r="BL983" s="222">
        <f t="shared" si="1073"/>
        <v>0</v>
      </c>
      <c r="BM983" s="222">
        <f t="shared" si="1073"/>
        <v>0</v>
      </c>
      <c r="BN983" s="767">
        <f t="shared" ref="BN983" si="1096">BN243+BN588</f>
        <v>0</v>
      </c>
      <c r="BO983" s="221">
        <f t="shared" si="1075"/>
        <v>0</v>
      </c>
      <c r="BP983" s="222">
        <f t="shared" si="1075"/>
        <v>0</v>
      </c>
      <c r="BQ983" s="222">
        <f t="shared" si="1075"/>
        <v>0</v>
      </c>
      <c r="BR983" s="767">
        <f t="shared" si="1075"/>
        <v>0</v>
      </c>
      <c r="BS983" s="221">
        <f t="shared" si="1075"/>
        <v>52.22</v>
      </c>
      <c r="BT983" s="222">
        <f t="shared" si="1075"/>
        <v>55.905000000000001</v>
      </c>
      <c r="BU983" s="222">
        <f t="shared" si="1075"/>
        <v>57.46</v>
      </c>
      <c r="BV983" s="223">
        <f t="shared" si="1075"/>
        <v>0</v>
      </c>
      <c r="BW983" s="229"/>
      <c r="BX983" s="215"/>
      <c r="BY983" s="125">
        <f t="shared" si="1052"/>
        <v>52.22</v>
      </c>
      <c r="BZ983" s="126">
        <f t="shared" si="1053"/>
        <v>55.905000000000001</v>
      </c>
      <c r="CA983" s="126">
        <f t="shared" si="1054"/>
        <v>57.46</v>
      </c>
      <c r="CB983" s="127">
        <f t="shared" si="1054"/>
        <v>0</v>
      </c>
      <c r="CC983" s="768"/>
    </row>
    <row r="984" spans="1:82" s="230" customFormat="1" ht="17.45" customHeight="1" outlineLevel="5" x14ac:dyDescent="0.25">
      <c r="A984" s="216"/>
      <c r="B984" s="215"/>
      <c r="C984" s="216"/>
      <c r="D984" s="216"/>
      <c r="E984" s="216"/>
      <c r="F984" s="216"/>
      <c r="G984" s="216"/>
      <c r="H984" s="216"/>
      <c r="I984" s="216"/>
      <c r="J984" s="215"/>
      <c r="K984" s="217"/>
      <c r="L984" s="216"/>
      <c r="M984" s="215"/>
      <c r="N984" s="215"/>
      <c r="O984" s="215"/>
      <c r="P984" s="215"/>
      <c r="Q984" s="215"/>
      <c r="R984" s="215"/>
      <c r="S984" s="215"/>
      <c r="T984" s="215"/>
      <c r="U984" s="215"/>
      <c r="V984" s="215"/>
      <c r="W984" s="215"/>
      <c r="X984" s="215"/>
      <c r="Y984" s="215"/>
      <c r="Z984" s="215"/>
      <c r="AA984" s="215"/>
      <c r="AB984" s="247"/>
      <c r="AC984" s="219" t="s">
        <v>312</v>
      </c>
      <c r="AD984" s="220" t="s">
        <v>247</v>
      </c>
      <c r="AE984" s="221">
        <f t="shared" ref="AE984:AK984" si="1097">AE244</f>
        <v>0</v>
      </c>
      <c r="AF984" s="222">
        <f t="shared" si="1097"/>
        <v>0</v>
      </c>
      <c r="AG984" s="222">
        <f t="shared" si="1097"/>
        <v>0</v>
      </c>
      <c r="AH984" s="767">
        <f t="shared" si="1097"/>
        <v>0</v>
      </c>
      <c r="AI984" s="221">
        <f t="shared" si="1097"/>
        <v>0</v>
      </c>
      <c r="AJ984" s="222">
        <f t="shared" si="1097"/>
        <v>0</v>
      </c>
      <c r="AK984" s="222">
        <f t="shared" si="1097"/>
        <v>0</v>
      </c>
      <c r="AL984" s="767">
        <f t="shared" ref="AL984" si="1098">AL244</f>
        <v>0</v>
      </c>
      <c r="AM984" s="221">
        <f>AM244</f>
        <v>0</v>
      </c>
      <c r="AN984" s="222">
        <f>AN244</f>
        <v>0</v>
      </c>
      <c r="AO984" s="222">
        <f>AO244</f>
        <v>0</v>
      </c>
      <c r="AP984" s="767">
        <f>AP244</f>
        <v>0</v>
      </c>
      <c r="AQ984" s="221">
        <f t="shared" ref="AQ984:AW984" si="1099">AQ244</f>
        <v>0</v>
      </c>
      <c r="AR984" s="222">
        <f t="shared" si="1099"/>
        <v>0</v>
      </c>
      <c r="AS984" s="222">
        <f t="shared" si="1099"/>
        <v>0</v>
      </c>
      <c r="AT984" s="767">
        <f t="shared" si="1099"/>
        <v>0</v>
      </c>
      <c r="AU984" s="221">
        <f t="shared" si="1099"/>
        <v>0</v>
      </c>
      <c r="AV984" s="222">
        <f t="shared" si="1099"/>
        <v>0</v>
      </c>
      <c r="AW984" s="222">
        <f t="shared" si="1099"/>
        <v>0</v>
      </c>
      <c r="AX984" s="767">
        <f t="shared" ref="AX984" si="1100">AX244</f>
        <v>0</v>
      </c>
      <c r="AY984" s="221">
        <f t="shared" ref="AY984:BN984" si="1101">AY244</f>
        <v>0</v>
      </c>
      <c r="AZ984" s="222">
        <f t="shared" si="1101"/>
        <v>0</v>
      </c>
      <c r="BA984" s="222">
        <f t="shared" si="1101"/>
        <v>0</v>
      </c>
      <c r="BB984" s="767">
        <f t="shared" si="1101"/>
        <v>0</v>
      </c>
      <c r="BC984" s="221">
        <f t="shared" si="1101"/>
        <v>0</v>
      </c>
      <c r="BD984" s="222">
        <f t="shared" si="1101"/>
        <v>0</v>
      </c>
      <c r="BE984" s="222">
        <f t="shared" si="1101"/>
        <v>0</v>
      </c>
      <c r="BF984" s="767">
        <f t="shared" si="1101"/>
        <v>0</v>
      </c>
      <c r="BG984" s="221">
        <f t="shared" si="1101"/>
        <v>3702.97</v>
      </c>
      <c r="BH984" s="222">
        <f t="shared" si="1101"/>
        <v>0</v>
      </c>
      <c r="BI984" s="222">
        <f t="shared" si="1101"/>
        <v>0</v>
      </c>
      <c r="BJ984" s="767">
        <f t="shared" si="1101"/>
        <v>0</v>
      </c>
      <c r="BK984" s="221">
        <f t="shared" si="1101"/>
        <v>0</v>
      </c>
      <c r="BL984" s="222">
        <f t="shared" si="1101"/>
        <v>0</v>
      </c>
      <c r="BM984" s="222">
        <f t="shared" si="1101"/>
        <v>0</v>
      </c>
      <c r="BN984" s="767">
        <f t="shared" si="1101"/>
        <v>0</v>
      </c>
      <c r="BO984" s="221">
        <f t="shared" ref="BO984:BV984" si="1102">BO244</f>
        <v>0</v>
      </c>
      <c r="BP984" s="222">
        <f t="shared" si="1102"/>
        <v>0</v>
      </c>
      <c r="BQ984" s="222">
        <f t="shared" si="1102"/>
        <v>0</v>
      </c>
      <c r="BR984" s="767">
        <f t="shared" si="1102"/>
        <v>0</v>
      </c>
      <c r="BS984" s="221">
        <f t="shared" si="1102"/>
        <v>0</v>
      </c>
      <c r="BT984" s="222">
        <f t="shared" si="1102"/>
        <v>0</v>
      </c>
      <c r="BU984" s="222">
        <f t="shared" si="1102"/>
        <v>0</v>
      </c>
      <c r="BV984" s="223">
        <f t="shared" si="1102"/>
        <v>0</v>
      </c>
      <c r="BW984" s="229"/>
      <c r="BX984" s="215"/>
      <c r="BY984" s="125">
        <f t="shared" si="1052"/>
        <v>3702.97</v>
      </c>
      <c r="BZ984" s="126">
        <f t="shared" si="1053"/>
        <v>0</v>
      </c>
      <c r="CA984" s="126">
        <f t="shared" si="1054"/>
        <v>0</v>
      </c>
      <c r="CB984" s="127">
        <f t="shared" si="1054"/>
        <v>0</v>
      </c>
      <c r="CC984" s="768"/>
    </row>
    <row r="985" spans="1:82" s="171" customFormat="1" ht="18.2" customHeight="1" outlineLevel="3" x14ac:dyDescent="0.25">
      <c r="A985" s="166"/>
      <c r="B985" s="166"/>
      <c r="C985" s="167" t="s">
        <v>83</v>
      </c>
      <c r="D985" s="167" t="s">
        <v>84</v>
      </c>
      <c r="E985" s="167" t="s">
        <v>73</v>
      </c>
      <c r="F985" s="167" t="s">
        <v>74</v>
      </c>
      <c r="G985" s="167" t="s">
        <v>313</v>
      </c>
      <c r="H985" s="167" t="s">
        <v>73</v>
      </c>
      <c r="I985" s="167" t="s">
        <v>73</v>
      </c>
      <c r="J985" s="166"/>
      <c r="K985" s="168" t="s">
        <v>73</v>
      </c>
      <c r="L985" s="167" t="s">
        <v>192</v>
      </c>
      <c r="M985" s="166" t="str">
        <f t="array" ref="M985">Y818</f>
        <v>1ХВС::1.1</v>
      </c>
      <c r="N985" s="166"/>
      <c r="O985" s="166"/>
      <c r="P985" s="166"/>
      <c r="Q985" s="166"/>
      <c r="R985" s="166"/>
      <c r="S985" s="166"/>
      <c r="T985" s="166"/>
      <c r="U985" s="166"/>
      <c r="V985" s="166"/>
      <c r="W985" s="166"/>
      <c r="X985" s="166"/>
      <c r="Y985" s="166"/>
      <c r="Z985" s="166"/>
      <c r="AA985" s="166"/>
      <c r="AB985" s="623" t="str">
        <f>AB869&amp;".2"</f>
        <v>3.1.1.2</v>
      </c>
      <c r="AC985" s="648" t="s">
        <v>314</v>
      </c>
      <c r="AD985" s="931" t="s">
        <v>111</v>
      </c>
      <c r="AE985" s="655">
        <f t="shared" ref="AE985:BV985" si="1103">AE986+AE987+AE988</f>
        <v>270553.58076000004</v>
      </c>
      <c r="AF985" s="627">
        <f t="shared" si="1103"/>
        <v>285845.467</v>
      </c>
      <c r="AG985" s="627">
        <f t="shared" si="1103"/>
        <v>408319.11476000003</v>
      </c>
      <c r="AH985" s="932">
        <f t="shared" si="1103"/>
        <v>303091.57641199999</v>
      </c>
      <c r="AI985" s="655">
        <f t="shared" si="1103"/>
        <v>1067.2044139999998</v>
      </c>
      <c r="AJ985" s="627">
        <f t="shared" si="1103"/>
        <v>1606.74</v>
      </c>
      <c r="AK985" s="627">
        <f t="shared" si="1103"/>
        <v>3531.9686160000001</v>
      </c>
      <c r="AL985" s="932">
        <f t="shared" si="1103"/>
        <v>1325.7370809999998</v>
      </c>
      <c r="AM985" s="655">
        <f t="shared" si="1103"/>
        <v>12244.744999999999</v>
      </c>
      <c r="AN985" s="627">
        <f t="shared" si="1103"/>
        <v>11165.470000000001</v>
      </c>
      <c r="AO985" s="627">
        <f t="shared" si="1103"/>
        <v>19832.068999999996</v>
      </c>
      <c r="AP985" s="932">
        <f t="shared" si="1103"/>
        <v>16392.620329999998</v>
      </c>
      <c r="AQ985" s="655">
        <f t="shared" si="1103"/>
        <v>16116.636000000002</v>
      </c>
      <c r="AR985" s="627">
        <f t="shared" si="1103"/>
        <v>11253.67</v>
      </c>
      <c r="AS985" s="627">
        <f t="shared" si="1103"/>
        <v>23029.006000000001</v>
      </c>
      <c r="AT985" s="932">
        <f t="shared" si="1103"/>
        <v>21369.015160000003</v>
      </c>
      <c r="AU985" s="655">
        <f t="shared" si="1103"/>
        <v>15213.934000000001</v>
      </c>
      <c r="AV985" s="627">
        <f t="shared" si="1103"/>
        <v>2636.8993999999998</v>
      </c>
      <c r="AW985" s="627">
        <f t="shared" si="1103"/>
        <v>28585.281999999999</v>
      </c>
      <c r="AX985" s="932">
        <f t="shared" si="1103"/>
        <v>20632.242340000001</v>
      </c>
      <c r="AY985" s="655">
        <f t="shared" si="1103"/>
        <v>28203.355</v>
      </c>
      <c r="AZ985" s="627">
        <f t="shared" si="1103"/>
        <v>44069.55</v>
      </c>
      <c r="BA985" s="627">
        <f t="shared" si="1103"/>
        <v>42082.5</v>
      </c>
      <c r="BB985" s="932">
        <f t="shared" si="1103"/>
        <v>45853.9169439978</v>
      </c>
      <c r="BC985" s="655">
        <f t="shared" si="1103"/>
        <v>39188.707274</v>
      </c>
      <c r="BD985" s="627">
        <f t="shared" si="1103"/>
        <v>2764.2613573999997</v>
      </c>
      <c r="BE985" s="627">
        <f t="shared" si="1103"/>
        <v>49357.490488000003</v>
      </c>
      <c r="BF985" s="932">
        <f t="shared" si="1103"/>
        <v>47206.811700000006</v>
      </c>
      <c r="BG985" s="655">
        <f t="shared" si="1103"/>
        <v>35254.076728</v>
      </c>
      <c r="BH985" s="627">
        <f t="shared" si="1103"/>
        <v>73011.385760000005</v>
      </c>
      <c r="BI985" s="627">
        <f t="shared" si="1103"/>
        <v>81053.002613999997</v>
      </c>
      <c r="BJ985" s="932">
        <f t="shared" si="1103"/>
        <v>75966.886655564798</v>
      </c>
      <c r="BK985" s="655">
        <f t="shared" si="1103"/>
        <v>84042.57699999999</v>
      </c>
      <c r="BL985" s="627">
        <f t="shared" si="1103"/>
        <v>65345.030000000006</v>
      </c>
      <c r="BM985" s="627">
        <f t="shared" si="1103"/>
        <v>94197.372200000013</v>
      </c>
      <c r="BN985" s="932">
        <f t="shared" si="1103"/>
        <v>67874.139469999995</v>
      </c>
      <c r="BO985" s="654">
        <f t="shared" si="1103"/>
        <v>22547.49382</v>
      </c>
      <c r="BP985" s="652">
        <f t="shared" si="1103"/>
        <v>20737.080839999999</v>
      </c>
      <c r="BQ985" s="652">
        <f t="shared" si="1103"/>
        <v>27907.41908</v>
      </c>
      <c r="BR985" s="934">
        <f t="shared" si="1103"/>
        <v>30887.841952328003</v>
      </c>
      <c r="BS985" s="654">
        <f t="shared" si="1103"/>
        <v>20253.535960000001</v>
      </c>
      <c r="BT985" s="652">
        <f t="shared" si="1103"/>
        <v>24354.416259999998</v>
      </c>
      <c r="BU985" s="652">
        <f t="shared" si="1103"/>
        <v>24544.189159999994</v>
      </c>
      <c r="BV985" s="653">
        <f t="shared" si="1103"/>
        <v>27719.01986</v>
      </c>
      <c r="BW985" s="1003"/>
      <c r="BX985" s="1004"/>
      <c r="BY985" s="630">
        <f t="shared" si="1052"/>
        <v>544685.84595600003</v>
      </c>
      <c r="BZ985" s="631">
        <f t="shared" si="1053"/>
        <v>542789.97061740002</v>
      </c>
      <c r="CA985" s="631">
        <f t="shared" si="1054"/>
        <v>802439.41391799995</v>
      </c>
      <c r="CB985" s="632">
        <f t="shared" si="1054"/>
        <v>658319.80790489051</v>
      </c>
      <c r="CC985" s="760"/>
    </row>
    <row r="986" spans="1:82" ht="20.65" customHeight="1" outlineLevel="4" x14ac:dyDescent="0.25">
      <c r="C986" s="10" t="s">
        <v>83</v>
      </c>
      <c r="D986" s="10" t="s">
        <v>84</v>
      </c>
      <c r="E986" s="10" t="s">
        <v>73</v>
      </c>
      <c r="F986" s="10" t="s">
        <v>74</v>
      </c>
      <c r="G986" s="10" t="s">
        <v>315</v>
      </c>
      <c r="H986" s="10" t="s">
        <v>73</v>
      </c>
      <c r="I986" s="10" t="s">
        <v>73</v>
      </c>
      <c r="K986" s="12" t="s">
        <v>73</v>
      </c>
      <c r="L986" s="10" t="s">
        <v>192</v>
      </c>
      <c r="M986" s="5" t="str">
        <f t="array" ref="M986">Y818</f>
        <v>1ХВС::1.1</v>
      </c>
      <c r="AB986" s="29" t="str">
        <f>AB985&amp;".1"</f>
        <v>3.1.1.2.1</v>
      </c>
      <c r="AC986" s="174" t="s">
        <v>316</v>
      </c>
      <c r="AD986" s="51" t="s">
        <v>111</v>
      </c>
      <c r="AE986" s="72">
        <f t="shared" ref="AE986:AK987" si="1104">AE246+AE594</f>
        <v>23795.32</v>
      </c>
      <c r="AF986" s="73">
        <f t="shared" si="1104"/>
        <v>33855.67</v>
      </c>
      <c r="AG986" s="73">
        <f t="shared" si="1104"/>
        <v>35383.64</v>
      </c>
      <c r="AH986" s="138">
        <f t="shared" si="1104"/>
        <v>36655.724999999999</v>
      </c>
      <c r="AI986" s="72">
        <f t="shared" si="1104"/>
        <v>275.5</v>
      </c>
      <c r="AJ986" s="73">
        <f t="shared" si="1104"/>
        <v>80.739999999999995</v>
      </c>
      <c r="AK986" s="73">
        <f t="shared" si="1104"/>
        <v>290.76</v>
      </c>
      <c r="AL986" s="138">
        <f t="shared" ref="AL986" si="1105">AL246+AL594</f>
        <v>164.73000000000002</v>
      </c>
      <c r="AM986" s="72">
        <f t="shared" ref="AM986:BE986" si="1106">AM246+AM594</f>
        <v>443.99</v>
      </c>
      <c r="AN986" s="73">
        <f t="shared" si="1106"/>
        <v>609.63</v>
      </c>
      <c r="AO986" s="73">
        <f t="shared" si="1106"/>
        <v>328.89</v>
      </c>
      <c r="AP986" s="138">
        <f t="shared" si="1106"/>
        <v>328.89</v>
      </c>
      <c r="AQ986" s="72">
        <f t="shared" si="1106"/>
        <v>358.76</v>
      </c>
      <c r="AR986" s="73">
        <f t="shared" si="1106"/>
        <v>1625.16</v>
      </c>
      <c r="AS986" s="73">
        <f t="shared" si="1106"/>
        <v>398.43</v>
      </c>
      <c r="AT986" s="138">
        <f t="shared" si="1106"/>
        <v>389.78</v>
      </c>
      <c r="AU986" s="72">
        <f t="shared" si="1106"/>
        <v>219.41</v>
      </c>
      <c r="AV986" s="73">
        <f t="shared" si="1106"/>
        <v>349.12</v>
      </c>
      <c r="AW986" s="73">
        <f t="shared" si="1106"/>
        <v>459.25</v>
      </c>
      <c r="AX986" s="138">
        <f t="shared" si="1106"/>
        <v>339.9</v>
      </c>
      <c r="AY986" s="72">
        <f t="shared" si="1106"/>
        <v>485.77000000000004</v>
      </c>
      <c r="AZ986" s="73">
        <f t="shared" si="1106"/>
        <v>1573.1499999999999</v>
      </c>
      <c r="BA986" s="73">
        <f t="shared" si="1106"/>
        <v>1660.57</v>
      </c>
      <c r="BB986" s="138">
        <f t="shared" si="1106"/>
        <v>1636.8468435</v>
      </c>
      <c r="BC986" s="72">
        <f t="shared" si="1106"/>
        <v>638.35300000000007</v>
      </c>
      <c r="BD986" s="73">
        <f t="shared" si="1106"/>
        <v>0</v>
      </c>
      <c r="BE986" s="73">
        <f t="shared" si="1106"/>
        <v>508.60500000000002</v>
      </c>
      <c r="BF986" s="138">
        <f>BF594+BF246</f>
        <v>442.91499999999996</v>
      </c>
      <c r="BG986" s="72">
        <f t="shared" ref="BG986:BI987" si="1107">BG246+BG594</f>
        <v>1940.4349999999999</v>
      </c>
      <c r="BH986" s="73">
        <f t="shared" si="1107"/>
        <v>1363.5</v>
      </c>
      <c r="BI986" s="73">
        <f t="shared" si="1107"/>
        <v>2290.21</v>
      </c>
      <c r="BJ986" s="138">
        <f>BJ594+BJ246</f>
        <v>1418.6944800000001</v>
      </c>
      <c r="BK986" s="72">
        <f t="shared" ref="BK986:BM987" si="1108">BK246+BK594</f>
        <v>2434.6099999999997</v>
      </c>
      <c r="BL986" s="73">
        <f t="shared" si="1108"/>
        <v>1746.9299999999998</v>
      </c>
      <c r="BM986" s="73">
        <f t="shared" si="1108"/>
        <v>3552.3157000000001</v>
      </c>
      <c r="BN986" s="138">
        <f t="shared" ref="BN986" si="1109">BN246+BN594</f>
        <v>1895.6</v>
      </c>
      <c r="BO986" s="72">
        <f t="shared" ref="BO986:BV987" si="1110">BO246+BO594</f>
        <v>69.295000000000002</v>
      </c>
      <c r="BP986" s="73">
        <f t="shared" si="1110"/>
        <v>339.25</v>
      </c>
      <c r="BQ986" s="73">
        <f t="shared" si="1110"/>
        <v>236.29000000000002</v>
      </c>
      <c r="BR986" s="138">
        <f t="shared" si="1110"/>
        <v>455.30872199999999</v>
      </c>
      <c r="BS986" s="72">
        <f t="shared" si="1110"/>
        <v>491.07400000000001</v>
      </c>
      <c r="BT986" s="73">
        <f t="shared" si="1110"/>
        <v>616.94000000000005</v>
      </c>
      <c r="BU986" s="73">
        <f t="shared" si="1110"/>
        <v>592.51</v>
      </c>
      <c r="BV986" s="74">
        <f t="shared" si="1110"/>
        <v>678.28</v>
      </c>
      <c r="BY986" s="125">
        <f t="shared" si="1052"/>
        <v>31152.517</v>
      </c>
      <c r="BZ986" s="126">
        <f t="shared" si="1053"/>
        <v>42160.090000000004</v>
      </c>
      <c r="CA986" s="126">
        <f t="shared" si="1054"/>
        <v>45701.470700000005</v>
      </c>
      <c r="CB986" s="127">
        <f t="shared" si="1054"/>
        <v>44406.670045500003</v>
      </c>
      <c r="CD986" s="1025"/>
    </row>
    <row r="987" spans="1:82" ht="20.65" customHeight="1" outlineLevel="4" x14ac:dyDescent="0.25">
      <c r="C987" s="10" t="s">
        <v>83</v>
      </c>
      <c r="D987" s="10" t="s">
        <v>84</v>
      </c>
      <c r="E987" s="10" t="s">
        <v>73</v>
      </c>
      <c r="F987" s="10" t="s">
        <v>74</v>
      </c>
      <c r="G987" s="10" t="s">
        <v>317</v>
      </c>
      <c r="H987" s="10" t="s">
        <v>73</v>
      </c>
      <c r="I987" s="10" t="s">
        <v>73</v>
      </c>
      <c r="K987" s="12" t="s">
        <v>73</v>
      </c>
      <c r="L987" s="10" t="s">
        <v>192</v>
      </c>
      <c r="M987" s="5" t="str">
        <f t="array" ref="M987">Y818</f>
        <v>1ХВС::1.1</v>
      </c>
      <c r="AB987" s="29" t="str">
        <f>AB985&amp;".2"</f>
        <v>3.1.1.2.2</v>
      </c>
      <c r="AC987" s="174" t="s">
        <v>318</v>
      </c>
      <c r="AD987" s="51" t="s">
        <v>111</v>
      </c>
      <c r="AE987" s="72">
        <f t="shared" si="1104"/>
        <v>158452.19</v>
      </c>
      <c r="AF987" s="73">
        <f t="shared" si="1104"/>
        <v>146547.33000000002</v>
      </c>
      <c r="AG987" s="73">
        <f t="shared" si="1104"/>
        <v>191367.55</v>
      </c>
      <c r="AH987" s="138">
        <f t="shared" si="1104"/>
        <v>158667.61099999998</v>
      </c>
      <c r="AI987" s="72">
        <f t="shared" si="1104"/>
        <v>68.89</v>
      </c>
      <c r="AJ987" s="73">
        <f t="shared" si="1104"/>
        <v>278.44</v>
      </c>
      <c r="AK987" s="73">
        <f t="shared" si="1104"/>
        <v>840.18000000000006</v>
      </c>
      <c r="AL987" s="138">
        <f t="shared" ref="AL987" si="1111">AL247+AL595</f>
        <v>301.61180000000002</v>
      </c>
      <c r="AM987" s="72">
        <f t="shared" ref="AM987:BE987" si="1112">AM247+AM595</f>
        <v>5614.78</v>
      </c>
      <c r="AN987" s="73">
        <f t="shared" si="1112"/>
        <v>1416.82</v>
      </c>
      <c r="AO987" s="73">
        <f t="shared" si="1112"/>
        <v>8270.7199999999993</v>
      </c>
      <c r="AP987" s="138">
        <f t="shared" si="1112"/>
        <v>8270.7199999999993</v>
      </c>
      <c r="AQ987" s="72">
        <f t="shared" si="1112"/>
        <v>5628.12</v>
      </c>
      <c r="AR987" s="73">
        <f t="shared" si="1112"/>
        <v>2411.23</v>
      </c>
      <c r="AS987" s="73">
        <f t="shared" si="1112"/>
        <v>11321</v>
      </c>
      <c r="AT987" s="138">
        <f t="shared" si="1112"/>
        <v>9347.7139999999999</v>
      </c>
      <c r="AU987" s="72">
        <f t="shared" si="1112"/>
        <v>9254.9930000000004</v>
      </c>
      <c r="AV987" s="73">
        <f t="shared" si="1112"/>
        <v>0</v>
      </c>
      <c r="AW987" s="73">
        <f t="shared" si="1112"/>
        <v>18651.38</v>
      </c>
      <c r="AX987" s="138">
        <f t="shared" si="1112"/>
        <v>13208.59</v>
      </c>
      <c r="AY987" s="72">
        <f t="shared" si="1112"/>
        <v>22745.18</v>
      </c>
      <c r="AZ987" s="73">
        <f t="shared" si="1112"/>
        <v>11021.7</v>
      </c>
      <c r="BA987" s="73">
        <f t="shared" si="1112"/>
        <v>18566.87</v>
      </c>
      <c r="BB987" s="138">
        <f t="shared" si="1112"/>
        <v>11467.968632999999</v>
      </c>
      <c r="BC987" s="72">
        <f t="shared" si="1112"/>
        <v>27823.714</v>
      </c>
      <c r="BD987" s="73">
        <f t="shared" si="1112"/>
        <v>1139.6600000000001</v>
      </c>
      <c r="BE987" s="73">
        <f t="shared" si="1112"/>
        <v>37663.866999999998</v>
      </c>
      <c r="BF987" s="138">
        <f>BF595+BF247</f>
        <v>33246.728000000003</v>
      </c>
      <c r="BG987" s="72">
        <f t="shared" si="1107"/>
        <v>16030.55</v>
      </c>
      <c r="BH987" s="73">
        <f t="shared" si="1107"/>
        <v>13082.78</v>
      </c>
      <c r="BI987" s="73">
        <f t="shared" si="1107"/>
        <v>27475.376</v>
      </c>
      <c r="BJ987" s="138">
        <f>BJ595+BJ247</f>
        <v>13612.370934400002</v>
      </c>
      <c r="BK987" s="72">
        <f t="shared" si="1108"/>
        <v>63479.420000000006</v>
      </c>
      <c r="BL987" s="73">
        <f t="shared" si="1108"/>
        <v>40356.69</v>
      </c>
      <c r="BM987" s="73">
        <f t="shared" si="1108"/>
        <v>65756.916500000007</v>
      </c>
      <c r="BN987" s="138">
        <f t="shared" ref="BN987" si="1113">BN247+BN595</f>
        <v>43702.277899999994</v>
      </c>
      <c r="BO987" s="72">
        <f t="shared" si="1110"/>
        <v>19028.060000000001</v>
      </c>
      <c r="BP987" s="73">
        <f t="shared" si="1110"/>
        <v>18708.59</v>
      </c>
      <c r="BQ987" s="73">
        <f t="shared" si="1110"/>
        <v>20760.27</v>
      </c>
      <c r="BR987" s="138">
        <f t="shared" si="1110"/>
        <v>25532.557052</v>
      </c>
      <c r="BS987" s="72">
        <f t="shared" si="1110"/>
        <v>16641.723999999998</v>
      </c>
      <c r="BT987" s="73">
        <f t="shared" si="1110"/>
        <v>21018.59</v>
      </c>
      <c r="BU987" s="73">
        <f t="shared" si="1110"/>
        <v>20221.239999999998</v>
      </c>
      <c r="BV987" s="74">
        <f t="shared" si="1110"/>
        <v>23108.14</v>
      </c>
      <c r="BY987" s="125">
        <f t="shared" si="1052"/>
        <v>344767.62099999998</v>
      </c>
      <c r="BZ987" s="126">
        <f t="shared" si="1053"/>
        <v>255981.83000000005</v>
      </c>
      <c r="CA987" s="126">
        <f t="shared" si="1054"/>
        <v>420895.36949999997</v>
      </c>
      <c r="CB987" s="127">
        <f t="shared" si="1054"/>
        <v>340466.28931940004</v>
      </c>
    </row>
    <row r="988" spans="1:82" ht="20.65" customHeight="1" outlineLevel="4" x14ac:dyDescent="0.25">
      <c r="C988" s="10" t="s">
        <v>83</v>
      </c>
      <c r="D988" s="10" t="s">
        <v>84</v>
      </c>
      <c r="E988" s="10" t="s">
        <v>73</v>
      </c>
      <c r="F988" s="10" t="s">
        <v>74</v>
      </c>
      <c r="G988" s="10" t="s">
        <v>201</v>
      </c>
      <c r="H988" s="10" t="s">
        <v>319</v>
      </c>
      <c r="I988" s="10" t="s">
        <v>73</v>
      </c>
      <c r="K988" s="12" t="s">
        <v>73</v>
      </c>
      <c r="L988" s="10" t="s">
        <v>192</v>
      </c>
      <c r="M988" s="5" t="str">
        <f t="array" ref="M988">Y818</f>
        <v>1ХВС::1.1</v>
      </c>
      <c r="AB988" s="29" t="str">
        <f>AB985&amp;".3"</f>
        <v>3.1.1.2.3</v>
      </c>
      <c r="AC988" s="174" t="s">
        <v>320</v>
      </c>
      <c r="AD988" s="51" t="s">
        <v>111</v>
      </c>
      <c r="AE988" s="72">
        <f t="shared" ref="AE988:BV988" si="1114">AE989+AE992</f>
        <v>88306.070760000002</v>
      </c>
      <c r="AF988" s="73">
        <f t="shared" si="1114"/>
        <v>105442.467</v>
      </c>
      <c r="AG988" s="73">
        <f t="shared" si="1114"/>
        <v>181567.92475999999</v>
      </c>
      <c r="AH988" s="138">
        <f t="shared" si="1114"/>
        <v>107768.24041200001</v>
      </c>
      <c r="AI988" s="72">
        <f t="shared" si="1114"/>
        <v>722.81441399999994</v>
      </c>
      <c r="AJ988" s="73">
        <f t="shared" si="1114"/>
        <v>1247.56</v>
      </c>
      <c r="AK988" s="73">
        <f t="shared" si="1114"/>
        <v>2401.0286160000001</v>
      </c>
      <c r="AL988" s="138">
        <f t="shared" si="1114"/>
        <v>859.39528099999984</v>
      </c>
      <c r="AM988" s="72">
        <f t="shared" si="1114"/>
        <v>6185.9750000000004</v>
      </c>
      <c r="AN988" s="73">
        <f t="shared" si="1114"/>
        <v>9139.02</v>
      </c>
      <c r="AO988" s="73">
        <f t="shared" si="1114"/>
        <v>11232.458999999999</v>
      </c>
      <c r="AP988" s="138">
        <f t="shared" si="1114"/>
        <v>7793.0103300000001</v>
      </c>
      <c r="AQ988" s="72">
        <f t="shared" si="1114"/>
        <v>10129.756000000001</v>
      </c>
      <c r="AR988" s="73">
        <f t="shared" si="1114"/>
        <v>7217.28</v>
      </c>
      <c r="AS988" s="73">
        <f t="shared" si="1114"/>
        <v>11309.576000000001</v>
      </c>
      <c r="AT988" s="138">
        <f t="shared" si="1114"/>
        <v>11631.52116</v>
      </c>
      <c r="AU988" s="72">
        <f t="shared" si="1114"/>
        <v>5739.5309999999999</v>
      </c>
      <c r="AV988" s="73">
        <f t="shared" si="1114"/>
        <v>2287.7793999999999</v>
      </c>
      <c r="AW988" s="73">
        <f t="shared" si="1114"/>
        <v>9474.652</v>
      </c>
      <c r="AX988" s="138">
        <f t="shared" si="1114"/>
        <v>7083.75234</v>
      </c>
      <c r="AY988" s="72">
        <f t="shared" si="1114"/>
        <v>4972.4049999999997</v>
      </c>
      <c r="AZ988" s="73">
        <f t="shared" si="1114"/>
        <v>31474.7</v>
      </c>
      <c r="BA988" s="73">
        <f t="shared" si="1114"/>
        <v>21855.06</v>
      </c>
      <c r="BB988" s="138">
        <f t="shared" si="1114"/>
        <v>32749.1014674978</v>
      </c>
      <c r="BC988" s="72">
        <f t="shared" si="1114"/>
        <v>10726.640273999999</v>
      </c>
      <c r="BD988" s="73">
        <f t="shared" si="1114"/>
        <v>1624.6013573999999</v>
      </c>
      <c r="BE988" s="73">
        <f t="shared" si="1114"/>
        <v>11185.018488</v>
      </c>
      <c r="BF988" s="138">
        <f t="shared" si="1114"/>
        <v>13517.168699999998</v>
      </c>
      <c r="BG988" s="72">
        <f t="shared" si="1114"/>
        <v>17283.091727999999</v>
      </c>
      <c r="BH988" s="73">
        <f t="shared" si="1114"/>
        <v>58565.105760000006</v>
      </c>
      <c r="BI988" s="73">
        <f t="shared" si="1114"/>
        <v>51287.416614000002</v>
      </c>
      <c r="BJ988" s="138">
        <f t="shared" si="1114"/>
        <v>60935.821241164798</v>
      </c>
      <c r="BK988" s="72">
        <f t="shared" si="1114"/>
        <v>18128.546999999999</v>
      </c>
      <c r="BL988" s="73">
        <f t="shared" si="1114"/>
        <v>23241.410000000003</v>
      </c>
      <c r="BM988" s="73">
        <f t="shared" si="1114"/>
        <v>24888.14</v>
      </c>
      <c r="BN988" s="138">
        <f t="shared" si="1114"/>
        <v>22276.261569999999</v>
      </c>
      <c r="BO988" s="72">
        <f t="shared" si="1114"/>
        <v>3450.1388199999997</v>
      </c>
      <c r="BP988" s="73">
        <f t="shared" si="1114"/>
        <v>1689.2408400000002</v>
      </c>
      <c r="BQ988" s="73">
        <f t="shared" si="1114"/>
        <v>6910.8590800000002</v>
      </c>
      <c r="BR988" s="138">
        <f t="shared" si="1114"/>
        <v>4899.9761783279992</v>
      </c>
      <c r="BS988" s="72">
        <f t="shared" si="1114"/>
        <v>3120.7379600000004</v>
      </c>
      <c r="BT988" s="73">
        <f t="shared" si="1114"/>
        <v>2718.8862600000002</v>
      </c>
      <c r="BU988" s="73">
        <f t="shared" si="1114"/>
        <v>3730.4391599999999</v>
      </c>
      <c r="BV988" s="74">
        <f t="shared" si="1114"/>
        <v>3932.5998600000003</v>
      </c>
      <c r="BY988" s="125">
        <f t="shared" si="1052"/>
        <v>168765.70795599997</v>
      </c>
      <c r="BZ988" s="126">
        <f t="shared" si="1053"/>
        <v>244648.05061740003</v>
      </c>
      <c r="CA988" s="126">
        <f t="shared" si="1054"/>
        <v>335842.57371800003</v>
      </c>
      <c r="CB988" s="127">
        <f t="shared" si="1054"/>
        <v>273446.84853999061</v>
      </c>
    </row>
    <row r="989" spans="1:82" ht="14.25" customHeight="1" outlineLevel="4" x14ac:dyDescent="0.25">
      <c r="C989" s="10" t="s">
        <v>83</v>
      </c>
      <c r="D989" s="10" t="s">
        <v>84</v>
      </c>
      <c r="E989" s="10" t="s">
        <v>73</v>
      </c>
      <c r="F989" s="10" t="s">
        <v>74</v>
      </c>
      <c r="G989" s="10" t="s">
        <v>204</v>
      </c>
      <c r="H989" s="10" t="s">
        <v>319</v>
      </c>
      <c r="I989" s="10" t="s">
        <v>73</v>
      </c>
      <c r="K989" s="12" t="s">
        <v>73</v>
      </c>
      <c r="L989" s="10" t="s">
        <v>192</v>
      </c>
      <c r="M989" s="5" t="str">
        <f t="array" ref="M989">Y818</f>
        <v>1ХВС::1.1</v>
      </c>
      <c r="AB989" s="29" t="str">
        <f>AB988&amp;".1"</f>
        <v>3.1.1.2.3.1</v>
      </c>
      <c r="AC989" s="177" t="s">
        <v>321</v>
      </c>
      <c r="AD989" s="51" t="s">
        <v>111</v>
      </c>
      <c r="AE989" s="95">
        <f t="shared" ref="AE989:BV989" si="1115">AE249+AE597</f>
        <v>65683.740000000005</v>
      </c>
      <c r="AF989" s="178">
        <f t="shared" si="1115"/>
        <v>81225.727000000014</v>
      </c>
      <c r="AG989" s="178">
        <f t="shared" si="1115"/>
        <v>139707.37</v>
      </c>
      <c r="AH989" s="181">
        <f t="shared" si="1115"/>
        <v>82771.306000000011</v>
      </c>
      <c r="AI989" s="95">
        <f t="shared" si="1115"/>
        <v>555.15699999999993</v>
      </c>
      <c r="AJ989" s="178">
        <f t="shared" si="1115"/>
        <v>958.19</v>
      </c>
      <c r="AK989" s="178">
        <f t="shared" si="1115"/>
        <v>1844.1079999999999</v>
      </c>
      <c r="AL989" s="181">
        <f t="shared" si="1115"/>
        <v>660.06549999999993</v>
      </c>
      <c r="AM989" s="95">
        <f t="shared" si="1115"/>
        <v>4751.1350000000002</v>
      </c>
      <c r="AN989" s="178">
        <f t="shared" si="1115"/>
        <v>7019.22</v>
      </c>
      <c r="AO989" s="178">
        <f t="shared" si="1115"/>
        <v>8627.0789999999997</v>
      </c>
      <c r="AP989" s="181">
        <f t="shared" si="1115"/>
        <v>5985.415</v>
      </c>
      <c r="AQ989" s="95">
        <f t="shared" si="1115"/>
        <v>7780.1460000000006</v>
      </c>
      <c r="AR989" s="178">
        <f t="shared" si="1115"/>
        <v>5543.23</v>
      </c>
      <c r="AS989" s="178">
        <f t="shared" si="1115"/>
        <v>8686.3060000000005</v>
      </c>
      <c r="AT989" s="181">
        <f t="shared" si="1115"/>
        <v>8933.58</v>
      </c>
      <c r="AU989" s="95">
        <f t="shared" si="1115"/>
        <v>4408.241</v>
      </c>
      <c r="AV989" s="178">
        <f t="shared" si="1115"/>
        <v>1757.1194</v>
      </c>
      <c r="AW989" s="178">
        <f t="shared" si="1115"/>
        <v>7277.0020000000004</v>
      </c>
      <c r="AX989" s="181">
        <f t="shared" si="1115"/>
        <v>5440.67</v>
      </c>
      <c r="AY989" s="95">
        <f t="shared" si="1115"/>
        <v>3819.0450000000001</v>
      </c>
      <c r="AZ989" s="178">
        <f t="shared" si="1115"/>
        <v>24174.11</v>
      </c>
      <c r="BA989" s="178">
        <f t="shared" si="1115"/>
        <v>16785.760000000002</v>
      </c>
      <c r="BB989" s="181">
        <f t="shared" si="1115"/>
        <v>25152.919713899999</v>
      </c>
      <c r="BC989" s="95">
        <f t="shared" si="1115"/>
        <v>8238.5869999999995</v>
      </c>
      <c r="BD989" s="178">
        <f t="shared" si="1115"/>
        <v>1247.7737</v>
      </c>
      <c r="BE989" s="178">
        <f t="shared" si="1115"/>
        <v>8590.6440000000002</v>
      </c>
      <c r="BF989" s="181">
        <f t="shared" si="1115"/>
        <v>10381.849999999999</v>
      </c>
      <c r="BG989" s="95">
        <f t="shared" si="1115"/>
        <v>13274.263999999999</v>
      </c>
      <c r="BH989" s="178">
        <f t="shared" si="1115"/>
        <v>44980.880000000005</v>
      </c>
      <c r="BI989" s="178">
        <f t="shared" si="1115"/>
        <v>39391.256999999998</v>
      </c>
      <c r="BJ989" s="181">
        <f t="shared" si="1115"/>
        <v>46801.706022400002</v>
      </c>
      <c r="BK989" s="95">
        <f t="shared" si="1115"/>
        <v>13923.617</v>
      </c>
      <c r="BL989" s="178">
        <f t="shared" si="1115"/>
        <v>17850.550000000003</v>
      </c>
      <c r="BM989" s="178">
        <f t="shared" si="1115"/>
        <v>19115.32</v>
      </c>
      <c r="BN989" s="181">
        <f t="shared" si="1115"/>
        <v>17019.264999999999</v>
      </c>
      <c r="BO989" s="95">
        <f t="shared" si="1115"/>
        <v>2649.8739999999998</v>
      </c>
      <c r="BP989" s="178">
        <f t="shared" si="1115"/>
        <v>1297.42</v>
      </c>
      <c r="BQ989" s="178">
        <f t="shared" si="1115"/>
        <v>5307.88</v>
      </c>
      <c r="BR989" s="181">
        <f t="shared" si="1115"/>
        <v>3763.4225639999995</v>
      </c>
      <c r="BS989" s="95">
        <f t="shared" si="1115"/>
        <v>2396.88</v>
      </c>
      <c r="BT989" s="178">
        <f t="shared" si="1115"/>
        <v>2088.2400000000002</v>
      </c>
      <c r="BU989" s="178">
        <f t="shared" si="1115"/>
        <v>2865.16</v>
      </c>
      <c r="BV989" s="96">
        <f t="shared" si="1115"/>
        <v>3020.4300000000003</v>
      </c>
      <c r="BY989" s="125">
        <f t="shared" si="1052"/>
        <v>127480.686</v>
      </c>
      <c r="BZ989" s="126">
        <f t="shared" si="1053"/>
        <v>188142.4601</v>
      </c>
      <c r="CA989" s="126">
        <f t="shared" si="1054"/>
        <v>258197.88600000003</v>
      </c>
      <c r="CB989" s="127">
        <f t="shared" si="1054"/>
        <v>209930.6298003</v>
      </c>
    </row>
    <row r="990" spans="1:82" s="115" customFormat="1" ht="15" customHeight="1" outlineLevel="4" x14ac:dyDescent="0.25">
      <c r="A990" s="100"/>
      <c r="B990" s="100"/>
      <c r="C990" s="99" t="s">
        <v>206</v>
      </c>
      <c r="D990" s="99" t="s">
        <v>207</v>
      </c>
      <c r="E990" s="99" t="s">
        <v>73</v>
      </c>
      <c r="F990" s="99" t="s">
        <v>74</v>
      </c>
      <c r="G990" s="99" t="s">
        <v>73</v>
      </c>
      <c r="H990" s="99" t="s">
        <v>319</v>
      </c>
      <c r="I990" s="99" t="s">
        <v>73</v>
      </c>
      <c r="J990" s="100"/>
      <c r="K990" s="102" t="s">
        <v>73</v>
      </c>
      <c r="L990" s="99" t="s">
        <v>192</v>
      </c>
      <c r="M990" s="100" t="str">
        <f t="array" ref="M990">Y818</f>
        <v>1ХВС::1.1</v>
      </c>
      <c r="N990" s="100"/>
      <c r="O990" s="100"/>
      <c r="P990" s="100"/>
      <c r="Q990" s="100"/>
      <c r="R990" s="100"/>
      <c r="S990" s="100"/>
      <c r="T990" s="100"/>
      <c r="U990" s="100"/>
      <c r="V990" s="100"/>
      <c r="W990" s="100"/>
      <c r="X990" s="100"/>
      <c r="Y990" s="100"/>
      <c r="Z990" s="100"/>
      <c r="AA990" s="100"/>
      <c r="AB990" s="103" t="str">
        <f>AB989&amp;".1"</f>
        <v>3.1.1.2.3.1.1</v>
      </c>
      <c r="AC990" s="188" t="s">
        <v>208</v>
      </c>
      <c r="AD990" s="189" t="s">
        <v>209</v>
      </c>
      <c r="AE990" s="190">
        <f t="shared" ref="AE990:BV990" si="1116">AE989/AE991/12*1000</f>
        <v>59886.706783369809</v>
      </c>
      <c r="AF990" s="191">
        <f t="shared" si="1116"/>
        <v>64729.94724427021</v>
      </c>
      <c r="AG990" s="191">
        <f t="shared" si="1116"/>
        <v>77869.579515305566</v>
      </c>
      <c r="AH990" s="193">
        <f t="shared" si="1116"/>
        <v>68605.61799615412</v>
      </c>
      <c r="AI990" s="190">
        <f t="shared" si="1116"/>
        <v>50285.960144927536</v>
      </c>
      <c r="AJ990" s="191">
        <f t="shared" si="1116"/>
        <v>39924.583333333336</v>
      </c>
      <c r="AK990" s="191">
        <f t="shared" si="1116"/>
        <v>49255.02136752136</v>
      </c>
      <c r="AL990" s="193">
        <f t="shared" si="1116"/>
        <v>41357.487468671672</v>
      </c>
      <c r="AM990" s="190">
        <f t="shared" si="1116"/>
        <v>62646.822257383967</v>
      </c>
      <c r="AN990" s="191">
        <f t="shared" si="1116"/>
        <v>40733.635097493039</v>
      </c>
      <c r="AO990" s="191">
        <f t="shared" si="1116"/>
        <v>48906.343537414963</v>
      </c>
      <c r="AP990" s="193">
        <f t="shared" si="1116"/>
        <v>71767.565947242198</v>
      </c>
      <c r="AQ990" s="190">
        <f t="shared" si="1116"/>
        <v>71246.75824175826</v>
      </c>
      <c r="AR990" s="191">
        <f t="shared" si="1116"/>
        <v>36954.866666666669</v>
      </c>
      <c r="AS990" s="191">
        <f t="shared" si="1116"/>
        <v>46700.569892473119</v>
      </c>
      <c r="AT990" s="193">
        <f t="shared" si="1116"/>
        <v>81362.295081967211</v>
      </c>
      <c r="AU990" s="190">
        <f t="shared" si="1116"/>
        <v>51450.058356676003</v>
      </c>
      <c r="AV990" s="191">
        <f t="shared" si="1116"/>
        <v>34453.321568627449</v>
      </c>
      <c r="AW990" s="191">
        <f t="shared" si="1116"/>
        <v>48904.583333333343</v>
      </c>
      <c r="AX990" s="193">
        <f t="shared" si="1116"/>
        <v>57756.581740976646</v>
      </c>
      <c r="AY990" s="190">
        <f t="shared" si="1116"/>
        <v>30868.452958292924</v>
      </c>
      <c r="AZ990" s="191">
        <f t="shared" si="1116"/>
        <v>43689.203354297693</v>
      </c>
      <c r="BA990" s="191">
        <f t="shared" si="1116"/>
        <v>48569.907407407423</v>
      </c>
      <c r="BB990" s="193">
        <f t="shared" si="1116"/>
        <v>45458.179198113205</v>
      </c>
      <c r="BC990" s="190">
        <f t="shared" si="1116"/>
        <v>61740.010491606721</v>
      </c>
      <c r="BD990" s="191">
        <f t="shared" si="1116"/>
        <v>34660.380555555552</v>
      </c>
      <c r="BE990" s="191">
        <f t="shared" si="1116"/>
        <v>47725.8</v>
      </c>
      <c r="BF990" s="193">
        <f t="shared" si="1116"/>
        <v>70682.52995642701</v>
      </c>
      <c r="BG990" s="190">
        <f t="shared" si="1116"/>
        <v>39366.144721233686</v>
      </c>
      <c r="BH990" s="191">
        <f t="shared" si="1116"/>
        <v>47663.13717169076</v>
      </c>
      <c r="BI990" s="191">
        <f t="shared" si="1116"/>
        <v>52270.776273885356</v>
      </c>
      <c r="BJ990" s="193">
        <f t="shared" si="1116"/>
        <v>49594.890240759589</v>
      </c>
      <c r="BK990" s="190">
        <f t="shared" si="1116"/>
        <v>51431.800384160742</v>
      </c>
      <c r="BL990" s="191">
        <f t="shared" si="1116"/>
        <v>47985.349462365601</v>
      </c>
      <c r="BM990" s="191">
        <f t="shared" si="1116"/>
        <v>51385.268817204298</v>
      </c>
      <c r="BN990" s="193">
        <f t="shared" si="1116"/>
        <v>58606.284435261703</v>
      </c>
      <c r="BO990" s="197">
        <f t="shared" si="1116"/>
        <v>52203.979511426303</v>
      </c>
      <c r="BP990" s="195">
        <f t="shared" si="1116"/>
        <v>43596.102150537641</v>
      </c>
      <c r="BQ990" s="195">
        <f t="shared" si="1116"/>
        <v>46560.350877192985</v>
      </c>
      <c r="BR990" s="196">
        <f t="shared" si="1116"/>
        <v>67444.848817204285</v>
      </c>
      <c r="BS990" s="197">
        <f t="shared" si="1116"/>
        <v>44584.821428571435</v>
      </c>
      <c r="BT990" s="195">
        <f t="shared" si="1116"/>
        <v>43723.61809045227</v>
      </c>
      <c r="BU990" s="195">
        <f t="shared" si="1116"/>
        <v>47752.666666666664</v>
      </c>
      <c r="BV990" s="198">
        <f t="shared" si="1116"/>
        <v>51159.044715447162</v>
      </c>
      <c r="BW990" s="111"/>
      <c r="BX990" s="100"/>
      <c r="BY990" s="112">
        <f>BY989/BY991/12*1000</f>
        <v>54289.608033524135</v>
      </c>
      <c r="BZ990" s="113">
        <f>BZ989/BZ991/12*1000</f>
        <v>51762.506226029982</v>
      </c>
      <c r="CA990" s="113">
        <f>CA989/CA991/12*1000</f>
        <v>61948.263898885794</v>
      </c>
      <c r="CB990" s="114">
        <f>CB989/CB991/12*1000</f>
        <v>58986.510047963457</v>
      </c>
      <c r="CC990" s="759"/>
    </row>
    <row r="991" spans="1:82" s="115" customFormat="1" ht="14.25" customHeight="1" outlineLevel="4" x14ac:dyDescent="0.25">
      <c r="A991" s="100"/>
      <c r="B991" s="100"/>
      <c r="C991" s="99" t="s">
        <v>210</v>
      </c>
      <c r="D991" s="99" t="s">
        <v>211</v>
      </c>
      <c r="E991" s="99" t="s">
        <v>73</v>
      </c>
      <c r="F991" s="99" t="s">
        <v>74</v>
      </c>
      <c r="G991" s="99" t="s">
        <v>73</v>
      </c>
      <c r="H991" s="99" t="s">
        <v>319</v>
      </c>
      <c r="I991" s="99" t="s">
        <v>73</v>
      </c>
      <c r="J991" s="100"/>
      <c r="K991" s="102" t="s">
        <v>73</v>
      </c>
      <c r="L991" s="99" t="s">
        <v>192</v>
      </c>
      <c r="M991" s="100" t="str">
        <f t="array" ref="M991">Y818</f>
        <v>1ХВС::1.1</v>
      </c>
      <c r="N991" s="100"/>
      <c r="O991" s="100"/>
      <c r="P991" s="100"/>
      <c r="Q991" s="100"/>
      <c r="R991" s="100"/>
      <c r="S991" s="100"/>
      <c r="T991" s="100"/>
      <c r="U991" s="100"/>
      <c r="V991" s="100"/>
      <c r="W991" s="100"/>
      <c r="X991" s="100"/>
      <c r="Y991" s="100"/>
      <c r="Z991" s="100"/>
      <c r="AA991" s="100"/>
      <c r="AB991" s="103" t="str">
        <f>AB989&amp;".2"</f>
        <v>3.1.1.2.3.1.2</v>
      </c>
      <c r="AC991" s="188" t="s">
        <v>212</v>
      </c>
      <c r="AD991" s="189" t="s">
        <v>213</v>
      </c>
      <c r="AE991" s="199">
        <f t="shared" ref="AE991:BV991" si="1117">AE251+AE599</f>
        <v>91.4</v>
      </c>
      <c r="AF991" s="200">
        <f t="shared" si="1117"/>
        <v>104.57</v>
      </c>
      <c r="AG991" s="200">
        <f t="shared" si="1117"/>
        <v>149.51</v>
      </c>
      <c r="AH991" s="202">
        <f t="shared" si="1117"/>
        <v>100.53999999999999</v>
      </c>
      <c r="AI991" s="199">
        <f t="shared" si="1117"/>
        <v>0.91999999999999993</v>
      </c>
      <c r="AJ991" s="200">
        <f t="shared" si="1117"/>
        <v>2</v>
      </c>
      <c r="AK991" s="200">
        <f t="shared" si="1117"/>
        <v>3.12</v>
      </c>
      <c r="AL991" s="202">
        <f t="shared" si="1117"/>
        <v>1.33</v>
      </c>
      <c r="AM991" s="199">
        <f t="shared" si="1117"/>
        <v>6.32</v>
      </c>
      <c r="AN991" s="200">
        <f t="shared" si="1117"/>
        <v>14.36</v>
      </c>
      <c r="AO991" s="200">
        <f t="shared" si="1117"/>
        <v>14.7</v>
      </c>
      <c r="AP991" s="202">
        <f t="shared" si="1117"/>
        <v>6.95</v>
      </c>
      <c r="AQ991" s="199">
        <f t="shared" si="1117"/>
        <v>9.1</v>
      </c>
      <c r="AR991" s="200">
        <f t="shared" si="1117"/>
        <v>12.5</v>
      </c>
      <c r="AS991" s="200">
        <f t="shared" si="1117"/>
        <v>15.5</v>
      </c>
      <c r="AT991" s="202">
        <f t="shared" si="1117"/>
        <v>9.15</v>
      </c>
      <c r="AU991" s="199">
        <f t="shared" si="1117"/>
        <v>7.1400000000000006</v>
      </c>
      <c r="AV991" s="200">
        <f t="shared" si="1117"/>
        <v>4.25</v>
      </c>
      <c r="AW991" s="200">
        <f t="shared" si="1117"/>
        <v>12.399999999999999</v>
      </c>
      <c r="AX991" s="202">
        <f t="shared" si="1117"/>
        <v>7.85</v>
      </c>
      <c r="AY991" s="199">
        <f t="shared" si="1117"/>
        <v>10.309999999999999</v>
      </c>
      <c r="AZ991" s="200">
        <f t="shared" si="1117"/>
        <v>46.11</v>
      </c>
      <c r="BA991" s="200">
        <f t="shared" si="1117"/>
        <v>28.799999999999997</v>
      </c>
      <c r="BB991" s="202">
        <f t="shared" si="1117"/>
        <v>46.11</v>
      </c>
      <c r="BC991" s="199">
        <f t="shared" si="1117"/>
        <v>11.12</v>
      </c>
      <c r="BD991" s="200">
        <f t="shared" si="1117"/>
        <v>3</v>
      </c>
      <c r="BE991" s="200">
        <f t="shared" si="1117"/>
        <v>15</v>
      </c>
      <c r="BF991" s="202">
        <f t="shared" si="1117"/>
        <v>12.24</v>
      </c>
      <c r="BG991" s="199">
        <f t="shared" si="1117"/>
        <v>28.1</v>
      </c>
      <c r="BH991" s="200">
        <f t="shared" si="1117"/>
        <v>78.6437253</v>
      </c>
      <c r="BI991" s="200">
        <f t="shared" si="1117"/>
        <v>62.8</v>
      </c>
      <c r="BJ991" s="202">
        <f t="shared" si="1117"/>
        <v>78.639999999999986</v>
      </c>
      <c r="BK991" s="199">
        <f t="shared" si="1117"/>
        <v>22.560000000000002</v>
      </c>
      <c r="BL991" s="200">
        <f t="shared" si="1117"/>
        <v>31</v>
      </c>
      <c r="BM991" s="200">
        <f t="shared" si="1117"/>
        <v>31</v>
      </c>
      <c r="BN991" s="202">
        <f t="shared" si="1117"/>
        <v>24.2</v>
      </c>
      <c r="BO991" s="199">
        <f t="shared" si="1117"/>
        <v>4.2300000000000004</v>
      </c>
      <c r="BP991" s="200">
        <f t="shared" si="1117"/>
        <v>2.48</v>
      </c>
      <c r="BQ991" s="200">
        <f t="shared" si="1117"/>
        <v>9.5</v>
      </c>
      <c r="BR991" s="202">
        <f t="shared" si="1117"/>
        <v>4.6500000000000004</v>
      </c>
      <c r="BS991" s="199">
        <f t="shared" si="1117"/>
        <v>4.4799999999999995</v>
      </c>
      <c r="BT991" s="200">
        <f t="shared" si="1117"/>
        <v>3.98</v>
      </c>
      <c r="BU991" s="200">
        <f t="shared" si="1117"/>
        <v>5</v>
      </c>
      <c r="BV991" s="201">
        <f t="shared" si="1117"/>
        <v>4.92</v>
      </c>
      <c r="BW991" s="111"/>
      <c r="BX991" s="100"/>
      <c r="BY991" s="112">
        <f t="shared" ref="BY991:CB992" si="1118">AE991+AI991+AM991+AQ991+AU991+AY991+BC991+BG991+BK991+BO991+BS991</f>
        <v>195.67999999999998</v>
      </c>
      <c r="BZ991" s="113">
        <f t="shared" si="1118"/>
        <v>302.89372530000003</v>
      </c>
      <c r="CA991" s="113">
        <f t="shared" si="1118"/>
        <v>347.33</v>
      </c>
      <c r="CB991" s="114">
        <f t="shared" si="1118"/>
        <v>296.58</v>
      </c>
      <c r="CC991" s="759"/>
    </row>
    <row r="992" spans="1:82" ht="14.25" customHeight="1" outlineLevel="4" x14ac:dyDescent="0.25">
      <c r="C992" s="10" t="s">
        <v>83</v>
      </c>
      <c r="D992" s="10" t="s">
        <v>84</v>
      </c>
      <c r="E992" s="10" t="s">
        <v>73</v>
      </c>
      <c r="F992" s="10" t="s">
        <v>74</v>
      </c>
      <c r="G992" s="10" t="s">
        <v>214</v>
      </c>
      <c r="H992" s="10" t="s">
        <v>319</v>
      </c>
      <c r="I992" s="10" t="s">
        <v>73</v>
      </c>
      <c r="K992" s="12" t="s">
        <v>73</v>
      </c>
      <c r="L992" s="10" t="s">
        <v>192</v>
      </c>
      <c r="M992" s="5" t="str">
        <f t="array" ref="M992">Y818</f>
        <v>1ХВС::1.1</v>
      </c>
      <c r="AB992" s="29" t="str">
        <f>AB988&amp;".2"</f>
        <v>3.1.1.2.3.2</v>
      </c>
      <c r="AC992" s="177" t="s">
        <v>322</v>
      </c>
      <c r="AD992" s="51" t="s">
        <v>111</v>
      </c>
      <c r="AE992" s="95">
        <f t="shared" ref="AE992:BV992" si="1119">AE252+AE600</f>
        <v>22622.330760000001</v>
      </c>
      <c r="AF992" s="178">
        <f t="shared" si="1119"/>
        <v>24216.739999999998</v>
      </c>
      <c r="AG992" s="178">
        <f t="shared" si="1119"/>
        <v>41860.554759999999</v>
      </c>
      <c r="AH992" s="181">
        <f t="shared" si="1119"/>
        <v>24996.934412000002</v>
      </c>
      <c r="AI992" s="95">
        <f t="shared" si="1119"/>
        <v>167.65741399999999</v>
      </c>
      <c r="AJ992" s="178">
        <f t="shared" si="1119"/>
        <v>289.37</v>
      </c>
      <c r="AK992" s="178">
        <f t="shared" si="1119"/>
        <v>556.920616</v>
      </c>
      <c r="AL992" s="181">
        <f t="shared" si="1119"/>
        <v>199.32978099999997</v>
      </c>
      <c r="AM992" s="95">
        <f t="shared" si="1119"/>
        <v>1434.84</v>
      </c>
      <c r="AN992" s="178">
        <f t="shared" si="1119"/>
        <v>2119.8000000000002</v>
      </c>
      <c r="AO992" s="178">
        <f t="shared" si="1119"/>
        <v>2605.38</v>
      </c>
      <c r="AP992" s="181">
        <f t="shared" si="1119"/>
        <v>1807.5953299999999</v>
      </c>
      <c r="AQ992" s="95">
        <f t="shared" si="1119"/>
        <v>2349.61</v>
      </c>
      <c r="AR992" s="178">
        <f t="shared" si="1119"/>
        <v>1674.0500000000002</v>
      </c>
      <c r="AS992" s="178">
        <f t="shared" si="1119"/>
        <v>2623.27</v>
      </c>
      <c r="AT992" s="181">
        <f t="shared" si="1119"/>
        <v>2697.9411599999999</v>
      </c>
      <c r="AU992" s="95">
        <f t="shared" si="1119"/>
        <v>1331.29</v>
      </c>
      <c r="AV992" s="178">
        <f t="shared" si="1119"/>
        <v>530.66</v>
      </c>
      <c r="AW992" s="178">
        <f t="shared" si="1119"/>
        <v>2197.6499999999996</v>
      </c>
      <c r="AX992" s="181">
        <f t="shared" si="1119"/>
        <v>1643.0823399999999</v>
      </c>
      <c r="AY992" s="95">
        <f t="shared" si="1119"/>
        <v>1153.3599999999999</v>
      </c>
      <c r="AZ992" s="178">
        <f t="shared" si="1119"/>
        <v>7300.59</v>
      </c>
      <c r="BA992" s="178">
        <f t="shared" si="1119"/>
        <v>5069.3</v>
      </c>
      <c r="BB992" s="181">
        <f t="shared" si="1119"/>
        <v>7596.1817535977998</v>
      </c>
      <c r="BC992" s="95">
        <f t="shared" si="1119"/>
        <v>2488.0532739999999</v>
      </c>
      <c r="BD992" s="178">
        <f t="shared" si="1119"/>
        <v>376.82765739999996</v>
      </c>
      <c r="BE992" s="178">
        <f t="shared" si="1119"/>
        <v>2594.3744879999999</v>
      </c>
      <c r="BF992" s="181">
        <f t="shared" si="1119"/>
        <v>3135.3186999999998</v>
      </c>
      <c r="BG992" s="95">
        <f t="shared" si="1119"/>
        <v>4008.8277279999998</v>
      </c>
      <c r="BH992" s="178">
        <f t="shared" si="1119"/>
        <v>13584.225759999999</v>
      </c>
      <c r="BI992" s="178">
        <f t="shared" si="1119"/>
        <v>11896.159614</v>
      </c>
      <c r="BJ992" s="181">
        <f t="shared" si="1119"/>
        <v>14134.1152187648</v>
      </c>
      <c r="BK992" s="95">
        <f t="shared" si="1119"/>
        <v>4204.93</v>
      </c>
      <c r="BL992" s="178">
        <f t="shared" si="1119"/>
        <v>5390.8600000000006</v>
      </c>
      <c r="BM992" s="178">
        <f t="shared" si="1119"/>
        <v>5772.82</v>
      </c>
      <c r="BN992" s="181">
        <f t="shared" si="1119"/>
        <v>5256.9965699999993</v>
      </c>
      <c r="BO992" s="95">
        <f t="shared" si="1119"/>
        <v>800.26481999999999</v>
      </c>
      <c r="BP992" s="178">
        <f t="shared" si="1119"/>
        <v>391.82084000000003</v>
      </c>
      <c r="BQ992" s="178">
        <f t="shared" si="1119"/>
        <v>1602.9790800000001</v>
      </c>
      <c r="BR992" s="181">
        <f t="shared" si="1119"/>
        <v>1136.5536143279999</v>
      </c>
      <c r="BS992" s="95">
        <f t="shared" si="1119"/>
        <v>723.85796000000005</v>
      </c>
      <c r="BT992" s="178">
        <f t="shared" si="1119"/>
        <v>630.64625999999998</v>
      </c>
      <c r="BU992" s="178">
        <f t="shared" si="1119"/>
        <v>865.27915999999993</v>
      </c>
      <c r="BV992" s="96">
        <f t="shared" si="1119"/>
        <v>912.16985999999997</v>
      </c>
      <c r="BY992" s="125">
        <f t="shared" si="1118"/>
        <v>41285.021955999997</v>
      </c>
      <c r="BZ992" s="126">
        <f t="shared" si="1118"/>
        <v>56505.590517399993</v>
      </c>
      <c r="CA992" s="126">
        <f t="shared" si="1118"/>
        <v>77644.687718000016</v>
      </c>
      <c r="CB992" s="127">
        <f t="shared" si="1118"/>
        <v>63516.218739690594</v>
      </c>
    </row>
    <row r="993" spans="1:82" ht="14.25" customHeight="1" outlineLevel="4" x14ac:dyDescent="0.25">
      <c r="C993" s="10" t="s">
        <v>216</v>
      </c>
      <c r="D993" s="10" t="s">
        <v>217</v>
      </c>
      <c r="E993" s="10" t="s">
        <v>73</v>
      </c>
      <c r="F993" s="10" t="s">
        <v>74</v>
      </c>
      <c r="G993" s="10" t="s">
        <v>73</v>
      </c>
      <c r="H993" s="10" t="s">
        <v>319</v>
      </c>
      <c r="I993" s="10" t="s">
        <v>73</v>
      </c>
      <c r="K993" s="12" t="s">
        <v>73</v>
      </c>
      <c r="L993" s="10" t="s">
        <v>192</v>
      </c>
      <c r="M993" s="5" t="str">
        <f t="array" ref="M993">Y818</f>
        <v>1ХВС::1.1</v>
      </c>
      <c r="AB993" s="29" t="str">
        <f>AB992&amp;".1"</f>
        <v>3.1.1.2.3.2.1</v>
      </c>
      <c r="AC993" s="208" t="s">
        <v>218</v>
      </c>
      <c r="AD993" s="51" t="s">
        <v>119</v>
      </c>
      <c r="AE993" s="72">
        <v>30.2</v>
      </c>
      <c r="AF993" s="73">
        <v>30.2</v>
      </c>
      <c r="AG993" s="73">
        <v>30.2</v>
      </c>
      <c r="AH993" s="138">
        <v>30.2</v>
      </c>
      <c r="AI993" s="72">
        <v>30.2</v>
      </c>
      <c r="AJ993" s="73">
        <v>30.2</v>
      </c>
      <c r="AK993" s="73">
        <v>30.2</v>
      </c>
      <c r="AL993" s="138">
        <v>30.2</v>
      </c>
      <c r="AM993" s="72">
        <v>30.2</v>
      </c>
      <c r="AN993" s="73">
        <v>30.2</v>
      </c>
      <c r="AO993" s="73">
        <v>30.2</v>
      </c>
      <c r="AP993" s="138">
        <v>30.2</v>
      </c>
      <c r="AQ993" s="72">
        <v>30.2</v>
      </c>
      <c r="AR993" s="73">
        <v>30.2</v>
      </c>
      <c r="AS993" s="73">
        <v>30.2</v>
      </c>
      <c r="AT993" s="138">
        <v>30.2</v>
      </c>
      <c r="AU993" s="72">
        <v>30.2</v>
      </c>
      <c r="AV993" s="73">
        <v>30.2</v>
      </c>
      <c r="AW993" s="73">
        <v>30.2</v>
      </c>
      <c r="AX993" s="138">
        <v>30.2</v>
      </c>
      <c r="AY993" s="72">
        <v>30.2</v>
      </c>
      <c r="AZ993" s="73">
        <v>30.2</v>
      </c>
      <c r="BA993" s="73">
        <v>30.2</v>
      </c>
      <c r="BB993" s="138">
        <v>30.2</v>
      </c>
      <c r="BC993" s="72">
        <v>30.2</v>
      </c>
      <c r="BD993" s="73">
        <v>30.2</v>
      </c>
      <c r="BE993" s="73">
        <v>30.2</v>
      </c>
      <c r="BF993" s="138">
        <v>30.2</v>
      </c>
      <c r="BG993" s="72">
        <v>30.2</v>
      </c>
      <c r="BH993" s="73">
        <v>30.2</v>
      </c>
      <c r="BI993" s="73">
        <v>30.2</v>
      </c>
      <c r="BJ993" s="138">
        <v>30.2</v>
      </c>
      <c r="BK993" s="72">
        <v>30.2</v>
      </c>
      <c r="BL993" s="73">
        <v>30.2</v>
      </c>
      <c r="BM993" s="73">
        <v>30.2</v>
      </c>
      <c r="BN993" s="138">
        <v>30.2</v>
      </c>
      <c r="BO993" s="142">
        <v>30.2</v>
      </c>
      <c r="BP993" s="140">
        <v>30.2</v>
      </c>
      <c r="BQ993" s="140">
        <v>30.2</v>
      </c>
      <c r="BR993" s="141">
        <v>30.2</v>
      </c>
      <c r="BS993" s="142">
        <v>30.2</v>
      </c>
      <c r="BT993" s="140">
        <v>30.2</v>
      </c>
      <c r="BU993" s="140">
        <v>30.2</v>
      </c>
      <c r="BV993" s="143">
        <v>30.2</v>
      </c>
      <c r="BY993" s="125">
        <v>30.2</v>
      </c>
      <c r="BZ993" s="126">
        <v>30.2</v>
      </c>
      <c r="CA993" s="126">
        <v>30.2</v>
      </c>
      <c r="CB993" s="127">
        <v>30.2</v>
      </c>
    </row>
    <row r="994" spans="1:82" s="171" customFormat="1" ht="19.899999999999999" customHeight="1" outlineLevel="3" x14ac:dyDescent="0.25">
      <c r="A994" s="166"/>
      <c r="B994" s="166"/>
      <c r="C994" s="167" t="s">
        <v>83</v>
      </c>
      <c r="D994" s="167" t="s">
        <v>84</v>
      </c>
      <c r="E994" s="167" t="s">
        <v>73</v>
      </c>
      <c r="F994" s="167" t="s">
        <v>74</v>
      </c>
      <c r="G994" s="167" t="s">
        <v>323</v>
      </c>
      <c r="H994" s="167" t="s">
        <v>73</v>
      </c>
      <c r="I994" s="167" t="s">
        <v>73</v>
      </c>
      <c r="J994" s="166"/>
      <c r="K994" s="168" t="s">
        <v>73</v>
      </c>
      <c r="L994" s="167" t="s">
        <v>192</v>
      </c>
      <c r="M994" s="166" t="str">
        <f t="array" ref="M994">Y818</f>
        <v>1ХВС::1.1</v>
      </c>
      <c r="N994" s="166"/>
      <c r="O994" s="166"/>
      <c r="P994" s="166"/>
      <c r="Q994" s="166"/>
      <c r="R994" s="166"/>
      <c r="S994" s="166"/>
      <c r="T994" s="166"/>
      <c r="U994" s="166"/>
      <c r="V994" s="166"/>
      <c r="W994" s="166"/>
      <c r="X994" s="166"/>
      <c r="Y994" s="166"/>
      <c r="Z994" s="166"/>
      <c r="AA994" s="166"/>
      <c r="AB994" s="623" t="str">
        <f>AB869&amp;".3"</f>
        <v>3.1.1.3</v>
      </c>
      <c r="AC994" s="648" t="s">
        <v>323</v>
      </c>
      <c r="AD994" s="931" t="s">
        <v>111</v>
      </c>
      <c r="AE994" s="655">
        <f t="shared" ref="AE994:BV994" si="1120">AE995+AE1003+AE1009+AE1010+AE1011+AE1012+AE1013</f>
        <v>225062.23</v>
      </c>
      <c r="AF994" s="627">
        <f t="shared" si="1120"/>
        <v>159777.96148542201</v>
      </c>
      <c r="AG994" s="627">
        <f t="shared" si="1120"/>
        <v>236271.35800000001</v>
      </c>
      <c r="AH994" s="932">
        <f t="shared" si="1120"/>
        <v>241641.29208000001</v>
      </c>
      <c r="AI994" s="655">
        <f t="shared" si="1120"/>
        <v>164.94299999999998</v>
      </c>
      <c r="AJ994" s="627">
        <f t="shared" si="1120"/>
        <v>183.6</v>
      </c>
      <c r="AK994" s="627">
        <f t="shared" si="1120"/>
        <v>200.316</v>
      </c>
      <c r="AL994" s="932">
        <f t="shared" si="1120"/>
        <v>0</v>
      </c>
      <c r="AM994" s="655">
        <f t="shared" si="1120"/>
        <v>2683.16</v>
      </c>
      <c r="AN994" s="627">
        <f t="shared" si="1120"/>
        <v>3281.5199999999995</v>
      </c>
      <c r="AO994" s="627">
        <f t="shared" si="1120"/>
        <v>4859.3999999999996</v>
      </c>
      <c r="AP994" s="932">
        <f t="shared" si="1120"/>
        <v>3115.33446</v>
      </c>
      <c r="AQ994" s="655">
        <f t="shared" si="1120"/>
        <v>7434.8540000000012</v>
      </c>
      <c r="AR994" s="627">
        <f t="shared" si="1120"/>
        <v>4797.2839999999997</v>
      </c>
      <c r="AS994" s="627">
        <f t="shared" si="1120"/>
        <v>7292.119999999999</v>
      </c>
      <c r="AT994" s="932">
        <f t="shared" si="1120"/>
        <v>7973.7474599999996</v>
      </c>
      <c r="AU994" s="655">
        <f t="shared" si="1120"/>
        <v>6191.03</v>
      </c>
      <c r="AV994" s="627">
        <f t="shared" si="1120"/>
        <v>1074.1420999999998</v>
      </c>
      <c r="AW994" s="627">
        <f t="shared" si="1120"/>
        <v>5266.31</v>
      </c>
      <c r="AX994" s="932">
        <f t="shared" si="1120"/>
        <v>7561.4756699999998</v>
      </c>
      <c r="AY994" s="655">
        <f t="shared" si="1120"/>
        <v>6033.8580000000002</v>
      </c>
      <c r="AZ994" s="627">
        <f t="shared" si="1120"/>
        <v>12117.009999999998</v>
      </c>
      <c r="BA994" s="627">
        <f t="shared" si="1120"/>
        <v>9441.6859000000004</v>
      </c>
      <c r="BB994" s="932">
        <f t="shared" si="1120"/>
        <v>12607.6286921508</v>
      </c>
      <c r="BC994" s="655">
        <f t="shared" si="1120"/>
        <v>353.75299999999999</v>
      </c>
      <c r="BD994" s="627">
        <f t="shared" si="1120"/>
        <v>1635.6557038000001</v>
      </c>
      <c r="BE994" s="627">
        <f t="shared" si="1120"/>
        <v>3404.7480920000003</v>
      </c>
      <c r="BF994" s="932">
        <f t="shared" si="1120"/>
        <v>146.08000000000001</v>
      </c>
      <c r="BG994" s="655">
        <f t="shared" si="1120"/>
        <v>16460.773101999999</v>
      </c>
      <c r="BH994" s="627">
        <f t="shared" si="1120"/>
        <v>22026.041631999997</v>
      </c>
      <c r="BI994" s="627">
        <f t="shared" si="1120"/>
        <v>19851.386741000002</v>
      </c>
      <c r="BJ994" s="932">
        <f t="shared" si="1120"/>
        <v>22917.65579726336</v>
      </c>
      <c r="BK994" s="655">
        <f t="shared" si="1120"/>
        <v>570.76</v>
      </c>
      <c r="BL994" s="627">
        <f t="shared" si="1120"/>
        <v>266.89</v>
      </c>
      <c r="BM994" s="627">
        <f t="shared" si="1120"/>
        <v>1159.3</v>
      </c>
      <c r="BN994" s="932">
        <f t="shared" si="1120"/>
        <v>125.08999999999999</v>
      </c>
      <c r="BO994" s="655">
        <f t="shared" si="1120"/>
        <v>40.629999999999995</v>
      </c>
      <c r="BP994" s="627">
        <f t="shared" si="1120"/>
        <v>11.43</v>
      </c>
      <c r="BQ994" s="627">
        <f t="shared" si="1120"/>
        <v>1405.1773600000001</v>
      </c>
      <c r="BR994" s="932">
        <f t="shared" si="1120"/>
        <v>695.29672199999993</v>
      </c>
      <c r="BS994" s="655">
        <f t="shared" si="1120"/>
        <v>461.7</v>
      </c>
      <c r="BT994" s="627">
        <f t="shared" si="1120"/>
        <v>247.60000000000002</v>
      </c>
      <c r="BU994" s="627">
        <f t="shared" si="1120"/>
        <v>3362.0088679999999</v>
      </c>
      <c r="BV994" s="650">
        <f t="shared" si="1120"/>
        <v>87.820000000000007</v>
      </c>
      <c r="BW994" s="170"/>
      <c r="BX994" s="166"/>
      <c r="BY994" s="630">
        <f t="shared" ref="BY994:BY1004" si="1121">AE994+AI994+AM994+AQ994+AU994+AY994+BC994+BG994+BK994+BO994+BS994</f>
        <v>265457.69110200001</v>
      </c>
      <c r="BZ994" s="631">
        <f t="shared" ref="BZ994:BZ1004" si="1122">AF994+AJ994+AN994+AR994+AV994+AZ994+BD994+BH994+BL994+BP994+BT994</f>
        <v>205419.13492122205</v>
      </c>
      <c r="CA994" s="631">
        <f t="shared" ref="CA994:CB1004" si="1123">AG994+AK994+AO994+AS994+AW994+BA994+BE994+BI994+BM994+BQ994+BU994</f>
        <v>292513.81096099998</v>
      </c>
      <c r="CB994" s="632">
        <f t="shared" si="1123"/>
        <v>296871.42088141426</v>
      </c>
      <c r="CC994" s="760"/>
    </row>
    <row r="995" spans="1:82" ht="30.6" customHeight="1" outlineLevel="4" x14ac:dyDescent="0.25">
      <c r="C995" s="10" t="s">
        <v>83</v>
      </c>
      <c r="D995" s="10" t="s">
        <v>84</v>
      </c>
      <c r="E995" s="10" t="s">
        <v>73</v>
      </c>
      <c r="F995" s="10" t="s">
        <v>74</v>
      </c>
      <c r="G995" s="10" t="s">
        <v>324</v>
      </c>
      <c r="H995" s="10" t="s">
        <v>73</v>
      </c>
      <c r="I995" s="10" t="s">
        <v>73</v>
      </c>
      <c r="K995" s="12" t="s">
        <v>73</v>
      </c>
      <c r="L995" s="10" t="s">
        <v>192</v>
      </c>
      <c r="M995" s="5" t="str">
        <f t="array" ref="M995">Y818</f>
        <v>1ХВС::1.1</v>
      </c>
      <c r="AB995" s="29" t="str">
        <f>AB994&amp;".1"</f>
        <v>3.1.1.3.1</v>
      </c>
      <c r="AC995" s="174" t="s">
        <v>325</v>
      </c>
      <c r="AD995" s="51" t="s">
        <v>111</v>
      </c>
      <c r="AE995" s="72">
        <f t="shared" ref="AE995:AL995" si="1124">AE997+AE998+AE999+AE1000+AE1001+AE1002</f>
        <v>12294.55</v>
      </c>
      <c r="AF995" s="73">
        <f t="shared" si="1124"/>
        <v>14073.851485422001</v>
      </c>
      <c r="AG995" s="73">
        <f t="shared" si="1124"/>
        <v>22523.608</v>
      </c>
      <c r="AH995" s="138">
        <f>SUM(AH996:AH1002)</f>
        <v>16319.111199999999</v>
      </c>
      <c r="AI995" s="72">
        <f t="shared" si="1124"/>
        <v>34.123000000000005</v>
      </c>
      <c r="AJ995" s="73">
        <f t="shared" si="1124"/>
        <v>0</v>
      </c>
      <c r="AK995" s="73">
        <f t="shared" si="1124"/>
        <v>58.900000000000006</v>
      </c>
      <c r="AL995" s="138">
        <f t="shared" si="1124"/>
        <v>0</v>
      </c>
      <c r="AM995" s="72">
        <f t="shared" ref="AM995:BA995" si="1125">AM997+AM998+AM999+AM1000+AM1001+AM1002</f>
        <v>0</v>
      </c>
      <c r="AN995" s="73">
        <f t="shared" si="1125"/>
        <v>212.49</v>
      </c>
      <c r="AO995" s="73">
        <f t="shared" si="1125"/>
        <v>0</v>
      </c>
      <c r="AP995" s="138">
        <f t="shared" si="1125"/>
        <v>0</v>
      </c>
      <c r="AQ995" s="72">
        <f t="shared" si="1125"/>
        <v>0</v>
      </c>
      <c r="AR995" s="73">
        <f t="shared" si="1125"/>
        <v>0</v>
      </c>
      <c r="AS995" s="73">
        <f t="shared" si="1125"/>
        <v>0</v>
      </c>
      <c r="AT995" s="138">
        <f t="shared" si="1125"/>
        <v>0</v>
      </c>
      <c r="AU995" s="72">
        <f t="shared" si="1125"/>
        <v>0</v>
      </c>
      <c r="AV995" s="73">
        <f t="shared" si="1125"/>
        <v>0</v>
      </c>
      <c r="AW995" s="73">
        <f t="shared" si="1125"/>
        <v>0</v>
      </c>
      <c r="AX995" s="138">
        <f t="shared" si="1125"/>
        <v>0</v>
      </c>
      <c r="AY995" s="72">
        <f t="shared" si="1125"/>
        <v>0</v>
      </c>
      <c r="AZ995" s="73">
        <f t="shared" si="1125"/>
        <v>0</v>
      </c>
      <c r="BA995" s="73">
        <f t="shared" si="1125"/>
        <v>0</v>
      </c>
      <c r="BB995" s="138">
        <f t="shared" ref="BB995" si="1126">BB997+BB998+BB999+BB1000+BB1001+BB1002</f>
        <v>0</v>
      </c>
      <c r="BC995" s="72">
        <f>BC997+BC998+BC999+BC1000+BC1001+BC1002</f>
        <v>0</v>
      </c>
      <c r="BD995" s="73">
        <f>BD997+BD998+BD999+BD1000+BD1001+BD1002</f>
        <v>0</v>
      </c>
      <c r="BE995" s="73">
        <f>BE997+BE998+BE999+BE1000+BE1001+BE1002</f>
        <v>166.96</v>
      </c>
      <c r="BF995" s="138">
        <f>SUM(BF996:BF1002)</f>
        <v>146.08000000000001</v>
      </c>
      <c r="BG995" s="72">
        <f>SUM(BG996:BG1002)</f>
        <v>0</v>
      </c>
      <c r="BH995" s="73">
        <f>BH997+BH998+BH999+BH1000+BH1001+BH1002</f>
        <v>0</v>
      </c>
      <c r="BI995" s="73">
        <f>BI997+BI998+BI999+BI1000+BI1001+BI1002+BI996</f>
        <v>344.68</v>
      </c>
      <c r="BJ995" s="138">
        <f>SUM(BJ996:BJ1002)</f>
        <v>0</v>
      </c>
      <c r="BK995" s="72">
        <f>BK997+BK998+BK999+BK1000+BK1001+BK1002</f>
        <v>0</v>
      </c>
      <c r="BL995" s="73">
        <f>BL997+BL998+BL999+BL1000+BL1001+BL1002</f>
        <v>88.12</v>
      </c>
      <c r="BM995" s="73">
        <f>BM997+BM998+BM999+BM1000+BM1001+BM1002</f>
        <v>219.76</v>
      </c>
      <c r="BN995" s="138">
        <f>BN997+BN998+BN999+BN1000+BN1001+BN1002</f>
        <v>125.08999999999999</v>
      </c>
      <c r="BO995" s="72">
        <f t="shared" ref="BO995:BV995" si="1127">BO997+BO998+BO999+BO1000+BO1001+BO1002</f>
        <v>0</v>
      </c>
      <c r="BP995" s="73">
        <f t="shared" si="1127"/>
        <v>0</v>
      </c>
      <c r="BQ995" s="73">
        <f t="shared" si="1127"/>
        <v>0</v>
      </c>
      <c r="BR995" s="138">
        <f t="shared" si="1127"/>
        <v>695.29672199999993</v>
      </c>
      <c r="BS995" s="72">
        <f t="shared" si="1127"/>
        <v>0</v>
      </c>
      <c r="BT995" s="73">
        <f t="shared" si="1127"/>
        <v>0</v>
      </c>
      <c r="BU995" s="73">
        <f t="shared" si="1127"/>
        <v>0</v>
      </c>
      <c r="BV995" s="74">
        <f t="shared" si="1127"/>
        <v>81.87</v>
      </c>
      <c r="BY995" s="125">
        <f t="shared" si="1121"/>
        <v>12328.672999999999</v>
      </c>
      <c r="BZ995" s="126">
        <f t="shared" si="1122"/>
        <v>14374.461485422002</v>
      </c>
      <c r="CA995" s="126">
        <f t="shared" si="1123"/>
        <v>23313.907999999999</v>
      </c>
      <c r="CB995" s="127">
        <f t="shared" si="1123"/>
        <v>17367.447921999999</v>
      </c>
      <c r="CD995" s="1025"/>
    </row>
    <row r="996" spans="1:82" s="211" customFormat="1" ht="14.25" customHeight="1" outlineLevel="5" x14ac:dyDescent="0.25">
      <c r="A996" s="6"/>
      <c r="B996" s="6"/>
      <c r="C996" s="116" t="s">
        <v>83</v>
      </c>
      <c r="D996" s="116" t="s">
        <v>84</v>
      </c>
      <c r="E996" s="116" t="s">
        <v>73</v>
      </c>
      <c r="F996" s="116" t="s">
        <v>74</v>
      </c>
      <c r="G996" s="116" t="s">
        <v>326</v>
      </c>
      <c r="H996" s="116" t="s">
        <v>73</v>
      </c>
      <c r="I996" s="116" t="s">
        <v>73</v>
      </c>
      <c r="J996" s="6"/>
      <c r="K996" s="209" t="s">
        <v>73</v>
      </c>
      <c r="L996" s="116" t="s">
        <v>192</v>
      </c>
      <c r="M996" s="6" t="str">
        <f t="array" ref="M996">Y818</f>
        <v>1ХВС::1.1</v>
      </c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29" t="str">
        <f>AB995&amp;".1"</f>
        <v>3.1.1.3.1.1</v>
      </c>
      <c r="AC996" s="177" t="s">
        <v>327</v>
      </c>
      <c r="AD996" s="51" t="s">
        <v>111</v>
      </c>
      <c r="AE996" s="1044">
        <f t="shared" ref="AE996:AG996" si="1128">AE604+AE256</f>
        <v>0</v>
      </c>
      <c r="AF996" s="1043">
        <f t="shared" si="1128"/>
        <v>0</v>
      </c>
      <c r="AG996" s="1043">
        <f t="shared" si="1128"/>
        <v>0</v>
      </c>
      <c r="AH996" s="1045">
        <f>AH604+AH256</f>
        <v>2374.2326000000003</v>
      </c>
      <c r="AI996" s="1044">
        <f t="shared" ref="AI996:BR996" si="1129">AI604+AI256</f>
        <v>0</v>
      </c>
      <c r="AJ996" s="1043">
        <f t="shared" si="1129"/>
        <v>0</v>
      </c>
      <c r="AK996" s="1043">
        <f t="shared" si="1129"/>
        <v>0</v>
      </c>
      <c r="AL996" s="1045">
        <f t="shared" si="1129"/>
        <v>0</v>
      </c>
      <c r="AM996" s="1044">
        <f t="shared" si="1129"/>
        <v>0</v>
      </c>
      <c r="AN996" s="1043">
        <f t="shared" si="1129"/>
        <v>0</v>
      </c>
      <c r="AO996" s="1043">
        <f t="shared" si="1129"/>
        <v>0</v>
      </c>
      <c r="AP996" s="1045">
        <f t="shared" si="1129"/>
        <v>0</v>
      </c>
      <c r="AQ996" s="1044">
        <f t="shared" si="1129"/>
        <v>0</v>
      </c>
      <c r="AR996" s="1043">
        <f t="shared" si="1129"/>
        <v>0</v>
      </c>
      <c r="AS996" s="1043">
        <f t="shared" si="1129"/>
        <v>0</v>
      </c>
      <c r="AT996" s="1045">
        <f t="shared" si="1129"/>
        <v>0</v>
      </c>
      <c r="AU996" s="1044">
        <f t="shared" si="1129"/>
        <v>0</v>
      </c>
      <c r="AV996" s="1043">
        <f t="shared" si="1129"/>
        <v>0</v>
      </c>
      <c r="AW996" s="1043">
        <f t="shared" si="1129"/>
        <v>0</v>
      </c>
      <c r="AX996" s="1045">
        <f t="shared" si="1129"/>
        <v>0</v>
      </c>
      <c r="AY996" s="1044">
        <f t="shared" si="1129"/>
        <v>0</v>
      </c>
      <c r="AZ996" s="1043">
        <f t="shared" si="1129"/>
        <v>0</v>
      </c>
      <c r="BA996" s="1043">
        <f t="shared" si="1129"/>
        <v>0</v>
      </c>
      <c r="BB996" s="1045">
        <f t="shared" si="1129"/>
        <v>0</v>
      </c>
      <c r="BC996" s="1044">
        <f t="shared" si="1129"/>
        <v>0</v>
      </c>
      <c r="BD996" s="1043">
        <f t="shared" si="1129"/>
        <v>0</v>
      </c>
      <c r="BE996" s="1043">
        <f t="shared" si="1129"/>
        <v>0</v>
      </c>
      <c r="BF996" s="1045">
        <f t="shared" si="1129"/>
        <v>146.08000000000001</v>
      </c>
      <c r="BG996" s="1044">
        <f t="shared" ref="BG996" si="1130">BG604+BG256</f>
        <v>0</v>
      </c>
      <c r="BH996" s="1043">
        <f t="shared" si="1129"/>
        <v>0</v>
      </c>
      <c r="BI996" s="1043">
        <f t="shared" si="1129"/>
        <v>0</v>
      </c>
      <c r="BJ996" s="1045">
        <f t="shared" si="1129"/>
        <v>0</v>
      </c>
      <c r="BK996" s="1044">
        <f t="shared" si="1129"/>
        <v>0</v>
      </c>
      <c r="BL996" s="1043">
        <f t="shared" si="1129"/>
        <v>0</v>
      </c>
      <c r="BM996" s="1043">
        <f t="shared" si="1129"/>
        <v>0</v>
      </c>
      <c r="BN996" s="1045">
        <f t="shared" si="1129"/>
        <v>0</v>
      </c>
      <c r="BO996" s="1044">
        <f t="shared" si="1129"/>
        <v>0</v>
      </c>
      <c r="BP996" s="1043">
        <f t="shared" si="1129"/>
        <v>0</v>
      </c>
      <c r="BQ996" s="1043">
        <f t="shared" si="1129"/>
        <v>0</v>
      </c>
      <c r="BR996" s="1045">
        <f t="shared" si="1129"/>
        <v>0</v>
      </c>
      <c r="BS996" s="72">
        <f t="shared" ref="BS996:BV996" si="1131">BS604+BS256</f>
        <v>0</v>
      </c>
      <c r="BT996" s="73">
        <f t="shared" si="1131"/>
        <v>0</v>
      </c>
      <c r="BU996" s="73">
        <f t="shared" si="1131"/>
        <v>0</v>
      </c>
      <c r="BV996" s="74">
        <f t="shared" si="1131"/>
        <v>0</v>
      </c>
      <c r="BW996" s="6"/>
      <c r="BX996" s="6"/>
      <c r="BY996" s="125">
        <f t="shared" si="1121"/>
        <v>0</v>
      </c>
      <c r="BZ996" s="126">
        <f t="shared" si="1122"/>
        <v>0</v>
      </c>
      <c r="CA996" s="126">
        <f t="shared" si="1123"/>
        <v>0</v>
      </c>
      <c r="CB996" s="127">
        <f t="shared" si="1123"/>
        <v>2520.3126000000002</v>
      </c>
      <c r="CC996" s="766"/>
    </row>
    <row r="997" spans="1:82" ht="14.25" customHeight="1" outlineLevel="5" x14ac:dyDescent="0.25">
      <c r="C997" s="10" t="s">
        <v>83</v>
      </c>
      <c r="D997" s="10" t="s">
        <v>84</v>
      </c>
      <c r="E997" s="10" t="s">
        <v>73</v>
      </c>
      <c r="F997" s="10" t="s">
        <v>74</v>
      </c>
      <c r="G997" s="10" t="s">
        <v>328</v>
      </c>
      <c r="H997" s="10" t="s">
        <v>73</v>
      </c>
      <c r="I997" s="10" t="s">
        <v>73</v>
      </c>
      <c r="K997" s="12" t="s">
        <v>73</v>
      </c>
      <c r="L997" s="10" t="s">
        <v>192</v>
      </c>
      <c r="M997" s="5" t="str">
        <f t="array" ref="M997">Y818</f>
        <v>1ХВС::1.1</v>
      </c>
      <c r="AB997" s="29" t="str">
        <f>AB995&amp;".2"</f>
        <v>3.1.1.3.1.2</v>
      </c>
      <c r="AC997" s="177" t="s">
        <v>329</v>
      </c>
      <c r="AD997" s="51" t="s">
        <v>111</v>
      </c>
      <c r="AE997" s="72">
        <f t="shared" ref="AE997:AK998" si="1132">AE257</f>
        <v>26.22</v>
      </c>
      <c r="AF997" s="73">
        <f t="shared" si="1132"/>
        <v>0</v>
      </c>
      <c r="AG997" s="73">
        <f t="shared" si="1132"/>
        <v>0</v>
      </c>
      <c r="AH997" s="1045">
        <f>AH605+AH257</f>
        <v>0</v>
      </c>
      <c r="AI997" s="72">
        <f t="shared" si="1132"/>
        <v>0</v>
      </c>
      <c r="AJ997" s="73">
        <f t="shared" si="1132"/>
        <v>0</v>
      </c>
      <c r="AK997" s="73">
        <f t="shared" si="1132"/>
        <v>0</v>
      </c>
      <c r="AL997" s="138"/>
      <c r="AM997" s="72">
        <f t="shared" ref="AM997:BA997" si="1133">AM257</f>
        <v>0</v>
      </c>
      <c r="AN997" s="73">
        <f t="shared" si="1133"/>
        <v>0</v>
      </c>
      <c r="AO997" s="73">
        <f t="shared" si="1133"/>
        <v>0</v>
      </c>
      <c r="AP997" s="138">
        <f t="shared" si="1133"/>
        <v>0</v>
      </c>
      <c r="AQ997" s="72">
        <f t="shared" si="1133"/>
        <v>0</v>
      </c>
      <c r="AR997" s="73">
        <f t="shared" si="1133"/>
        <v>0</v>
      </c>
      <c r="AS997" s="73">
        <f t="shared" si="1133"/>
        <v>0</v>
      </c>
      <c r="AT997" s="138">
        <f t="shared" si="1133"/>
        <v>0</v>
      </c>
      <c r="AU997" s="72">
        <f t="shared" si="1133"/>
        <v>0</v>
      </c>
      <c r="AV997" s="73">
        <f t="shared" si="1133"/>
        <v>0</v>
      </c>
      <c r="AW997" s="73">
        <f t="shared" si="1133"/>
        <v>0</v>
      </c>
      <c r="AX997" s="138">
        <f t="shared" si="1133"/>
        <v>0</v>
      </c>
      <c r="AY997" s="72">
        <f t="shared" si="1133"/>
        <v>0</v>
      </c>
      <c r="AZ997" s="73">
        <f t="shared" si="1133"/>
        <v>0</v>
      </c>
      <c r="BA997" s="73">
        <f t="shared" si="1133"/>
        <v>0</v>
      </c>
      <c r="BB997" s="138">
        <f t="shared" ref="BB997" si="1134">BB257</f>
        <v>0</v>
      </c>
      <c r="BC997" s="72">
        <f t="shared" ref="BC997:BE998" si="1135">BC257</f>
        <v>0</v>
      </c>
      <c r="BD997" s="73">
        <f t="shared" si="1135"/>
        <v>0</v>
      </c>
      <c r="BE997" s="73">
        <f t="shared" si="1135"/>
        <v>0</v>
      </c>
      <c r="BF997" s="138">
        <f t="shared" ref="BF997:BG997" si="1136">BF257</f>
        <v>0</v>
      </c>
      <c r="BG997" s="72">
        <f t="shared" si="1136"/>
        <v>0</v>
      </c>
      <c r="BH997" s="73">
        <f t="shared" ref="BH997:BI998" si="1137">BH257</f>
        <v>0</v>
      </c>
      <c r="BI997" s="73">
        <f t="shared" si="1137"/>
        <v>0</v>
      </c>
      <c r="BJ997" s="138">
        <f t="shared" ref="BJ997" si="1138">BJ257</f>
        <v>0</v>
      </c>
      <c r="BK997" s="72">
        <f t="shared" ref="BK997:BM998" si="1139">BK257</f>
        <v>0</v>
      </c>
      <c r="BL997" s="73">
        <f t="shared" si="1139"/>
        <v>0</v>
      </c>
      <c r="BM997" s="73">
        <f t="shared" si="1139"/>
        <v>0</v>
      </c>
      <c r="BN997" s="138"/>
      <c r="BO997" s="72">
        <f t="shared" ref="BO997:BV998" si="1140">BO257</f>
        <v>0</v>
      </c>
      <c r="BP997" s="73">
        <f t="shared" si="1140"/>
        <v>0</v>
      </c>
      <c r="BQ997" s="73">
        <f t="shared" si="1140"/>
        <v>0</v>
      </c>
      <c r="BR997" s="138">
        <f t="shared" si="1140"/>
        <v>0</v>
      </c>
      <c r="BS997" s="72">
        <f t="shared" si="1140"/>
        <v>0</v>
      </c>
      <c r="BT997" s="73">
        <f t="shared" si="1140"/>
        <v>0</v>
      </c>
      <c r="BU997" s="73">
        <f t="shared" si="1140"/>
        <v>0</v>
      </c>
      <c r="BV997" s="74">
        <f t="shared" si="1140"/>
        <v>0</v>
      </c>
      <c r="BY997" s="125">
        <f t="shared" si="1121"/>
        <v>26.22</v>
      </c>
      <c r="BZ997" s="126">
        <f t="shared" si="1122"/>
        <v>0</v>
      </c>
      <c r="CA997" s="126">
        <f t="shared" si="1123"/>
        <v>0</v>
      </c>
      <c r="CB997" s="127">
        <f t="shared" si="1123"/>
        <v>0</v>
      </c>
    </row>
    <row r="998" spans="1:82" ht="14.25" customHeight="1" outlineLevel="5" x14ac:dyDescent="0.25">
      <c r="C998" s="10" t="s">
        <v>83</v>
      </c>
      <c r="D998" s="10" t="s">
        <v>84</v>
      </c>
      <c r="E998" s="10" t="s">
        <v>73</v>
      </c>
      <c r="F998" s="10" t="s">
        <v>74</v>
      </c>
      <c r="G998" s="10" t="s">
        <v>330</v>
      </c>
      <c r="H998" s="10" t="s">
        <v>73</v>
      </c>
      <c r="I998" s="10" t="s">
        <v>73</v>
      </c>
      <c r="K998" s="12" t="s">
        <v>73</v>
      </c>
      <c r="L998" s="10" t="s">
        <v>192</v>
      </c>
      <c r="M998" s="5" t="str">
        <f t="array" ref="M998">Y818</f>
        <v>1ХВС::1.1</v>
      </c>
      <c r="AB998" s="29" t="str">
        <f>AB995&amp;".3"</f>
        <v>3.1.1.3.1.3</v>
      </c>
      <c r="AC998" s="177" t="s">
        <v>331</v>
      </c>
      <c r="AD998" s="51" t="s">
        <v>111</v>
      </c>
      <c r="AE998" s="72">
        <f t="shared" si="1132"/>
        <v>792.68</v>
      </c>
      <c r="AF998" s="73">
        <f t="shared" si="1132"/>
        <v>2249.287863863</v>
      </c>
      <c r="AG998" s="73">
        <f t="shared" si="1132"/>
        <v>2419.94</v>
      </c>
      <c r="AH998" s="138">
        <f t="shared" si="1132"/>
        <v>2038.97</v>
      </c>
      <c r="AI998" s="72">
        <f t="shared" si="1132"/>
        <v>0</v>
      </c>
      <c r="AJ998" s="73">
        <f t="shared" si="1132"/>
        <v>0</v>
      </c>
      <c r="AK998" s="73">
        <f t="shared" si="1132"/>
        <v>0</v>
      </c>
      <c r="AL998" s="138"/>
      <c r="AM998" s="72">
        <f t="shared" ref="AM998:BA998" si="1141">AM258</f>
        <v>0</v>
      </c>
      <c r="AN998" s="73">
        <f t="shared" si="1141"/>
        <v>0</v>
      </c>
      <c r="AO998" s="73">
        <f t="shared" si="1141"/>
        <v>0</v>
      </c>
      <c r="AP998" s="138">
        <f t="shared" si="1141"/>
        <v>0</v>
      </c>
      <c r="AQ998" s="72">
        <f t="shared" si="1141"/>
        <v>0</v>
      </c>
      <c r="AR998" s="73">
        <f t="shared" si="1141"/>
        <v>0</v>
      </c>
      <c r="AS998" s="73">
        <f t="shared" si="1141"/>
        <v>0</v>
      </c>
      <c r="AT998" s="138">
        <f t="shared" si="1141"/>
        <v>0</v>
      </c>
      <c r="AU998" s="72">
        <f t="shared" si="1141"/>
        <v>0</v>
      </c>
      <c r="AV998" s="73">
        <f t="shared" si="1141"/>
        <v>0</v>
      </c>
      <c r="AW998" s="73">
        <f t="shared" si="1141"/>
        <v>0</v>
      </c>
      <c r="AX998" s="138">
        <f t="shared" si="1141"/>
        <v>0</v>
      </c>
      <c r="AY998" s="72">
        <f t="shared" si="1141"/>
        <v>0</v>
      </c>
      <c r="AZ998" s="73">
        <f t="shared" si="1141"/>
        <v>0</v>
      </c>
      <c r="BA998" s="73">
        <f t="shared" si="1141"/>
        <v>0</v>
      </c>
      <c r="BB998" s="138">
        <f t="shared" ref="BB998" si="1142">BB258</f>
        <v>0</v>
      </c>
      <c r="BC998" s="72">
        <f t="shared" si="1135"/>
        <v>0</v>
      </c>
      <c r="BD998" s="73">
        <f t="shared" si="1135"/>
        <v>0</v>
      </c>
      <c r="BE998" s="73">
        <f t="shared" si="1135"/>
        <v>0</v>
      </c>
      <c r="BF998" s="138">
        <f t="shared" ref="BF998:BG998" si="1143">BF258</f>
        <v>0</v>
      </c>
      <c r="BG998" s="72">
        <f t="shared" si="1143"/>
        <v>0</v>
      </c>
      <c r="BH998" s="73">
        <f t="shared" si="1137"/>
        <v>0</v>
      </c>
      <c r="BI998" s="73">
        <f t="shared" si="1137"/>
        <v>0</v>
      </c>
      <c r="BJ998" s="138">
        <f t="shared" ref="BJ998" si="1144">BJ258</f>
        <v>0</v>
      </c>
      <c r="BK998" s="72">
        <f t="shared" si="1139"/>
        <v>0</v>
      </c>
      <c r="BL998" s="73">
        <f t="shared" si="1139"/>
        <v>0</v>
      </c>
      <c r="BM998" s="73">
        <f t="shared" si="1139"/>
        <v>0</v>
      </c>
      <c r="BN998" s="138"/>
      <c r="BO998" s="72">
        <f t="shared" si="1140"/>
        <v>0</v>
      </c>
      <c r="BP998" s="73">
        <f t="shared" si="1140"/>
        <v>0</v>
      </c>
      <c r="BQ998" s="73">
        <f t="shared" si="1140"/>
        <v>0</v>
      </c>
      <c r="BR998" s="138">
        <f t="shared" si="1140"/>
        <v>0</v>
      </c>
      <c r="BS998" s="72">
        <f t="shared" si="1140"/>
        <v>0</v>
      </c>
      <c r="BT998" s="73">
        <f t="shared" si="1140"/>
        <v>0</v>
      </c>
      <c r="BU998" s="73">
        <f t="shared" si="1140"/>
        <v>0</v>
      </c>
      <c r="BV998" s="74">
        <f t="shared" si="1140"/>
        <v>0</v>
      </c>
      <c r="BY998" s="125">
        <f t="shared" si="1121"/>
        <v>792.68</v>
      </c>
      <c r="BZ998" s="126">
        <f t="shared" si="1122"/>
        <v>2249.287863863</v>
      </c>
      <c r="CA998" s="126">
        <f t="shared" si="1123"/>
        <v>2419.94</v>
      </c>
      <c r="CB998" s="127">
        <f t="shared" si="1123"/>
        <v>2038.97</v>
      </c>
    </row>
    <row r="999" spans="1:82" ht="14.25" customHeight="1" outlineLevel="5" x14ac:dyDescent="0.25">
      <c r="C999" s="10" t="s">
        <v>83</v>
      </c>
      <c r="D999" s="10" t="s">
        <v>84</v>
      </c>
      <c r="E999" s="10" t="s">
        <v>73</v>
      </c>
      <c r="F999" s="10" t="s">
        <v>74</v>
      </c>
      <c r="G999" s="10" t="s">
        <v>332</v>
      </c>
      <c r="H999" s="10" t="s">
        <v>73</v>
      </c>
      <c r="I999" s="10" t="s">
        <v>73</v>
      </c>
      <c r="K999" s="12" t="s">
        <v>73</v>
      </c>
      <c r="L999" s="10" t="s">
        <v>192</v>
      </c>
      <c r="M999" s="5" t="str">
        <f t="array" ref="M999">Y818</f>
        <v>1ХВС::1.1</v>
      </c>
      <c r="AB999" s="65" t="str">
        <f>AB995&amp;".4"</f>
        <v>3.1.1.3.1.4</v>
      </c>
      <c r="AC999" s="177" t="s">
        <v>333</v>
      </c>
      <c r="AD999" s="51" t="s">
        <v>111</v>
      </c>
      <c r="AE999" s="72">
        <f t="shared" ref="AE999:AK999" si="1145">AE259+AE607</f>
        <v>1460.3</v>
      </c>
      <c r="AF999" s="73">
        <f t="shared" si="1145"/>
        <v>2527.16</v>
      </c>
      <c r="AG999" s="73">
        <f t="shared" si="1145"/>
        <v>2697.29</v>
      </c>
      <c r="AH999" s="138">
        <f t="shared" si="1145"/>
        <v>2736.165</v>
      </c>
      <c r="AI999" s="72">
        <f t="shared" si="1145"/>
        <v>0</v>
      </c>
      <c r="AJ999" s="73">
        <f t="shared" si="1145"/>
        <v>0</v>
      </c>
      <c r="AK999" s="73">
        <f t="shared" si="1145"/>
        <v>0</v>
      </c>
      <c r="AL999" s="138"/>
      <c r="AM999" s="72">
        <f t="shared" ref="AM999:BA999" si="1146">AM259+AM607</f>
        <v>0</v>
      </c>
      <c r="AN999" s="73">
        <f t="shared" si="1146"/>
        <v>21.6</v>
      </c>
      <c r="AO999" s="73">
        <f t="shared" si="1146"/>
        <v>0</v>
      </c>
      <c r="AP999" s="138">
        <f t="shared" si="1146"/>
        <v>0</v>
      </c>
      <c r="AQ999" s="72">
        <f t="shared" si="1146"/>
        <v>0</v>
      </c>
      <c r="AR999" s="73">
        <f t="shared" si="1146"/>
        <v>0</v>
      </c>
      <c r="AS999" s="73">
        <f t="shared" si="1146"/>
        <v>0</v>
      </c>
      <c r="AT999" s="138">
        <f t="shared" si="1146"/>
        <v>0</v>
      </c>
      <c r="AU999" s="72">
        <f t="shared" si="1146"/>
        <v>0</v>
      </c>
      <c r="AV999" s="73">
        <f t="shared" si="1146"/>
        <v>0</v>
      </c>
      <c r="AW999" s="73">
        <f t="shared" si="1146"/>
        <v>0</v>
      </c>
      <c r="AX999" s="138">
        <f t="shared" si="1146"/>
        <v>0</v>
      </c>
      <c r="AY999" s="72">
        <f t="shared" si="1146"/>
        <v>0</v>
      </c>
      <c r="AZ999" s="73">
        <f t="shared" si="1146"/>
        <v>0</v>
      </c>
      <c r="BA999" s="73">
        <f t="shared" si="1146"/>
        <v>0</v>
      </c>
      <c r="BB999" s="138">
        <f t="shared" ref="BB999" si="1147">BB259+BB607</f>
        <v>0</v>
      </c>
      <c r="BC999" s="72">
        <f t="shared" ref="BC999:BM999" si="1148">BC259+BC607</f>
        <v>0</v>
      </c>
      <c r="BD999" s="73">
        <f t="shared" si="1148"/>
        <v>0</v>
      </c>
      <c r="BE999" s="73">
        <f t="shared" si="1148"/>
        <v>0</v>
      </c>
      <c r="BF999" s="138">
        <f t="shared" si="1148"/>
        <v>0</v>
      </c>
      <c r="BG999" s="72">
        <f t="shared" si="1148"/>
        <v>0</v>
      </c>
      <c r="BH999" s="73">
        <f t="shared" si="1148"/>
        <v>0</v>
      </c>
      <c r="BI999" s="73">
        <f t="shared" si="1148"/>
        <v>0</v>
      </c>
      <c r="BJ999" s="138">
        <f t="shared" si="1148"/>
        <v>0</v>
      </c>
      <c r="BK999" s="72">
        <f t="shared" si="1148"/>
        <v>0</v>
      </c>
      <c r="BL999" s="73">
        <f t="shared" si="1148"/>
        <v>0</v>
      </c>
      <c r="BM999" s="73">
        <f t="shared" si="1148"/>
        <v>18.91</v>
      </c>
      <c r="BN999" s="138"/>
      <c r="BO999" s="72">
        <f t="shared" ref="BO999:BV999" si="1149">BO259+BO607</f>
        <v>0</v>
      </c>
      <c r="BP999" s="73">
        <f t="shared" si="1149"/>
        <v>0</v>
      </c>
      <c r="BQ999" s="73">
        <f t="shared" si="1149"/>
        <v>0</v>
      </c>
      <c r="BR999" s="138">
        <f t="shared" si="1149"/>
        <v>0</v>
      </c>
      <c r="BS999" s="72">
        <f t="shared" si="1149"/>
        <v>0</v>
      </c>
      <c r="BT999" s="73">
        <f t="shared" si="1149"/>
        <v>0</v>
      </c>
      <c r="BU999" s="73">
        <f t="shared" si="1149"/>
        <v>0</v>
      </c>
      <c r="BV999" s="74">
        <f t="shared" si="1149"/>
        <v>0</v>
      </c>
      <c r="BY999" s="125">
        <f t="shared" si="1121"/>
        <v>1460.3</v>
      </c>
      <c r="BZ999" s="126">
        <f t="shared" si="1122"/>
        <v>2548.7599999999998</v>
      </c>
      <c r="CA999" s="126">
        <f t="shared" si="1123"/>
        <v>2716.2</v>
      </c>
      <c r="CB999" s="127">
        <f t="shared" si="1123"/>
        <v>2736.165</v>
      </c>
    </row>
    <row r="1000" spans="1:82" ht="14.25" customHeight="1" outlineLevel="5" x14ac:dyDescent="0.25">
      <c r="C1000" s="10" t="s">
        <v>83</v>
      </c>
      <c r="D1000" s="10" t="s">
        <v>84</v>
      </c>
      <c r="E1000" s="10" t="s">
        <v>73</v>
      </c>
      <c r="F1000" s="10" t="s">
        <v>74</v>
      </c>
      <c r="G1000" s="10" t="s">
        <v>334</v>
      </c>
      <c r="H1000" s="10" t="s">
        <v>73</v>
      </c>
      <c r="I1000" s="10" t="s">
        <v>73</v>
      </c>
      <c r="K1000" s="12" t="s">
        <v>73</v>
      </c>
      <c r="L1000" s="10" t="s">
        <v>192</v>
      </c>
      <c r="M1000" s="5" t="str">
        <f t="array" ref="M1000">Y818</f>
        <v>1ХВС::1.1</v>
      </c>
      <c r="AB1000" s="65" t="str">
        <f>AB995&amp;".5"</f>
        <v>3.1.1.3.1.5</v>
      </c>
      <c r="AC1000" s="177" t="s">
        <v>335</v>
      </c>
      <c r="AD1000" s="51" t="s">
        <v>111</v>
      </c>
      <c r="AE1000" s="72">
        <f t="shared" ref="AE1000:AK1000" si="1150">AE260</f>
        <v>0</v>
      </c>
      <c r="AF1000" s="73">
        <f t="shared" si="1150"/>
        <v>1727.113621559</v>
      </c>
      <c r="AG1000" s="73">
        <f t="shared" si="1150"/>
        <v>1858.15</v>
      </c>
      <c r="AH1000" s="138">
        <f t="shared" si="1150"/>
        <v>1898.8050000000001</v>
      </c>
      <c r="AI1000" s="72">
        <f t="shared" si="1150"/>
        <v>0</v>
      </c>
      <c r="AJ1000" s="73">
        <f t="shared" si="1150"/>
        <v>0</v>
      </c>
      <c r="AK1000" s="73">
        <f t="shared" si="1150"/>
        <v>0</v>
      </c>
      <c r="AL1000" s="138"/>
      <c r="AM1000" s="72">
        <f t="shared" ref="AM1000:BA1000" si="1151">AM260</f>
        <v>0</v>
      </c>
      <c r="AN1000" s="73">
        <f t="shared" si="1151"/>
        <v>0</v>
      </c>
      <c r="AO1000" s="73">
        <f t="shared" si="1151"/>
        <v>0</v>
      </c>
      <c r="AP1000" s="138">
        <f t="shared" si="1151"/>
        <v>0</v>
      </c>
      <c r="AQ1000" s="72">
        <f t="shared" si="1151"/>
        <v>0</v>
      </c>
      <c r="AR1000" s="73">
        <f t="shared" si="1151"/>
        <v>0</v>
      </c>
      <c r="AS1000" s="73">
        <f t="shared" si="1151"/>
        <v>0</v>
      </c>
      <c r="AT1000" s="138">
        <f t="shared" si="1151"/>
        <v>0</v>
      </c>
      <c r="AU1000" s="72">
        <f t="shared" si="1151"/>
        <v>0</v>
      </c>
      <c r="AV1000" s="73">
        <f t="shared" si="1151"/>
        <v>0</v>
      </c>
      <c r="AW1000" s="73">
        <f t="shared" si="1151"/>
        <v>0</v>
      </c>
      <c r="AX1000" s="138">
        <f t="shared" si="1151"/>
        <v>0</v>
      </c>
      <c r="AY1000" s="72">
        <f t="shared" si="1151"/>
        <v>0</v>
      </c>
      <c r="AZ1000" s="73">
        <f t="shared" si="1151"/>
        <v>0</v>
      </c>
      <c r="BA1000" s="73">
        <f t="shared" si="1151"/>
        <v>0</v>
      </c>
      <c r="BB1000" s="138">
        <f t="shared" ref="BB1000" si="1152">BB260</f>
        <v>0</v>
      </c>
      <c r="BC1000" s="72">
        <f t="shared" ref="BC1000:BM1000" si="1153">BC260</f>
        <v>0</v>
      </c>
      <c r="BD1000" s="73">
        <f t="shared" si="1153"/>
        <v>0</v>
      </c>
      <c r="BE1000" s="73">
        <f t="shared" si="1153"/>
        <v>0</v>
      </c>
      <c r="BF1000" s="138">
        <f t="shared" si="1153"/>
        <v>0</v>
      </c>
      <c r="BG1000" s="72">
        <f t="shared" si="1153"/>
        <v>0</v>
      </c>
      <c r="BH1000" s="73">
        <f t="shared" si="1153"/>
        <v>0</v>
      </c>
      <c r="BI1000" s="73">
        <f t="shared" si="1153"/>
        <v>0</v>
      </c>
      <c r="BJ1000" s="138">
        <f t="shared" si="1153"/>
        <v>0</v>
      </c>
      <c r="BK1000" s="72">
        <f t="shared" si="1153"/>
        <v>0</v>
      </c>
      <c r="BL1000" s="73">
        <f t="shared" si="1153"/>
        <v>0</v>
      </c>
      <c r="BM1000" s="73">
        <f t="shared" si="1153"/>
        <v>0</v>
      </c>
      <c r="BN1000" s="138">
        <f>BN260+BN608</f>
        <v>122.47</v>
      </c>
      <c r="BO1000" s="72">
        <f t="shared" ref="BO1000:BV1000" si="1154">BO260</f>
        <v>0</v>
      </c>
      <c r="BP1000" s="73">
        <f t="shared" si="1154"/>
        <v>0</v>
      </c>
      <c r="BQ1000" s="73">
        <f t="shared" si="1154"/>
        <v>0</v>
      </c>
      <c r="BR1000" s="138">
        <f t="shared" si="1154"/>
        <v>695.29672199999993</v>
      </c>
      <c r="BS1000" s="72">
        <f t="shared" si="1154"/>
        <v>0</v>
      </c>
      <c r="BT1000" s="73">
        <f t="shared" si="1154"/>
        <v>0</v>
      </c>
      <c r="BU1000" s="73">
        <f t="shared" si="1154"/>
        <v>0</v>
      </c>
      <c r="BV1000" s="74">
        <f t="shared" si="1154"/>
        <v>81.87</v>
      </c>
      <c r="BY1000" s="125">
        <f t="shared" si="1121"/>
        <v>0</v>
      </c>
      <c r="BZ1000" s="126">
        <f t="shared" si="1122"/>
        <v>1727.113621559</v>
      </c>
      <c r="CA1000" s="126">
        <f t="shared" si="1123"/>
        <v>1858.15</v>
      </c>
      <c r="CB1000" s="127">
        <f t="shared" si="1123"/>
        <v>2798.441722</v>
      </c>
    </row>
    <row r="1001" spans="1:82" ht="14.25" customHeight="1" outlineLevel="5" x14ac:dyDescent="0.25">
      <c r="C1001" s="10" t="s">
        <v>83</v>
      </c>
      <c r="D1001" s="10" t="s">
        <v>84</v>
      </c>
      <c r="E1001" s="10" t="s">
        <v>73</v>
      </c>
      <c r="F1001" s="10" t="s">
        <v>74</v>
      </c>
      <c r="G1001" s="10" t="s">
        <v>336</v>
      </c>
      <c r="H1001" s="10" t="s">
        <v>73</v>
      </c>
      <c r="I1001" s="10" t="s">
        <v>73</v>
      </c>
      <c r="J1001" s="10" t="s">
        <v>73</v>
      </c>
      <c r="K1001" s="12" t="s">
        <v>73</v>
      </c>
      <c r="L1001" s="10" t="s">
        <v>192</v>
      </c>
      <c r="M1001" s="5" t="str">
        <f t="array" ref="M1001">Y818</f>
        <v>1ХВС::1.1</v>
      </c>
      <c r="AB1001" s="65" t="str">
        <f>AB995&amp;".6"</f>
        <v>3.1.1.3.1.6</v>
      </c>
      <c r="AC1001" s="177" t="s">
        <v>337</v>
      </c>
      <c r="AD1001" s="51" t="s">
        <v>111</v>
      </c>
      <c r="AE1001" s="72">
        <f t="shared" ref="AE1001:AK1001" si="1155">AE261+AE609</f>
        <v>10015.35</v>
      </c>
      <c r="AF1001" s="73">
        <f t="shared" si="1155"/>
        <v>6715.54</v>
      </c>
      <c r="AG1001" s="73">
        <f t="shared" si="1155"/>
        <v>12908.157000000001</v>
      </c>
      <c r="AH1001" s="138">
        <f t="shared" si="1155"/>
        <v>7270.9385999999995</v>
      </c>
      <c r="AI1001" s="72">
        <f t="shared" si="1155"/>
        <v>0</v>
      </c>
      <c r="AJ1001" s="73">
        <f t="shared" si="1155"/>
        <v>0</v>
      </c>
      <c r="AK1001" s="73">
        <f t="shared" si="1155"/>
        <v>0</v>
      </c>
      <c r="AL1001" s="138"/>
      <c r="AM1001" s="72">
        <f t="shared" ref="AM1001:BA1001" si="1156">AM261+AM609</f>
        <v>0</v>
      </c>
      <c r="AN1001" s="73">
        <f t="shared" si="1156"/>
        <v>109.89</v>
      </c>
      <c r="AO1001" s="73">
        <f t="shared" si="1156"/>
        <v>0</v>
      </c>
      <c r="AP1001" s="138">
        <f t="shared" si="1156"/>
        <v>0</v>
      </c>
      <c r="AQ1001" s="72">
        <f t="shared" si="1156"/>
        <v>0</v>
      </c>
      <c r="AR1001" s="73">
        <f t="shared" si="1156"/>
        <v>0</v>
      </c>
      <c r="AS1001" s="73">
        <f t="shared" si="1156"/>
        <v>0</v>
      </c>
      <c r="AT1001" s="138">
        <f t="shared" si="1156"/>
        <v>0</v>
      </c>
      <c r="AU1001" s="72">
        <f t="shared" si="1156"/>
        <v>0</v>
      </c>
      <c r="AV1001" s="73">
        <f t="shared" si="1156"/>
        <v>0</v>
      </c>
      <c r="AW1001" s="73">
        <f t="shared" si="1156"/>
        <v>0</v>
      </c>
      <c r="AX1001" s="138">
        <f t="shared" si="1156"/>
        <v>0</v>
      </c>
      <c r="AY1001" s="72">
        <f t="shared" si="1156"/>
        <v>0</v>
      </c>
      <c r="AZ1001" s="73">
        <f t="shared" si="1156"/>
        <v>0</v>
      </c>
      <c r="BA1001" s="73">
        <f t="shared" si="1156"/>
        <v>0</v>
      </c>
      <c r="BB1001" s="138">
        <f t="shared" ref="BB1001" si="1157">BB261+BB609</f>
        <v>0</v>
      </c>
      <c r="BC1001" s="72">
        <f t="shared" ref="BC1001:BM1001" si="1158">BC261+BC609</f>
        <v>0</v>
      </c>
      <c r="BD1001" s="73">
        <f t="shared" si="1158"/>
        <v>0</v>
      </c>
      <c r="BE1001" s="73">
        <f t="shared" si="1158"/>
        <v>166.96</v>
      </c>
      <c r="BF1001" s="138">
        <f t="shared" si="1158"/>
        <v>0</v>
      </c>
      <c r="BG1001" s="72">
        <f t="shared" si="1158"/>
        <v>0</v>
      </c>
      <c r="BH1001" s="73">
        <f t="shared" si="1158"/>
        <v>0</v>
      </c>
      <c r="BI1001" s="73">
        <f t="shared" si="1158"/>
        <v>344.68</v>
      </c>
      <c r="BJ1001" s="138">
        <f t="shared" si="1158"/>
        <v>0</v>
      </c>
      <c r="BK1001" s="72">
        <f t="shared" si="1158"/>
        <v>0</v>
      </c>
      <c r="BL1001" s="73">
        <f t="shared" si="1158"/>
        <v>0</v>
      </c>
      <c r="BM1001" s="73">
        <f t="shared" si="1158"/>
        <v>138.13999999999999</v>
      </c>
      <c r="BN1001" s="138">
        <f t="shared" ref="BN1001:BN1002" si="1159">BN261+BN609</f>
        <v>2.5499999999999998</v>
      </c>
      <c r="BO1001" s="72">
        <f t="shared" ref="BO1001:BV1001" si="1160">BO261+BO609</f>
        <v>0</v>
      </c>
      <c r="BP1001" s="73">
        <f t="shared" si="1160"/>
        <v>0</v>
      </c>
      <c r="BQ1001" s="73">
        <f t="shared" si="1160"/>
        <v>0</v>
      </c>
      <c r="BR1001" s="138">
        <f t="shared" si="1160"/>
        <v>0</v>
      </c>
      <c r="BS1001" s="72">
        <f t="shared" si="1160"/>
        <v>0</v>
      </c>
      <c r="BT1001" s="73">
        <f t="shared" si="1160"/>
        <v>0</v>
      </c>
      <c r="BU1001" s="73">
        <f t="shared" si="1160"/>
        <v>0</v>
      </c>
      <c r="BV1001" s="74">
        <f t="shared" si="1160"/>
        <v>0</v>
      </c>
      <c r="BY1001" s="125">
        <f t="shared" si="1121"/>
        <v>10015.35</v>
      </c>
      <c r="BZ1001" s="126">
        <f t="shared" si="1122"/>
        <v>6825.43</v>
      </c>
      <c r="CA1001" s="126">
        <f t="shared" si="1123"/>
        <v>13557.937</v>
      </c>
      <c r="CB1001" s="127">
        <f t="shared" si="1123"/>
        <v>7273.4885999999997</v>
      </c>
    </row>
    <row r="1002" spans="1:82" ht="17.25" customHeight="1" outlineLevel="5" x14ac:dyDescent="0.25">
      <c r="C1002" s="10" t="s">
        <v>83</v>
      </c>
      <c r="D1002" s="10" t="s">
        <v>84</v>
      </c>
      <c r="E1002" s="10" t="s">
        <v>73</v>
      </c>
      <c r="F1002" s="10" t="s">
        <v>74</v>
      </c>
      <c r="G1002" s="10" t="s">
        <v>338</v>
      </c>
      <c r="H1002" s="10" t="s">
        <v>73</v>
      </c>
      <c r="I1002" s="10" t="s">
        <v>73</v>
      </c>
      <c r="J1002" s="10" t="s">
        <v>73</v>
      </c>
      <c r="K1002" s="12" t="s">
        <v>73</v>
      </c>
      <c r="L1002" s="10" t="s">
        <v>192</v>
      </c>
      <c r="M1002" s="5" t="str">
        <f t="array" ref="M1002">Y818</f>
        <v>1ХВС::1.1</v>
      </c>
      <c r="AB1002" s="65" t="str">
        <f>AB995&amp;".7"</f>
        <v>3.1.1.3.1.7</v>
      </c>
      <c r="AC1002" s="177" t="s">
        <v>339</v>
      </c>
      <c r="AD1002" s="51" t="s">
        <v>111</v>
      </c>
      <c r="AE1002" s="72">
        <f t="shared" ref="AE1002:AK1002" si="1161">AE262</f>
        <v>0</v>
      </c>
      <c r="AF1002" s="73">
        <f t="shared" si="1161"/>
        <v>854.75</v>
      </c>
      <c r="AG1002" s="73">
        <f t="shared" si="1161"/>
        <v>2640.0709999999999</v>
      </c>
      <c r="AH1002" s="138">
        <f t="shared" si="1161"/>
        <v>0</v>
      </c>
      <c r="AI1002" s="72">
        <f t="shared" si="1161"/>
        <v>34.123000000000005</v>
      </c>
      <c r="AJ1002" s="73">
        <f t="shared" si="1161"/>
        <v>0</v>
      </c>
      <c r="AK1002" s="73">
        <f t="shared" si="1161"/>
        <v>58.900000000000006</v>
      </c>
      <c r="AL1002" s="138"/>
      <c r="AM1002" s="72">
        <f t="shared" ref="AM1002:BA1002" si="1162">AM262</f>
        <v>0</v>
      </c>
      <c r="AN1002" s="73">
        <f t="shared" si="1162"/>
        <v>81</v>
      </c>
      <c r="AO1002" s="73">
        <f t="shared" si="1162"/>
        <v>0</v>
      </c>
      <c r="AP1002" s="138">
        <f t="shared" si="1162"/>
        <v>0</v>
      </c>
      <c r="AQ1002" s="72">
        <f t="shared" si="1162"/>
        <v>0</v>
      </c>
      <c r="AR1002" s="73">
        <f t="shared" si="1162"/>
        <v>0</v>
      </c>
      <c r="AS1002" s="73">
        <f t="shared" si="1162"/>
        <v>0</v>
      </c>
      <c r="AT1002" s="138">
        <f t="shared" si="1162"/>
        <v>0</v>
      </c>
      <c r="AU1002" s="72">
        <f t="shared" si="1162"/>
        <v>0</v>
      </c>
      <c r="AV1002" s="73">
        <f t="shared" si="1162"/>
        <v>0</v>
      </c>
      <c r="AW1002" s="73">
        <f t="shared" si="1162"/>
        <v>0</v>
      </c>
      <c r="AX1002" s="138">
        <f t="shared" si="1162"/>
        <v>0</v>
      </c>
      <c r="AY1002" s="72">
        <f t="shared" si="1162"/>
        <v>0</v>
      </c>
      <c r="AZ1002" s="73">
        <f t="shared" si="1162"/>
        <v>0</v>
      </c>
      <c r="BA1002" s="73">
        <f t="shared" si="1162"/>
        <v>0</v>
      </c>
      <c r="BB1002" s="138">
        <f t="shared" ref="BB1002" si="1163">BB262</f>
        <v>0</v>
      </c>
      <c r="BC1002" s="72">
        <f t="shared" ref="BC1002:BM1002" si="1164">BC262</f>
        <v>0</v>
      </c>
      <c r="BD1002" s="73">
        <f t="shared" si="1164"/>
        <v>0</v>
      </c>
      <c r="BE1002" s="73">
        <f t="shared" si="1164"/>
        <v>0</v>
      </c>
      <c r="BF1002" s="138">
        <f t="shared" si="1164"/>
        <v>0</v>
      </c>
      <c r="BG1002" s="72">
        <f t="shared" si="1164"/>
        <v>0</v>
      </c>
      <c r="BH1002" s="73">
        <f t="shared" si="1164"/>
        <v>0</v>
      </c>
      <c r="BI1002" s="73">
        <f t="shared" si="1164"/>
        <v>0</v>
      </c>
      <c r="BJ1002" s="138">
        <f t="shared" si="1164"/>
        <v>0</v>
      </c>
      <c r="BK1002" s="72">
        <f t="shared" si="1164"/>
        <v>0</v>
      </c>
      <c r="BL1002" s="73">
        <f t="shared" si="1164"/>
        <v>88.12</v>
      </c>
      <c r="BM1002" s="73">
        <f t="shared" si="1164"/>
        <v>62.71</v>
      </c>
      <c r="BN1002" s="138">
        <f t="shared" si="1159"/>
        <v>7.0000000000000007E-2</v>
      </c>
      <c r="BO1002" s="72">
        <f t="shared" ref="BO1002:BV1002" si="1165">BO262</f>
        <v>0</v>
      </c>
      <c r="BP1002" s="73">
        <f t="shared" si="1165"/>
        <v>0</v>
      </c>
      <c r="BQ1002" s="73">
        <f t="shared" si="1165"/>
        <v>0</v>
      </c>
      <c r="BR1002" s="138">
        <f t="shared" si="1165"/>
        <v>0</v>
      </c>
      <c r="BS1002" s="72">
        <f t="shared" si="1165"/>
        <v>0</v>
      </c>
      <c r="BT1002" s="73">
        <f t="shared" si="1165"/>
        <v>0</v>
      </c>
      <c r="BU1002" s="73">
        <f t="shared" si="1165"/>
        <v>0</v>
      </c>
      <c r="BV1002" s="74">
        <f t="shared" si="1165"/>
        <v>0</v>
      </c>
      <c r="BY1002" s="125">
        <f t="shared" si="1121"/>
        <v>34.123000000000005</v>
      </c>
      <c r="BZ1002" s="126">
        <f t="shared" si="1122"/>
        <v>1023.87</v>
      </c>
      <c r="CA1002" s="126">
        <f t="shared" si="1123"/>
        <v>2761.681</v>
      </c>
      <c r="CB1002" s="127">
        <f t="shared" si="1123"/>
        <v>7.0000000000000007E-2</v>
      </c>
    </row>
    <row r="1003" spans="1:82" ht="42" customHeight="1" outlineLevel="4" x14ac:dyDescent="0.25">
      <c r="C1003" s="10" t="s">
        <v>83</v>
      </c>
      <c r="D1003" s="10" t="s">
        <v>84</v>
      </c>
      <c r="E1003" s="10" t="s">
        <v>73</v>
      </c>
      <c r="F1003" s="10" t="s">
        <v>74</v>
      </c>
      <c r="G1003" s="10" t="s">
        <v>201</v>
      </c>
      <c r="H1003" s="10" t="s">
        <v>340</v>
      </c>
      <c r="I1003" s="10" t="s">
        <v>73</v>
      </c>
      <c r="J1003" s="10" t="s">
        <v>73</v>
      </c>
      <c r="K1003" s="12" t="s">
        <v>73</v>
      </c>
      <c r="L1003" s="10" t="s">
        <v>192</v>
      </c>
      <c r="M1003" s="5" t="str">
        <f t="array" ref="M1003">Y818</f>
        <v>1ХВС::1.1</v>
      </c>
      <c r="AB1003" s="65" t="str">
        <f>AB994&amp;".2"</f>
        <v>3.1.1.3.2</v>
      </c>
      <c r="AC1003" s="174" t="s">
        <v>341</v>
      </c>
      <c r="AD1003" s="51" t="s">
        <v>111</v>
      </c>
      <c r="AE1003" s="72">
        <f t="shared" ref="AE1003:AK1003" si="1166">AE1004+AE1007</f>
        <v>174320.38</v>
      </c>
      <c r="AF1003" s="73">
        <f t="shared" si="1166"/>
        <v>119119</v>
      </c>
      <c r="AG1003" s="73">
        <f t="shared" si="1166"/>
        <v>183869.14600000001</v>
      </c>
      <c r="AH1003" s="138">
        <f>AH611+AH263</f>
        <v>214132.71088</v>
      </c>
      <c r="AI1003" s="72">
        <f t="shared" si="1166"/>
        <v>0</v>
      </c>
      <c r="AJ1003" s="73">
        <f t="shared" si="1166"/>
        <v>183.6</v>
      </c>
      <c r="AK1003" s="73">
        <f t="shared" si="1166"/>
        <v>0</v>
      </c>
      <c r="AL1003" s="138"/>
      <c r="AM1003" s="72">
        <f t="shared" ref="AM1003:BM1003" si="1167">AM1004+AM1007</f>
        <v>2470.83</v>
      </c>
      <c r="AN1003" s="73">
        <f t="shared" si="1167"/>
        <v>3000.99</v>
      </c>
      <c r="AO1003" s="73">
        <f t="shared" si="1167"/>
        <v>2939.86</v>
      </c>
      <c r="AP1003" s="138">
        <f t="shared" si="1167"/>
        <v>3115.33446</v>
      </c>
      <c r="AQ1003" s="72">
        <f t="shared" si="1167"/>
        <v>7201.6200000000008</v>
      </c>
      <c r="AR1003" s="73">
        <f t="shared" si="1167"/>
        <v>4471.8239999999996</v>
      </c>
      <c r="AS1003" s="73">
        <f t="shared" si="1167"/>
        <v>6566.3899999999994</v>
      </c>
      <c r="AT1003" s="138">
        <f t="shared" si="1167"/>
        <v>7973.7474599999996</v>
      </c>
      <c r="AU1003" s="72">
        <f t="shared" si="1167"/>
        <v>6107.21</v>
      </c>
      <c r="AV1003" s="73">
        <f t="shared" si="1167"/>
        <v>1063.0520999999999</v>
      </c>
      <c r="AW1003" s="73">
        <f t="shared" si="1167"/>
        <v>4962.0600000000004</v>
      </c>
      <c r="AX1003" s="138">
        <f t="shared" si="1167"/>
        <v>7561.4756699999998</v>
      </c>
      <c r="AY1003" s="72">
        <f t="shared" si="1167"/>
        <v>5710.9290000000001</v>
      </c>
      <c r="AZ1003" s="73">
        <f t="shared" si="1167"/>
        <v>12117.009999999998</v>
      </c>
      <c r="BA1003" s="73">
        <f t="shared" si="1167"/>
        <v>9097.6149000000005</v>
      </c>
      <c r="BB1003" s="138">
        <f t="shared" si="1167"/>
        <v>12607.6286921508</v>
      </c>
      <c r="BC1003" s="72">
        <f t="shared" si="1167"/>
        <v>0</v>
      </c>
      <c r="BD1003" s="73">
        <f t="shared" si="1167"/>
        <v>1635.6557038000001</v>
      </c>
      <c r="BE1003" s="73">
        <f t="shared" si="1167"/>
        <v>2726.5780920000002</v>
      </c>
      <c r="BF1003" s="138">
        <f t="shared" si="1167"/>
        <v>0</v>
      </c>
      <c r="BG1003" s="72">
        <f t="shared" si="1167"/>
        <v>15758.628101999999</v>
      </c>
      <c r="BH1003" s="73">
        <f t="shared" si="1167"/>
        <v>21529.111631999996</v>
      </c>
      <c r="BI1003" s="73">
        <f t="shared" si="1167"/>
        <v>18570.810741000001</v>
      </c>
      <c r="BJ1003" s="138">
        <f t="shared" si="1167"/>
        <v>22400.61007086336</v>
      </c>
      <c r="BK1003" s="72">
        <f t="shared" si="1167"/>
        <v>0</v>
      </c>
      <c r="BL1003" s="73">
        <f t="shared" si="1167"/>
        <v>0</v>
      </c>
      <c r="BM1003" s="73">
        <f t="shared" si="1167"/>
        <v>0</v>
      </c>
      <c r="BN1003" s="138">
        <f t="shared" ref="BN1003" si="1168">BN1004+BN1007</f>
        <v>0</v>
      </c>
      <c r="BO1003" s="142">
        <f t="shared" ref="BO1003:BV1003" si="1169">BO1004+BO1007</f>
        <v>0</v>
      </c>
      <c r="BP1003" s="140">
        <f t="shared" si="1169"/>
        <v>0</v>
      </c>
      <c r="BQ1003" s="140">
        <f t="shared" si="1169"/>
        <v>1163.1573600000002</v>
      </c>
      <c r="BR1003" s="141">
        <f t="shared" si="1169"/>
        <v>0</v>
      </c>
      <c r="BS1003" s="142">
        <f t="shared" si="1169"/>
        <v>0</v>
      </c>
      <c r="BT1003" s="140">
        <f t="shared" si="1169"/>
        <v>0</v>
      </c>
      <c r="BU1003" s="140">
        <f t="shared" si="1169"/>
        <v>2690.3288680000001</v>
      </c>
      <c r="BV1003" s="143">
        <f t="shared" si="1169"/>
        <v>0</v>
      </c>
      <c r="BY1003" s="125">
        <f t="shared" si="1121"/>
        <v>211569.59710199997</v>
      </c>
      <c r="BZ1003" s="126">
        <f t="shared" si="1122"/>
        <v>163120.24343579999</v>
      </c>
      <c r="CA1003" s="126">
        <f t="shared" si="1123"/>
        <v>232585.94596100002</v>
      </c>
      <c r="CB1003" s="127">
        <f t="shared" si="1123"/>
        <v>267791.50723301421</v>
      </c>
    </row>
    <row r="1004" spans="1:82" ht="19.899999999999999" customHeight="1" outlineLevel="5" x14ac:dyDescent="0.25">
      <c r="C1004" s="10" t="s">
        <v>83</v>
      </c>
      <c r="D1004" s="10" t="s">
        <v>84</v>
      </c>
      <c r="E1004" s="10" t="s">
        <v>73</v>
      </c>
      <c r="F1004" s="10" t="s">
        <v>74</v>
      </c>
      <c r="G1004" s="10" t="s">
        <v>204</v>
      </c>
      <c r="H1004" s="10" t="s">
        <v>340</v>
      </c>
      <c r="I1004" s="10" t="s">
        <v>73</v>
      </c>
      <c r="J1004" s="10" t="s">
        <v>73</v>
      </c>
      <c r="K1004" s="12" t="s">
        <v>73</v>
      </c>
      <c r="L1004" s="10" t="s">
        <v>192</v>
      </c>
      <c r="M1004" s="5" t="str">
        <f t="array" ref="M1004">Y818</f>
        <v>1ХВС::1.1</v>
      </c>
      <c r="AB1004" s="29" t="str">
        <f>AB1003&amp;".1"</f>
        <v>3.1.1.3.2.1</v>
      </c>
      <c r="AC1004" s="177" t="s">
        <v>342</v>
      </c>
      <c r="AD1004" s="51" t="s">
        <v>111</v>
      </c>
      <c r="AE1004" s="72">
        <f t="shared" ref="AE1004:AK1004" si="1170">AE264+AE612</f>
        <v>133886.62</v>
      </c>
      <c r="AF1004" s="73">
        <f t="shared" si="1170"/>
        <v>91489.1</v>
      </c>
      <c r="AG1004" s="73">
        <f t="shared" si="1170"/>
        <v>141220.546</v>
      </c>
      <c r="AH1004" s="138">
        <f t="shared" si="1170"/>
        <v>164464.44</v>
      </c>
      <c r="AI1004" s="72">
        <f t="shared" si="1170"/>
        <v>0</v>
      </c>
      <c r="AJ1004" s="73">
        <f t="shared" si="1170"/>
        <v>141.01</v>
      </c>
      <c r="AK1004" s="73">
        <f t="shared" si="1170"/>
        <v>0</v>
      </c>
      <c r="AL1004" s="138"/>
      <c r="AM1004" s="72">
        <f t="shared" ref="AM1004:BM1004" si="1171">AM264+AM612</f>
        <v>1897.72</v>
      </c>
      <c r="AN1004" s="73">
        <f t="shared" si="1171"/>
        <v>2304.91</v>
      </c>
      <c r="AO1004" s="73">
        <f t="shared" si="1171"/>
        <v>2257.96</v>
      </c>
      <c r="AP1004" s="138">
        <f t="shared" si="1171"/>
        <v>2392.73</v>
      </c>
      <c r="AQ1004" s="72">
        <f t="shared" si="1171"/>
        <v>5531.2000000000007</v>
      </c>
      <c r="AR1004" s="73">
        <f t="shared" si="1171"/>
        <v>3434.58</v>
      </c>
      <c r="AS1004" s="73">
        <f t="shared" si="1171"/>
        <v>5043.3099999999995</v>
      </c>
      <c r="AT1004" s="138">
        <f t="shared" si="1171"/>
        <v>6124.23</v>
      </c>
      <c r="AU1004" s="72">
        <f t="shared" si="1171"/>
        <v>4690.6400000000003</v>
      </c>
      <c r="AV1004" s="73">
        <f t="shared" si="1171"/>
        <v>816.48209999999995</v>
      </c>
      <c r="AW1004" s="73">
        <f t="shared" si="1171"/>
        <v>3811.11</v>
      </c>
      <c r="AX1004" s="138">
        <f t="shared" si="1171"/>
        <v>5807.585</v>
      </c>
      <c r="AY1004" s="72">
        <f t="shared" si="1171"/>
        <v>4386.2690000000002</v>
      </c>
      <c r="AZ1004" s="73">
        <f t="shared" si="1171"/>
        <v>9306.4599999999991</v>
      </c>
      <c r="BA1004" s="73">
        <f t="shared" si="1171"/>
        <v>6987.4148999999998</v>
      </c>
      <c r="BB1004" s="138">
        <f t="shared" si="1171"/>
        <v>9683.2785653999999</v>
      </c>
      <c r="BC1004" s="72">
        <f t="shared" si="1171"/>
        <v>0</v>
      </c>
      <c r="BD1004" s="73">
        <f t="shared" si="1171"/>
        <v>1256.2769000000001</v>
      </c>
      <c r="BE1004" s="73">
        <f t="shared" si="1171"/>
        <v>2094.1460000000002</v>
      </c>
      <c r="BF1004" s="138">
        <f t="shared" si="1171"/>
        <v>0</v>
      </c>
      <c r="BG1004" s="72">
        <f t="shared" si="1171"/>
        <v>12103.401</v>
      </c>
      <c r="BH1004" s="73">
        <f t="shared" si="1171"/>
        <v>16535.415999999997</v>
      </c>
      <c r="BI1004" s="73">
        <f t="shared" si="1171"/>
        <v>14263.2955</v>
      </c>
      <c r="BJ1004" s="138">
        <f t="shared" si="1171"/>
        <v>17204.769639680002</v>
      </c>
      <c r="BK1004" s="72">
        <f t="shared" si="1171"/>
        <v>0</v>
      </c>
      <c r="BL1004" s="73">
        <f t="shared" si="1171"/>
        <v>0</v>
      </c>
      <c r="BM1004" s="73">
        <f t="shared" si="1171"/>
        <v>0</v>
      </c>
      <c r="BN1004" s="138">
        <f t="shared" ref="BN1004" si="1172">BN264+BN612</f>
        <v>0</v>
      </c>
      <c r="BO1004" s="72">
        <f t="shared" ref="BO1004:BV1004" si="1173">BO264+BO612</f>
        <v>0</v>
      </c>
      <c r="BP1004" s="73">
        <f t="shared" si="1173"/>
        <v>0</v>
      </c>
      <c r="BQ1004" s="73">
        <f t="shared" si="1173"/>
        <v>893.36</v>
      </c>
      <c r="BR1004" s="138">
        <f t="shared" si="1173"/>
        <v>0</v>
      </c>
      <c r="BS1004" s="72">
        <f t="shared" si="1173"/>
        <v>0</v>
      </c>
      <c r="BT1004" s="73">
        <f t="shared" si="1173"/>
        <v>0</v>
      </c>
      <c r="BU1004" s="73">
        <f t="shared" si="1173"/>
        <v>2066.3040000000001</v>
      </c>
      <c r="BV1004" s="74">
        <f t="shared" si="1173"/>
        <v>0</v>
      </c>
      <c r="BY1004" s="125">
        <f t="shared" si="1121"/>
        <v>162495.85000000003</v>
      </c>
      <c r="BZ1004" s="126">
        <f t="shared" si="1122"/>
        <v>125284.23499999999</v>
      </c>
      <c r="CA1004" s="126">
        <f t="shared" si="1123"/>
        <v>178637.44639999999</v>
      </c>
      <c r="CB1004" s="127">
        <f t="shared" si="1123"/>
        <v>205677.03320508002</v>
      </c>
    </row>
    <row r="1005" spans="1:82" s="115" customFormat="1" ht="16.5" customHeight="1" outlineLevel="5" x14ac:dyDescent="0.25">
      <c r="A1005" s="100"/>
      <c r="B1005" s="100"/>
      <c r="C1005" s="99" t="s">
        <v>206</v>
      </c>
      <c r="D1005" s="99" t="s">
        <v>207</v>
      </c>
      <c r="E1005" s="99" t="s">
        <v>73</v>
      </c>
      <c r="F1005" s="99" t="s">
        <v>74</v>
      </c>
      <c r="G1005" s="99" t="s">
        <v>73</v>
      </c>
      <c r="H1005" s="99" t="s">
        <v>340</v>
      </c>
      <c r="I1005" s="99" t="s">
        <v>73</v>
      </c>
      <c r="J1005" s="99" t="s">
        <v>73</v>
      </c>
      <c r="K1005" s="102" t="s">
        <v>73</v>
      </c>
      <c r="L1005" s="99" t="s">
        <v>192</v>
      </c>
      <c r="M1005" s="100" t="str">
        <f t="array" ref="M1005">Y818</f>
        <v>1ХВС::1.1</v>
      </c>
      <c r="N1005" s="100"/>
      <c r="O1005" s="100"/>
      <c r="P1005" s="100"/>
      <c r="Q1005" s="100"/>
      <c r="R1005" s="100"/>
      <c r="S1005" s="100"/>
      <c r="T1005" s="100"/>
      <c r="U1005" s="100"/>
      <c r="V1005" s="100"/>
      <c r="W1005" s="100"/>
      <c r="X1005" s="100"/>
      <c r="Y1005" s="100"/>
      <c r="Z1005" s="100"/>
      <c r="AA1005" s="100"/>
      <c r="AB1005" s="103" t="str">
        <f>AB1004&amp;".1"</f>
        <v>3.1.1.3.2.1.1</v>
      </c>
      <c r="AC1005" s="188" t="s">
        <v>208</v>
      </c>
      <c r="AD1005" s="189" t="s">
        <v>209</v>
      </c>
      <c r="AE1005" s="190">
        <f t="shared" ref="AE1005:AK1005" si="1174">(AE1004/AE1006)/12*1000</f>
        <v>79717.193007525944</v>
      </c>
      <c r="AF1005" s="191">
        <f t="shared" si="1174"/>
        <v>74870.781367638891</v>
      </c>
      <c r="AG1005" s="191">
        <f t="shared" si="1174"/>
        <v>93630.192006789192</v>
      </c>
      <c r="AH1005" s="193">
        <f t="shared" si="1174"/>
        <v>89123.227988034851</v>
      </c>
      <c r="AI1005" s="190" t="e">
        <f t="shared" si="1174"/>
        <v>#DIV/0!</v>
      </c>
      <c r="AJ1005" s="191">
        <f t="shared" si="1174"/>
        <v>47003.333333333328</v>
      </c>
      <c r="AK1005" s="191" t="e">
        <f t="shared" si="1174"/>
        <v>#DIV/0!</v>
      </c>
      <c r="AL1005" s="193"/>
      <c r="AM1005" s="190">
        <f t="shared" ref="AM1005:BM1005" si="1175">(AM1004/AM1006)/12*1000</f>
        <v>48214.430894308949</v>
      </c>
      <c r="AN1005" s="191">
        <f t="shared" si="1175"/>
        <v>50413.604549431322</v>
      </c>
      <c r="AO1005" s="191">
        <f t="shared" si="1175"/>
        <v>52267.592592592591</v>
      </c>
      <c r="AP1005" s="193">
        <f t="shared" si="1175"/>
        <v>55233.841181902128</v>
      </c>
      <c r="AQ1005" s="190">
        <f t="shared" si="1175"/>
        <v>55668.276972624815</v>
      </c>
      <c r="AR1005" s="191">
        <f t="shared" si="1175"/>
        <v>40483.026874115989</v>
      </c>
      <c r="AS1005" s="191">
        <f t="shared" si="1175"/>
        <v>51885.905349794237</v>
      </c>
      <c r="AT1005" s="193">
        <f t="shared" si="1175"/>
        <v>64195.283018867929</v>
      </c>
      <c r="AU1005" s="190">
        <f t="shared" si="1175"/>
        <v>67047.455688965129</v>
      </c>
      <c r="AV1005" s="191">
        <f t="shared" si="1175"/>
        <v>43337.691082802543</v>
      </c>
      <c r="AW1005" s="191">
        <f t="shared" si="1175"/>
        <v>52064.344262295075</v>
      </c>
      <c r="AX1005" s="193">
        <f t="shared" si="1175"/>
        <v>75384.021287642783</v>
      </c>
      <c r="AY1005" s="190">
        <f t="shared" si="1175"/>
        <v>48031.855015330715</v>
      </c>
      <c r="AZ1005" s="191">
        <f t="shared" si="1175"/>
        <v>48837.426532325771</v>
      </c>
      <c r="BA1005" s="191">
        <f t="shared" si="1175"/>
        <v>51989.694196428565</v>
      </c>
      <c r="BB1005" s="193">
        <f t="shared" si="1175"/>
        <v>50814.853932619648</v>
      </c>
      <c r="BC1005" s="190" t="e">
        <f t="shared" si="1175"/>
        <v>#DIV/0!</v>
      </c>
      <c r="BD1005" s="191">
        <f t="shared" si="1175"/>
        <v>43439.726832641776</v>
      </c>
      <c r="BE1005" s="191">
        <f t="shared" si="1175"/>
        <v>49860.619047619053</v>
      </c>
      <c r="BF1005" s="193" t="e">
        <f t="shared" si="1175"/>
        <v>#DIV/0!</v>
      </c>
      <c r="BG1005" s="190">
        <f t="shared" si="1175"/>
        <v>63038.546875</v>
      </c>
      <c r="BH1005" s="191">
        <f t="shared" si="1175"/>
        <v>51608.664169787764</v>
      </c>
      <c r="BI1005" s="191">
        <f t="shared" si="1175"/>
        <v>52131.927997076018</v>
      </c>
      <c r="BJ1005" s="193">
        <f t="shared" si="1175"/>
        <v>53697.782895380784</v>
      </c>
      <c r="BK1005" s="190" t="e">
        <f t="shared" si="1175"/>
        <v>#DIV/0!</v>
      </c>
      <c r="BL1005" s="191" t="e">
        <f t="shared" si="1175"/>
        <v>#DIV/0!</v>
      </c>
      <c r="BM1005" s="191" t="e">
        <f t="shared" si="1175"/>
        <v>#DIV/0!</v>
      </c>
      <c r="BN1005" s="193" t="e">
        <f t="shared" ref="BN1005" si="1176">(BN1004/BN1006)/12*1000</f>
        <v>#DIV/0!</v>
      </c>
      <c r="BO1005" s="190" t="e">
        <f t="shared" ref="BO1005:BV1005" si="1177">(BO1004/BO1006)/12*1000</f>
        <v>#DIV/0!</v>
      </c>
      <c r="BP1005" s="191" t="e">
        <f t="shared" si="1177"/>
        <v>#DIV/0!</v>
      </c>
      <c r="BQ1005" s="191">
        <f t="shared" si="1177"/>
        <v>74446.666666666672</v>
      </c>
      <c r="BR1005" s="193" t="e">
        <f t="shared" si="1177"/>
        <v>#DIV/0!</v>
      </c>
      <c r="BS1005" s="190" t="e">
        <f t="shared" si="1177"/>
        <v>#DIV/0!</v>
      </c>
      <c r="BT1005" s="191" t="e">
        <f t="shared" si="1177"/>
        <v>#DIV/0!</v>
      </c>
      <c r="BU1005" s="191">
        <f t="shared" si="1177"/>
        <v>43048</v>
      </c>
      <c r="BV1005" s="192" t="e">
        <f t="shared" si="1177"/>
        <v>#DIV/0!</v>
      </c>
      <c r="BW1005" s="111"/>
      <c r="BX1005" s="100"/>
      <c r="BY1005" s="112">
        <f>(BY1004/BY1006)/12*1000</f>
        <v>74830.464375184209</v>
      </c>
      <c r="BZ1005" s="113">
        <f>(BZ1004/BZ1006)/12*1000</f>
        <v>65448.551383316611</v>
      </c>
      <c r="CA1005" s="113">
        <f>(CA1004/CA1006)/12*1000</f>
        <v>80039.001380002519</v>
      </c>
      <c r="CB1005" s="114">
        <f>(CB1004/CB1006)/12*1000</f>
        <v>79965.255048474399</v>
      </c>
      <c r="CC1005" s="759"/>
    </row>
    <row r="1006" spans="1:82" s="115" customFormat="1" ht="18" customHeight="1" outlineLevel="5" x14ac:dyDescent="0.25">
      <c r="A1006" s="100"/>
      <c r="B1006" s="100"/>
      <c r="C1006" s="99" t="s">
        <v>210</v>
      </c>
      <c r="D1006" s="99" t="s">
        <v>211</v>
      </c>
      <c r="E1006" s="99" t="s">
        <v>73</v>
      </c>
      <c r="F1006" s="99" t="s">
        <v>74</v>
      </c>
      <c r="G1006" s="99" t="s">
        <v>73</v>
      </c>
      <c r="H1006" s="99" t="s">
        <v>340</v>
      </c>
      <c r="I1006" s="99" t="s">
        <v>73</v>
      </c>
      <c r="J1006" s="99" t="s">
        <v>73</v>
      </c>
      <c r="K1006" s="102" t="s">
        <v>73</v>
      </c>
      <c r="L1006" s="99" t="s">
        <v>192</v>
      </c>
      <c r="M1006" s="100" t="str">
        <f t="array" ref="M1006">Y818</f>
        <v>1ХВС::1.1</v>
      </c>
      <c r="N1006" s="100"/>
      <c r="O1006" s="100"/>
      <c r="P1006" s="100"/>
      <c r="Q1006" s="100"/>
      <c r="R1006" s="100"/>
      <c r="S1006" s="100"/>
      <c r="T1006" s="100"/>
      <c r="U1006" s="100"/>
      <c r="V1006" s="100"/>
      <c r="W1006" s="100"/>
      <c r="X1006" s="100"/>
      <c r="Y1006" s="100"/>
      <c r="Z1006" s="100"/>
      <c r="AA1006" s="100"/>
      <c r="AB1006" s="103" t="str">
        <f>AB1004&amp;".2"</f>
        <v>3.1.1.3.2.1.2</v>
      </c>
      <c r="AC1006" s="188" t="s">
        <v>212</v>
      </c>
      <c r="AD1006" s="189" t="s">
        <v>213</v>
      </c>
      <c r="AE1006" s="190">
        <f t="shared" ref="AE1006:AK1007" si="1178">AE266+AE614</f>
        <v>139.96</v>
      </c>
      <c r="AF1006" s="191">
        <f t="shared" si="1178"/>
        <v>101.83</v>
      </c>
      <c r="AG1006" s="191">
        <f t="shared" si="1178"/>
        <v>125.69</v>
      </c>
      <c r="AH1006" s="193">
        <f t="shared" si="1178"/>
        <v>153.78</v>
      </c>
      <c r="AI1006" s="190">
        <f t="shared" si="1178"/>
        <v>0</v>
      </c>
      <c r="AJ1006" s="191">
        <f t="shared" si="1178"/>
        <v>0.25</v>
      </c>
      <c r="AK1006" s="191">
        <f t="shared" si="1178"/>
        <v>0</v>
      </c>
      <c r="AL1006" s="193"/>
      <c r="AM1006" s="190">
        <f t="shared" ref="AM1006:BM1006" si="1179">AM266+AM614</f>
        <v>3.28</v>
      </c>
      <c r="AN1006" s="191">
        <f t="shared" si="1179"/>
        <v>3.81</v>
      </c>
      <c r="AO1006" s="191">
        <f t="shared" si="1179"/>
        <v>3.6</v>
      </c>
      <c r="AP1006" s="193">
        <f t="shared" si="1179"/>
        <v>3.61</v>
      </c>
      <c r="AQ1006" s="190">
        <f t="shared" si="1179"/>
        <v>8.2799999999999994</v>
      </c>
      <c r="AR1006" s="191">
        <f t="shared" si="1179"/>
        <v>7.0699999999999994</v>
      </c>
      <c r="AS1006" s="191">
        <f t="shared" si="1179"/>
        <v>8.1</v>
      </c>
      <c r="AT1006" s="193">
        <f t="shared" si="1179"/>
        <v>7.9499999999999993</v>
      </c>
      <c r="AU1006" s="190">
        <f t="shared" si="1179"/>
        <v>5.83</v>
      </c>
      <c r="AV1006" s="191">
        <f t="shared" si="1179"/>
        <v>1.5699999999999998</v>
      </c>
      <c r="AW1006" s="191">
        <f t="shared" si="1179"/>
        <v>6.1000000000000005</v>
      </c>
      <c r="AX1006" s="193">
        <f t="shared" si="1179"/>
        <v>6.42</v>
      </c>
      <c r="AY1006" s="190">
        <f t="shared" si="1179"/>
        <v>7.6099999999999994</v>
      </c>
      <c r="AZ1006" s="191">
        <f t="shared" si="1179"/>
        <v>15.879999999999999</v>
      </c>
      <c r="BA1006" s="191">
        <f t="shared" si="1179"/>
        <v>11.2</v>
      </c>
      <c r="BB1006" s="193">
        <f t="shared" si="1179"/>
        <v>15.879999999999999</v>
      </c>
      <c r="BC1006" s="190">
        <f t="shared" si="1179"/>
        <v>0</v>
      </c>
      <c r="BD1006" s="191">
        <f t="shared" si="1179"/>
        <v>2.41</v>
      </c>
      <c r="BE1006" s="191">
        <f t="shared" si="1179"/>
        <v>3.5</v>
      </c>
      <c r="BF1006" s="193">
        <f t="shared" si="1179"/>
        <v>0</v>
      </c>
      <c r="BG1006" s="190">
        <f t="shared" si="1179"/>
        <v>16</v>
      </c>
      <c r="BH1006" s="191">
        <f t="shared" si="1179"/>
        <v>26.7</v>
      </c>
      <c r="BI1006" s="191">
        <f t="shared" si="1179"/>
        <v>22.8</v>
      </c>
      <c r="BJ1006" s="193">
        <f t="shared" si="1179"/>
        <v>26.7</v>
      </c>
      <c r="BK1006" s="190">
        <f t="shared" si="1179"/>
        <v>0</v>
      </c>
      <c r="BL1006" s="191">
        <f t="shared" si="1179"/>
        <v>0</v>
      </c>
      <c r="BM1006" s="191">
        <f t="shared" si="1179"/>
        <v>0</v>
      </c>
      <c r="BN1006" s="193">
        <f t="shared" ref="BN1006" si="1180">BN266+BN614</f>
        <v>0</v>
      </c>
      <c r="BO1006" s="190">
        <f t="shared" ref="BO1006:BV1007" si="1181">BO266+BO614</f>
        <v>0</v>
      </c>
      <c r="BP1006" s="191">
        <f t="shared" si="1181"/>
        <v>0</v>
      </c>
      <c r="BQ1006" s="191">
        <f t="shared" si="1181"/>
        <v>1</v>
      </c>
      <c r="BR1006" s="193">
        <f t="shared" si="1181"/>
        <v>0</v>
      </c>
      <c r="BS1006" s="190">
        <f t="shared" si="1181"/>
        <v>0</v>
      </c>
      <c r="BT1006" s="191">
        <f t="shared" si="1181"/>
        <v>0</v>
      </c>
      <c r="BU1006" s="191">
        <f t="shared" si="1181"/>
        <v>4</v>
      </c>
      <c r="BV1006" s="192">
        <f t="shared" si="1181"/>
        <v>0</v>
      </c>
      <c r="BW1006" s="111"/>
      <c r="BX1006" s="100"/>
      <c r="BY1006" s="112">
        <f t="shared" ref="BY1006:CA1007" si="1182">AE1006+AI1006+AM1006+AQ1006+AU1006+AY1006+BC1006+BG1006+BK1006+BO1006+BS1006</f>
        <v>180.96000000000004</v>
      </c>
      <c r="BZ1006" s="113">
        <f t="shared" si="1182"/>
        <v>159.51999999999998</v>
      </c>
      <c r="CA1006" s="113">
        <f t="shared" si="1182"/>
        <v>185.98999999999998</v>
      </c>
      <c r="CB1006" s="114">
        <f>AH1006+AL1006+AP1006+AT1006+AX1006+BB1006+BF1006+BJ1006+BN1006+BR1006+BV1006</f>
        <v>214.33999999999997</v>
      </c>
      <c r="CC1006" s="759"/>
    </row>
    <row r="1007" spans="1:82" ht="14.25" customHeight="1" outlineLevel="5" x14ac:dyDescent="0.25">
      <c r="C1007" s="10" t="s">
        <v>83</v>
      </c>
      <c r="D1007" s="10" t="s">
        <v>84</v>
      </c>
      <c r="E1007" s="10" t="s">
        <v>73</v>
      </c>
      <c r="F1007" s="10" t="s">
        <v>74</v>
      </c>
      <c r="G1007" s="10" t="s">
        <v>214</v>
      </c>
      <c r="H1007" s="10" t="s">
        <v>340</v>
      </c>
      <c r="I1007" s="10" t="s">
        <v>73</v>
      </c>
      <c r="J1007" s="10" t="s">
        <v>73</v>
      </c>
      <c r="K1007" s="12" t="s">
        <v>73</v>
      </c>
      <c r="L1007" s="10" t="s">
        <v>192</v>
      </c>
      <c r="M1007" s="5" t="str">
        <f t="array" ref="M1007">Y818</f>
        <v>1ХВС::1.1</v>
      </c>
      <c r="AB1007" s="29" t="str">
        <f>AB1003&amp;".2"</f>
        <v>3.1.1.3.2.2</v>
      </c>
      <c r="AC1007" s="177" t="s">
        <v>343</v>
      </c>
      <c r="AD1007" s="51" t="s">
        <v>111</v>
      </c>
      <c r="AE1007" s="72">
        <f t="shared" si="1178"/>
        <v>40433.759999999995</v>
      </c>
      <c r="AF1007" s="73">
        <f t="shared" si="1178"/>
        <v>27629.9</v>
      </c>
      <c r="AG1007" s="73">
        <f t="shared" si="1178"/>
        <v>42648.6</v>
      </c>
      <c r="AH1007" s="138">
        <f t="shared" si="1178"/>
        <v>49668.270879999996</v>
      </c>
      <c r="AI1007" s="72">
        <f t="shared" si="1178"/>
        <v>0</v>
      </c>
      <c r="AJ1007" s="73">
        <f t="shared" si="1178"/>
        <v>42.59</v>
      </c>
      <c r="AK1007" s="73">
        <f t="shared" si="1178"/>
        <v>0</v>
      </c>
      <c r="AL1007" s="138"/>
      <c r="AM1007" s="72">
        <f t="shared" ref="AM1007:BM1007" si="1183">AM267+AM615</f>
        <v>573.11</v>
      </c>
      <c r="AN1007" s="73">
        <f t="shared" si="1183"/>
        <v>696.08</v>
      </c>
      <c r="AO1007" s="73">
        <f t="shared" si="1183"/>
        <v>681.9</v>
      </c>
      <c r="AP1007" s="138">
        <f t="shared" si="1183"/>
        <v>722.60446000000002</v>
      </c>
      <c r="AQ1007" s="72">
        <f t="shared" si="1183"/>
        <v>1670.42</v>
      </c>
      <c r="AR1007" s="73">
        <f t="shared" si="1183"/>
        <v>1037.2439999999999</v>
      </c>
      <c r="AS1007" s="73">
        <f t="shared" si="1183"/>
        <v>1523.08</v>
      </c>
      <c r="AT1007" s="138">
        <f t="shared" si="1183"/>
        <v>1849.51746</v>
      </c>
      <c r="AU1007" s="72">
        <f t="shared" si="1183"/>
        <v>1416.57</v>
      </c>
      <c r="AV1007" s="73">
        <f t="shared" si="1183"/>
        <v>246.57</v>
      </c>
      <c r="AW1007" s="73">
        <f t="shared" si="1183"/>
        <v>1150.95</v>
      </c>
      <c r="AX1007" s="138">
        <f t="shared" si="1183"/>
        <v>1753.8906699999998</v>
      </c>
      <c r="AY1007" s="72">
        <f t="shared" si="1183"/>
        <v>1324.6599999999999</v>
      </c>
      <c r="AZ1007" s="73">
        <f t="shared" si="1183"/>
        <v>2810.55</v>
      </c>
      <c r="BA1007" s="73">
        <f t="shared" si="1183"/>
        <v>2110.1999999999998</v>
      </c>
      <c r="BB1007" s="138">
        <f t="shared" si="1183"/>
        <v>2924.3501267508</v>
      </c>
      <c r="BC1007" s="72">
        <f t="shared" si="1183"/>
        <v>0</v>
      </c>
      <c r="BD1007" s="73">
        <f t="shared" si="1183"/>
        <v>379.37880380000001</v>
      </c>
      <c r="BE1007" s="73">
        <f t="shared" si="1183"/>
        <v>632.43209200000001</v>
      </c>
      <c r="BF1007" s="138">
        <f t="shared" si="1183"/>
        <v>0</v>
      </c>
      <c r="BG1007" s="72">
        <f t="shared" si="1183"/>
        <v>3655.2271019999998</v>
      </c>
      <c r="BH1007" s="73">
        <f t="shared" si="1183"/>
        <v>4993.695631999999</v>
      </c>
      <c r="BI1007" s="73">
        <f t="shared" si="1183"/>
        <v>4307.5152409999992</v>
      </c>
      <c r="BJ1007" s="138">
        <f t="shared" si="1183"/>
        <v>5195.8404311833601</v>
      </c>
      <c r="BK1007" s="72">
        <f t="shared" si="1183"/>
        <v>0</v>
      </c>
      <c r="BL1007" s="73">
        <f t="shared" si="1183"/>
        <v>0</v>
      </c>
      <c r="BM1007" s="73">
        <f t="shared" si="1183"/>
        <v>0</v>
      </c>
      <c r="BN1007" s="138">
        <f t="shared" ref="BN1007" si="1184">BN267+BN615</f>
        <v>0</v>
      </c>
      <c r="BO1007" s="72">
        <f t="shared" si="1181"/>
        <v>0</v>
      </c>
      <c r="BP1007" s="73">
        <f t="shared" si="1181"/>
        <v>0</v>
      </c>
      <c r="BQ1007" s="73">
        <f t="shared" si="1181"/>
        <v>269.79736000000003</v>
      </c>
      <c r="BR1007" s="138">
        <f t="shared" si="1181"/>
        <v>0</v>
      </c>
      <c r="BS1007" s="72">
        <f t="shared" si="1181"/>
        <v>0</v>
      </c>
      <c r="BT1007" s="73">
        <f t="shared" si="1181"/>
        <v>0</v>
      </c>
      <c r="BU1007" s="73">
        <f t="shared" si="1181"/>
        <v>624.02486799999997</v>
      </c>
      <c r="BV1007" s="74">
        <f t="shared" si="1181"/>
        <v>0</v>
      </c>
      <c r="BY1007" s="125">
        <f t="shared" si="1182"/>
        <v>49073.747101999987</v>
      </c>
      <c r="BZ1007" s="126">
        <f t="shared" si="1182"/>
        <v>37836.008435800002</v>
      </c>
      <c r="CA1007" s="126">
        <f t="shared" si="1182"/>
        <v>53948.499560999997</v>
      </c>
      <c r="CB1007" s="127">
        <f>AH1007+AL1007+AP1007+AT1007+AX1007+BB1007+BF1007+BJ1007+BN1007+BR1007+BV1007</f>
        <v>62114.474027934164</v>
      </c>
    </row>
    <row r="1008" spans="1:82" ht="14.25" customHeight="1" outlineLevel="5" x14ac:dyDescent="0.25">
      <c r="C1008" s="10" t="s">
        <v>216</v>
      </c>
      <c r="D1008" s="10" t="s">
        <v>217</v>
      </c>
      <c r="E1008" s="10" t="s">
        <v>73</v>
      </c>
      <c r="F1008" s="10" t="s">
        <v>74</v>
      </c>
      <c r="G1008" s="10" t="s">
        <v>73</v>
      </c>
      <c r="H1008" s="10" t="s">
        <v>340</v>
      </c>
      <c r="I1008" s="10" t="s">
        <v>73</v>
      </c>
      <c r="J1008" s="10" t="s">
        <v>73</v>
      </c>
      <c r="K1008" s="12" t="s">
        <v>73</v>
      </c>
      <c r="L1008" s="10" t="s">
        <v>192</v>
      </c>
      <c r="M1008" s="5" t="str">
        <f t="array" ref="M1008">Y818</f>
        <v>1ХВС::1.1</v>
      </c>
      <c r="AB1008" s="29" t="str">
        <f>AB1007&amp;".1"</f>
        <v>3.1.1.3.2.2.1</v>
      </c>
      <c r="AC1008" s="208" t="s">
        <v>218</v>
      </c>
      <c r="AD1008" s="51" t="s">
        <v>119</v>
      </c>
      <c r="AE1008" s="72">
        <v>30.2</v>
      </c>
      <c r="AF1008" s="73">
        <v>30.2</v>
      </c>
      <c r="AG1008" s="73">
        <v>30.2</v>
      </c>
      <c r="AH1008" s="138">
        <v>30.2</v>
      </c>
      <c r="AI1008" s="72">
        <v>30.2</v>
      </c>
      <c r="AJ1008" s="73">
        <v>30.2</v>
      </c>
      <c r="AK1008" s="73">
        <v>30.2</v>
      </c>
      <c r="AL1008" s="138"/>
      <c r="AM1008" s="72">
        <v>30.2</v>
      </c>
      <c r="AN1008" s="73">
        <v>30.2</v>
      </c>
      <c r="AO1008" s="73">
        <v>30.2</v>
      </c>
      <c r="AP1008" s="138">
        <v>30.2</v>
      </c>
      <c r="AQ1008" s="72">
        <v>30.2</v>
      </c>
      <c r="AR1008" s="73">
        <v>30.2</v>
      </c>
      <c r="AS1008" s="73">
        <v>30.2</v>
      </c>
      <c r="AT1008" s="138">
        <v>30.2</v>
      </c>
      <c r="AU1008" s="72">
        <v>30.2</v>
      </c>
      <c r="AV1008" s="73">
        <v>30.2</v>
      </c>
      <c r="AW1008" s="73">
        <v>30.2</v>
      </c>
      <c r="AX1008" s="138">
        <v>30.2</v>
      </c>
      <c r="AY1008" s="72">
        <v>30.2</v>
      </c>
      <c r="AZ1008" s="73">
        <v>30.2</v>
      </c>
      <c r="BA1008" s="73">
        <v>30.2</v>
      </c>
      <c r="BB1008" s="138">
        <v>30.2</v>
      </c>
      <c r="BC1008" s="72">
        <v>30.2</v>
      </c>
      <c r="BD1008" s="73">
        <v>30.2</v>
      </c>
      <c r="BE1008" s="73">
        <v>30.2</v>
      </c>
      <c r="BF1008" s="138"/>
      <c r="BG1008" s="72">
        <v>30.2</v>
      </c>
      <c r="BH1008" s="73">
        <v>30.2</v>
      </c>
      <c r="BI1008" s="73">
        <v>30.2</v>
      </c>
      <c r="BJ1008" s="138">
        <v>30.2</v>
      </c>
      <c r="BK1008" s="72">
        <v>30.2</v>
      </c>
      <c r="BL1008" s="73">
        <v>30.2</v>
      </c>
      <c r="BM1008" s="73">
        <v>30.2</v>
      </c>
      <c r="BN1008" s="138">
        <v>30.2</v>
      </c>
      <c r="BO1008" s="72">
        <v>30.2</v>
      </c>
      <c r="BP1008" s="73">
        <v>30.2</v>
      </c>
      <c r="BQ1008" s="73">
        <v>30.2</v>
      </c>
      <c r="BR1008" s="138">
        <v>30.2</v>
      </c>
      <c r="BS1008" s="72">
        <v>30.2</v>
      </c>
      <c r="BT1008" s="73">
        <v>30.2</v>
      </c>
      <c r="BU1008" s="73">
        <v>30.2</v>
      </c>
      <c r="BV1008" s="74">
        <v>30.2</v>
      </c>
      <c r="BY1008" s="125">
        <v>30.2</v>
      </c>
      <c r="BZ1008" s="126">
        <v>30.2</v>
      </c>
      <c r="CA1008" s="126">
        <v>30.2</v>
      </c>
      <c r="CB1008" s="127">
        <v>30.2</v>
      </c>
    </row>
    <row r="1009" spans="1:84" ht="28.5" customHeight="1" outlineLevel="4" x14ac:dyDescent="0.25">
      <c r="C1009" s="10" t="s">
        <v>83</v>
      </c>
      <c r="D1009" s="10" t="s">
        <v>84</v>
      </c>
      <c r="E1009" s="10" t="s">
        <v>73</v>
      </c>
      <c r="F1009" s="10" t="s">
        <v>74</v>
      </c>
      <c r="G1009" s="10" t="s">
        <v>344</v>
      </c>
      <c r="H1009" s="10" t="s">
        <v>73</v>
      </c>
      <c r="I1009" s="10" t="s">
        <v>73</v>
      </c>
      <c r="J1009" s="10" t="s">
        <v>73</v>
      </c>
      <c r="K1009" s="12" t="s">
        <v>73</v>
      </c>
      <c r="L1009" s="10" t="s">
        <v>192</v>
      </c>
      <c r="M1009" s="5" t="str">
        <f t="array" ref="M1009">Y818</f>
        <v>1ХВС::1.1</v>
      </c>
      <c r="AB1009" s="65" t="str">
        <f>AB994&amp;".3"</f>
        <v>3.1.1.3.3</v>
      </c>
      <c r="AC1009" s="174" t="s">
        <v>344</v>
      </c>
      <c r="AD1009" s="51" t="s">
        <v>111</v>
      </c>
      <c r="AE1009" s="72"/>
      <c r="AF1009" s="73"/>
      <c r="AG1009" s="73"/>
      <c r="AH1009" s="138"/>
      <c r="AI1009" s="72"/>
      <c r="AJ1009" s="178"/>
      <c r="AK1009" s="178"/>
      <c r="AL1009" s="181"/>
      <c r="AM1009" s="72"/>
      <c r="AN1009" s="178"/>
      <c r="AO1009" s="178"/>
      <c r="AP1009" s="181"/>
      <c r="AQ1009" s="72"/>
      <c r="AR1009" s="178"/>
      <c r="AS1009" s="178"/>
      <c r="AT1009" s="181"/>
      <c r="AU1009" s="72"/>
      <c r="AV1009" s="178"/>
      <c r="AW1009" s="178"/>
      <c r="AX1009" s="181"/>
      <c r="AY1009" s="72"/>
      <c r="AZ1009" s="178"/>
      <c r="BA1009" s="178"/>
      <c r="BB1009" s="181"/>
      <c r="BC1009" s="72"/>
      <c r="BD1009" s="178"/>
      <c r="BE1009" s="178"/>
      <c r="BF1009" s="181"/>
      <c r="BG1009" s="72"/>
      <c r="BH1009" s="178"/>
      <c r="BI1009" s="178"/>
      <c r="BJ1009" s="181"/>
      <c r="BK1009" s="72"/>
      <c r="BL1009" s="178"/>
      <c r="BM1009" s="178"/>
      <c r="BN1009" s="181"/>
      <c r="BO1009" s="72"/>
      <c r="BP1009" s="178"/>
      <c r="BQ1009" s="178"/>
      <c r="BR1009" s="181"/>
      <c r="BS1009" s="72"/>
      <c r="BT1009" s="178"/>
      <c r="BU1009" s="178"/>
      <c r="BV1009" s="96"/>
      <c r="BY1009" s="125">
        <f t="shared" ref="BY1009:BY1048" si="1185">AE1009+AI1009+AM1009+AQ1009+AU1009+AY1009+BC1009+BG1009+BK1009+BO1009+BS1009</f>
        <v>0</v>
      </c>
      <c r="BZ1009" s="126">
        <f t="shared" ref="BZ1009:BZ1048" si="1186">AF1009+AJ1009+AN1009+AR1009+AV1009+AZ1009+BD1009+BH1009+BL1009+BP1009+BT1009</f>
        <v>0</v>
      </c>
      <c r="CA1009" s="126">
        <f t="shared" ref="CA1009:CB1048" si="1187">AG1009+AK1009+AO1009+AS1009+AW1009+BA1009+BE1009+BI1009+BM1009+BQ1009+BU1009</f>
        <v>0</v>
      </c>
      <c r="CB1009" s="127">
        <f t="shared" si="1187"/>
        <v>0</v>
      </c>
    </row>
    <row r="1010" spans="1:84" ht="14.25" customHeight="1" outlineLevel="4" x14ac:dyDescent="0.25">
      <c r="C1010" s="10" t="s">
        <v>83</v>
      </c>
      <c r="D1010" s="10" t="s">
        <v>84</v>
      </c>
      <c r="E1010" s="10" t="s">
        <v>73</v>
      </c>
      <c r="F1010" s="10" t="s">
        <v>74</v>
      </c>
      <c r="G1010" s="10" t="s">
        <v>345</v>
      </c>
      <c r="H1010" s="10" t="s">
        <v>73</v>
      </c>
      <c r="I1010" s="10" t="s">
        <v>73</v>
      </c>
      <c r="J1010" s="10" t="s">
        <v>73</v>
      </c>
      <c r="K1010" s="12" t="s">
        <v>73</v>
      </c>
      <c r="L1010" s="10" t="s">
        <v>192</v>
      </c>
      <c r="M1010" s="5" t="str">
        <f t="array" ref="M1010">Y818</f>
        <v>1ХВС::1.1</v>
      </c>
      <c r="AB1010" s="65" t="str">
        <f>AB994&amp;".4"</f>
        <v>3.1.1.3.4</v>
      </c>
      <c r="AC1010" s="174" t="s">
        <v>346</v>
      </c>
      <c r="AD1010" s="51" t="s">
        <v>111</v>
      </c>
      <c r="AE1010" s="72">
        <f t="shared" ref="AE1010:AK1011" si="1188">AE270+AE618</f>
        <v>1308.53</v>
      </c>
      <c r="AF1010" s="73">
        <f t="shared" si="1188"/>
        <v>774.88</v>
      </c>
      <c r="AG1010" s="73">
        <f t="shared" si="1188"/>
        <v>827.17</v>
      </c>
      <c r="AH1010" s="138">
        <f>AH270+AH618</f>
        <v>838.97500000000002</v>
      </c>
      <c r="AI1010" s="72">
        <f t="shared" si="1188"/>
        <v>0</v>
      </c>
      <c r="AJ1010" s="73">
        <f t="shared" si="1188"/>
        <v>0</v>
      </c>
      <c r="AK1010" s="73">
        <f t="shared" si="1188"/>
        <v>0</v>
      </c>
      <c r="AL1010" s="138"/>
      <c r="AM1010" s="72">
        <f t="shared" ref="AM1010:AW1010" si="1189">AM270+AM618</f>
        <v>0</v>
      </c>
      <c r="AN1010" s="73">
        <f t="shared" si="1189"/>
        <v>10.8</v>
      </c>
      <c r="AO1010" s="73">
        <f t="shared" si="1189"/>
        <v>0</v>
      </c>
      <c r="AP1010" s="138">
        <f t="shared" si="1189"/>
        <v>0</v>
      </c>
      <c r="AQ1010" s="72">
        <f t="shared" si="1189"/>
        <v>0</v>
      </c>
      <c r="AR1010" s="73">
        <f t="shared" si="1189"/>
        <v>0</v>
      </c>
      <c r="AS1010" s="73">
        <f t="shared" si="1189"/>
        <v>0</v>
      </c>
      <c r="AT1010" s="138">
        <f t="shared" si="1189"/>
        <v>0</v>
      </c>
      <c r="AU1010" s="72">
        <f t="shared" si="1189"/>
        <v>0</v>
      </c>
      <c r="AV1010" s="73">
        <f t="shared" si="1189"/>
        <v>0</v>
      </c>
      <c r="AW1010" s="73">
        <f t="shared" si="1189"/>
        <v>0</v>
      </c>
      <c r="AX1010" s="138">
        <f t="shared" ref="AX1010" si="1190">AX270+AX618</f>
        <v>0</v>
      </c>
      <c r="AY1010" s="72">
        <f t="shared" ref="AY1010:BA1011" si="1191">AY270+AY618</f>
        <v>0</v>
      </c>
      <c r="AZ1010" s="73">
        <f t="shared" si="1191"/>
        <v>0</v>
      </c>
      <c r="BA1010" s="73">
        <f t="shared" si="1191"/>
        <v>0</v>
      </c>
      <c r="BB1010" s="138">
        <f t="shared" ref="BB1010" si="1192">BB270+BB618</f>
        <v>0</v>
      </c>
      <c r="BC1010" s="72">
        <f t="shared" ref="BC1010:BE1011" si="1193">BC270+BC618</f>
        <v>0</v>
      </c>
      <c r="BD1010" s="73">
        <f t="shared" si="1193"/>
        <v>0</v>
      </c>
      <c r="BE1010" s="73">
        <f t="shared" si="1193"/>
        <v>0</v>
      </c>
      <c r="BF1010" s="138">
        <f t="shared" ref="BF1010" si="1194">BF270+BF618</f>
        <v>0</v>
      </c>
      <c r="BG1010" s="72">
        <f t="shared" ref="BG1010:BJ1011" si="1195">BG270+BG618</f>
        <v>0</v>
      </c>
      <c r="BH1010" s="73">
        <f t="shared" si="1195"/>
        <v>0</v>
      </c>
      <c r="BI1010" s="73">
        <f t="shared" si="1195"/>
        <v>0</v>
      </c>
      <c r="BJ1010" s="138">
        <f t="shared" si="1195"/>
        <v>0</v>
      </c>
      <c r="BK1010" s="72">
        <f t="shared" ref="BK1010:BM1011" si="1196">BK270+BK618</f>
        <v>0</v>
      </c>
      <c r="BL1010" s="73">
        <f t="shared" si="1196"/>
        <v>0</v>
      </c>
      <c r="BM1010" s="73">
        <f t="shared" si="1196"/>
        <v>0</v>
      </c>
      <c r="BN1010" s="138">
        <f t="shared" ref="BN1010" si="1197">BN270+BN618</f>
        <v>0</v>
      </c>
      <c r="BO1010" s="72">
        <f t="shared" ref="BO1010:BV1011" si="1198">BO270+BO618</f>
        <v>0</v>
      </c>
      <c r="BP1010" s="73">
        <f t="shared" si="1198"/>
        <v>0</v>
      </c>
      <c r="BQ1010" s="73">
        <f t="shared" si="1198"/>
        <v>0</v>
      </c>
      <c r="BR1010" s="138">
        <f t="shared" si="1198"/>
        <v>0</v>
      </c>
      <c r="BS1010" s="72">
        <f t="shared" si="1198"/>
        <v>0</v>
      </c>
      <c r="BT1010" s="73">
        <f t="shared" si="1198"/>
        <v>0</v>
      </c>
      <c r="BU1010" s="73">
        <f t="shared" si="1198"/>
        <v>0</v>
      </c>
      <c r="BV1010" s="74">
        <f t="shared" si="1198"/>
        <v>0</v>
      </c>
      <c r="BY1010" s="125">
        <f t="shared" si="1185"/>
        <v>1308.53</v>
      </c>
      <c r="BZ1010" s="126">
        <f t="shared" si="1186"/>
        <v>785.68</v>
      </c>
      <c r="CA1010" s="126">
        <f t="shared" si="1187"/>
        <v>827.17</v>
      </c>
      <c r="CB1010" s="127">
        <f t="shared" si="1187"/>
        <v>838.97500000000002</v>
      </c>
    </row>
    <row r="1011" spans="1:84" ht="14.25" customHeight="1" outlineLevel="4" x14ac:dyDescent="0.25">
      <c r="C1011" s="10" t="s">
        <v>83</v>
      </c>
      <c r="D1011" s="10" t="s">
        <v>84</v>
      </c>
      <c r="E1011" s="10" t="s">
        <v>73</v>
      </c>
      <c r="F1011" s="10" t="s">
        <v>74</v>
      </c>
      <c r="G1011" s="10" t="s">
        <v>347</v>
      </c>
      <c r="H1011" s="10" t="s">
        <v>73</v>
      </c>
      <c r="I1011" s="10" t="s">
        <v>73</v>
      </c>
      <c r="J1011" s="10" t="s">
        <v>73</v>
      </c>
      <c r="K1011" s="12" t="s">
        <v>73</v>
      </c>
      <c r="L1011" s="10" t="s">
        <v>192</v>
      </c>
      <c r="M1011" s="5" t="str">
        <f t="array" ref="M1011">Y818</f>
        <v>1ХВС::1.1</v>
      </c>
      <c r="AB1011" s="65" t="str">
        <f>AB994&amp;".5"</f>
        <v>3.1.1.3.5</v>
      </c>
      <c r="AC1011" s="174" t="s">
        <v>348</v>
      </c>
      <c r="AD1011" s="51" t="s">
        <v>111</v>
      </c>
      <c r="AE1011" s="72">
        <f t="shared" si="1188"/>
        <v>801.42</v>
      </c>
      <c r="AF1011" s="73">
        <f t="shared" si="1188"/>
        <v>443.28</v>
      </c>
      <c r="AG1011" s="73">
        <f t="shared" si="1188"/>
        <v>1209.3999999999999</v>
      </c>
      <c r="AH1011" s="138">
        <f t="shared" si="1188"/>
        <v>351.14499999999998</v>
      </c>
      <c r="AI1011" s="72">
        <f t="shared" si="1188"/>
        <v>0</v>
      </c>
      <c r="AJ1011" s="73">
        <f t="shared" si="1188"/>
        <v>0</v>
      </c>
      <c r="AK1011" s="73">
        <f t="shared" si="1188"/>
        <v>0</v>
      </c>
      <c r="AL1011" s="138"/>
      <c r="AM1011" s="72">
        <f t="shared" ref="AM1011:AW1011" si="1199">AM271+AM619</f>
        <v>7.25</v>
      </c>
      <c r="AN1011" s="73">
        <f t="shared" si="1199"/>
        <v>27</v>
      </c>
      <c r="AO1011" s="73">
        <f t="shared" si="1199"/>
        <v>14.54</v>
      </c>
      <c r="AP1011" s="138">
        <f t="shared" si="1199"/>
        <v>0</v>
      </c>
      <c r="AQ1011" s="72">
        <f t="shared" si="1199"/>
        <v>30.1</v>
      </c>
      <c r="AR1011" s="73">
        <f t="shared" si="1199"/>
        <v>4.22</v>
      </c>
      <c r="AS1011" s="73">
        <f t="shared" si="1199"/>
        <v>26.04</v>
      </c>
      <c r="AT1011" s="138">
        <f t="shared" si="1199"/>
        <v>0</v>
      </c>
      <c r="AU1011" s="72">
        <f t="shared" si="1199"/>
        <v>26</v>
      </c>
      <c r="AV1011" s="73">
        <f t="shared" si="1199"/>
        <v>0</v>
      </c>
      <c r="AW1011" s="73">
        <f t="shared" si="1199"/>
        <v>14.11</v>
      </c>
      <c r="AX1011" s="138">
        <f t="shared" ref="AX1011" si="1200">AX271+AX619</f>
        <v>0</v>
      </c>
      <c r="AY1011" s="72">
        <f t="shared" si="1191"/>
        <v>75.7</v>
      </c>
      <c r="AZ1011" s="73">
        <f t="shared" si="1191"/>
        <v>0</v>
      </c>
      <c r="BA1011" s="73">
        <f t="shared" si="1191"/>
        <v>45.98</v>
      </c>
      <c r="BB1011" s="138">
        <f t="shared" ref="BB1011" si="1201">BB271+BB619</f>
        <v>0</v>
      </c>
      <c r="BC1011" s="72">
        <f t="shared" si="1193"/>
        <v>45.7</v>
      </c>
      <c r="BD1011" s="73">
        <f t="shared" si="1193"/>
        <v>0</v>
      </c>
      <c r="BE1011" s="73">
        <f t="shared" si="1193"/>
        <v>21.509999999999998</v>
      </c>
      <c r="BF1011" s="138">
        <f t="shared" ref="BF1011" si="1202">BF271+BF619</f>
        <v>0</v>
      </c>
      <c r="BG1011" s="72">
        <f t="shared" si="1195"/>
        <v>59.22</v>
      </c>
      <c r="BH1011" s="73">
        <f t="shared" si="1195"/>
        <v>31.4</v>
      </c>
      <c r="BI1011" s="73">
        <f t="shared" si="1195"/>
        <v>24.763999999999999</v>
      </c>
      <c r="BJ1011" s="138">
        <f>BJ619+BJ271</f>
        <v>32.671072000000002</v>
      </c>
      <c r="BK1011" s="72">
        <f t="shared" si="1196"/>
        <v>129.24</v>
      </c>
      <c r="BL1011" s="73">
        <f t="shared" si="1196"/>
        <v>2.35</v>
      </c>
      <c r="BM1011" s="73">
        <f t="shared" si="1196"/>
        <v>105.59</v>
      </c>
      <c r="BN1011" s="138">
        <f t="shared" ref="BN1011" si="1203">BN271+BN619</f>
        <v>0</v>
      </c>
      <c r="BO1011" s="72">
        <f t="shared" si="1198"/>
        <v>13</v>
      </c>
      <c r="BP1011" s="73">
        <f t="shared" si="1198"/>
        <v>0</v>
      </c>
      <c r="BQ1011" s="73">
        <f t="shared" si="1198"/>
        <v>6.0600000000000005</v>
      </c>
      <c r="BR1011" s="138">
        <f t="shared" si="1198"/>
        <v>0</v>
      </c>
      <c r="BS1011" s="72">
        <f t="shared" si="1198"/>
        <v>10.795</v>
      </c>
      <c r="BT1011" s="73">
        <f t="shared" si="1198"/>
        <v>11.49</v>
      </c>
      <c r="BU1011" s="73">
        <f t="shared" si="1198"/>
        <v>8.1999999999999993</v>
      </c>
      <c r="BV1011" s="74">
        <f t="shared" si="1198"/>
        <v>3.4</v>
      </c>
      <c r="BY1011" s="125">
        <f t="shared" si="1185"/>
        <v>1198.4250000000002</v>
      </c>
      <c r="BZ1011" s="126">
        <f t="shared" si="1186"/>
        <v>519.74</v>
      </c>
      <c r="CA1011" s="126">
        <f t="shared" si="1187"/>
        <v>1476.1939999999995</v>
      </c>
      <c r="CB1011" s="127">
        <f t="shared" si="1187"/>
        <v>387.21607199999994</v>
      </c>
    </row>
    <row r="1012" spans="1:84" ht="14.25" customHeight="1" outlineLevel="4" x14ac:dyDescent="0.25">
      <c r="C1012" s="10" t="s">
        <v>83</v>
      </c>
      <c r="D1012" s="10" t="s">
        <v>84</v>
      </c>
      <c r="E1012" s="10" t="s">
        <v>73</v>
      </c>
      <c r="F1012" s="10" t="s">
        <v>74</v>
      </c>
      <c r="G1012" s="10" t="s">
        <v>349</v>
      </c>
      <c r="H1012" s="10" t="s">
        <v>73</v>
      </c>
      <c r="I1012" s="10" t="s">
        <v>73</v>
      </c>
      <c r="J1012" s="10" t="s">
        <v>73</v>
      </c>
      <c r="K1012" s="12" t="s">
        <v>73</v>
      </c>
      <c r="L1012" s="10" t="s">
        <v>192</v>
      </c>
      <c r="M1012" s="5" t="str">
        <f t="array" ref="M1012">Y818</f>
        <v>1ХВС::1.1</v>
      </c>
      <c r="AB1012" s="65" t="str">
        <f>AB994&amp;".6"</f>
        <v>3.1.1.3.6</v>
      </c>
      <c r="AC1012" s="174" t="s">
        <v>350</v>
      </c>
      <c r="AD1012" s="51" t="s">
        <v>111</v>
      </c>
      <c r="AE1012" s="72"/>
      <c r="AF1012" s="73"/>
      <c r="AG1012" s="73"/>
      <c r="AH1012" s="138">
        <f t="shared" ref="AH1012:AH1017" si="1204">AH272+AH620</f>
        <v>0</v>
      </c>
      <c r="AI1012" s="72"/>
      <c r="AJ1012" s="178"/>
      <c r="AK1012" s="178"/>
      <c r="AL1012" s="181"/>
      <c r="AM1012" s="72"/>
      <c r="AN1012" s="178"/>
      <c r="AO1012" s="178"/>
      <c r="AP1012" s="181"/>
      <c r="AQ1012" s="72"/>
      <c r="AR1012" s="178"/>
      <c r="AS1012" s="178"/>
      <c r="AT1012" s="181"/>
      <c r="AU1012" s="72"/>
      <c r="AV1012" s="178"/>
      <c r="AW1012" s="178"/>
      <c r="AX1012" s="181"/>
      <c r="AY1012" s="72"/>
      <c r="AZ1012" s="178"/>
      <c r="BA1012" s="178"/>
      <c r="BB1012" s="181"/>
      <c r="BC1012" s="72"/>
      <c r="BD1012" s="178"/>
      <c r="BE1012" s="178"/>
      <c r="BF1012" s="181"/>
      <c r="BG1012" s="72"/>
      <c r="BH1012" s="178"/>
      <c r="BI1012" s="178"/>
      <c r="BJ1012" s="181"/>
      <c r="BK1012" s="72"/>
      <c r="BL1012" s="178"/>
      <c r="BM1012" s="178"/>
      <c r="BN1012" s="181"/>
      <c r="BO1012" s="72"/>
      <c r="BP1012" s="178"/>
      <c r="BQ1012" s="178"/>
      <c r="BR1012" s="181"/>
      <c r="BS1012" s="72"/>
      <c r="BT1012" s="178"/>
      <c r="BU1012" s="178"/>
      <c r="BV1012" s="96"/>
      <c r="BY1012" s="125">
        <f t="shared" si="1185"/>
        <v>0</v>
      </c>
      <c r="BZ1012" s="126">
        <f t="shared" si="1186"/>
        <v>0</v>
      </c>
      <c r="CA1012" s="126">
        <f t="shared" si="1187"/>
        <v>0</v>
      </c>
      <c r="CB1012" s="127">
        <f t="shared" si="1187"/>
        <v>0</v>
      </c>
    </row>
    <row r="1013" spans="1:84" ht="24" customHeight="1" outlineLevel="4" x14ac:dyDescent="0.25">
      <c r="C1013" s="10" t="s">
        <v>83</v>
      </c>
      <c r="D1013" s="10" t="s">
        <v>84</v>
      </c>
      <c r="E1013" s="10" t="s">
        <v>73</v>
      </c>
      <c r="F1013" s="10" t="s">
        <v>74</v>
      </c>
      <c r="G1013" s="10" t="s">
        <v>351</v>
      </c>
      <c r="H1013" s="10" t="s">
        <v>73</v>
      </c>
      <c r="I1013" s="10" t="s">
        <v>73</v>
      </c>
      <c r="J1013" s="10" t="s">
        <v>73</v>
      </c>
      <c r="K1013" s="12" t="s">
        <v>73</v>
      </c>
      <c r="L1013" s="10" t="s">
        <v>192</v>
      </c>
      <c r="M1013" s="5" t="str">
        <f t="array" ref="M1013">Y818</f>
        <v>1ХВС::1.1</v>
      </c>
      <c r="AB1013" s="65" t="str">
        <f>AB994&amp;".7"</f>
        <v>3.1.1.3.7</v>
      </c>
      <c r="AC1013" s="174" t="s">
        <v>352</v>
      </c>
      <c r="AD1013" s="51" t="s">
        <v>111</v>
      </c>
      <c r="AE1013" s="72">
        <f t="shared" ref="AE1013:AL1013" si="1205">AE1014+AE1015+AE1020+AE1016+AE1017+AE1018+AE1019</f>
        <v>36337.35</v>
      </c>
      <c r="AF1013" s="73">
        <f t="shared" si="1205"/>
        <v>25366.95</v>
      </c>
      <c r="AG1013" s="73">
        <f t="shared" si="1205"/>
        <v>27842.034</v>
      </c>
      <c r="AH1013" s="138">
        <f t="shared" si="1204"/>
        <v>9999.35</v>
      </c>
      <c r="AI1013" s="72">
        <f t="shared" si="1205"/>
        <v>130.82</v>
      </c>
      <c r="AJ1013" s="73">
        <f t="shared" si="1205"/>
        <v>0</v>
      </c>
      <c r="AK1013" s="73">
        <f t="shared" si="1205"/>
        <v>141.416</v>
      </c>
      <c r="AL1013" s="138">
        <f t="shared" si="1205"/>
        <v>0</v>
      </c>
      <c r="AM1013" s="72">
        <f t="shared" ref="AM1013:AW1013" si="1206">AM1014+AM1015+AM1020+AM1016+AM1017+AM1018+AM1019</f>
        <v>205.07999999999998</v>
      </c>
      <c r="AN1013" s="73">
        <f t="shared" si="1206"/>
        <v>30.240000000000002</v>
      </c>
      <c r="AO1013" s="73">
        <f t="shared" si="1206"/>
        <v>1904.9999999999998</v>
      </c>
      <c r="AP1013" s="138">
        <f t="shared" si="1206"/>
        <v>0</v>
      </c>
      <c r="AQ1013" s="72">
        <f t="shared" si="1206"/>
        <v>203.13400000000001</v>
      </c>
      <c r="AR1013" s="73">
        <f t="shared" si="1206"/>
        <v>321.24</v>
      </c>
      <c r="AS1013" s="73">
        <f t="shared" si="1206"/>
        <v>699.69</v>
      </c>
      <c r="AT1013" s="138">
        <f t="shared" si="1206"/>
        <v>0</v>
      </c>
      <c r="AU1013" s="72">
        <f t="shared" si="1206"/>
        <v>57.819999999999993</v>
      </c>
      <c r="AV1013" s="73">
        <f t="shared" si="1206"/>
        <v>11.09</v>
      </c>
      <c r="AW1013" s="73">
        <f t="shared" si="1206"/>
        <v>290.14</v>
      </c>
      <c r="AX1013" s="138">
        <f t="shared" ref="AX1013" si="1207">AX1014+AX1015+AX1020+AX1016+AX1017+AX1018+AX1019</f>
        <v>0</v>
      </c>
      <c r="AY1013" s="72">
        <f t="shared" ref="AY1013:BI1013" si="1208">AY1014+AY1015+AY1020+AY1016+AY1017+AY1018+AY1019</f>
        <v>247.22900000000001</v>
      </c>
      <c r="AZ1013" s="73">
        <f t="shared" si="1208"/>
        <v>0</v>
      </c>
      <c r="BA1013" s="73">
        <f t="shared" si="1208"/>
        <v>298.09100000000001</v>
      </c>
      <c r="BB1013" s="138">
        <f t="shared" si="1208"/>
        <v>0</v>
      </c>
      <c r="BC1013" s="72">
        <f t="shared" si="1208"/>
        <v>308.053</v>
      </c>
      <c r="BD1013" s="73">
        <f t="shared" si="1208"/>
        <v>0</v>
      </c>
      <c r="BE1013" s="73">
        <f t="shared" si="1208"/>
        <v>489.69999999999993</v>
      </c>
      <c r="BF1013" s="138">
        <f t="shared" si="1208"/>
        <v>0</v>
      </c>
      <c r="BG1013" s="72">
        <f t="shared" si="1208"/>
        <v>642.92500000000007</v>
      </c>
      <c r="BH1013" s="73">
        <f t="shared" si="1208"/>
        <v>465.53</v>
      </c>
      <c r="BI1013" s="73">
        <f t="shared" si="1208"/>
        <v>911.13199999999972</v>
      </c>
      <c r="BJ1013" s="138">
        <f>SUM(BJ1014:BJ1020)</f>
        <v>484.37465440000005</v>
      </c>
      <c r="BK1013" s="72">
        <f>BK1014+BK1015+BK1020+BK1016+BK1017+BK1018+BK1019</f>
        <v>441.52</v>
      </c>
      <c r="BL1013" s="73">
        <f>BL1014+BL1015+BL1020+BL1016+BL1017+BL1018+BL1019</f>
        <v>176.42000000000002</v>
      </c>
      <c r="BM1013" s="73">
        <f>BM1014+BM1015+BM1020+BM1016+BM1017+BM1018+BM1019</f>
        <v>833.94999999999993</v>
      </c>
      <c r="BN1013" s="138">
        <f>BN1014+BN1015+BN1020+BN1016+BN1017+BN1018+BN1019</f>
        <v>0</v>
      </c>
      <c r="BO1013" s="72">
        <f t="shared" ref="BO1013:BV1013" si="1209">BO1014+BO1015+BO1020+BO1016+BO1017+BO1018+BO1019</f>
        <v>27.63</v>
      </c>
      <c r="BP1013" s="73">
        <f t="shared" si="1209"/>
        <v>11.43</v>
      </c>
      <c r="BQ1013" s="73">
        <f t="shared" si="1209"/>
        <v>235.96000000000004</v>
      </c>
      <c r="BR1013" s="138">
        <f t="shared" si="1209"/>
        <v>0</v>
      </c>
      <c r="BS1013" s="72">
        <f t="shared" si="1209"/>
        <v>450.90499999999997</v>
      </c>
      <c r="BT1013" s="73">
        <f t="shared" si="1209"/>
        <v>236.11</v>
      </c>
      <c r="BU1013" s="73">
        <f t="shared" si="1209"/>
        <v>663.48</v>
      </c>
      <c r="BV1013" s="74">
        <f t="shared" si="1209"/>
        <v>2.5499999999999998</v>
      </c>
      <c r="BY1013" s="125">
        <f t="shared" si="1185"/>
        <v>39052.465999999993</v>
      </c>
      <c r="BZ1013" s="126">
        <f t="shared" si="1186"/>
        <v>26619.010000000002</v>
      </c>
      <c r="CA1013" s="126">
        <f t="shared" si="1187"/>
        <v>34310.593000000001</v>
      </c>
      <c r="CB1013" s="127">
        <f t="shared" si="1187"/>
        <v>10486.2746544</v>
      </c>
      <c r="CC1013" s="1023"/>
      <c r="CD1013" s="1029"/>
      <c r="CE1013" s="1048"/>
      <c r="CF1013" s="1024"/>
    </row>
    <row r="1014" spans="1:84" ht="16.5" customHeight="1" outlineLevel="5" x14ac:dyDescent="0.25">
      <c r="C1014" s="10" t="s">
        <v>83</v>
      </c>
      <c r="D1014" s="10" t="s">
        <v>84</v>
      </c>
      <c r="E1014" s="10" t="s">
        <v>73</v>
      </c>
      <c r="F1014" s="10" t="s">
        <v>74</v>
      </c>
      <c r="G1014" s="10" t="s">
        <v>353</v>
      </c>
      <c r="H1014" s="10" t="s">
        <v>73</v>
      </c>
      <c r="I1014" s="10" t="s">
        <v>73</v>
      </c>
      <c r="J1014" s="10" t="s">
        <v>73</v>
      </c>
      <c r="K1014" s="12" t="s">
        <v>73</v>
      </c>
      <c r="L1014" s="10" t="s">
        <v>192</v>
      </c>
      <c r="M1014" s="5" t="str">
        <f t="array" ref="M1014">Y818</f>
        <v>1ХВС::1.1</v>
      </c>
      <c r="AB1014" s="29" t="str">
        <f>AB1013&amp;".1"</f>
        <v>3.1.1.3.7.1</v>
      </c>
      <c r="AC1014" s="177" t="s">
        <v>354</v>
      </c>
      <c r="AD1014" s="51" t="s">
        <v>111</v>
      </c>
      <c r="AE1014" s="72">
        <f t="shared" ref="AE1014:AK1016" si="1210">AE274</f>
        <v>89.17</v>
      </c>
      <c r="AF1014" s="73">
        <f t="shared" si="1210"/>
        <v>645.92999999999995</v>
      </c>
      <c r="AG1014" s="73">
        <f t="shared" si="1210"/>
        <v>694.94</v>
      </c>
      <c r="AH1014" s="138">
        <f t="shared" ref="AH1014" si="1211">AH274</f>
        <v>0</v>
      </c>
      <c r="AI1014" s="72">
        <f t="shared" si="1210"/>
        <v>0</v>
      </c>
      <c r="AJ1014" s="73">
        <f t="shared" si="1210"/>
        <v>0</v>
      </c>
      <c r="AK1014" s="73">
        <f t="shared" si="1210"/>
        <v>0</v>
      </c>
      <c r="AL1014" s="138">
        <f t="shared" ref="AL1014" si="1212">AL274</f>
        <v>0</v>
      </c>
      <c r="AM1014" s="72">
        <f t="shared" ref="AM1014:AW1014" si="1213">AM274</f>
        <v>0</v>
      </c>
      <c r="AN1014" s="73">
        <f t="shared" si="1213"/>
        <v>0</v>
      </c>
      <c r="AO1014" s="73">
        <f t="shared" si="1213"/>
        <v>0</v>
      </c>
      <c r="AP1014" s="138">
        <f t="shared" si="1213"/>
        <v>0</v>
      </c>
      <c r="AQ1014" s="72">
        <f t="shared" si="1213"/>
        <v>0</v>
      </c>
      <c r="AR1014" s="73">
        <f t="shared" si="1213"/>
        <v>0</v>
      </c>
      <c r="AS1014" s="73">
        <f t="shared" si="1213"/>
        <v>0</v>
      </c>
      <c r="AT1014" s="138">
        <f t="shared" si="1213"/>
        <v>0</v>
      </c>
      <c r="AU1014" s="72">
        <f t="shared" si="1213"/>
        <v>0</v>
      </c>
      <c r="AV1014" s="73">
        <f t="shared" si="1213"/>
        <v>0</v>
      </c>
      <c r="AW1014" s="73">
        <f t="shared" si="1213"/>
        <v>0</v>
      </c>
      <c r="AX1014" s="138">
        <f t="shared" ref="AX1014" si="1214">AX274</f>
        <v>0</v>
      </c>
      <c r="AY1014" s="72">
        <f t="shared" ref="AY1014:BA1016" si="1215">AY274</f>
        <v>0</v>
      </c>
      <c r="AZ1014" s="73">
        <f t="shared" si="1215"/>
        <v>0</v>
      </c>
      <c r="BA1014" s="73">
        <f t="shared" si="1215"/>
        <v>0</v>
      </c>
      <c r="BB1014" s="138">
        <f t="shared" ref="BB1014" si="1216">BB274</f>
        <v>0</v>
      </c>
      <c r="BC1014" s="72">
        <f t="shared" ref="BC1014:BE1016" si="1217">BC274</f>
        <v>0</v>
      </c>
      <c r="BD1014" s="73">
        <f t="shared" si="1217"/>
        <v>0</v>
      </c>
      <c r="BE1014" s="73">
        <f t="shared" si="1217"/>
        <v>0</v>
      </c>
      <c r="BF1014" s="138">
        <f t="shared" ref="BF1014" si="1218">BF274</f>
        <v>0</v>
      </c>
      <c r="BG1014" s="72">
        <f t="shared" ref="BG1014:BI1016" si="1219">BG274</f>
        <v>0</v>
      </c>
      <c r="BH1014" s="73">
        <f t="shared" si="1219"/>
        <v>0</v>
      </c>
      <c r="BI1014" s="73">
        <f t="shared" si="1219"/>
        <v>0</v>
      </c>
      <c r="BJ1014" s="138">
        <f t="shared" ref="BJ1014" si="1220">BJ274</f>
        <v>0</v>
      </c>
      <c r="BK1014" s="72">
        <f t="shared" ref="BK1014:BM1016" si="1221">BK274</f>
        <v>0</v>
      </c>
      <c r="BL1014" s="73">
        <f t="shared" si="1221"/>
        <v>0</v>
      </c>
      <c r="BM1014" s="73">
        <f t="shared" si="1221"/>
        <v>0</v>
      </c>
      <c r="BN1014" s="138">
        <f t="shared" ref="BN1014" si="1222">BN274</f>
        <v>0</v>
      </c>
      <c r="BO1014" s="72">
        <f t="shared" ref="BO1014:BV1016" si="1223">BO274</f>
        <v>0</v>
      </c>
      <c r="BP1014" s="73">
        <f t="shared" si="1223"/>
        <v>0</v>
      </c>
      <c r="BQ1014" s="73">
        <f t="shared" si="1223"/>
        <v>0</v>
      </c>
      <c r="BR1014" s="138">
        <f t="shared" si="1223"/>
        <v>0</v>
      </c>
      <c r="BS1014" s="72">
        <f t="shared" si="1223"/>
        <v>0</v>
      </c>
      <c r="BT1014" s="73">
        <f t="shared" si="1223"/>
        <v>0</v>
      </c>
      <c r="BU1014" s="73">
        <f t="shared" si="1223"/>
        <v>0</v>
      </c>
      <c r="BV1014" s="74">
        <f t="shared" si="1223"/>
        <v>0</v>
      </c>
      <c r="BY1014" s="125">
        <f t="shared" si="1185"/>
        <v>89.17</v>
      </c>
      <c r="BZ1014" s="126">
        <f t="shared" si="1186"/>
        <v>645.92999999999995</v>
      </c>
      <c r="CA1014" s="126">
        <f t="shared" si="1187"/>
        <v>694.94</v>
      </c>
      <c r="CB1014" s="127">
        <f t="shared" si="1187"/>
        <v>0</v>
      </c>
    </row>
    <row r="1015" spans="1:84" ht="30" customHeight="1" outlineLevel="5" x14ac:dyDescent="0.25">
      <c r="C1015" s="10" t="s">
        <v>83</v>
      </c>
      <c r="D1015" s="10" t="s">
        <v>84</v>
      </c>
      <c r="E1015" s="10" t="s">
        <v>73</v>
      </c>
      <c r="F1015" s="10" t="s">
        <v>74</v>
      </c>
      <c r="G1015" s="10" t="s">
        <v>355</v>
      </c>
      <c r="H1015" s="10" t="s">
        <v>73</v>
      </c>
      <c r="I1015" s="10" t="s">
        <v>73</v>
      </c>
      <c r="J1015" s="10" t="s">
        <v>73</v>
      </c>
      <c r="K1015" s="12" t="s">
        <v>73</v>
      </c>
      <c r="L1015" s="10" t="s">
        <v>192</v>
      </c>
      <c r="M1015" s="5" t="str">
        <f t="array" ref="M1015">Y818</f>
        <v>1ХВС::1.1</v>
      </c>
      <c r="AB1015" s="29" t="str">
        <f>AB1013&amp;".2"</f>
        <v>3.1.1.3.7.2</v>
      </c>
      <c r="AC1015" s="177" t="s">
        <v>356</v>
      </c>
      <c r="AD1015" s="51" t="s">
        <v>111</v>
      </c>
      <c r="AE1015" s="72">
        <f t="shared" si="1210"/>
        <v>61.27</v>
      </c>
      <c r="AF1015" s="73">
        <f t="shared" si="1210"/>
        <v>1753.77</v>
      </c>
      <c r="AG1015" s="73">
        <f t="shared" si="1210"/>
        <v>1886.82</v>
      </c>
      <c r="AH1015" s="138">
        <f t="shared" ref="AH1015" si="1224">AH275</f>
        <v>0</v>
      </c>
      <c r="AI1015" s="72">
        <f t="shared" si="1210"/>
        <v>0</v>
      </c>
      <c r="AJ1015" s="73">
        <f t="shared" si="1210"/>
        <v>0</v>
      </c>
      <c r="AK1015" s="73">
        <f t="shared" si="1210"/>
        <v>0</v>
      </c>
      <c r="AL1015" s="138">
        <f t="shared" ref="AL1015" si="1225">AL275</f>
        <v>0</v>
      </c>
      <c r="AM1015" s="72">
        <f t="shared" ref="AM1015:AW1015" si="1226">AM275</f>
        <v>0</v>
      </c>
      <c r="AN1015" s="73">
        <f t="shared" si="1226"/>
        <v>0</v>
      </c>
      <c r="AO1015" s="73">
        <f t="shared" si="1226"/>
        <v>0</v>
      </c>
      <c r="AP1015" s="138">
        <f t="shared" si="1226"/>
        <v>0</v>
      </c>
      <c r="AQ1015" s="72">
        <f t="shared" si="1226"/>
        <v>0</v>
      </c>
      <c r="AR1015" s="73">
        <f t="shared" si="1226"/>
        <v>0</v>
      </c>
      <c r="AS1015" s="73">
        <f t="shared" si="1226"/>
        <v>0</v>
      </c>
      <c r="AT1015" s="138">
        <f t="shared" si="1226"/>
        <v>0</v>
      </c>
      <c r="AU1015" s="72">
        <f t="shared" si="1226"/>
        <v>0</v>
      </c>
      <c r="AV1015" s="73">
        <f t="shared" si="1226"/>
        <v>5.57</v>
      </c>
      <c r="AW1015" s="73">
        <f t="shared" si="1226"/>
        <v>0</v>
      </c>
      <c r="AX1015" s="138">
        <f t="shared" ref="AX1015" si="1227">AX275</f>
        <v>0</v>
      </c>
      <c r="AY1015" s="72">
        <f t="shared" si="1215"/>
        <v>0</v>
      </c>
      <c r="AZ1015" s="73">
        <f t="shared" si="1215"/>
        <v>0</v>
      </c>
      <c r="BA1015" s="73">
        <f t="shared" si="1215"/>
        <v>0</v>
      </c>
      <c r="BB1015" s="138">
        <f t="shared" ref="BB1015" si="1228">BB275</f>
        <v>0</v>
      </c>
      <c r="BC1015" s="72">
        <f t="shared" si="1217"/>
        <v>0</v>
      </c>
      <c r="BD1015" s="73">
        <f t="shared" si="1217"/>
        <v>0</v>
      </c>
      <c r="BE1015" s="73">
        <f t="shared" si="1217"/>
        <v>0</v>
      </c>
      <c r="BF1015" s="138">
        <f t="shared" ref="BF1015" si="1229">BF275</f>
        <v>0</v>
      </c>
      <c r="BG1015" s="72">
        <f t="shared" si="1219"/>
        <v>0</v>
      </c>
      <c r="BH1015" s="73">
        <f t="shared" si="1219"/>
        <v>0</v>
      </c>
      <c r="BI1015" s="73">
        <f t="shared" si="1219"/>
        <v>0</v>
      </c>
      <c r="BJ1015" s="138">
        <f t="shared" ref="BJ1015" si="1230">BJ275</f>
        <v>0</v>
      </c>
      <c r="BK1015" s="72">
        <f t="shared" si="1221"/>
        <v>0</v>
      </c>
      <c r="BL1015" s="73">
        <f t="shared" si="1221"/>
        <v>0</v>
      </c>
      <c r="BM1015" s="73">
        <f t="shared" si="1221"/>
        <v>0</v>
      </c>
      <c r="BN1015" s="138">
        <f t="shared" ref="BN1015" si="1231">BN275</f>
        <v>0</v>
      </c>
      <c r="BO1015" s="72">
        <f t="shared" si="1223"/>
        <v>0</v>
      </c>
      <c r="BP1015" s="73">
        <f t="shared" si="1223"/>
        <v>0</v>
      </c>
      <c r="BQ1015" s="73">
        <f t="shared" si="1223"/>
        <v>0</v>
      </c>
      <c r="BR1015" s="138">
        <f t="shared" si="1223"/>
        <v>0</v>
      </c>
      <c r="BS1015" s="72">
        <f t="shared" si="1223"/>
        <v>0</v>
      </c>
      <c r="BT1015" s="73">
        <f t="shared" si="1223"/>
        <v>0</v>
      </c>
      <c r="BU1015" s="73">
        <f t="shared" si="1223"/>
        <v>0</v>
      </c>
      <c r="BV1015" s="74">
        <f t="shared" si="1223"/>
        <v>0</v>
      </c>
      <c r="BY1015" s="125">
        <f t="shared" si="1185"/>
        <v>61.27</v>
      </c>
      <c r="BZ1015" s="126">
        <f t="shared" si="1186"/>
        <v>1759.34</v>
      </c>
      <c r="CA1015" s="126">
        <f t="shared" si="1187"/>
        <v>1886.82</v>
      </c>
      <c r="CB1015" s="127">
        <f t="shared" si="1187"/>
        <v>0</v>
      </c>
      <c r="CD1015" s="1025"/>
    </row>
    <row r="1016" spans="1:84" ht="16.5" customHeight="1" outlineLevel="5" x14ac:dyDescent="0.25">
      <c r="C1016" s="10" t="s">
        <v>83</v>
      </c>
      <c r="D1016" s="10" t="s">
        <v>84</v>
      </c>
      <c r="E1016" s="10" t="s">
        <v>73</v>
      </c>
      <c r="F1016" s="10" t="s">
        <v>74</v>
      </c>
      <c r="G1016" s="10" t="s">
        <v>357</v>
      </c>
      <c r="H1016" s="10" t="s">
        <v>73</v>
      </c>
      <c r="I1016" s="10" t="s">
        <v>73</v>
      </c>
      <c r="J1016" s="10" t="s">
        <v>73</v>
      </c>
      <c r="K1016" s="12" t="s">
        <v>73</v>
      </c>
      <c r="L1016" s="10" t="s">
        <v>192</v>
      </c>
      <c r="M1016" s="5" t="str">
        <f t="array" ref="M1016">Y818</f>
        <v>1ХВС::1.1</v>
      </c>
      <c r="AB1016" s="29" t="str">
        <f>AB1013&amp;".3"</f>
        <v>3.1.1.3.7.3</v>
      </c>
      <c r="AC1016" s="177" t="s">
        <v>358</v>
      </c>
      <c r="AD1016" s="51" t="s">
        <v>111</v>
      </c>
      <c r="AE1016" s="72">
        <f t="shared" si="1210"/>
        <v>0</v>
      </c>
      <c r="AF1016" s="73">
        <f t="shared" si="1210"/>
        <v>123.25</v>
      </c>
      <c r="AG1016" s="73">
        <f t="shared" si="1210"/>
        <v>132.61000000000001</v>
      </c>
      <c r="AH1016" s="138">
        <f t="shared" ref="AH1016" si="1232">AH276</f>
        <v>0</v>
      </c>
      <c r="AI1016" s="72">
        <f t="shared" si="1210"/>
        <v>0</v>
      </c>
      <c r="AJ1016" s="73">
        <f t="shared" si="1210"/>
        <v>0</v>
      </c>
      <c r="AK1016" s="73">
        <f t="shared" si="1210"/>
        <v>0</v>
      </c>
      <c r="AL1016" s="138">
        <f t="shared" ref="AL1016" si="1233">AL276</f>
        <v>0</v>
      </c>
      <c r="AM1016" s="72">
        <f t="shared" ref="AM1016:AW1016" si="1234">AM276</f>
        <v>0</v>
      </c>
      <c r="AN1016" s="73">
        <f t="shared" si="1234"/>
        <v>0</v>
      </c>
      <c r="AO1016" s="73">
        <f t="shared" si="1234"/>
        <v>0</v>
      </c>
      <c r="AP1016" s="138">
        <f t="shared" si="1234"/>
        <v>0</v>
      </c>
      <c r="AQ1016" s="72">
        <f t="shared" si="1234"/>
        <v>0</v>
      </c>
      <c r="AR1016" s="73">
        <f t="shared" si="1234"/>
        <v>0</v>
      </c>
      <c r="AS1016" s="73">
        <f t="shared" si="1234"/>
        <v>0</v>
      </c>
      <c r="AT1016" s="138">
        <f t="shared" si="1234"/>
        <v>0</v>
      </c>
      <c r="AU1016" s="72">
        <f t="shared" si="1234"/>
        <v>0</v>
      </c>
      <c r="AV1016" s="73">
        <f t="shared" si="1234"/>
        <v>0</v>
      </c>
      <c r="AW1016" s="73">
        <f t="shared" si="1234"/>
        <v>0</v>
      </c>
      <c r="AX1016" s="138">
        <f t="shared" ref="AX1016" si="1235">AX276</f>
        <v>0</v>
      </c>
      <c r="AY1016" s="72">
        <f t="shared" si="1215"/>
        <v>0</v>
      </c>
      <c r="AZ1016" s="73">
        <f t="shared" si="1215"/>
        <v>0</v>
      </c>
      <c r="BA1016" s="73">
        <f t="shared" si="1215"/>
        <v>0</v>
      </c>
      <c r="BB1016" s="138">
        <f t="shared" ref="BB1016" si="1236">BB276</f>
        <v>0</v>
      </c>
      <c r="BC1016" s="72">
        <f t="shared" si="1217"/>
        <v>0</v>
      </c>
      <c r="BD1016" s="73">
        <f t="shared" si="1217"/>
        <v>0</v>
      </c>
      <c r="BE1016" s="73">
        <f t="shared" si="1217"/>
        <v>0</v>
      </c>
      <c r="BF1016" s="138">
        <f t="shared" ref="BF1016" si="1237">BF276</f>
        <v>0</v>
      </c>
      <c r="BG1016" s="72">
        <f t="shared" si="1219"/>
        <v>0</v>
      </c>
      <c r="BH1016" s="73">
        <f t="shared" si="1219"/>
        <v>0</v>
      </c>
      <c r="BI1016" s="73">
        <f t="shared" si="1219"/>
        <v>0</v>
      </c>
      <c r="BJ1016" s="138">
        <f t="shared" ref="BJ1016" si="1238">BJ276</f>
        <v>0</v>
      </c>
      <c r="BK1016" s="72">
        <f t="shared" si="1221"/>
        <v>0</v>
      </c>
      <c r="BL1016" s="73">
        <f t="shared" si="1221"/>
        <v>0</v>
      </c>
      <c r="BM1016" s="73">
        <f t="shared" si="1221"/>
        <v>0</v>
      </c>
      <c r="BN1016" s="138">
        <f t="shared" ref="BN1016" si="1239">BN276</f>
        <v>0</v>
      </c>
      <c r="BO1016" s="72">
        <f t="shared" si="1223"/>
        <v>0</v>
      </c>
      <c r="BP1016" s="73">
        <f t="shared" si="1223"/>
        <v>0</v>
      </c>
      <c r="BQ1016" s="73">
        <f t="shared" si="1223"/>
        <v>0</v>
      </c>
      <c r="BR1016" s="138">
        <f t="shared" si="1223"/>
        <v>0</v>
      </c>
      <c r="BS1016" s="72">
        <f t="shared" si="1223"/>
        <v>0</v>
      </c>
      <c r="BT1016" s="73">
        <f t="shared" si="1223"/>
        <v>0</v>
      </c>
      <c r="BU1016" s="73">
        <f t="shared" si="1223"/>
        <v>0</v>
      </c>
      <c r="BV1016" s="74">
        <f t="shared" si="1223"/>
        <v>0</v>
      </c>
      <c r="BY1016" s="125">
        <f t="shared" si="1185"/>
        <v>0</v>
      </c>
      <c r="BZ1016" s="126">
        <f t="shared" si="1186"/>
        <v>123.25</v>
      </c>
      <c r="CA1016" s="126">
        <f t="shared" si="1187"/>
        <v>132.61000000000001</v>
      </c>
      <c r="CB1016" s="127">
        <f t="shared" si="1187"/>
        <v>0</v>
      </c>
    </row>
    <row r="1017" spans="1:84" ht="14.25" hidden="1" customHeight="1" outlineLevel="5" x14ac:dyDescent="0.25">
      <c r="C1017" s="10" t="s">
        <v>83</v>
      </c>
      <c r="D1017" s="10" t="s">
        <v>84</v>
      </c>
      <c r="E1017" s="10" t="s">
        <v>73</v>
      </c>
      <c r="F1017" s="10" t="s">
        <v>74</v>
      </c>
      <c r="G1017" s="10" t="s">
        <v>359</v>
      </c>
      <c r="H1017" s="10" t="s">
        <v>73</v>
      </c>
      <c r="I1017" s="10" t="s">
        <v>73</v>
      </c>
      <c r="J1017" s="10" t="s">
        <v>73</v>
      </c>
      <c r="K1017" s="12" t="s">
        <v>73</v>
      </c>
      <c r="L1017" s="10" t="s">
        <v>192</v>
      </c>
      <c r="M1017" s="5" t="str">
        <f t="array" ref="M1017">Y818</f>
        <v>1ХВС::1.1</v>
      </c>
      <c r="AB1017" s="65" t="str">
        <f>AB1013&amp;".4"</f>
        <v>3.1.1.3.7.4</v>
      </c>
      <c r="AC1017" s="177" t="s">
        <v>360</v>
      </c>
      <c r="AD1017" s="51" t="s">
        <v>111</v>
      </c>
      <c r="AE1017" s="72"/>
      <c r="AF1017" s="73"/>
      <c r="AG1017" s="73"/>
      <c r="AH1017" s="138">
        <f t="shared" si="1204"/>
        <v>0</v>
      </c>
      <c r="AI1017" s="72"/>
      <c r="AJ1017" s="178"/>
      <c r="AK1017" s="178"/>
      <c r="AL1017" s="181"/>
      <c r="AM1017" s="72"/>
      <c r="AN1017" s="178"/>
      <c r="AO1017" s="178"/>
      <c r="AP1017" s="181"/>
      <c r="AQ1017" s="72"/>
      <c r="AR1017" s="178"/>
      <c r="AS1017" s="178"/>
      <c r="AT1017" s="181"/>
      <c r="AU1017" s="72"/>
      <c r="AV1017" s="178"/>
      <c r="AW1017" s="178"/>
      <c r="AX1017" s="181"/>
      <c r="AY1017" s="72"/>
      <c r="AZ1017" s="178"/>
      <c r="BA1017" s="178"/>
      <c r="BB1017" s="181"/>
      <c r="BC1017" s="72"/>
      <c r="BD1017" s="178"/>
      <c r="BE1017" s="178"/>
      <c r="BF1017" s="181"/>
      <c r="BG1017" s="72"/>
      <c r="BH1017" s="178"/>
      <c r="BI1017" s="178"/>
      <c r="BJ1017" s="181"/>
      <c r="BK1017" s="72"/>
      <c r="BL1017" s="178"/>
      <c r="BM1017" s="178"/>
      <c r="BN1017" s="181"/>
      <c r="BO1017" s="72"/>
      <c r="BP1017" s="178"/>
      <c r="BQ1017" s="178"/>
      <c r="BR1017" s="181"/>
      <c r="BS1017" s="72"/>
      <c r="BT1017" s="178"/>
      <c r="BU1017" s="178"/>
      <c r="BV1017" s="96"/>
      <c r="BY1017" s="125">
        <f t="shared" si="1185"/>
        <v>0</v>
      </c>
      <c r="BZ1017" s="126">
        <f t="shared" si="1186"/>
        <v>0</v>
      </c>
      <c r="CA1017" s="126">
        <f t="shared" si="1187"/>
        <v>0</v>
      </c>
      <c r="CB1017" s="127">
        <f t="shared" si="1187"/>
        <v>0</v>
      </c>
    </row>
    <row r="1018" spans="1:84" ht="14.25" hidden="1" customHeight="1" outlineLevel="5" x14ac:dyDescent="0.25">
      <c r="C1018" s="10" t="s">
        <v>83</v>
      </c>
      <c r="D1018" s="10" t="s">
        <v>84</v>
      </c>
      <c r="E1018" s="10" t="s">
        <v>73</v>
      </c>
      <c r="F1018" s="10" t="s">
        <v>74</v>
      </c>
      <c r="G1018" s="10" t="s">
        <v>361</v>
      </c>
      <c r="H1018" s="10" t="s">
        <v>73</v>
      </c>
      <c r="I1018" s="10" t="s">
        <v>73</v>
      </c>
      <c r="J1018" s="10" t="s">
        <v>73</v>
      </c>
      <c r="K1018" s="12" t="s">
        <v>73</v>
      </c>
      <c r="L1018" s="10" t="s">
        <v>192</v>
      </c>
      <c r="M1018" s="5" t="str">
        <f t="array" ref="M1018">Y818</f>
        <v>1ХВС::1.1</v>
      </c>
      <c r="AB1018" s="65" t="str">
        <f>AB1013&amp;".5"</f>
        <v>3.1.1.3.7.5</v>
      </c>
      <c r="AC1018" s="177" t="s">
        <v>362</v>
      </c>
      <c r="AD1018" s="51" t="s">
        <v>111</v>
      </c>
      <c r="AE1018" s="72"/>
      <c r="AF1018" s="73"/>
      <c r="AG1018" s="73"/>
      <c r="AH1018" s="138"/>
      <c r="AI1018" s="72"/>
      <c r="AJ1018" s="178"/>
      <c r="AK1018" s="178"/>
      <c r="AL1018" s="181"/>
      <c r="AM1018" s="72"/>
      <c r="AN1018" s="178"/>
      <c r="AO1018" s="178"/>
      <c r="AP1018" s="181"/>
      <c r="AQ1018" s="72"/>
      <c r="AR1018" s="178"/>
      <c r="AS1018" s="178"/>
      <c r="AT1018" s="181"/>
      <c r="AU1018" s="72"/>
      <c r="AV1018" s="178"/>
      <c r="AW1018" s="178"/>
      <c r="AX1018" s="181"/>
      <c r="AY1018" s="72"/>
      <c r="AZ1018" s="178"/>
      <c r="BA1018" s="178"/>
      <c r="BB1018" s="181"/>
      <c r="BC1018" s="72"/>
      <c r="BD1018" s="178"/>
      <c r="BE1018" s="178"/>
      <c r="BF1018" s="181"/>
      <c r="BG1018" s="72"/>
      <c r="BH1018" s="178"/>
      <c r="BI1018" s="178"/>
      <c r="BJ1018" s="181"/>
      <c r="BK1018" s="72"/>
      <c r="BL1018" s="178"/>
      <c r="BM1018" s="178"/>
      <c r="BN1018" s="181"/>
      <c r="BO1018" s="72"/>
      <c r="BP1018" s="178"/>
      <c r="BQ1018" s="178"/>
      <c r="BR1018" s="181"/>
      <c r="BS1018" s="72"/>
      <c r="BT1018" s="178"/>
      <c r="BU1018" s="178"/>
      <c r="BV1018" s="96"/>
      <c r="BY1018" s="125">
        <f t="shared" si="1185"/>
        <v>0</v>
      </c>
      <c r="BZ1018" s="126">
        <f t="shared" si="1186"/>
        <v>0</v>
      </c>
      <c r="CA1018" s="126">
        <f t="shared" si="1187"/>
        <v>0</v>
      </c>
      <c r="CB1018" s="127">
        <f t="shared" si="1187"/>
        <v>0</v>
      </c>
    </row>
    <row r="1019" spans="1:84" ht="14.25" hidden="1" customHeight="1" outlineLevel="5" x14ac:dyDescent="0.25">
      <c r="C1019" s="10" t="s">
        <v>83</v>
      </c>
      <c r="D1019" s="10" t="s">
        <v>84</v>
      </c>
      <c r="E1019" s="10" t="s">
        <v>73</v>
      </c>
      <c r="F1019" s="10" t="s">
        <v>74</v>
      </c>
      <c r="G1019" s="10" t="s">
        <v>363</v>
      </c>
      <c r="H1019" s="10" t="s">
        <v>73</v>
      </c>
      <c r="I1019" s="10" t="s">
        <v>73</v>
      </c>
      <c r="J1019" s="10" t="s">
        <v>73</v>
      </c>
      <c r="K1019" s="12" t="s">
        <v>73</v>
      </c>
      <c r="L1019" s="10" t="s">
        <v>192</v>
      </c>
      <c r="M1019" s="5" t="str">
        <f t="array" ref="M1019">Y818</f>
        <v>1ХВС::1.1</v>
      </c>
      <c r="AB1019" s="65" t="str">
        <f>AB1013&amp;".6"</f>
        <v>3.1.1.3.7.6</v>
      </c>
      <c r="AC1019" s="177" t="s">
        <v>364</v>
      </c>
      <c r="AD1019" s="51" t="s">
        <v>111</v>
      </c>
      <c r="AE1019" s="72"/>
      <c r="AF1019" s="73"/>
      <c r="AG1019" s="73"/>
      <c r="AH1019" s="138"/>
      <c r="AI1019" s="72"/>
      <c r="AJ1019" s="178"/>
      <c r="AK1019" s="178"/>
      <c r="AL1019" s="181"/>
      <c r="AM1019" s="72"/>
      <c r="AN1019" s="178"/>
      <c r="AO1019" s="178"/>
      <c r="AP1019" s="181"/>
      <c r="AQ1019" s="72"/>
      <c r="AR1019" s="178"/>
      <c r="AS1019" s="178"/>
      <c r="AT1019" s="181"/>
      <c r="AU1019" s="72"/>
      <c r="AV1019" s="178"/>
      <c r="AW1019" s="178"/>
      <c r="AX1019" s="181"/>
      <c r="AY1019" s="72"/>
      <c r="AZ1019" s="178"/>
      <c r="BA1019" s="178"/>
      <c r="BB1019" s="181"/>
      <c r="BC1019" s="72"/>
      <c r="BD1019" s="178"/>
      <c r="BE1019" s="178"/>
      <c r="BF1019" s="181"/>
      <c r="BG1019" s="72"/>
      <c r="BH1019" s="178"/>
      <c r="BI1019" s="178"/>
      <c r="BJ1019" s="181"/>
      <c r="BK1019" s="72"/>
      <c r="BL1019" s="178"/>
      <c r="BM1019" s="178"/>
      <c r="BN1019" s="181"/>
      <c r="BO1019" s="72"/>
      <c r="BP1019" s="178"/>
      <c r="BQ1019" s="178"/>
      <c r="BR1019" s="181"/>
      <c r="BS1019" s="72"/>
      <c r="BT1019" s="178"/>
      <c r="BU1019" s="178"/>
      <c r="BV1019" s="96"/>
      <c r="BY1019" s="125">
        <f t="shared" si="1185"/>
        <v>0</v>
      </c>
      <c r="BZ1019" s="126">
        <f t="shared" si="1186"/>
        <v>0</v>
      </c>
      <c r="CA1019" s="126">
        <f t="shared" si="1187"/>
        <v>0</v>
      </c>
      <c r="CB1019" s="127">
        <f t="shared" si="1187"/>
        <v>0</v>
      </c>
    </row>
    <row r="1020" spans="1:84" s="214" customFormat="1" ht="17.45" customHeight="1" outlineLevel="5" x14ac:dyDescent="0.25">
      <c r="A1020" s="5"/>
      <c r="B1020" s="5"/>
      <c r="C1020" s="10" t="s">
        <v>83</v>
      </c>
      <c r="D1020" s="10" t="s">
        <v>84</v>
      </c>
      <c r="E1020" s="10" t="s">
        <v>73</v>
      </c>
      <c r="F1020" s="10" t="s">
        <v>74</v>
      </c>
      <c r="G1020" s="10" t="s">
        <v>365</v>
      </c>
      <c r="H1020" s="10" t="s">
        <v>73</v>
      </c>
      <c r="I1020" s="10" t="s">
        <v>73</v>
      </c>
      <c r="J1020" s="10" t="s">
        <v>73</v>
      </c>
      <c r="K1020" s="12" t="s">
        <v>73</v>
      </c>
      <c r="L1020" s="10" t="s">
        <v>192</v>
      </c>
      <c r="M1020" s="5" t="str">
        <f t="array" ref="M1020">Y818</f>
        <v>1ХВС::1.1</v>
      </c>
      <c r="N1020" s="5"/>
      <c r="O1020" s="5"/>
      <c r="P1020" s="5"/>
      <c r="Q1020" s="5"/>
      <c r="R1020" s="5"/>
      <c r="S1020" s="5"/>
      <c r="T1020" s="5"/>
      <c r="U1020" s="5"/>
      <c r="V1020" s="5"/>
      <c r="W1020" s="5"/>
      <c r="X1020" s="5"/>
      <c r="Y1020" s="5"/>
      <c r="Z1020" s="5"/>
      <c r="AA1020" s="5"/>
      <c r="AB1020" s="65" t="str">
        <f>AB1013&amp;".7"</f>
        <v>3.1.1.3.7.7</v>
      </c>
      <c r="AC1020" s="177" t="s">
        <v>366</v>
      </c>
      <c r="AD1020" s="51" t="s">
        <v>111</v>
      </c>
      <c r="AE1020" s="72">
        <f t="shared" ref="AE1020:AL1020" si="1240">SUM(AE1021:AE1043)</f>
        <v>36186.909999999996</v>
      </c>
      <c r="AF1020" s="73">
        <f t="shared" si="1240"/>
        <v>22844</v>
      </c>
      <c r="AG1020" s="73">
        <f t="shared" si="1240"/>
        <v>25127.663999999997</v>
      </c>
      <c r="AH1020" s="138">
        <f t="shared" si="1240"/>
        <v>9999.36</v>
      </c>
      <c r="AI1020" s="72">
        <f t="shared" si="1240"/>
        <v>130.82</v>
      </c>
      <c r="AJ1020" s="73">
        <f t="shared" si="1240"/>
        <v>0</v>
      </c>
      <c r="AK1020" s="73">
        <f t="shared" si="1240"/>
        <v>141.416</v>
      </c>
      <c r="AL1020" s="138">
        <f t="shared" si="1240"/>
        <v>0</v>
      </c>
      <c r="AM1020" s="72">
        <f t="shared" ref="AM1020:AW1020" si="1241">SUM(AM1021:AM1043)</f>
        <v>205.07999999999998</v>
      </c>
      <c r="AN1020" s="73">
        <f t="shared" si="1241"/>
        <v>30.240000000000002</v>
      </c>
      <c r="AO1020" s="73">
        <f t="shared" si="1241"/>
        <v>1904.9999999999998</v>
      </c>
      <c r="AP1020" s="138">
        <f t="shared" si="1241"/>
        <v>0</v>
      </c>
      <c r="AQ1020" s="72">
        <f t="shared" si="1241"/>
        <v>203.13400000000001</v>
      </c>
      <c r="AR1020" s="73">
        <f t="shared" si="1241"/>
        <v>321.24</v>
      </c>
      <c r="AS1020" s="73">
        <f t="shared" si="1241"/>
        <v>699.69</v>
      </c>
      <c r="AT1020" s="138">
        <f t="shared" si="1241"/>
        <v>0</v>
      </c>
      <c r="AU1020" s="72">
        <f t="shared" si="1241"/>
        <v>57.819999999999993</v>
      </c>
      <c r="AV1020" s="73">
        <f t="shared" si="1241"/>
        <v>5.52</v>
      </c>
      <c r="AW1020" s="73">
        <f t="shared" si="1241"/>
        <v>290.14</v>
      </c>
      <c r="AX1020" s="138">
        <f t="shared" ref="AX1020" si="1242">SUM(AX1021:AX1043)</f>
        <v>0</v>
      </c>
      <c r="AY1020" s="72">
        <f t="shared" ref="AY1020:BF1020" si="1243">SUM(AY1021:AY1043)</f>
        <v>247.22900000000001</v>
      </c>
      <c r="AZ1020" s="73">
        <f t="shared" si="1243"/>
        <v>0</v>
      </c>
      <c r="BA1020" s="73">
        <f t="shared" si="1243"/>
        <v>298.09100000000001</v>
      </c>
      <c r="BB1020" s="138">
        <f t="shared" si="1243"/>
        <v>0</v>
      </c>
      <c r="BC1020" s="72">
        <f t="shared" si="1243"/>
        <v>308.053</v>
      </c>
      <c r="BD1020" s="73">
        <f t="shared" si="1243"/>
        <v>0</v>
      </c>
      <c r="BE1020" s="73">
        <f t="shared" si="1243"/>
        <v>489.69999999999993</v>
      </c>
      <c r="BF1020" s="138">
        <f t="shared" si="1243"/>
        <v>0</v>
      </c>
      <c r="BG1020" s="72">
        <f t="shared" ref="BG1020:BM1020" si="1244">SUM(BG1021:BG1043)</f>
        <v>642.92500000000007</v>
      </c>
      <c r="BH1020" s="73">
        <f t="shared" si="1244"/>
        <v>465.53</v>
      </c>
      <c r="BI1020" s="73">
        <f t="shared" si="1244"/>
        <v>911.13199999999972</v>
      </c>
      <c r="BJ1020" s="138">
        <f t="shared" si="1244"/>
        <v>484.37465440000005</v>
      </c>
      <c r="BK1020" s="72">
        <f t="shared" si="1244"/>
        <v>441.52</v>
      </c>
      <c r="BL1020" s="73">
        <f t="shared" si="1244"/>
        <v>176.42000000000002</v>
      </c>
      <c r="BM1020" s="73">
        <f t="shared" si="1244"/>
        <v>833.94999999999993</v>
      </c>
      <c r="BN1020" s="138">
        <f t="shared" ref="BN1020" si="1245">SUM(BN1021:BN1043)</f>
        <v>0</v>
      </c>
      <c r="BO1020" s="72">
        <f t="shared" ref="BO1020:BV1020" si="1246">SUM(BO1021:BO1043)</f>
        <v>27.63</v>
      </c>
      <c r="BP1020" s="73">
        <f t="shared" si="1246"/>
        <v>11.43</v>
      </c>
      <c r="BQ1020" s="73">
        <f t="shared" si="1246"/>
        <v>235.96000000000004</v>
      </c>
      <c r="BR1020" s="138">
        <f t="shared" si="1246"/>
        <v>0</v>
      </c>
      <c r="BS1020" s="72">
        <f t="shared" si="1246"/>
        <v>450.90499999999997</v>
      </c>
      <c r="BT1020" s="73">
        <f t="shared" si="1246"/>
        <v>236.11</v>
      </c>
      <c r="BU1020" s="73">
        <f t="shared" si="1246"/>
        <v>663.48</v>
      </c>
      <c r="BV1020" s="74">
        <f t="shared" si="1246"/>
        <v>2.5499999999999998</v>
      </c>
      <c r="BW1020" s="6"/>
      <c r="BX1020" s="5"/>
      <c r="BY1020" s="125">
        <f t="shared" si="1185"/>
        <v>38902.025999999991</v>
      </c>
      <c r="BZ1020" s="126">
        <f t="shared" si="1186"/>
        <v>24090.49</v>
      </c>
      <c r="CA1020" s="126">
        <f t="shared" si="1187"/>
        <v>31596.222999999998</v>
      </c>
      <c r="CB1020" s="127">
        <f t="shared" si="1187"/>
        <v>10486.2846544</v>
      </c>
      <c r="CC1020" s="739"/>
    </row>
    <row r="1021" spans="1:84" s="230" customFormat="1" ht="43.9" customHeight="1" outlineLevel="6" x14ac:dyDescent="0.25">
      <c r="A1021" s="215"/>
      <c r="B1021" s="215"/>
      <c r="C1021" s="216"/>
      <c r="D1021" s="216"/>
      <c r="E1021" s="216"/>
      <c r="F1021" s="216"/>
      <c r="G1021" s="216"/>
      <c r="H1021" s="216"/>
      <c r="I1021" s="216"/>
      <c r="J1021" s="216"/>
      <c r="K1021" s="217"/>
      <c r="L1021" s="216"/>
      <c r="M1021" s="215"/>
      <c r="N1021" s="215"/>
      <c r="O1021" s="215"/>
      <c r="P1021" s="215"/>
      <c r="Q1021" s="215"/>
      <c r="R1021" s="215"/>
      <c r="S1021" s="215"/>
      <c r="T1021" s="215"/>
      <c r="U1021" s="215"/>
      <c r="V1021" s="215"/>
      <c r="W1021" s="215"/>
      <c r="X1021" s="215"/>
      <c r="Y1021" s="215"/>
      <c r="Z1021" s="215"/>
      <c r="AA1021" s="215"/>
      <c r="AB1021" s="218"/>
      <c r="AC1021" s="219" t="s">
        <v>367</v>
      </c>
      <c r="AD1021" s="259" t="s">
        <v>111</v>
      </c>
      <c r="AE1021" s="935">
        <f t="shared" ref="AE1021:AK1021" si="1247">AE632+AE281</f>
        <v>2398.85</v>
      </c>
      <c r="AF1021" s="659">
        <f t="shared" si="1247"/>
        <v>2300</v>
      </c>
      <c r="AG1021" s="659">
        <f t="shared" si="1247"/>
        <v>1025.2</v>
      </c>
      <c r="AH1021" s="482">
        <f t="shared" si="1247"/>
        <v>2300</v>
      </c>
      <c r="AI1021" s="935">
        <f t="shared" si="1247"/>
        <v>0</v>
      </c>
      <c r="AJ1021" s="659">
        <f t="shared" si="1247"/>
        <v>0</v>
      </c>
      <c r="AK1021" s="659">
        <f t="shared" si="1247"/>
        <v>0</v>
      </c>
      <c r="AL1021" s="482">
        <f t="shared" ref="AL1021" si="1248">AL632+AL281</f>
        <v>0</v>
      </c>
      <c r="AM1021" s="935">
        <f t="shared" ref="AM1021:AW1021" si="1249">AM632+AM281</f>
        <v>0</v>
      </c>
      <c r="AN1021" s="659">
        <f t="shared" si="1249"/>
        <v>0</v>
      </c>
      <c r="AO1021" s="659">
        <f t="shared" si="1249"/>
        <v>551.27</v>
      </c>
      <c r="AP1021" s="482">
        <f t="shared" si="1249"/>
        <v>0</v>
      </c>
      <c r="AQ1021" s="935">
        <f t="shared" si="1249"/>
        <v>0</v>
      </c>
      <c r="AR1021" s="659">
        <f t="shared" si="1249"/>
        <v>31.87</v>
      </c>
      <c r="AS1021" s="659">
        <f t="shared" si="1249"/>
        <v>275.64</v>
      </c>
      <c r="AT1021" s="482">
        <f t="shared" si="1249"/>
        <v>0</v>
      </c>
      <c r="AU1021" s="935">
        <f t="shared" si="1249"/>
        <v>18.98</v>
      </c>
      <c r="AV1021" s="659">
        <f t="shared" si="1249"/>
        <v>0</v>
      </c>
      <c r="AW1021" s="659">
        <f t="shared" si="1249"/>
        <v>118.55000000000001</v>
      </c>
      <c r="AX1021" s="482">
        <f t="shared" ref="AX1021" si="1250">AX632+AX281</f>
        <v>0</v>
      </c>
      <c r="AY1021" s="935">
        <f t="shared" ref="AY1021:BI1021" si="1251">AY632+AY281</f>
        <v>0</v>
      </c>
      <c r="AZ1021" s="659">
        <f t="shared" si="1251"/>
        <v>0</v>
      </c>
      <c r="BA1021" s="659">
        <f t="shared" si="1251"/>
        <v>0</v>
      </c>
      <c r="BB1021" s="482">
        <f t="shared" si="1251"/>
        <v>0</v>
      </c>
      <c r="BC1021" s="935">
        <f t="shared" si="1251"/>
        <v>95.625</v>
      </c>
      <c r="BD1021" s="659">
        <f t="shared" si="1251"/>
        <v>0</v>
      </c>
      <c r="BE1021" s="659">
        <f t="shared" si="1251"/>
        <v>258.84799999999996</v>
      </c>
      <c r="BF1021" s="482">
        <f t="shared" si="1251"/>
        <v>0</v>
      </c>
      <c r="BG1021" s="935">
        <f t="shared" si="1251"/>
        <v>284.19400000000002</v>
      </c>
      <c r="BH1021" s="659">
        <f t="shared" si="1251"/>
        <v>254.68</v>
      </c>
      <c r="BI1021" s="659">
        <f t="shared" si="1251"/>
        <v>293.78099999999995</v>
      </c>
      <c r="BJ1021" s="482">
        <f>BJ632</f>
        <v>264.98944640000002</v>
      </c>
      <c r="BK1021" s="935">
        <f>BK632+BK281</f>
        <v>30.18</v>
      </c>
      <c r="BL1021" s="659">
        <f>BL632+BL281</f>
        <v>30</v>
      </c>
      <c r="BM1021" s="659">
        <f>BM632+BM281</f>
        <v>70.14</v>
      </c>
      <c r="BN1021" s="482">
        <f>BN632+BN281</f>
        <v>0</v>
      </c>
      <c r="BO1021" s="935">
        <f t="shared" ref="BO1021:BV1021" si="1252">BO632+BO281</f>
        <v>0</v>
      </c>
      <c r="BP1021" s="659">
        <f t="shared" si="1252"/>
        <v>0</v>
      </c>
      <c r="BQ1021" s="659">
        <f t="shared" si="1252"/>
        <v>166.78</v>
      </c>
      <c r="BR1021" s="482">
        <f t="shared" si="1252"/>
        <v>0</v>
      </c>
      <c r="BS1021" s="935">
        <f t="shared" si="1252"/>
        <v>193.88</v>
      </c>
      <c r="BT1021" s="659">
        <f t="shared" si="1252"/>
        <v>80</v>
      </c>
      <c r="BU1021" s="659">
        <f t="shared" si="1252"/>
        <v>201.32</v>
      </c>
      <c r="BV1021" s="936">
        <f t="shared" si="1252"/>
        <v>0</v>
      </c>
      <c r="BW1021" s="229"/>
      <c r="BX1021" s="215"/>
      <c r="BY1021" s="125">
        <f t="shared" si="1185"/>
        <v>3021.7089999999998</v>
      </c>
      <c r="BZ1021" s="126">
        <f t="shared" si="1186"/>
        <v>2696.5499999999997</v>
      </c>
      <c r="CA1021" s="126">
        <f t="shared" si="1187"/>
        <v>2961.529</v>
      </c>
      <c r="CB1021" s="127">
        <f t="shared" si="1187"/>
        <v>2564.9894463999999</v>
      </c>
      <c r="CC1021" s="768"/>
    </row>
    <row r="1022" spans="1:84" s="230" customFormat="1" ht="15.75" customHeight="1" outlineLevel="6" x14ac:dyDescent="0.25">
      <c r="A1022" s="215"/>
      <c r="B1022" s="215"/>
      <c r="C1022" s="216"/>
      <c r="D1022" s="216"/>
      <c r="E1022" s="216"/>
      <c r="F1022" s="216"/>
      <c r="G1022" s="216"/>
      <c r="H1022" s="216"/>
      <c r="I1022" s="216"/>
      <c r="J1022" s="216"/>
      <c r="K1022" s="217"/>
      <c r="L1022" s="216"/>
      <c r="M1022" s="215"/>
      <c r="N1022" s="215"/>
      <c r="O1022" s="215"/>
      <c r="P1022" s="215"/>
      <c r="Q1022" s="215"/>
      <c r="R1022" s="215"/>
      <c r="S1022" s="215"/>
      <c r="T1022" s="215"/>
      <c r="U1022" s="215"/>
      <c r="V1022" s="215"/>
      <c r="W1022" s="215"/>
      <c r="X1022" s="215"/>
      <c r="Y1022" s="215"/>
      <c r="Z1022" s="215"/>
      <c r="AA1022" s="215"/>
      <c r="AB1022" s="218"/>
      <c r="AC1022" s="219" t="s">
        <v>368</v>
      </c>
      <c r="AD1022" s="259" t="s">
        <v>111</v>
      </c>
      <c r="AE1022" s="935">
        <f t="shared" ref="AE1022:AK1022" si="1253">AE282+AE630</f>
        <v>4338.4399999999996</v>
      </c>
      <c r="AF1022" s="659">
        <f t="shared" si="1253"/>
        <v>3041.17</v>
      </c>
      <c r="AG1022" s="659">
        <f t="shared" si="1253"/>
        <v>3135.15</v>
      </c>
      <c r="AH1022" s="482">
        <f t="shared" si="1253"/>
        <v>2872.9300000000003</v>
      </c>
      <c r="AI1022" s="935">
        <f t="shared" si="1253"/>
        <v>2.42</v>
      </c>
      <c r="AJ1022" s="659">
        <f t="shared" si="1253"/>
        <v>0</v>
      </c>
      <c r="AK1022" s="659">
        <f t="shared" si="1253"/>
        <v>2.65</v>
      </c>
      <c r="AL1022" s="482">
        <f t="shared" ref="AL1022" si="1254">AL282+AL630</f>
        <v>0</v>
      </c>
      <c r="AM1022" s="935">
        <f t="shared" ref="AM1022:AW1022" si="1255">AM282+AM630</f>
        <v>26.11</v>
      </c>
      <c r="AN1022" s="659">
        <f t="shared" si="1255"/>
        <v>0</v>
      </c>
      <c r="AO1022" s="659">
        <f t="shared" si="1255"/>
        <v>239.91</v>
      </c>
      <c r="AP1022" s="482">
        <f t="shared" si="1255"/>
        <v>0</v>
      </c>
      <c r="AQ1022" s="935">
        <f t="shared" si="1255"/>
        <v>6.9740000000000002</v>
      </c>
      <c r="AR1022" s="659">
        <f t="shared" si="1255"/>
        <v>33.86</v>
      </c>
      <c r="AS1022" s="659">
        <f t="shared" si="1255"/>
        <v>126.12</v>
      </c>
      <c r="AT1022" s="482">
        <f t="shared" si="1255"/>
        <v>0</v>
      </c>
      <c r="AU1022" s="935">
        <f t="shared" si="1255"/>
        <v>1.59</v>
      </c>
      <c r="AV1022" s="659">
        <f t="shared" si="1255"/>
        <v>0</v>
      </c>
      <c r="AW1022" s="659">
        <f t="shared" si="1255"/>
        <v>33.76</v>
      </c>
      <c r="AX1022" s="482">
        <f t="shared" ref="AX1022" si="1256">AX282+AX630</f>
        <v>0</v>
      </c>
      <c r="AY1022" s="935">
        <f t="shared" ref="AY1022:BI1022" si="1257">AY282+AY630</f>
        <v>10.189</v>
      </c>
      <c r="AZ1022" s="659">
        <f t="shared" si="1257"/>
        <v>0</v>
      </c>
      <c r="BA1022" s="659">
        <f t="shared" si="1257"/>
        <v>87.39</v>
      </c>
      <c r="BB1022" s="482">
        <f t="shared" si="1257"/>
        <v>0</v>
      </c>
      <c r="BC1022" s="935">
        <f t="shared" si="1257"/>
        <v>52.881</v>
      </c>
      <c r="BD1022" s="659">
        <f t="shared" si="1257"/>
        <v>0</v>
      </c>
      <c r="BE1022" s="659">
        <f t="shared" si="1257"/>
        <v>55.508000000000003</v>
      </c>
      <c r="BF1022" s="482">
        <f t="shared" si="1257"/>
        <v>0</v>
      </c>
      <c r="BG1022" s="935">
        <f t="shared" si="1257"/>
        <v>135.82900000000001</v>
      </c>
      <c r="BH1022" s="659">
        <f t="shared" si="1257"/>
        <v>0</v>
      </c>
      <c r="BI1022" s="659">
        <f t="shared" si="1257"/>
        <v>273.77299999999997</v>
      </c>
      <c r="BJ1022" s="482"/>
      <c r="BK1022" s="935">
        <f>BK282+BK630</f>
        <v>207.82</v>
      </c>
      <c r="BL1022" s="659">
        <f>BL282+BL630</f>
        <v>96</v>
      </c>
      <c r="BM1022" s="659">
        <f>BM282+BM630</f>
        <v>318.77</v>
      </c>
      <c r="BN1022" s="482">
        <f>BN282+BN630</f>
        <v>0</v>
      </c>
      <c r="BO1022" s="935">
        <f t="shared" ref="BO1022:BU1022" si="1258">BO282+BO630</f>
        <v>0.25</v>
      </c>
      <c r="BP1022" s="659">
        <f t="shared" si="1258"/>
        <v>0</v>
      </c>
      <c r="BQ1022" s="659">
        <f t="shared" si="1258"/>
        <v>3.36</v>
      </c>
      <c r="BR1022" s="482">
        <f t="shared" si="1258"/>
        <v>0</v>
      </c>
      <c r="BS1022" s="935">
        <f t="shared" si="1258"/>
        <v>74.855000000000004</v>
      </c>
      <c r="BT1022" s="659">
        <f t="shared" si="1258"/>
        <v>41</v>
      </c>
      <c r="BU1022" s="659">
        <f t="shared" si="1258"/>
        <v>78.459999999999994</v>
      </c>
      <c r="BV1022" s="936">
        <f>BV282+BV630</f>
        <v>2.5499999999999998</v>
      </c>
      <c r="BW1022" s="229"/>
      <c r="BX1022" s="215"/>
      <c r="BY1022" s="125">
        <f t="shared" si="1185"/>
        <v>4857.3579999999993</v>
      </c>
      <c r="BZ1022" s="126">
        <f t="shared" si="1186"/>
        <v>3212.03</v>
      </c>
      <c r="CA1022" s="126">
        <f t="shared" si="1187"/>
        <v>4354.8509999999997</v>
      </c>
      <c r="CB1022" s="127">
        <f t="shared" si="1187"/>
        <v>2875.4800000000005</v>
      </c>
      <c r="CC1022" s="768"/>
    </row>
    <row r="1023" spans="1:84" s="230" customFormat="1" ht="15.75" customHeight="1" outlineLevel="6" x14ac:dyDescent="0.25">
      <c r="A1023" s="215"/>
      <c r="B1023" s="215"/>
      <c r="C1023" s="216"/>
      <c r="D1023" s="216"/>
      <c r="E1023" s="216"/>
      <c r="F1023" s="216"/>
      <c r="G1023" s="216"/>
      <c r="H1023" s="216"/>
      <c r="I1023" s="216"/>
      <c r="J1023" s="216"/>
      <c r="K1023" s="217"/>
      <c r="L1023" s="216"/>
      <c r="M1023" s="215"/>
      <c r="N1023" s="215"/>
      <c r="O1023" s="215"/>
      <c r="P1023" s="215"/>
      <c r="Q1023" s="215"/>
      <c r="R1023" s="215"/>
      <c r="S1023" s="215"/>
      <c r="T1023" s="215"/>
      <c r="U1023" s="215"/>
      <c r="V1023" s="215"/>
      <c r="W1023" s="215"/>
      <c r="X1023" s="215"/>
      <c r="Y1023" s="215"/>
      <c r="Z1023" s="215"/>
      <c r="AA1023" s="215"/>
      <c r="AB1023" s="218"/>
      <c r="AC1023" s="219" t="s">
        <v>369</v>
      </c>
      <c r="AD1023" s="259" t="s">
        <v>111</v>
      </c>
      <c r="AE1023" s="260">
        <f t="shared" ref="AE1023:AK1024" si="1259">AE283</f>
        <v>1298.8399999999999</v>
      </c>
      <c r="AF1023" s="659">
        <f t="shared" si="1259"/>
        <v>1200</v>
      </c>
      <c r="AG1023" s="772">
        <f t="shared" si="1259"/>
        <v>1585.73</v>
      </c>
      <c r="AH1023" s="487">
        <f t="shared" si="1259"/>
        <v>1200</v>
      </c>
      <c r="AI1023" s="935">
        <f t="shared" si="1259"/>
        <v>0</v>
      </c>
      <c r="AJ1023" s="659">
        <f t="shared" si="1259"/>
        <v>0</v>
      </c>
      <c r="AK1023" s="659">
        <f t="shared" si="1259"/>
        <v>0</v>
      </c>
      <c r="AL1023" s="482">
        <f t="shared" ref="AL1023" si="1260">AL283</f>
        <v>0</v>
      </c>
      <c r="AM1023" s="935">
        <f t="shared" ref="AM1023:AW1023" si="1261">AM283</f>
        <v>0</v>
      </c>
      <c r="AN1023" s="659">
        <f t="shared" si="1261"/>
        <v>19.440000000000001</v>
      </c>
      <c r="AO1023" s="659">
        <f t="shared" si="1261"/>
        <v>0</v>
      </c>
      <c r="AP1023" s="482">
        <f t="shared" si="1261"/>
        <v>0</v>
      </c>
      <c r="AQ1023" s="935">
        <f t="shared" si="1261"/>
        <v>0</v>
      </c>
      <c r="AR1023" s="659">
        <f t="shared" si="1261"/>
        <v>0</v>
      </c>
      <c r="AS1023" s="659">
        <f t="shared" si="1261"/>
        <v>0</v>
      </c>
      <c r="AT1023" s="482">
        <f t="shared" si="1261"/>
        <v>0</v>
      </c>
      <c r="AU1023" s="935">
        <f t="shared" si="1261"/>
        <v>0</v>
      </c>
      <c r="AV1023" s="659">
        <f t="shared" si="1261"/>
        <v>0</v>
      </c>
      <c r="AW1023" s="659">
        <f t="shared" si="1261"/>
        <v>0</v>
      </c>
      <c r="AX1023" s="482">
        <f t="shared" ref="AX1023" si="1262">AX283</f>
        <v>0</v>
      </c>
      <c r="AY1023" s="935">
        <f t="shared" ref="AY1023:BA1024" si="1263">AY283</f>
        <v>0</v>
      </c>
      <c r="AZ1023" s="659">
        <f t="shared" si="1263"/>
        <v>0</v>
      </c>
      <c r="BA1023" s="659">
        <f t="shared" si="1263"/>
        <v>0</v>
      </c>
      <c r="BB1023" s="482">
        <f t="shared" ref="BB1023" si="1264">BB283</f>
        <v>0</v>
      </c>
      <c r="BC1023" s="935">
        <f t="shared" ref="BC1023:BE1024" si="1265">BC283</f>
        <v>0</v>
      </c>
      <c r="BD1023" s="659">
        <f t="shared" si="1265"/>
        <v>0</v>
      </c>
      <c r="BE1023" s="659">
        <f t="shared" si="1265"/>
        <v>0</v>
      </c>
      <c r="BF1023" s="482">
        <f t="shared" ref="BF1023" si="1266">BF283</f>
        <v>0</v>
      </c>
      <c r="BG1023" s="935">
        <f t="shared" ref="BG1023:BI1024" si="1267">BG283</f>
        <v>0</v>
      </c>
      <c r="BH1023" s="659">
        <f t="shared" si="1267"/>
        <v>0</v>
      </c>
      <c r="BI1023" s="659">
        <f t="shared" si="1267"/>
        <v>0</v>
      </c>
      <c r="BJ1023" s="482">
        <f t="shared" ref="BJ1023" si="1268">BJ283</f>
        <v>0</v>
      </c>
      <c r="BK1023" s="935">
        <f t="shared" ref="BK1023:BM1024" si="1269">BK283</f>
        <v>0</v>
      </c>
      <c r="BL1023" s="659">
        <f t="shared" si="1269"/>
        <v>0</v>
      </c>
      <c r="BM1023" s="659">
        <f t="shared" si="1269"/>
        <v>0</v>
      </c>
      <c r="BN1023" s="482">
        <f t="shared" ref="BN1023" si="1270">BN283</f>
        <v>0</v>
      </c>
      <c r="BO1023" s="935">
        <f t="shared" ref="BO1023:BV1024" si="1271">BO283</f>
        <v>0</v>
      </c>
      <c r="BP1023" s="659">
        <f t="shared" si="1271"/>
        <v>0</v>
      </c>
      <c r="BQ1023" s="659">
        <f t="shared" si="1271"/>
        <v>0</v>
      </c>
      <c r="BR1023" s="482">
        <f t="shared" si="1271"/>
        <v>0</v>
      </c>
      <c r="BS1023" s="935">
        <f t="shared" si="1271"/>
        <v>0</v>
      </c>
      <c r="BT1023" s="659">
        <f t="shared" si="1271"/>
        <v>0</v>
      </c>
      <c r="BU1023" s="659">
        <f t="shared" si="1271"/>
        <v>0</v>
      </c>
      <c r="BV1023" s="936">
        <f t="shared" si="1271"/>
        <v>0</v>
      </c>
      <c r="BW1023" s="229"/>
      <c r="BX1023" s="215"/>
      <c r="BY1023" s="125">
        <f t="shared" si="1185"/>
        <v>1298.8399999999999</v>
      </c>
      <c r="BZ1023" s="126">
        <f t="shared" si="1186"/>
        <v>1219.44</v>
      </c>
      <c r="CA1023" s="126">
        <f t="shared" si="1187"/>
        <v>1585.73</v>
      </c>
      <c r="CB1023" s="127">
        <f t="shared" si="1187"/>
        <v>1200</v>
      </c>
      <c r="CC1023" s="768"/>
    </row>
    <row r="1024" spans="1:84" s="230" customFormat="1" ht="15.75" customHeight="1" outlineLevel="6" x14ac:dyDescent="0.25">
      <c r="A1024" s="215"/>
      <c r="B1024" s="215"/>
      <c r="C1024" s="216"/>
      <c r="D1024" s="216"/>
      <c r="E1024" s="216"/>
      <c r="F1024" s="216"/>
      <c r="G1024" s="216"/>
      <c r="H1024" s="216"/>
      <c r="I1024" s="216"/>
      <c r="J1024" s="216"/>
      <c r="K1024" s="217"/>
      <c r="L1024" s="216"/>
      <c r="M1024" s="215"/>
      <c r="N1024" s="215"/>
      <c r="O1024" s="215"/>
      <c r="P1024" s="215"/>
      <c r="Q1024" s="215"/>
      <c r="R1024" s="215"/>
      <c r="S1024" s="215"/>
      <c r="T1024" s="215"/>
      <c r="U1024" s="215"/>
      <c r="V1024" s="215"/>
      <c r="W1024" s="215"/>
      <c r="X1024" s="215"/>
      <c r="Y1024" s="215"/>
      <c r="Z1024" s="215"/>
      <c r="AA1024" s="215"/>
      <c r="AB1024" s="218"/>
      <c r="AC1024" s="219" t="s">
        <v>370</v>
      </c>
      <c r="AD1024" s="259" t="s">
        <v>111</v>
      </c>
      <c r="AE1024" s="260">
        <f t="shared" si="1259"/>
        <v>19.89</v>
      </c>
      <c r="AF1024" s="659">
        <f t="shared" si="1259"/>
        <v>21</v>
      </c>
      <c r="AG1024" s="772">
        <f t="shared" si="1259"/>
        <v>21.89</v>
      </c>
      <c r="AH1024" s="487">
        <f t="shared" si="1259"/>
        <v>21</v>
      </c>
      <c r="AI1024" s="935">
        <f t="shared" si="1259"/>
        <v>0</v>
      </c>
      <c r="AJ1024" s="659">
        <f t="shared" si="1259"/>
        <v>0</v>
      </c>
      <c r="AK1024" s="659">
        <f t="shared" si="1259"/>
        <v>0</v>
      </c>
      <c r="AL1024" s="482">
        <f t="shared" ref="AL1024" si="1272">AL284</f>
        <v>0</v>
      </c>
      <c r="AM1024" s="935">
        <f t="shared" ref="AM1024:AW1024" si="1273">AM284</f>
        <v>0</v>
      </c>
      <c r="AN1024" s="659">
        <f t="shared" si="1273"/>
        <v>0</v>
      </c>
      <c r="AO1024" s="659">
        <f t="shared" si="1273"/>
        <v>0</v>
      </c>
      <c r="AP1024" s="482">
        <f t="shared" si="1273"/>
        <v>0</v>
      </c>
      <c r="AQ1024" s="935">
        <f t="shared" si="1273"/>
        <v>0</v>
      </c>
      <c r="AR1024" s="659">
        <f t="shared" si="1273"/>
        <v>0</v>
      </c>
      <c r="AS1024" s="659">
        <f t="shared" si="1273"/>
        <v>0</v>
      </c>
      <c r="AT1024" s="482">
        <f t="shared" si="1273"/>
        <v>0</v>
      </c>
      <c r="AU1024" s="935">
        <f t="shared" si="1273"/>
        <v>0</v>
      </c>
      <c r="AV1024" s="659">
        <f t="shared" si="1273"/>
        <v>0</v>
      </c>
      <c r="AW1024" s="659">
        <f t="shared" si="1273"/>
        <v>0</v>
      </c>
      <c r="AX1024" s="482">
        <f t="shared" ref="AX1024" si="1274">AX284</f>
        <v>0</v>
      </c>
      <c r="AY1024" s="935">
        <f t="shared" si="1263"/>
        <v>30.9</v>
      </c>
      <c r="AZ1024" s="659">
        <f t="shared" si="1263"/>
        <v>0</v>
      </c>
      <c r="BA1024" s="659">
        <f t="shared" si="1263"/>
        <v>22.11</v>
      </c>
      <c r="BB1024" s="482">
        <f t="shared" ref="BB1024" si="1275">BB284</f>
        <v>0</v>
      </c>
      <c r="BC1024" s="935">
        <f t="shared" si="1265"/>
        <v>3.3</v>
      </c>
      <c r="BD1024" s="659">
        <f t="shared" si="1265"/>
        <v>0</v>
      </c>
      <c r="BE1024" s="659">
        <f t="shared" si="1265"/>
        <v>3.6309999999999998</v>
      </c>
      <c r="BF1024" s="482">
        <f t="shared" ref="BF1024" si="1276">BF284</f>
        <v>0</v>
      </c>
      <c r="BG1024" s="935">
        <f t="shared" si="1267"/>
        <v>7.6</v>
      </c>
      <c r="BH1024" s="659">
        <f t="shared" si="1267"/>
        <v>0</v>
      </c>
      <c r="BI1024" s="659">
        <f t="shared" si="1267"/>
        <v>8.3620000000000001</v>
      </c>
      <c r="BJ1024" s="482">
        <f t="shared" ref="BJ1024" si="1277">BJ284</f>
        <v>0</v>
      </c>
      <c r="BK1024" s="935">
        <f t="shared" si="1269"/>
        <v>0</v>
      </c>
      <c r="BL1024" s="659">
        <f t="shared" si="1269"/>
        <v>0</v>
      </c>
      <c r="BM1024" s="659">
        <f t="shared" si="1269"/>
        <v>0</v>
      </c>
      <c r="BN1024" s="482">
        <f t="shared" ref="BN1024" si="1278">BN284</f>
        <v>0</v>
      </c>
      <c r="BO1024" s="935">
        <f t="shared" si="1271"/>
        <v>0</v>
      </c>
      <c r="BP1024" s="659">
        <f t="shared" si="1271"/>
        <v>0</v>
      </c>
      <c r="BQ1024" s="659">
        <f t="shared" si="1271"/>
        <v>0</v>
      </c>
      <c r="BR1024" s="482">
        <f t="shared" si="1271"/>
        <v>0</v>
      </c>
      <c r="BS1024" s="935">
        <f t="shared" si="1271"/>
        <v>0</v>
      </c>
      <c r="BT1024" s="659">
        <f t="shared" si="1271"/>
        <v>0</v>
      </c>
      <c r="BU1024" s="659">
        <f t="shared" si="1271"/>
        <v>0</v>
      </c>
      <c r="BV1024" s="936">
        <f t="shared" si="1271"/>
        <v>0</v>
      </c>
      <c r="BW1024" s="229"/>
      <c r="BX1024" s="215"/>
      <c r="BY1024" s="125">
        <f t="shared" si="1185"/>
        <v>61.69</v>
      </c>
      <c r="BZ1024" s="126">
        <f t="shared" si="1186"/>
        <v>21</v>
      </c>
      <c r="CA1024" s="126">
        <f t="shared" si="1187"/>
        <v>55.993000000000002</v>
      </c>
      <c r="CB1024" s="127">
        <f t="shared" si="1187"/>
        <v>21</v>
      </c>
      <c r="CC1024" s="768"/>
    </row>
    <row r="1025" spans="1:81" s="230" customFormat="1" ht="15.75" customHeight="1" outlineLevel="6" x14ac:dyDescent="0.25">
      <c r="A1025" s="215"/>
      <c r="B1025" s="215"/>
      <c r="C1025" s="216"/>
      <c r="D1025" s="216"/>
      <c r="E1025" s="216"/>
      <c r="F1025" s="216"/>
      <c r="G1025" s="216"/>
      <c r="H1025" s="216"/>
      <c r="I1025" s="216"/>
      <c r="J1025" s="216"/>
      <c r="K1025" s="217"/>
      <c r="L1025" s="216"/>
      <c r="M1025" s="215"/>
      <c r="N1025" s="215"/>
      <c r="O1025" s="215"/>
      <c r="P1025" s="215"/>
      <c r="Q1025" s="215"/>
      <c r="R1025" s="215"/>
      <c r="S1025" s="215"/>
      <c r="T1025" s="215"/>
      <c r="U1025" s="215"/>
      <c r="V1025" s="215"/>
      <c r="W1025" s="215"/>
      <c r="X1025" s="215"/>
      <c r="Y1025" s="215"/>
      <c r="Z1025" s="215"/>
      <c r="AA1025" s="215"/>
      <c r="AB1025" s="218"/>
      <c r="AC1025" s="219" t="s">
        <v>371</v>
      </c>
      <c r="AD1025" s="259" t="s">
        <v>111</v>
      </c>
      <c r="AE1025" s="935">
        <f t="shared" ref="AE1025:AK1025" si="1279">AE285+AE629</f>
        <v>5396.37</v>
      </c>
      <c r="AF1025" s="659">
        <f t="shared" si="1279"/>
        <v>5595</v>
      </c>
      <c r="AG1025" s="659">
        <f t="shared" si="1279"/>
        <v>5937.73</v>
      </c>
      <c r="AH1025" s="482">
        <f t="shared" si="1279"/>
        <v>2500</v>
      </c>
      <c r="AI1025" s="935">
        <f t="shared" si="1279"/>
        <v>0</v>
      </c>
      <c r="AJ1025" s="659">
        <f t="shared" si="1279"/>
        <v>0</v>
      </c>
      <c r="AK1025" s="659">
        <f t="shared" si="1279"/>
        <v>0</v>
      </c>
      <c r="AL1025" s="482">
        <f t="shared" ref="AL1025" si="1280">AL285+AL629</f>
        <v>0</v>
      </c>
      <c r="AM1025" s="935">
        <f t="shared" ref="AM1025:AW1025" si="1281">AM285+AM629</f>
        <v>0</v>
      </c>
      <c r="AN1025" s="659">
        <f t="shared" si="1281"/>
        <v>0</v>
      </c>
      <c r="AO1025" s="659">
        <f t="shared" si="1281"/>
        <v>0</v>
      </c>
      <c r="AP1025" s="482">
        <f t="shared" si="1281"/>
        <v>0</v>
      </c>
      <c r="AQ1025" s="935">
        <f t="shared" si="1281"/>
        <v>0</v>
      </c>
      <c r="AR1025" s="659">
        <f t="shared" si="1281"/>
        <v>44.31</v>
      </c>
      <c r="AS1025" s="659">
        <f t="shared" si="1281"/>
        <v>0</v>
      </c>
      <c r="AT1025" s="482">
        <f t="shared" si="1281"/>
        <v>0</v>
      </c>
      <c r="AU1025" s="935">
        <f t="shared" si="1281"/>
        <v>0</v>
      </c>
      <c r="AV1025" s="659">
        <f t="shared" si="1281"/>
        <v>5.52</v>
      </c>
      <c r="AW1025" s="659">
        <f t="shared" si="1281"/>
        <v>0</v>
      </c>
      <c r="AX1025" s="482">
        <f t="shared" ref="AX1025" si="1282">AX285+AX629</f>
        <v>0</v>
      </c>
      <c r="AY1025" s="935">
        <f t="shared" ref="AY1025:BN1025" si="1283">AY285+AY629</f>
        <v>0</v>
      </c>
      <c r="AZ1025" s="659">
        <f t="shared" si="1283"/>
        <v>0</v>
      </c>
      <c r="BA1025" s="659">
        <f t="shared" si="1283"/>
        <v>0</v>
      </c>
      <c r="BB1025" s="482">
        <f t="shared" si="1283"/>
        <v>0</v>
      </c>
      <c r="BC1025" s="935">
        <f t="shared" si="1283"/>
        <v>0</v>
      </c>
      <c r="BD1025" s="659">
        <f t="shared" si="1283"/>
        <v>0</v>
      </c>
      <c r="BE1025" s="659">
        <f t="shared" si="1283"/>
        <v>0</v>
      </c>
      <c r="BF1025" s="482">
        <f t="shared" si="1283"/>
        <v>0</v>
      </c>
      <c r="BG1025" s="935">
        <f t="shared" si="1283"/>
        <v>0</v>
      </c>
      <c r="BH1025" s="659">
        <f t="shared" si="1283"/>
        <v>0</v>
      </c>
      <c r="BI1025" s="659">
        <f t="shared" si="1283"/>
        <v>0</v>
      </c>
      <c r="BJ1025" s="482">
        <f t="shared" si="1283"/>
        <v>0</v>
      </c>
      <c r="BK1025" s="935">
        <f t="shared" si="1283"/>
        <v>0.24</v>
      </c>
      <c r="BL1025" s="659">
        <f t="shared" si="1283"/>
        <v>0.15</v>
      </c>
      <c r="BM1025" s="659">
        <f t="shared" si="1283"/>
        <v>35.15</v>
      </c>
      <c r="BN1025" s="482">
        <f t="shared" si="1283"/>
        <v>0</v>
      </c>
      <c r="BO1025" s="935">
        <f t="shared" ref="BO1025:BV1025" si="1284">BO285+BO629</f>
        <v>0</v>
      </c>
      <c r="BP1025" s="659">
        <f t="shared" si="1284"/>
        <v>0</v>
      </c>
      <c r="BQ1025" s="659">
        <f t="shared" si="1284"/>
        <v>0</v>
      </c>
      <c r="BR1025" s="482">
        <f t="shared" si="1284"/>
        <v>0</v>
      </c>
      <c r="BS1025" s="935">
        <f t="shared" si="1284"/>
        <v>0</v>
      </c>
      <c r="BT1025" s="659">
        <f t="shared" si="1284"/>
        <v>0</v>
      </c>
      <c r="BU1025" s="659">
        <f t="shared" si="1284"/>
        <v>0</v>
      </c>
      <c r="BV1025" s="936">
        <f t="shared" si="1284"/>
        <v>0</v>
      </c>
      <c r="BW1025" s="229"/>
      <c r="BX1025" s="215"/>
      <c r="BY1025" s="125">
        <f t="shared" si="1185"/>
        <v>5396.61</v>
      </c>
      <c r="BZ1025" s="126">
        <f t="shared" si="1186"/>
        <v>5644.9800000000005</v>
      </c>
      <c r="CA1025" s="126">
        <f t="shared" si="1187"/>
        <v>5972.8799999999992</v>
      </c>
      <c r="CB1025" s="127">
        <f t="shared" si="1187"/>
        <v>2500</v>
      </c>
      <c r="CC1025" s="768"/>
    </row>
    <row r="1026" spans="1:81" s="230" customFormat="1" ht="15.75" customHeight="1" outlineLevel="6" x14ac:dyDescent="0.25">
      <c r="A1026" s="215"/>
      <c r="B1026" s="215"/>
      <c r="C1026" s="216"/>
      <c r="D1026" s="216"/>
      <c r="E1026" s="216"/>
      <c r="F1026" s="216"/>
      <c r="G1026" s="216"/>
      <c r="H1026" s="216"/>
      <c r="I1026" s="216"/>
      <c r="J1026" s="216"/>
      <c r="K1026" s="217"/>
      <c r="L1026" s="216"/>
      <c r="M1026" s="215"/>
      <c r="N1026" s="215"/>
      <c r="O1026" s="215"/>
      <c r="P1026" s="215"/>
      <c r="Q1026" s="215"/>
      <c r="R1026" s="215"/>
      <c r="S1026" s="215"/>
      <c r="T1026" s="215"/>
      <c r="U1026" s="215"/>
      <c r="V1026" s="215"/>
      <c r="W1026" s="215"/>
      <c r="X1026" s="215"/>
      <c r="Y1026" s="215"/>
      <c r="Z1026" s="215"/>
      <c r="AA1026" s="215"/>
      <c r="AB1026" s="218"/>
      <c r="AC1026" s="219" t="s">
        <v>372</v>
      </c>
      <c r="AD1026" s="259" t="s">
        <v>111</v>
      </c>
      <c r="AE1026" s="260">
        <f t="shared" ref="AE1026:AK1030" si="1285">AE286</f>
        <v>98.76</v>
      </c>
      <c r="AF1026" s="659">
        <f t="shared" si="1285"/>
        <v>99.75</v>
      </c>
      <c r="AG1026" s="772">
        <f t="shared" si="1285"/>
        <v>108.67</v>
      </c>
      <c r="AH1026" s="487">
        <f t="shared" si="1285"/>
        <v>99.75</v>
      </c>
      <c r="AI1026" s="935">
        <f t="shared" si="1285"/>
        <v>0</v>
      </c>
      <c r="AJ1026" s="659">
        <f t="shared" si="1285"/>
        <v>0</v>
      </c>
      <c r="AK1026" s="659">
        <f t="shared" si="1285"/>
        <v>0</v>
      </c>
      <c r="AL1026" s="482">
        <f t="shared" ref="AL1026" si="1286">AL286</f>
        <v>0</v>
      </c>
      <c r="AM1026" s="935">
        <f t="shared" ref="AM1026:AW1026" si="1287">AM286</f>
        <v>0</v>
      </c>
      <c r="AN1026" s="659">
        <f t="shared" si="1287"/>
        <v>0</v>
      </c>
      <c r="AO1026" s="659">
        <f t="shared" si="1287"/>
        <v>0</v>
      </c>
      <c r="AP1026" s="482">
        <f t="shared" si="1287"/>
        <v>0</v>
      </c>
      <c r="AQ1026" s="935">
        <f t="shared" si="1287"/>
        <v>0</v>
      </c>
      <c r="AR1026" s="659">
        <f t="shared" si="1287"/>
        <v>0</v>
      </c>
      <c r="AS1026" s="659">
        <f t="shared" si="1287"/>
        <v>0</v>
      </c>
      <c r="AT1026" s="482">
        <f t="shared" si="1287"/>
        <v>0</v>
      </c>
      <c r="AU1026" s="935">
        <f t="shared" si="1287"/>
        <v>0</v>
      </c>
      <c r="AV1026" s="659">
        <f t="shared" si="1287"/>
        <v>0</v>
      </c>
      <c r="AW1026" s="659">
        <f t="shared" si="1287"/>
        <v>0</v>
      </c>
      <c r="AX1026" s="482">
        <f t="shared" ref="AX1026" si="1288">AX286</f>
        <v>0</v>
      </c>
      <c r="AY1026" s="935">
        <f t="shared" ref="AY1026:BA1030" si="1289">AY286</f>
        <v>0</v>
      </c>
      <c r="AZ1026" s="659">
        <f t="shared" si="1289"/>
        <v>0</v>
      </c>
      <c r="BA1026" s="659">
        <f t="shared" si="1289"/>
        <v>0</v>
      </c>
      <c r="BB1026" s="482">
        <f t="shared" ref="BB1026" si="1290">BB286</f>
        <v>0</v>
      </c>
      <c r="BC1026" s="935">
        <f t="shared" ref="BC1026:BE1030" si="1291">BC286</f>
        <v>0</v>
      </c>
      <c r="BD1026" s="659">
        <f t="shared" si="1291"/>
        <v>0</v>
      </c>
      <c r="BE1026" s="659">
        <f t="shared" si="1291"/>
        <v>0</v>
      </c>
      <c r="BF1026" s="482">
        <f t="shared" ref="BF1026" si="1292">BF286</f>
        <v>0</v>
      </c>
      <c r="BG1026" s="935">
        <f t="shared" ref="BG1026:BI1030" si="1293">BG286</f>
        <v>0</v>
      </c>
      <c r="BH1026" s="659">
        <f t="shared" si="1293"/>
        <v>0</v>
      </c>
      <c r="BI1026" s="659">
        <f t="shared" si="1293"/>
        <v>0</v>
      </c>
      <c r="BJ1026" s="482">
        <f t="shared" ref="BJ1026" si="1294">BJ286</f>
        <v>0</v>
      </c>
      <c r="BK1026" s="935">
        <f t="shared" ref="BK1026:BM1030" si="1295">BK286</f>
        <v>0</v>
      </c>
      <c r="BL1026" s="659">
        <f t="shared" si="1295"/>
        <v>0</v>
      </c>
      <c r="BM1026" s="659">
        <f t="shared" si="1295"/>
        <v>0</v>
      </c>
      <c r="BN1026" s="482">
        <f t="shared" ref="BN1026" si="1296">BN286</f>
        <v>0</v>
      </c>
      <c r="BO1026" s="935">
        <f t="shared" ref="BO1026:BV1030" si="1297">BO286</f>
        <v>0</v>
      </c>
      <c r="BP1026" s="659">
        <f t="shared" si="1297"/>
        <v>0</v>
      </c>
      <c r="BQ1026" s="659">
        <f t="shared" si="1297"/>
        <v>0</v>
      </c>
      <c r="BR1026" s="482">
        <f t="shared" si="1297"/>
        <v>0</v>
      </c>
      <c r="BS1026" s="935">
        <f t="shared" si="1297"/>
        <v>0</v>
      </c>
      <c r="BT1026" s="659">
        <f t="shared" si="1297"/>
        <v>0</v>
      </c>
      <c r="BU1026" s="659">
        <f t="shared" si="1297"/>
        <v>0</v>
      </c>
      <c r="BV1026" s="936">
        <f t="shared" si="1297"/>
        <v>0</v>
      </c>
      <c r="BW1026" s="229"/>
      <c r="BX1026" s="215"/>
      <c r="BY1026" s="125">
        <f t="shared" si="1185"/>
        <v>98.76</v>
      </c>
      <c r="BZ1026" s="126">
        <f t="shared" si="1186"/>
        <v>99.75</v>
      </c>
      <c r="CA1026" s="126">
        <f t="shared" si="1187"/>
        <v>108.67</v>
      </c>
      <c r="CB1026" s="127">
        <f t="shared" si="1187"/>
        <v>99.75</v>
      </c>
      <c r="CC1026" s="768"/>
    </row>
    <row r="1027" spans="1:81" s="230" customFormat="1" ht="15.75" customHeight="1" outlineLevel="6" x14ac:dyDescent="0.25">
      <c r="A1027" s="215"/>
      <c r="B1027" s="215"/>
      <c r="C1027" s="216"/>
      <c r="D1027" s="216"/>
      <c r="E1027" s="216"/>
      <c r="F1027" s="216"/>
      <c r="G1027" s="216"/>
      <c r="H1027" s="216"/>
      <c r="I1027" s="216"/>
      <c r="J1027" s="216"/>
      <c r="K1027" s="217"/>
      <c r="L1027" s="216"/>
      <c r="M1027" s="215"/>
      <c r="N1027" s="215"/>
      <c r="O1027" s="215"/>
      <c r="P1027" s="215"/>
      <c r="Q1027" s="215"/>
      <c r="R1027" s="215"/>
      <c r="S1027" s="215"/>
      <c r="T1027" s="215"/>
      <c r="U1027" s="215"/>
      <c r="V1027" s="215"/>
      <c r="W1027" s="215"/>
      <c r="X1027" s="215"/>
      <c r="Y1027" s="215"/>
      <c r="Z1027" s="215"/>
      <c r="AA1027" s="215"/>
      <c r="AB1027" s="218"/>
      <c r="AC1027" s="219" t="s">
        <v>373</v>
      </c>
      <c r="AD1027" s="259" t="s">
        <v>111</v>
      </c>
      <c r="AE1027" s="260">
        <f t="shared" si="1285"/>
        <v>27.8</v>
      </c>
      <c r="AF1027" s="659">
        <f t="shared" si="1285"/>
        <v>28.9</v>
      </c>
      <c r="AG1027" s="772">
        <f t="shared" si="1285"/>
        <v>30.59</v>
      </c>
      <c r="AH1027" s="487">
        <f t="shared" si="1285"/>
        <v>28.9</v>
      </c>
      <c r="AI1027" s="935">
        <f t="shared" si="1285"/>
        <v>0</v>
      </c>
      <c r="AJ1027" s="659">
        <f t="shared" si="1285"/>
        <v>0</v>
      </c>
      <c r="AK1027" s="659">
        <f t="shared" si="1285"/>
        <v>0</v>
      </c>
      <c r="AL1027" s="482">
        <f t="shared" ref="AL1027" si="1298">AL287</f>
        <v>0</v>
      </c>
      <c r="AM1027" s="935">
        <f t="shared" ref="AM1027:AW1027" si="1299">AM287</f>
        <v>0</v>
      </c>
      <c r="AN1027" s="659">
        <f t="shared" si="1299"/>
        <v>0</v>
      </c>
      <c r="AO1027" s="659">
        <f t="shared" si="1299"/>
        <v>0</v>
      </c>
      <c r="AP1027" s="482">
        <f t="shared" si="1299"/>
        <v>0</v>
      </c>
      <c r="AQ1027" s="935">
        <f t="shared" si="1299"/>
        <v>0</v>
      </c>
      <c r="AR1027" s="659">
        <f t="shared" si="1299"/>
        <v>0</v>
      </c>
      <c r="AS1027" s="659">
        <f t="shared" si="1299"/>
        <v>0</v>
      </c>
      <c r="AT1027" s="482">
        <f t="shared" si="1299"/>
        <v>0</v>
      </c>
      <c r="AU1027" s="935">
        <f t="shared" si="1299"/>
        <v>0</v>
      </c>
      <c r="AV1027" s="659">
        <f t="shared" si="1299"/>
        <v>0</v>
      </c>
      <c r="AW1027" s="659">
        <f t="shared" si="1299"/>
        <v>0</v>
      </c>
      <c r="AX1027" s="482">
        <f t="shared" ref="AX1027" si="1300">AX287</f>
        <v>0</v>
      </c>
      <c r="AY1027" s="935">
        <f t="shared" si="1289"/>
        <v>0</v>
      </c>
      <c r="AZ1027" s="659">
        <f t="shared" si="1289"/>
        <v>0</v>
      </c>
      <c r="BA1027" s="659">
        <f t="shared" si="1289"/>
        <v>0</v>
      </c>
      <c r="BB1027" s="482">
        <f t="shared" ref="BB1027" si="1301">BB287</f>
        <v>0</v>
      </c>
      <c r="BC1027" s="935">
        <f t="shared" si="1291"/>
        <v>0</v>
      </c>
      <c r="BD1027" s="659">
        <f t="shared" si="1291"/>
        <v>0</v>
      </c>
      <c r="BE1027" s="659">
        <f t="shared" si="1291"/>
        <v>0</v>
      </c>
      <c r="BF1027" s="482">
        <f t="shared" ref="BF1027" si="1302">BF287</f>
        <v>0</v>
      </c>
      <c r="BG1027" s="935">
        <f t="shared" si="1293"/>
        <v>0</v>
      </c>
      <c r="BH1027" s="659">
        <f t="shared" si="1293"/>
        <v>0</v>
      </c>
      <c r="BI1027" s="659">
        <f t="shared" si="1293"/>
        <v>0</v>
      </c>
      <c r="BJ1027" s="482">
        <f t="shared" ref="BJ1027" si="1303">BJ287</f>
        <v>0</v>
      </c>
      <c r="BK1027" s="935">
        <f t="shared" si="1295"/>
        <v>0</v>
      </c>
      <c r="BL1027" s="659">
        <f t="shared" si="1295"/>
        <v>0</v>
      </c>
      <c r="BM1027" s="659">
        <f t="shared" si="1295"/>
        <v>0</v>
      </c>
      <c r="BN1027" s="482">
        <f t="shared" ref="BN1027" si="1304">BN287</f>
        <v>0</v>
      </c>
      <c r="BO1027" s="935">
        <f t="shared" si="1297"/>
        <v>0</v>
      </c>
      <c r="BP1027" s="659">
        <f t="shared" si="1297"/>
        <v>0</v>
      </c>
      <c r="BQ1027" s="659">
        <f t="shared" si="1297"/>
        <v>0</v>
      </c>
      <c r="BR1027" s="482">
        <f t="shared" si="1297"/>
        <v>0</v>
      </c>
      <c r="BS1027" s="935">
        <f t="shared" si="1297"/>
        <v>0</v>
      </c>
      <c r="BT1027" s="659">
        <f t="shared" si="1297"/>
        <v>0</v>
      </c>
      <c r="BU1027" s="659">
        <f t="shared" si="1297"/>
        <v>0</v>
      </c>
      <c r="BV1027" s="936">
        <f t="shared" si="1297"/>
        <v>0</v>
      </c>
      <c r="BW1027" s="229"/>
      <c r="BX1027" s="215"/>
      <c r="BY1027" s="125">
        <f t="shared" si="1185"/>
        <v>27.8</v>
      </c>
      <c r="BZ1027" s="126">
        <f t="shared" si="1186"/>
        <v>28.9</v>
      </c>
      <c r="CA1027" s="126">
        <f t="shared" si="1187"/>
        <v>30.59</v>
      </c>
      <c r="CB1027" s="127">
        <f t="shared" si="1187"/>
        <v>28.9</v>
      </c>
      <c r="CC1027" s="768"/>
    </row>
    <row r="1028" spans="1:81" s="230" customFormat="1" ht="15.75" customHeight="1" outlineLevel="6" x14ac:dyDescent="0.25">
      <c r="A1028" s="215"/>
      <c r="B1028" s="215"/>
      <c r="C1028" s="216"/>
      <c r="D1028" s="216"/>
      <c r="E1028" s="216"/>
      <c r="F1028" s="216"/>
      <c r="G1028" s="216"/>
      <c r="H1028" s="216"/>
      <c r="I1028" s="216"/>
      <c r="J1028" s="216"/>
      <c r="K1028" s="217"/>
      <c r="L1028" s="216"/>
      <c r="M1028" s="215"/>
      <c r="N1028" s="215"/>
      <c r="O1028" s="215"/>
      <c r="P1028" s="215"/>
      <c r="Q1028" s="215"/>
      <c r="R1028" s="215"/>
      <c r="S1028" s="215"/>
      <c r="T1028" s="215"/>
      <c r="U1028" s="215"/>
      <c r="V1028" s="215"/>
      <c r="W1028" s="215"/>
      <c r="X1028" s="215"/>
      <c r="Y1028" s="215"/>
      <c r="Z1028" s="215"/>
      <c r="AA1028" s="215"/>
      <c r="AB1028" s="218"/>
      <c r="AC1028" s="219" t="s">
        <v>374</v>
      </c>
      <c r="AD1028" s="259" t="s">
        <v>111</v>
      </c>
      <c r="AE1028" s="260">
        <f t="shared" si="1285"/>
        <v>312.77</v>
      </c>
      <c r="AF1028" s="659">
        <f t="shared" si="1285"/>
        <v>315.68</v>
      </c>
      <c r="AG1028" s="772">
        <f t="shared" si="1285"/>
        <v>336.12</v>
      </c>
      <c r="AH1028" s="487">
        <f t="shared" si="1285"/>
        <v>315.68</v>
      </c>
      <c r="AI1028" s="935">
        <f t="shared" si="1285"/>
        <v>0</v>
      </c>
      <c r="AJ1028" s="659">
        <f t="shared" si="1285"/>
        <v>0</v>
      </c>
      <c r="AK1028" s="659">
        <f t="shared" si="1285"/>
        <v>0</v>
      </c>
      <c r="AL1028" s="482">
        <f t="shared" ref="AL1028" si="1305">AL288</f>
        <v>0</v>
      </c>
      <c r="AM1028" s="935">
        <f t="shared" ref="AM1028:AW1028" si="1306">AM288</f>
        <v>0</v>
      </c>
      <c r="AN1028" s="659">
        <f t="shared" si="1306"/>
        <v>0</v>
      </c>
      <c r="AO1028" s="659">
        <f t="shared" si="1306"/>
        <v>0</v>
      </c>
      <c r="AP1028" s="482">
        <f t="shared" si="1306"/>
        <v>0</v>
      </c>
      <c r="AQ1028" s="935">
        <f t="shared" si="1306"/>
        <v>0</v>
      </c>
      <c r="AR1028" s="659">
        <f t="shared" si="1306"/>
        <v>0</v>
      </c>
      <c r="AS1028" s="659">
        <f t="shared" si="1306"/>
        <v>0</v>
      </c>
      <c r="AT1028" s="482">
        <f t="shared" si="1306"/>
        <v>0</v>
      </c>
      <c r="AU1028" s="935">
        <f t="shared" si="1306"/>
        <v>0</v>
      </c>
      <c r="AV1028" s="659">
        <f t="shared" si="1306"/>
        <v>0</v>
      </c>
      <c r="AW1028" s="659">
        <f t="shared" si="1306"/>
        <v>0</v>
      </c>
      <c r="AX1028" s="482">
        <f t="shared" ref="AX1028" si="1307">AX288</f>
        <v>0</v>
      </c>
      <c r="AY1028" s="935">
        <f t="shared" si="1289"/>
        <v>0</v>
      </c>
      <c r="AZ1028" s="659">
        <f t="shared" si="1289"/>
        <v>0</v>
      </c>
      <c r="BA1028" s="659">
        <f t="shared" si="1289"/>
        <v>0</v>
      </c>
      <c r="BB1028" s="482">
        <f t="shared" ref="BB1028" si="1308">BB288</f>
        <v>0</v>
      </c>
      <c r="BC1028" s="935">
        <f t="shared" si="1291"/>
        <v>0</v>
      </c>
      <c r="BD1028" s="659">
        <f t="shared" si="1291"/>
        <v>0</v>
      </c>
      <c r="BE1028" s="659">
        <f t="shared" si="1291"/>
        <v>0</v>
      </c>
      <c r="BF1028" s="482">
        <f t="shared" ref="BF1028" si="1309">BF288</f>
        <v>0</v>
      </c>
      <c r="BG1028" s="935">
        <f t="shared" si="1293"/>
        <v>0</v>
      </c>
      <c r="BH1028" s="659">
        <f t="shared" si="1293"/>
        <v>0</v>
      </c>
      <c r="BI1028" s="659">
        <f t="shared" si="1293"/>
        <v>0</v>
      </c>
      <c r="BJ1028" s="482">
        <f t="shared" ref="BJ1028" si="1310">BJ288</f>
        <v>0</v>
      </c>
      <c r="BK1028" s="935">
        <f t="shared" si="1295"/>
        <v>0</v>
      </c>
      <c r="BL1028" s="659">
        <f t="shared" si="1295"/>
        <v>0</v>
      </c>
      <c r="BM1028" s="659">
        <f t="shared" si="1295"/>
        <v>0</v>
      </c>
      <c r="BN1028" s="482">
        <f t="shared" ref="BN1028" si="1311">BN288</f>
        <v>0</v>
      </c>
      <c r="BO1028" s="935">
        <f t="shared" si="1297"/>
        <v>0</v>
      </c>
      <c r="BP1028" s="659">
        <f t="shared" si="1297"/>
        <v>0</v>
      </c>
      <c r="BQ1028" s="659">
        <f t="shared" si="1297"/>
        <v>0</v>
      </c>
      <c r="BR1028" s="482">
        <f t="shared" si="1297"/>
        <v>0</v>
      </c>
      <c r="BS1028" s="935">
        <f t="shared" si="1297"/>
        <v>0</v>
      </c>
      <c r="BT1028" s="659">
        <f t="shared" si="1297"/>
        <v>0</v>
      </c>
      <c r="BU1028" s="659">
        <f t="shared" si="1297"/>
        <v>0</v>
      </c>
      <c r="BV1028" s="936">
        <f t="shared" si="1297"/>
        <v>0</v>
      </c>
      <c r="BW1028" s="229"/>
      <c r="BX1028" s="215"/>
      <c r="BY1028" s="125">
        <f t="shared" si="1185"/>
        <v>312.77</v>
      </c>
      <c r="BZ1028" s="126">
        <f t="shared" si="1186"/>
        <v>315.68</v>
      </c>
      <c r="CA1028" s="126">
        <f t="shared" si="1187"/>
        <v>336.12</v>
      </c>
      <c r="CB1028" s="127">
        <f t="shared" si="1187"/>
        <v>315.68</v>
      </c>
      <c r="CC1028" s="768"/>
    </row>
    <row r="1029" spans="1:81" s="230" customFormat="1" ht="15.75" customHeight="1" outlineLevel="6" x14ac:dyDescent="0.25">
      <c r="A1029" s="215"/>
      <c r="B1029" s="215"/>
      <c r="C1029" s="216"/>
      <c r="D1029" s="216"/>
      <c r="E1029" s="216"/>
      <c r="F1029" s="216"/>
      <c r="G1029" s="216"/>
      <c r="H1029" s="216"/>
      <c r="I1029" s="216"/>
      <c r="J1029" s="216"/>
      <c r="K1029" s="217"/>
      <c r="L1029" s="216"/>
      <c r="M1029" s="215"/>
      <c r="N1029" s="215"/>
      <c r="O1029" s="215"/>
      <c r="P1029" s="215"/>
      <c r="Q1029" s="215"/>
      <c r="R1029" s="215"/>
      <c r="S1029" s="215"/>
      <c r="T1029" s="215"/>
      <c r="U1029" s="215"/>
      <c r="V1029" s="215"/>
      <c r="W1029" s="215"/>
      <c r="X1029" s="215"/>
      <c r="Y1029" s="215"/>
      <c r="Z1029" s="215"/>
      <c r="AA1029" s="215"/>
      <c r="AB1029" s="218"/>
      <c r="AC1029" s="219" t="s">
        <v>375</v>
      </c>
      <c r="AD1029" s="259" t="s">
        <v>111</v>
      </c>
      <c r="AE1029" s="260">
        <f t="shared" si="1285"/>
        <v>1210.1300000000001</v>
      </c>
      <c r="AF1029" s="659">
        <f t="shared" si="1285"/>
        <v>1200</v>
      </c>
      <c r="AG1029" s="772">
        <f t="shared" si="1285"/>
        <v>1210.1300000000001</v>
      </c>
      <c r="AH1029" s="487">
        <f t="shared" si="1285"/>
        <v>661.1</v>
      </c>
      <c r="AI1029" s="935">
        <f t="shared" si="1285"/>
        <v>0</v>
      </c>
      <c r="AJ1029" s="659">
        <f t="shared" si="1285"/>
        <v>0</v>
      </c>
      <c r="AK1029" s="659">
        <f t="shared" si="1285"/>
        <v>0</v>
      </c>
      <c r="AL1029" s="482">
        <f t="shared" ref="AL1029" si="1312">AL289</f>
        <v>0</v>
      </c>
      <c r="AM1029" s="935">
        <f t="shared" ref="AM1029:AW1029" si="1313">AM289</f>
        <v>0</v>
      </c>
      <c r="AN1029" s="659">
        <f t="shared" si="1313"/>
        <v>0</v>
      </c>
      <c r="AO1029" s="659">
        <f t="shared" si="1313"/>
        <v>0</v>
      </c>
      <c r="AP1029" s="482">
        <f t="shared" si="1313"/>
        <v>0</v>
      </c>
      <c r="AQ1029" s="935">
        <f t="shared" si="1313"/>
        <v>0</v>
      </c>
      <c r="AR1029" s="659">
        <f t="shared" si="1313"/>
        <v>0</v>
      </c>
      <c r="AS1029" s="659">
        <f t="shared" si="1313"/>
        <v>0</v>
      </c>
      <c r="AT1029" s="482">
        <f t="shared" si="1313"/>
        <v>0</v>
      </c>
      <c r="AU1029" s="935">
        <f t="shared" si="1313"/>
        <v>0</v>
      </c>
      <c r="AV1029" s="659">
        <f t="shared" si="1313"/>
        <v>0</v>
      </c>
      <c r="AW1029" s="659">
        <f t="shared" si="1313"/>
        <v>0</v>
      </c>
      <c r="AX1029" s="482">
        <f t="shared" ref="AX1029" si="1314">AX289</f>
        <v>0</v>
      </c>
      <c r="AY1029" s="935">
        <f t="shared" si="1289"/>
        <v>0</v>
      </c>
      <c r="AZ1029" s="659">
        <f t="shared" si="1289"/>
        <v>0</v>
      </c>
      <c r="BA1029" s="659">
        <f t="shared" si="1289"/>
        <v>0</v>
      </c>
      <c r="BB1029" s="482">
        <f t="shared" ref="BB1029" si="1315">BB289</f>
        <v>0</v>
      </c>
      <c r="BC1029" s="935">
        <f t="shared" si="1291"/>
        <v>0</v>
      </c>
      <c r="BD1029" s="659">
        <f t="shared" si="1291"/>
        <v>0</v>
      </c>
      <c r="BE1029" s="659">
        <f t="shared" si="1291"/>
        <v>0</v>
      </c>
      <c r="BF1029" s="482">
        <f t="shared" ref="BF1029" si="1316">BF289</f>
        <v>0</v>
      </c>
      <c r="BG1029" s="935">
        <f t="shared" si="1293"/>
        <v>0</v>
      </c>
      <c r="BH1029" s="659">
        <f t="shared" si="1293"/>
        <v>0</v>
      </c>
      <c r="BI1029" s="659">
        <f t="shared" si="1293"/>
        <v>0</v>
      </c>
      <c r="BJ1029" s="482">
        <f t="shared" ref="BJ1029" si="1317">BJ289</f>
        <v>0</v>
      </c>
      <c r="BK1029" s="935">
        <f t="shared" si="1295"/>
        <v>0</v>
      </c>
      <c r="BL1029" s="659">
        <f t="shared" si="1295"/>
        <v>0</v>
      </c>
      <c r="BM1029" s="659">
        <f t="shared" si="1295"/>
        <v>0</v>
      </c>
      <c r="BN1029" s="482">
        <f t="shared" ref="BN1029" si="1318">BN289</f>
        <v>0</v>
      </c>
      <c r="BO1029" s="935">
        <f t="shared" si="1297"/>
        <v>0</v>
      </c>
      <c r="BP1029" s="659">
        <f t="shared" si="1297"/>
        <v>0</v>
      </c>
      <c r="BQ1029" s="659">
        <f t="shared" si="1297"/>
        <v>0</v>
      </c>
      <c r="BR1029" s="482">
        <f t="shared" si="1297"/>
        <v>0</v>
      </c>
      <c r="BS1029" s="935">
        <f t="shared" si="1297"/>
        <v>0</v>
      </c>
      <c r="BT1029" s="659">
        <f t="shared" si="1297"/>
        <v>0</v>
      </c>
      <c r="BU1029" s="659">
        <f t="shared" si="1297"/>
        <v>0</v>
      </c>
      <c r="BV1029" s="936">
        <f t="shared" si="1297"/>
        <v>0</v>
      </c>
      <c r="BW1029" s="229"/>
      <c r="BX1029" s="215"/>
      <c r="BY1029" s="125">
        <f t="shared" si="1185"/>
        <v>1210.1300000000001</v>
      </c>
      <c r="BZ1029" s="126">
        <f t="shared" si="1186"/>
        <v>1200</v>
      </c>
      <c r="CA1029" s="126">
        <f t="shared" si="1187"/>
        <v>1210.1300000000001</v>
      </c>
      <c r="CB1029" s="127">
        <f t="shared" si="1187"/>
        <v>661.1</v>
      </c>
      <c r="CC1029" s="768"/>
    </row>
    <row r="1030" spans="1:81" s="230" customFormat="1" ht="15.75" customHeight="1" outlineLevel="6" x14ac:dyDescent="0.25">
      <c r="A1030" s="215"/>
      <c r="B1030" s="215"/>
      <c r="C1030" s="216"/>
      <c r="D1030" s="216"/>
      <c r="E1030" s="216"/>
      <c r="F1030" s="216"/>
      <c r="G1030" s="216"/>
      <c r="H1030" s="216"/>
      <c r="I1030" s="216"/>
      <c r="J1030" s="216"/>
      <c r="K1030" s="217"/>
      <c r="L1030" s="216"/>
      <c r="M1030" s="215"/>
      <c r="N1030" s="215"/>
      <c r="O1030" s="215"/>
      <c r="P1030" s="215"/>
      <c r="Q1030" s="215"/>
      <c r="R1030" s="215"/>
      <c r="S1030" s="215"/>
      <c r="T1030" s="215"/>
      <c r="U1030" s="215"/>
      <c r="V1030" s="215"/>
      <c r="W1030" s="215"/>
      <c r="X1030" s="215"/>
      <c r="Y1030" s="215"/>
      <c r="Z1030" s="215"/>
      <c r="AA1030" s="215"/>
      <c r="AB1030" s="218"/>
      <c r="AC1030" s="219" t="s">
        <v>376</v>
      </c>
      <c r="AD1030" s="259" t="s">
        <v>111</v>
      </c>
      <c r="AE1030" s="260">
        <f t="shared" si="1285"/>
        <v>2732.05</v>
      </c>
      <c r="AF1030" s="659">
        <f t="shared" si="1285"/>
        <v>2856.28</v>
      </c>
      <c r="AG1030" s="772">
        <f t="shared" si="1285"/>
        <v>2954.98</v>
      </c>
      <c r="AH1030" s="487">
        <f t="shared" si="1285"/>
        <v>0</v>
      </c>
      <c r="AI1030" s="935">
        <f t="shared" si="1285"/>
        <v>0</v>
      </c>
      <c r="AJ1030" s="659">
        <f t="shared" si="1285"/>
        <v>0</v>
      </c>
      <c r="AK1030" s="659">
        <f t="shared" si="1285"/>
        <v>0</v>
      </c>
      <c r="AL1030" s="482">
        <f t="shared" ref="AL1030" si="1319">AL290</f>
        <v>0</v>
      </c>
      <c r="AM1030" s="935">
        <f t="shared" ref="AM1030:AW1030" si="1320">AM290</f>
        <v>0</v>
      </c>
      <c r="AN1030" s="659">
        <f t="shared" si="1320"/>
        <v>0</v>
      </c>
      <c r="AO1030" s="659">
        <f t="shared" si="1320"/>
        <v>0</v>
      </c>
      <c r="AP1030" s="482">
        <f t="shared" si="1320"/>
        <v>0</v>
      </c>
      <c r="AQ1030" s="935">
        <f t="shared" si="1320"/>
        <v>0</v>
      </c>
      <c r="AR1030" s="659">
        <f t="shared" si="1320"/>
        <v>0</v>
      </c>
      <c r="AS1030" s="659">
        <f t="shared" si="1320"/>
        <v>0</v>
      </c>
      <c r="AT1030" s="482">
        <f t="shared" si="1320"/>
        <v>0</v>
      </c>
      <c r="AU1030" s="935">
        <f t="shared" si="1320"/>
        <v>0</v>
      </c>
      <c r="AV1030" s="659">
        <f t="shared" si="1320"/>
        <v>0</v>
      </c>
      <c r="AW1030" s="659">
        <f t="shared" si="1320"/>
        <v>0</v>
      </c>
      <c r="AX1030" s="482">
        <f t="shared" ref="AX1030" si="1321">AX290</f>
        <v>0</v>
      </c>
      <c r="AY1030" s="935">
        <f t="shared" si="1289"/>
        <v>0</v>
      </c>
      <c r="AZ1030" s="659">
        <f t="shared" si="1289"/>
        <v>0</v>
      </c>
      <c r="BA1030" s="659">
        <f t="shared" si="1289"/>
        <v>0</v>
      </c>
      <c r="BB1030" s="482">
        <f t="shared" ref="BB1030" si="1322">BB290</f>
        <v>0</v>
      </c>
      <c r="BC1030" s="935">
        <f t="shared" si="1291"/>
        <v>0</v>
      </c>
      <c r="BD1030" s="659">
        <f t="shared" si="1291"/>
        <v>0</v>
      </c>
      <c r="BE1030" s="659">
        <f t="shared" si="1291"/>
        <v>0</v>
      </c>
      <c r="BF1030" s="482">
        <f t="shared" ref="BF1030" si="1323">BF290</f>
        <v>0</v>
      </c>
      <c r="BG1030" s="935">
        <f t="shared" si="1293"/>
        <v>0</v>
      </c>
      <c r="BH1030" s="659">
        <f t="shared" si="1293"/>
        <v>0</v>
      </c>
      <c r="BI1030" s="659">
        <f t="shared" si="1293"/>
        <v>0</v>
      </c>
      <c r="BJ1030" s="482">
        <f t="shared" ref="BJ1030" si="1324">BJ290</f>
        <v>0</v>
      </c>
      <c r="BK1030" s="935">
        <f t="shared" si="1295"/>
        <v>0</v>
      </c>
      <c r="BL1030" s="659">
        <f t="shared" si="1295"/>
        <v>0</v>
      </c>
      <c r="BM1030" s="659">
        <f t="shared" si="1295"/>
        <v>0</v>
      </c>
      <c r="BN1030" s="482">
        <f t="shared" ref="BN1030" si="1325">BN290</f>
        <v>0</v>
      </c>
      <c r="BO1030" s="935">
        <f t="shared" si="1297"/>
        <v>0</v>
      </c>
      <c r="BP1030" s="659">
        <f t="shared" si="1297"/>
        <v>0</v>
      </c>
      <c r="BQ1030" s="659">
        <f t="shared" si="1297"/>
        <v>0</v>
      </c>
      <c r="BR1030" s="482">
        <f t="shared" si="1297"/>
        <v>0</v>
      </c>
      <c r="BS1030" s="935">
        <f t="shared" si="1297"/>
        <v>0</v>
      </c>
      <c r="BT1030" s="659">
        <f t="shared" si="1297"/>
        <v>0</v>
      </c>
      <c r="BU1030" s="659">
        <f t="shared" si="1297"/>
        <v>0</v>
      </c>
      <c r="BV1030" s="936">
        <f t="shared" si="1297"/>
        <v>0</v>
      </c>
      <c r="BW1030" s="229"/>
      <c r="BX1030" s="215"/>
      <c r="BY1030" s="125">
        <f t="shared" si="1185"/>
        <v>2732.05</v>
      </c>
      <c r="BZ1030" s="126">
        <f t="shared" si="1186"/>
        <v>2856.28</v>
      </c>
      <c r="CA1030" s="126">
        <f t="shared" si="1187"/>
        <v>2954.98</v>
      </c>
      <c r="CB1030" s="127">
        <f t="shared" si="1187"/>
        <v>0</v>
      </c>
      <c r="CC1030" s="768"/>
    </row>
    <row r="1031" spans="1:81" s="230" customFormat="1" ht="15.75" customHeight="1" outlineLevel="6" x14ac:dyDescent="0.25">
      <c r="A1031" s="215"/>
      <c r="B1031" s="215"/>
      <c r="C1031" s="216"/>
      <c r="D1031" s="216"/>
      <c r="E1031" s="216"/>
      <c r="F1031" s="216"/>
      <c r="G1031" s="216"/>
      <c r="H1031" s="216"/>
      <c r="I1031" s="216"/>
      <c r="J1031" s="216"/>
      <c r="K1031" s="217"/>
      <c r="L1031" s="216"/>
      <c r="M1031" s="215"/>
      <c r="N1031" s="215"/>
      <c r="O1031" s="215"/>
      <c r="P1031" s="215"/>
      <c r="Q1031" s="215"/>
      <c r="R1031" s="215"/>
      <c r="S1031" s="215"/>
      <c r="T1031" s="215"/>
      <c r="U1031" s="215"/>
      <c r="V1031" s="215"/>
      <c r="W1031" s="215"/>
      <c r="X1031" s="215"/>
      <c r="Y1031" s="215"/>
      <c r="Z1031" s="215"/>
      <c r="AA1031" s="215"/>
      <c r="AB1031" s="218"/>
      <c r="AC1031" s="219" t="s">
        <v>377</v>
      </c>
      <c r="AD1031" s="259" t="s">
        <v>111</v>
      </c>
      <c r="AE1031" s="935">
        <f t="shared" ref="AE1031:AK1031" si="1326">AE291+AE633</f>
        <v>2695.07</v>
      </c>
      <c r="AF1031" s="659">
        <f t="shared" si="1326"/>
        <v>2868.75</v>
      </c>
      <c r="AG1031" s="659">
        <f t="shared" si="1326"/>
        <v>2914.99</v>
      </c>
      <c r="AH1031" s="482">
        <f t="shared" si="1326"/>
        <v>0</v>
      </c>
      <c r="AI1031" s="935">
        <f t="shared" si="1326"/>
        <v>0</v>
      </c>
      <c r="AJ1031" s="659">
        <f t="shared" si="1326"/>
        <v>0</v>
      </c>
      <c r="AK1031" s="659">
        <f t="shared" si="1326"/>
        <v>0</v>
      </c>
      <c r="AL1031" s="482">
        <f t="shared" ref="AL1031" si="1327">AL291+AL633</f>
        <v>0</v>
      </c>
      <c r="AM1031" s="935">
        <f t="shared" ref="AM1031:AW1031" si="1328">AM291+AM633</f>
        <v>0</v>
      </c>
      <c r="AN1031" s="659">
        <f t="shared" si="1328"/>
        <v>0</v>
      </c>
      <c r="AO1031" s="659">
        <f t="shared" si="1328"/>
        <v>0</v>
      </c>
      <c r="AP1031" s="482">
        <f t="shared" si="1328"/>
        <v>0</v>
      </c>
      <c r="AQ1031" s="935">
        <f t="shared" si="1328"/>
        <v>0</v>
      </c>
      <c r="AR1031" s="659">
        <f t="shared" si="1328"/>
        <v>0</v>
      </c>
      <c r="AS1031" s="659">
        <f t="shared" si="1328"/>
        <v>0</v>
      </c>
      <c r="AT1031" s="482">
        <f t="shared" si="1328"/>
        <v>0</v>
      </c>
      <c r="AU1031" s="935">
        <f t="shared" si="1328"/>
        <v>8.99</v>
      </c>
      <c r="AV1031" s="659">
        <f t="shared" si="1328"/>
        <v>0</v>
      </c>
      <c r="AW1031" s="659">
        <f t="shared" si="1328"/>
        <v>9.51</v>
      </c>
      <c r="AX1031" s="482">
        <f t="shared" ref="AX1031" si="1329">AX291+AX633</f>
        <v>0</v>
      </c>
      <c r="AY1031" s="935">
        <f t="shared" ref="AY1031:BN1031" si="1330">AY291+AY633</f>
        <v>0</v>
      </c>
      <c r="AZ1031" s="659">
        <f t="shared" si="1330"/>
        <v>0</v>
      </c>
      <c r="BA1031" s="659">
        <f t="shared" si="1330"/>
        <v>0</v>
      </c>
      <c r="BB1031" s="482">
        <f t="shared" si="1330"/>
        <v>0</v>
      </c>
      <c r="BC1031" s="935">
        <f t="shared" si="1330"/>
        <v>2.0699999999999998</v>
      </c>
      <c r="BD1031" s="659">
        <f t="shared" si="1330"/>
        <v>0</v>
      </c>
      <c r="BE1031" s="659">
        <f t="shared" si="1330"/>
        <v>2.278</v>
      </c>
      <c r="BF1031" s="482">
        <f t="shared" si="1330"/>
        <v>0</v>
      </c>
      <c r="BG1031" s="935">
        <f t="shared" si="1330"/>
        <v>2.2120000000000002</v>
      </c>
      <c r="BH1031" s="659">
        <f t="shared" si="1330"/>
        <v>0</v>
      </c>
      <c r="BI1031" s="659">
        <f t="shared" si="1330"/>
        <v>2.4340000000000002</v>
      </c>
      <c r="BJ1031" s="482">
        <f t="shared" si="1330"/>
        <v>0</v>
      </c>
      <c r="BK1031" s="935">
        <f t="shared" si="1330"/>
        <v>35.76</v>
      </c>
      <c r="BL1031" s="659">
        <f t="shared" si="1330"/>
        <v>16.27</v>
      </c>
      <c r="BM1031" s="659">
        <f t="shared" si="1330"/>
        <v>39.67</v>
      </c>
      <c r="BN1031" s="482">
        <f t="shared" si="1330"/>
        <v>0</v>
      </c>
      <c r="BO1031" s="935">
        <f t="shared" ref="BO1031:BV1031" si="1331">BO291+BO633</f>
        <v>14.5</v>
      </c>
      <c r="BP1031" s="659">
        <f t="shared" si="1331"/>
        <v>10</v>
      </c>
      <c r="BQ1031" s="659">
        <f t="shared" si="1331"/>
        <v>15.96</v>
      </c>
      <c r="BR1031" s="482">
        <f t="shared" si="1331"/>
        <v>0</v>
      </c>
      <c r="BS1031" s="935">
        <f t="shared" si="1331"/>
        <v>0</v>
      </c>
      <c r="BT1031" s="659">
        <f t="shared" si="1331"/>
        <v>0</v>
      </c>
      <c r="BU1031" s="659">
        <f t="shared" si="1331"/>
        <v>0</v>
      </c>
      <c r="BV1031" s="936">
        <f t="shared" si="1331"/>
        <v>0</v>
      </c>
      <c r="BW1031" s="229"/>
      <c r="BX1031" s="215"/>
      <c r="BY1031" s="125">
        <f t="shared" si="1185"/>
        <v>2758.6020000000003</v>
      </c>
      <c r="BZ1031" s="126">
        <f t="shared" si="1186"/>
        <v>2895.02</v>
      </c>
      <c r="CA1031" s="126">
        <f t="shared" si="1187"/>
        <v>2984.8420000000001</v>
      </c>
      <c r="CB1031" s="127">
        <f t="shared" si="1187"/>
        <v>0</v>
      </c>
      <c r="CC1031" s="768"/>
    </row>
    <row r="1032" spans="1:81" s="230" customFormat="1" ht="15.75" customHeight="1" outlineLevel="6" x14ac:dyDescent="0.25">
      <c r="A1032" s="215"/>
      <c r="B1032" s="215"/>
      <c r="C1032" s="216"/>
      <c r="D1032" s="216"/>
      <c r="E1032" s="216"/>
      <c r="F1032" s="216"/>
      <c r="G1032" s="216"/>
      <c r="H1032" s="216"/>
      <c r="I1032" s="216"/>
      <c r="J1032" s="216"/>
      <c r="K1032" s="217"/>
      <c r="L1032" s="216"/>
      <c r="M1032" s="215"/>
      <c r="N1032" s="215"/>
      <c r="O1032" s="215"/>
      <c r="P1032" s="215"/>
      <c r="Q1032" s="215"/>
      <c r="R1032" s="215"/>
      <c r="S1032" s="215"/>
      <c r="T1032" s="215"/>
      <c r="U1032" s="215"/>
      <c r="V1032" s="215"/>
      <c r="W1032" s="215"/>
      <c r="X1032" s="215"/>
      <c r="Y1032" s="215"/>
      <c r="Z1032" s="215"/>
      <c r="AA1032" s="215"/>
      <c r="AB1032" s="218"/>
      <c r="AC1032" s="219" t="s">
        <v>378</v>
      </c>
      <c r="AD1032" s="259" t="s">
        <v>111</v>
      </c>
      <c r="AE1032" s="260">
        <f t="shared" ref="AE1032:AK1036" si="1332">AE292</f>
        <v>0</v>
      </c>
      <c r="AF1032" s="659">
        <f t="shared" si="1332"/>
        <v>0</v>
      </c>
      <c r="AG1032" s="772">
        <f t="shared" si="1332"/>
        <v>0</v>
      </c>
      <c r="AH1032" s="487">
        <f t="shared" si="1332"/>
        <v>0</v>
      </c>
      <c r="AI1032" s="935">
        <f t="shared" si="1332"/>
        <v>0</v>
      </c>
      <c r="AJ1032" s="659">
        <f t="shared" si="1332"/>
        <v>0</v>
      </c>
      <c r="AK1032" s="659">
        <f t="shared" si="1332"/>
        <v>0</v>
      </c>
      <c r="AL1032" s="482">
        <f t="shared" ref="AL1032" si="1333">AL292</f>
        <v>0</v>
      </c>
      <c r="AM1032" s="935">
        <f t="shared" ref="AM1032:AW1032" si="1334">AM292</f>
        <v>55.16</v>
      </c>
      <c r="AN1032" s="659">
        <f t="shared" si="1334"/>
        <v>0</v>
      </c>
      <c r="AO1032" s="659">
        <f t="shared" si="1334"/>
        <v>33.380000000000003</v>
      </c>
      <c r="AP1032" s="482">
        <f t="shared" si="1334"/>
        <v>0</v>
      </c>
      <c r="AQ1032" s="935">
        <f t="shared" si="1334"/>
        <v>0</v>
      </c>
      <c r="AR1032" s="659">
        <f t="shared" si="1334"/>
        <v>0</v>
      </c>
      <c r="AS1032" s="659">
        <f t="shared" si="1334"/>
        <v>0</v>
      </c>
      <c r="AT1032" s="482">
        <f t="shared" si="1334"/>
        <v>0</v>
      </c>
      <c r="AU1032" s="935">
        <f t="shared" si="1334"/>
        <v>0</v>
      </c>
      <c r="AV1032" s="659">
        <f t="shared" si="1334"/>
        <v>0</v>
      </c>
      <c r="AW1032" s="659">
        <f t="shared" si="1334"/>
        <v>0</v>
      </c>
      <c r="AX1032" s="482">
        <f t="shared" ref="AX1032" si="1335">AX292</f>
        <v>0</v>
      </c>
      <c r="AY1032" s="935">
        <f t="shared" ref="AY1032:BA1036" si="1336">AY292</f>
        <v>0</v>
      </c>
      <c r="AZ1032" s="659">
        <f t="shared" si="1336"/>
        <v>0</v>
      </c>
      <c r="BA1032" s="659">
        <f t="shared" si="1336"/>
        <v>0</v>
      </c>
      <c r="BB1032" s="482">
        <f t="shared" ref="BB1032" si="1337">BB292</f>
        <v>0</v>
      </c>
      <c r="BC1032" s="935">
        <f t="shared" ref="BC1032:BE1036" si="1338">BC292</f>
        <v>0</v>
      </c>
      <c r="BD1032" s="659">
        <f t="shared" si="1338"/>
        <v>0</v>
      </c>
      <c r="BE1032" s="659">
        <f t="shared" si="1338"/>
        <v>0</v>
      </c>
      <c r="BF1032" s="482">
        <f t="shared" ref="BF1032" si="1339">BF292</f>
        <v>0</v>
      </c>
      <c r="BG1032" s="935">
        <f t="shared" ref="BG1032:BI1036" si="1340">BG292</f>
        <v>0</v>
      </c>
      <c r="BH1032" s="659">
        <f t="shared" si="1340"/>
        <v>0</v>
      </c>
      <c r="BI1032" s="659">
        <f t="shared" si="1340"/>
        <v>0</v>
      </c>
      <c r="BJ1032" s="482">
        <f t="shared" ref="BJ1032" si="1341">BJ292</f>
        <v>0</v>
      </c>
      <c r="BK1032" s="935">
        <f t="shared" ref="BK1032:BM1036" si="1342">BK292</f>
        <v>0</v>
      </c>
      <c r="BL1032" s="659">
        <f t="shared" si="1342"/>
        <v>0</v>
      </c>
      <c r="BM1032" s="659">
        <f t="shared" si="1342"/>
        <v>0</v>
      </c>
      <c r="BN1032" s="482">
        <f t="shared" ref="BN1032" si="1343">BN292</f>
        <v>0</v>
      </c>
      <c r="BO1032" s="935">
        <f t="shared" ref="BO1032:BV1036" si="1344">BO292</f>
        <v>0</v>
      </c>
      <c r="BP1032" s="659">
        <f t="shared" si="1344"/>
        <v>0</v>
      </c>
      <c r="BQ1032" s="659">
        <f t="shared" si="1344"/>
        <v>0</v>
      </c>
      <c r="BR1032" s="482">
        <f t="shared" si="1344"/>
        <v>0</v>
      </c>
      <c r="BS1032" s="935">
        <f t="shared" si="1344"/>
        <v>0</v>
      </c>
      <c r="BT1032" s="659">
        <f t="shared" si="1344"/>
        <v>0</v>
      </c>
      <c r="BU1032" s="659">
        <f t="shared" si="1344"/>
        <v>0</v>
      </c>
      <c r="BV1032" s="936">
        <f t="shared" si="1344"/>
        <v>0</v>
      </c>
      <c r="BW1032" s="229"/>
      <c r="BX1032" s="215"/>
      <c r="BY1032" s="125">
        <f t="shared" si="1185"/>
        <v>55.16</v>
      </c>
      <c r="BZ1032" s="126">
        <f t="shared" si="1186"/>
        <v>0</v>
      </c>
      <c r="CA1032" s="126">
        <f t="shared" si="1187"/>
        <v>33.380000000000003</v>
      </c>
      <c r="CB1032" s="127">
        <f t="shared" si="1187"/>
        <v>0</v>
      </c>
      <c r="CC1032" s="768"/>
    </row>
    <row r="1033" spans="1:81" s="230" customFormat="1" ht="15.75" customHeight="1" outlineLevel="6" x14ac:dyDescent="0.25">
      <c r="A1033" s="215"/>
      <c r="B1033" s="215"/>
      <c r="C1033" s="216"/>
      <c r="D1033" s="216"/>
      <c r="E1033" s="216"/>
      <c r="F1033" s="216"/>
      <c r="G1033" s="216"/>
      <c r="H1033" s="216"/>
      <c r="I1033" s="216"/>
      <c r="J1033" s="216"/>
      <c r="K1033" s="217"/>
      <c r="L1033" s="216"/>
      <c r="M1033" s="215"/>
      <c r="N1033" s="215"/>
      <c r="O1033" s="215"/>
      <c r="P1033" s="215"/>
      <c r="Q1033" s="215"/>
      <c r="R1033" s="215"/>
      <c r="S1033" s="215"/>
      <c r="T1033" s="215"/>
      <c r="U1033" s="215"/>
      <c r="V1033" s="215"/>
      <c r="W1033" s="215"/>
      <c r="X1033" s="215"/>
      <c r="Y1033" s="215"/>
      <c r="Z1033" s="215"/>
      <c r="AA1033" s="215"/>
      <c r="AB1033" s="218"/>
      <c r="AC1033" s="219" t="s">
        <v>379</v>
      </c>
      <c r="AD1033" s="259" t="s">
        <v>111</v>
      </c>
      <c r="AE1033" s="260">
        <f t="shared" si="1332"/>
        <v>0</v>
      </c>
      <c r="AF1033" s="659">
        <f t="shared" si="1332"/>
        <v>0</v>
      </c>
      <c r="AG1033" s="772">
        <f t="shared" si="1332"/>
        <v>0</v>
      </c>
      <c r="AH1033" s="487">
        <f t="shared" si="1332"/>
        <v>0</v>
      </c>
      <c r="AI1033" s="935">
        <f t="shared" si="1332"/>
        <v>0</v>
      </c>
      <c r="AJ1033" s="659">
        <f t="shared" si="1332"/>
        <v>0</v>
      </c>
      <c r="AK1033" s="659">
        <f t="shared" si="1332"/>
        <v>0</v>
      </c>
      <c r="AL1033" s="482">
        <f t="shared" ref="AL1033" si="1345">AL293</f>
        <v>0</v>
      </c>
      <c r="AM1033" s="935">
        <f t="shared" ref="AM1033:AW1033" si="1346">AM293</f>
        <v>10.199999999999999</v>
      </c>
      <c r="AN1033" s="659">
        <f t="shared" si="1346"/>
        <v>0</v>
      </c>
      <c r="AO1033" s="659">
        <f t="shared" si="1346"/>
        <v>11.22</v>
      </c>
      <c r="AP1033" s="482">
        <f t="shared" si="1346"/>
        <v>0</v>
      </c>
      <c r="AQ1033" s="935">
        <f t="shared" si="1346"/>
        <v>0</v>
      </c>
      <c r="AR1033" s="659">
        <f t="shared" si="1346"/>
        <v>0</v>
      </c>
      <c r="AS1033" s="659">
        <f t="shared" si="1346"/>
        <v>0</v>
      </c>
      <c r="AT1033" s="482">
        <f t="shared" si="1346"/>
        <v>0</v>
      </c>
      <c r="AU1033" s="935">
        <f t="shared" si="1346"/>
        <v>0</v>
      </c>
      <c r="AV1033" s="659">
        <f t="shared" si="1346"/>
        <v>0</v>
      </c>
      <c r="AW1033" s="659">
        <f t="shared" si="1346"/>
        <v>3.42</v>
      </c>
      <c r="AX1033" s="482">
        <f t="shared" ref="AX1033" si="1347">AX293</f>
        <v>0</v>
      </c>
      <c r="AY1033" s="935">
        <f t="shared" si="1336"/>
        <v>34.6</v>
      </c>
      <c r="AZ1033" s="659">
        <f t="shared" si="1336"/>
        <v>0</v>
      </c>
      <c r="BA1033" s="659">
        <f t="shared" si="1336"/>
        <v>38.07</v>
      </c>
      <c r="BB1033" s="482">
        <f t="shared" ref="BB1033" si="1348">BB293</f>
        <v>0</v>
      </c>
      <c r="BC1033" s="935">
        <f t="shared" si="1338"/>
        <v>0</v>
      </c>
      <c r="BD1033" s="659">
        <f t="shared" si="1338"/>
        <v>0</v>
      </c>
      <c r="BE1033" s="659">
        <f t="shared" si="1338"/>
        <v>0</v>
      </c>
      <c r="BF1033" s="482">
        <f t="shared" ref="BF1033" si="1349">BF293</f>
        <v>0</v>
      </c>
      <c r="BG1033" s="935">
        <f t="shared" si="1340"/>
        <v>0</v>
      </c>
      <c r="BH1033" s="659">
        <f t="shared" si="1340"/>
        <v>0</v>
      </c>
      <c r="BI1033" s="659">
        <f t="shared" si="1340"/>
        <v>0</v>
      </c>
      <c r="BJ1033" s="482">
        <f t="shared" ref="BJ1033" si="1350">BJ293</f>
        <v>0</v>
      </c>
      <c r="BK1033" s="935">
        <f t="shared" si="1342"/>
        <v>0</v>
      </c>
      <c r="BL1033" s="659">
        <f t="shared" si="1342"/>
        <v>0</v>
      </c>
      <c r="BM1033" s="659">
        <f t="shared" si="1342"/>
        <v>0</v>
      </c>
      <c r="BN1033" s="482">
        <f t="shared" ref="BN1033" si="1351">BN293</f>
        <v>0</v>
      </c>
      <c r="BO1033" s="935">
        <f t="shared" si="1344"/>
        <v>0</v>
      </c>
      <c r="BP1033" s="659">
        <f t="shared" si="1344"/>
        <v>0</v>
      </c>
      <c r="BQ1033" s="659">
        <f t="shared" si="1344"/>
        <v>0</v>
      </c>
      <c r="BR1033" s="482">
        <f t="shared" si="1344"/>
        <v>0</v>
      </c>
      <c r="BS1033" s="935">
        <f t="shared" si="1344"/>
        <v>0</v>
      </c>
      <c r="BT1033" s="659">
        <f t="shared" si="1344"/>
        <v>0</v>
      </c>
      <c r="BU1033" s="659">
        <f t="shared" si="1344"/>
        <v>0</v>
      </c>
      <c r="BV1033" s="936">
        <f t="shared" si="1344"/>
        <v>0</v>
      </c>
      <c r="BW1033" s="229"/>
      <c r="BX1033" s="215"/>
      <c r="BY1033" s="125">
        <f t="shared" si="1185"/>
        <v>44.8</v>
      </c>
      <c r="BZ1033" s="126">
        <f t="shared" si="1186"/>
        <v>0</v>
      </c>
      <c r="CA1033" s="126">
        <f t="shared" si="1187"/>
        <v>52.71</v>
      </c>
      <c r="CB1033" s="127">
        <f t="shared" si="1187"/>
        <v>0</v>
      </c>
      <c r="CC1033" s="768"/>
    </row>
    <row r="1034" spans="1:81" s="230" customFormat="1" ht="15.75" customHeight="1" outlineLevel="6" x14ac:dyDescent="0.25">
      <c r="A1034" s="215"/>
      <c r="B1034" s="215"/>
      <c r="C1034" s="216"/>
      <c r="D1034" s="216"/>
      <c r="E1034" s="216"/>
      <c r="F1034" s="216"/>
      <c r="G1034" s="216"/>
      <c r="H1034" s="216"/>
      <c r="I1034" s="216"/>
      <c r="J1034" s="216"/>
      <c r="K1034" s="217"/>
      <c r="L1034" s="216"/>
      <c r="M1034" s="215"/>
      <c r="N1034" s="215"/>
      <c r="O1034" s="215"/>
      <c r="P1034" s="215"/>
      <c r="Q1034" s="215"/>
      <c r="R1034" s="215"/>
      <c r="S1034" s="215"/>
      <c r="T1034" s="215"/>
      <c r="U1034" s="215"/>
      <c r="V1034" s="215"/>
      <c r="W1034" s="215"/>
      <c r="X1034" s="215"/>
      <c r="Y1034" s="215"/>
      <c r="Z1034" s="215"/>
      <c r="AA1034" s="215"/>
      <c r="AB1034" s="218"/>
      <c r="AC1034" s="219" t="s">
        <v>380</v>
      </c>
      <c r="AD1034" s="259" t="s">
        <v>111</v>
      </c>
      <c r="AE1034" s="260">
        <f t="shared" si="1332"/>
        <v>0</v>
      </c>
      <c r="AF1034" s="659">
        <f t="shared" si="1332"/>
        <v>0</v>
      </c>
      <c r="AG1034" s="772">
        <f t="shared" si="1332"/>
        <v>0</v>
      </c>
      <c r="AH1034" s="487">
        <f t="shared" si="1332"/>
        <v>0</v>
      </c>
      <c r="AI1034" s="935">
        <f t="shared" si="1332"/>
        <v>0</v>
      </c>
      <c r="AJ1034" s="659">
        <f t="shared" si="1332"/>
        <v>0</v>
      </c>
      <c r="AK1034" s="659">
        <f t="shared" si="1332"/>
        <v>0</v>
      </c>
      <c r="AL1034" s="482">
        <f t="shared" ref="AL1034" si="1352">AL294</f>
        <v>0</v>
      </c>
      <c r="AM1034" s="935">
        <f t="shared" ref="AM1034:AW1034" si="1353">AM294</f>
        <v>12.2</v>
      </c>
      <c r="AN1034" s="659">
        <f t="shared" si="1353"/>
        <v>10.8</v>
      </c>
      <c r="AO1034" s="659">
        <f t="shared" si="1353"/>
        <v>449.77</v>
      </c>
      <c r="AP1034" s="482">
        <f t="shared" si="1353"/>
        <v>0</v>
      </c>
      <c r="AQ1034" s="935">
        <f t="shared" si="1353"/>
        <v>10.199999999999999</v>
      </c>
      <c r="AR1034" s="659">
        <f t="shared" si="1353"/>
        <v>20.48</v>
      </c>
      <c r="AS1034" s="659">
        <f t="shared" si="1353"/>
        <v>11.22</v>
      </c>
      <c r="AT1034" s="482">
        <f t="shared" si="1353"/>
        <v>0</v>
      </c>
      <c r="AU1034" s="935">
        <f t="shared" si="1353"/>
        <v>0</v>
      </c>
      <c r="AV1034" s="659">
        <f t="shared" si="1353"/>
        <v>0</v>
      </c>
      <c r="AW1034" s="659">
        <f t="shared" si="1353"/>
        <v>0</v>
      </c>
      <c r="AX1034" s="482">
        <f t="shared" ref="AX1034" si="1354">AX294</f>
        <v>0</v>
      </c>
      <c r="AY1034" s="935">
        <f t="shared" si="1336"/>
        <v>0</v>
      </c>
      <c r="AZ1034" s="659">
        <f t="shared" si="1336"/>
        <v>0</v>
      </c>
      <c r="BA1034" s="659">
        <f t="shared" si="1336"/>
        <v>0</v>
      </c>
      <c r="BB1034" s="482">
        <f t="shared" ref="BB1034" si="1355">BB294</f>
        <v>0</v>
      </c>
      <c r="BC1034" s="935">
        <f t="shared" si="1338"/>
        <v>0</v>
      </c>
      <c r="BD1034" s="659">
        <f t="shared" si="1338"/>
        <v>0</v>
      </c>
      <c r="BE1034" s="659">
        <f t="shared" si="1338"/>
        <v>0</v>
      </c>
      <c r="BF1034" s="482">
        <f t="shared" ref="BF1034" si="1356">BF294</f>
        <v>0</v>
      </c>
      <c r="BG1034" s="935">
        <f t="shared" si="1340"/>
        <v>0</v>
      </c>
      <c r="BH1034" s="659">
        <f t="shared" si="1340"/>
        <v>0</v>
      </c>
      <c r="BI1034" s="659">
        <f t="shared" si="1340"/>
        <v>0</v>
      </c>
      <c r="BJ1034" s="482">
        <f t="shared" ref="BJ1034" si="1357">BJ294</f>
        <v>0</v>
      </c>
      <c r="BK1034" s="935">
        <f t="shared" si="1342"/>
        <v>43.08</v>
      </c>
      <c r="BL1034" s="659">
        <f t="shared" si="1342"/>
        <v>0</v>
      </c>
      <c r="BM1034" s="659">
        <f t="shared" si="1342"/>
        <v>46.6</v>
      </c>
      <c r="BN1034" s="482">
        <f t="shared" ref="BN1034" si="1358">BN294</f>
        <v>0</v>
      </c>
      <c r="BO1034" s="935">
        <f t="shared" si="1344"/>
        <v>0</v>
      </c>
      <c r="BP1034" s="659">
        <f t="shared" si="1344"/>
        <v>0</v>
      </c>
      <c r="BQ1034" s="659">
        <f t="shared" si="1344"/>
        <v>0</v>
      </c>
      <c r="BR1034" s="482">
        <f t="shared" si="1344"/>
        <v>0</v>
      </c>
      <c r="BS1034" s="937">
        <f t="shared" si="1344"/>
        <v>22.68</v>
      </c>
      <c r="BT1034" s="665">
        <f t="shared" si="1344"/>
        <v>20</v>
      </c>
      <c r="BU1034" s="665">
        <f t="shared" si="1344"/>
        <v>45</v>
      </c>
      <c r="BV1034" s="1018">
        <f t="shared" si="1344"/>
        <v>0</v>
      </c>
      <c r="BW1034" s="229"/>
      <c r="BX1034" s="215"/>
      <c r="BY1034" s="125">
        <f t="shared" si="1185"/>
        <v>88.16</v>
      </c>
      <c r="BZ1034" s="126">
        <f t="shared" si="1186"/>
        <v>51.28</v>
      </c>
      <c r="CA1034" s="126">
        <f t="shared" si="1187"/>
        <v>552.59</v>
      </c>
      <c r="CB1034" s="127">
        <f t="shared" si="1187"/>
        <v>0</v>
      </c>
      <c r="CC1034" s="768"/>
    </row>
    <row r="1035" spans="1:81" s="230" customFormat="1" ht="15.75" customHeight="1" outlineLevel="6" x14ac:dyDescent="0.25">
      <c r="A1035" s="215"/>
      <c r="B1035" s="215"/>
      <c r="C1035" s="216"/>
      <c r="D1035" s="216"/>
      <c r="E1035" s="216"/>
      <c r="F1035" s="216"/>
      <c r="G1035" s="216"/>
      <c r="H1035" s="216"/>
      <c r="I1035" s="216"/>
      <c r="J1035" s="216"/>
      <c r="K1035" s="217"/>
      <c r="L1035" s="216"/>
      <c r="M1035" s="215"/>
      <c r="N1035" s="215"/>
      <c r="O1035" s="215"/>
      <c r="P1035" s="215"/>
      <c r="Q1035" s="215"/>
      <c r="R1035" s="215"/>
      <c r="S1035" s="215"/>
      <c r="T1035" s="215"/>
      <c r="U1035" s="215"/>
      <c r="V1035" s="215"/>
      <c r="W1035" s="215"/>
      <c r="X1035" s="215"/>
      <c r="Y1035" s="215"/>
      <c r="Z1035" s="215"/>
      <c r="AA1035" s="215"/>
      <c r="AB1035" s="218"/>
      <c r="AC1035" s="219" t="s">
        <v>377</v>
      </c>
      <c r="AD1035" s="259" t="s">
        <v>111</v>
      </c>
      <c r="AE1035" s="260">
        <f t="shared" si="1332"/>
        <v>0</v>
      </c>
      <c r="AF1035" s="659">
        <f t="shared" si="1332"/>
        <v>0</v>
      </c>
      <c r="AG1035" s="772">
        <f t="shared" si="1332"/>
        <v>0</v>
      </c>
      <c r="AH1035" s="487">
        <f t="shared" si="1332"/>
        <v>0</v>
      </c>
      <c r="AI1035" s="935">
        <f t="shared" si="1332"/>
        <v>0</v>
      </c>
      <c r="AJ1035" s="659">
        <f t="shared" si="1332"/>
        <v>0</v>
      </c>
      <c r="AK1035" s="659">
        <f t="shared" si="1332"/>
        <v>0</v>
      </c>
      <c r="AL1035" s="482">
        <f t="shared" ref="AL1035" si="1359">AL295</f>
        <v>0</v>
      </c>
      <c r="AM1035" s="935">
        <f t="shared" ref="AM1035:AW1035" si="1360">AM295</f>
        <v>2.8</v>
      </c>
      <c r="AN1035" s="659">
        <f t="shared" si="1360"/>
        <v>0</v>
      </c>
      <c r="AO1035" s="659">
        <f t="shared" si="1360"/>
        <v>3.08</v>
      </c>
      <c r="AP1035" s="482">
        <f t="shared" si="1360"/>
        <v>0</v>
      </c>
      <c r="AQ1035" s="935">
        <f t="shared" si="1360"/>
        <v>76.94</v>
      </c>
      <c r="AR1035" s="659">
        <f t="shared" si="1360"/>
        <v>80</v>
      </c>
      <c r="AS1035" s="659">
        <f t="shared" si="1360"/>
        <v>84.65</v>
      </c>
      <c r="AT1035" s="482">
        <f t="shared" si="1360"/>
        <v>0</v>
      </c>
      <c r="AU1035" s="935">
        <f t="shared" si="1360"/>
        <v>10.91</v>
      </c>
      <c r="AV1035" s="659">
        <f t="shared" si="1360"/>
        <v>0</v>
      </c>
      <c r="AW1035" s="659">
        <f t="shared" si="1360"/>
        <v>12</v>
      </c>
      <c r="AX1035" s="482">
        <f t="shared" ref="AX1035" si="1361">AX295</f>
        <v>0</v>
      </c>
      <c r="AY1035" s="935">
        <f t="shared" si="1336"/>
        <v>38.64</v>
      </c>
      <c r="AZ1035" s="659">
        <f t="shared" si="1336"/>
        <v>0</v>
      </c>
      <c r="BA1035" s="659">
        <f t="shared" si="1336"/>
        <v>40.880000000000003</v>
      </c>
      <c r="BB1035" s="482">
        <f t="shared" ref="BB1035" si="1362">BB295</f>
        <v>0</v>
      </c>
      <c r="BC1035" s="935">
        <f t="shared" si="1338"/>
        <v>0</v>
      </c>
      <c r="BD1035" s="659">
        <f t="shared" si="1338"/>
        <v>0</v>
      </c>
      <c r="BE1035" s="659">
        <f t="shared" si="1338"/>
        <v>0</v>
      </c>
      <c r="BF1035" s="482">
        <f t="shared" ref="BF1035" si="1363">BF295</f>
        <v>0</v>
      </c>
      <c r="BG1035" s="935">
        <f t="shared" si="1340"/>
        <v>0</v>
      </c>
      <c r="BH1035" s="659">
        <f t="shared" si="1340"/>
        <v>0</v>
      </c>
      <c r="BI1035" s="659">
        <f t="shared" si="1340"/>
        <v>0</v>
      </c>
      <c r="BJ1035" s="482">
        <f t="shared" ref="BJ1035" si="1364">BJ295</f>
        <v>0</v>
      </c>
      <c r="BK1035" s="935">
        <f t="shared" si="1342"/>
        <v>0</v>
      </c>
      <c r="BL1035" s="659">
        <f t="shared" si="1342"/>
        <v>0</v>
      </c>
      <c r="BM1035" s="659">
        <f t="shared" si="1342"/>
        <v>0</v>
      </c>
      <c r="BN1035" s="482">
        <f t="shared" ref="BN1035" si="1365">BN295</f>
        <v>0</v>
      </c>
      <c r="BO1035" s="935">
        <f t="shared" si="1344"/>
        <v>0</v>
      </c>
      <c r="BP1035" s="659">
        <f t="shared" si="1344"/>
        <v>0</v>
      </c>
      <c r="BQ1035" s="659">
        <f t="shared" si="1344"/>
        <v>0</v>
      </c>
      <c r="BR1035" s="482">
        <f t="shared" si="1344"/>
        <v>0</v>
      </c>
      <c r="BS1035" s="935">
        <f t="shared" si="1344"/>
        <v>0</v>
      </c>
      <c r="BT1035" s="659">
        <f t="shared" si="1344"/>
        <v>0</v>
      </c>
      <c r="BU1035" s="659">
        <f t="shared" si="1344"/>
        <v>0</v>
      </c>
      <c r="BV1035" s="936">
        <f t="shared" si="1344"/>
        <v>0</v>
      </c>
      <c r="BW1035" s="229"/>
      <c r="BX1035" s="215"/>
      <c r="BY1035" s="125">
        <f t="shared" si="1185"/>
        <v>129.29</v>
      </c>
      <c r="BZ1035" s="126">
        <f t="shared" si="1186"/>
        <v>80</v>
      </c>
      <c r="CA1035" s="126">
        <f t="shared" si="1187"/>
        <v>140.61000000000001</v>
      </c>
      <c r="CB1035" s="127">
        <f t="shared" si="1187"/>
        <v>0</v>
      </c>
      <c r="CC1035" s="768"/>
    </row>
    <row r="1036" spans="1:81" s="230" customFormat="1" ht="15.75" customHeight="1" outlineLevel="6" x14ac:dyDescent="0.25">
      <c r="A1036" s="215"/>
      <c r="B1036" s="215"/>
      <c r="C1036" s="216"/>
      <c r="D1036" s="216"/>
      <c r="E1036" s="216"/>
      <c r="F1036" s="216"/>
      <c r="G1036" s="216"/>
      <c r="H1036" s="216"/>
      <c r="I1036" s="216"/>
      <c r="J1036" s="216"/>
      <c r="K1036" s="217"/>
      <c r="L1036" s="216"/>
      <c r="M1036" s="215"/>
      <c r="N1036" s="215"/>
      <c r="O1036" s="215"/>
      <c r="P1036" s="215"/>
      <c r="Q1036" s="215"/>
      <c r="R1036" s="215"/>
      <c r="S1036" s="215"/>
      <c r="T1036" s="215"/>
      <c r="U1036" s="215"/>
      <c r="V1036" s="215"/>
      <c r="W1036" s="215"/>
      <c r="X1036" s="215"/>
      <c r="Y1036" s="215"/>
      <c r="Z1036" s="215"/>
      <c r="AA1036" s="215"/>
      <c r="AB1036" s="218"/>
      <c r="AC1036" s="219" t="s">
        <v>381</v>
      </c>
      <c r="AD1036" s="259" t="s">
        <v>111</v>
      </c>
      <c r="AE1036" s="260">
        <f t="shared" si="1332"/>
        <v>0</v>
      </c>
      <c r="AF1036" s="659">
        <f t="shared" si="1332"/>
        <v>0</v>
      </c>
      <c r="AG1036" s="772">
        <f t="shared" si="1332"/>
        <v>0</v>
      </c>
      <c r="AH1036" s="487">
        <f t="shared" si="1332"/>
        <v>0</v>
      </c>
      <c r="AI1036" s="935">
        <f t="shared" si="1332"/>
        <v>0</v>
      </c>
      <c r="AJ1036" s="659">
        <f t="shared" si="1332"/>
        <v>0</v>
      </c>
      <c r="AK1036" s="659">
        <f t="shared" si="1332"/>
        <v>0</v>
      </c>
      <c r="AL1036" s="482">
        <f t="shared" ref="AL1036" si="1366">AL296</f>
        <v>0</v>
      </c>
      <c r="AM1036" s="935">
        <f t="shared" ref="AM1036:AW1036" si="1367">AM296</f>
        <v>4.6500000000000004</v>
      </c>
      <c r="AN1036" s="659">
        <f t="shared" si="1367"/>
        <v>0</v>
      </c>
      <c r="AO1036" s="659">
        <f t="shared" si="1367"/>
        <v>5.12</v>
      </c>
      <c r="AP1036" s="482">
        <f t="shared" si="1367"/>
        <v>0</v>
      </c>
      <c r="AQ1036" s="935">
        <f t="shared" si="1367"/>
        <v>3.3</v>
      </c>
      <c r="AR1036" s="659">
        <f t="shared" si="1367"/>
        <v>0</v>
      </c>
      <c r="AS1036" s="659">
        <f t="shared" si="1367"/>
        <v>3.63</v>
      </c>
      <c r="AT1036" s="482">
        <f t="shared" si="1367"/>
        <v>0</v>
      </c>
      <c r="AU1036" s="935">
        <f t="shared" si="1367"/>
        <v>0</v>
      </c>
      <c r="AV1036" s="659">
        <f t="shared" si="1367"/>
        <v>0</v>
      </c>
      <c r="AW1036" s="659">
        <f t="shared" si="1367"/>
        <v>0</v>
      </c>
      <c r="AX1036" s="482">
        <f t="shared" ref="AX1036" si="1368">AX296</f>
        <v>0</v>
      </c>
      <c r="AY1036" s="935">
        <f t="shared" si="1336"/>
        <v>0</v>
      </c>
      <c r="AZ1036" s="659">
        <f t="shared" si="1336"/>
        <v>0</v>
      </c>
      <c r="BA1036" s="659">
        <f t="shared" si="1336"/>
        <v>0</v>
      </c>
      <c r="BB1036" s="482">
        <f t="shared" ref="BB1036" si="1369">BB296</f>
        <v>0</v>
      </c>
      <c r="BC1036" s="935">
        <f t="shared" si="1338"/>
        <v>0</v>
      </c>
      <c r="BD1036" s="659">
        <f t="shared" si="1338"/>
        <v>0</v>
      </c>
      <c r="BE1036" s="659">
        <f t="shared" si="1338"/>
        <v>0</v>
      </c>
      <c r="BF1036" s="482">
        <f t="shared" ref="BF1036" si="1370">BF296</f>
        <v>0</v>
      </c>
      <c r="BG1036" s="935">
        <f t="shared" si="1340"/>
        <v>0</v>
      </c>
      <c r="BH1036" s="659">
        <f t="shared" si="1340"/>
        <v>0</v>
      </c>
      <c r="BI1036" s="659">
        <f t="shared" si="1340"/>
        <v>0</v>
      </c>
      <c r="BJ1036" s="482">
        <f t="shared" ref="BJ1036" si="1371">BJ296</f>
        <v>0</v>
      </c>
      <c r="BK1036" s="935">
        <f t="shared" si="1342"/>
        <v>1</v>
      </c>
      <c r="BL1036" s="659">
        <f t="shared" si="1342"/>
        <v>0</v>
      </c>
      <c r="BM1036" s="659">
        <f t="shared" si="1342"/>
        <v>1</v>
      </c>
      <c r="BN1036" s="482">
        <f t="shared" ref="BN1036" si="1372">BN296</f>
        <v>0</v>
      </c>
      <c r="BO1036" s="935">
        <f t="shared" si="1344"/>
        <v>0</v>
      </c>
      <c r="BP1036" s="659">
        <f t="shared" si="1344"/>
        <v>0</v>
      </c>
      <c r="BQ1036" s="659">
        <f t="shared" si="1344"/>
        <v>0</v>
      </c>
      <c r="BR1036" s="482">
        <f t="shared" si="1344"/>
        <v>0</v>
      </c>
      <c r="BS1036" s="935">
        <f t="shared" si="1344"/>
        <v>0</v>
      </c>
      <c r="BT1036" s="659">
        <f t="shared" si="1344"/>
        <v>0</v>
      </c>
      <c r="BU1036" s="659">
        <f t="shared" si="1344"/>
        <v>0</v>
      </c>
      <c r="BV1036" s="936">
        <f t="shared" si="1344"/>
        <v>0</v>
      </c>
      <c r="BW1036" s="229"/>
      <c r="BX1036" s="215"/>
      <c r="BY1036" s="125">
        <f t="shared" si="1185"/>
        <v>8.9499999999999993</v>
      </c>
      <c r="BZ1036" s="126">
        <f t="shared" si="1186"/>
        <v>0</v>
      </c>
      <c r="CA1036" s="126">
        <f t="shared" si="1187"/>
        <v>9.75</v>
      </c>
      <c r="CB1036" s="127">
        <f t="shared" si="1187"/>
        <v>0</v>
      </c>
      <c r="CC1036" s="768"/>
    </row>
    <row r="1037" spans="1:81" s="230" customFormat="1" ht="15.75" customHeight="1" outlineLevel="6" x14ac:dyDescent="0.25">
      <c r="A1037" s="215"/>
      <c r="B1037" s="215"/>
      <c r="C1037" s="216"/>
      <c r="D1037" s="216"/>
      <c r="E1037" s="216"/>
      <c r="F1037" s="216"/>
      <c r="G1037" s="216"/>
      <c r="H1037" s="216"/>
      <c r="I1037" s="216"/>
      <c r="J1037" s="216"/>
      <c r="K1037" s="217"/>
      <c r="L1037" s="216"/>
      <c r="M1037" s="215"/>
      <c r="N1037" s="215"/>
      <c r="O1037" s="215"/>
      <c r="P1037" s="215"/>
      <c r="Q1037" s="215"/>
      <c r="R1037" s="215"/>
      <c r="S1037" s="215"/>
      <c r="T1037" s="215"/>
      <c r="U1037" s="215"/>
      <c r="V1037" s="215"/>
      <c r="W1037" s="215"/>
      <c r="X1037" s="215"/>
      <c r="Y1037" s="215"/>
      <c r="Z1037" s="215"/>
      <c r="AA1037" s="215"/>
      <c r="AB1037" s="218"/>
      <c r="AC1037" s="219" t="s">
        <v>382</v>
      </c>
      <c r="AD1037" s="259" t="s">
        <v>111</v>
      </c>
      <c r="AE1037" s="935">
        <f t="shared" ref="AE1037:AK1037" si="1373">AE297+AE634</f>
        <v>8837.91</v>
      </c>
      <c r="AF1037" s="659">
        <f t="shared" si="1373"/>
        <v>0</v>
      </c>
      <c r="AG1037" s="659">
        <f t="shared" si="1373"/>
        <v>0</v>
      </c>
      <c r="AH1037" s="482">
        <f t="shared" si="1373"/>
        <v>0</v>
      </c>
      <c r="AI1037" s="935">
        <f t="shared" si="1373"/>
        <v>0</v>
      </c>
      <c r="AJ1037" s="659">
        <f t="shared" si="1373"/>
        <v>0</v>
      </c>
      <c r="AK1037" s="659">
        <f t="shared" si="1373"/>
        <v>0</v>
      </c>
      <c r="AL1037" s="482">
        <f t="shared" ref="AL1037" si="1374">AL297+AL634</f>
        <v>0</v>
      </c>
      <c r="AM1037" s="935">
        <f t="shared" ref="AM1037:AW1037" si="1375">AM297+AM634</f>
        <v>0</v>
      </c>
      <c r="AN1037" s="659">
        <f t="shared" si="1375"/>
        <v>0</v>
      </c>
      <c r="AO1037" s="659">
        <f t="shared" si="1375"/>
        <v>182.2</v>
      </c>
      <c r="AP1037" s="482">
        <f t="shared" si="1375"/>
        <v>0</v>
      </c>
      <c r="AQ1037" s="935">
        <f t="shared" si="1375"/>
        <v>0</v>
      </c>
      <c r="AR1037" s="659">
        <f t="shared" si="1375"/>
        <v>46.43</v>
      </c>
      <c r="AS1037" s="659">
        <f t="shared" si="1375"/>
        <v>98.86</v>
      </c>
      <c r="AT1037" s="482">
        <f t="shared" si="1375"/>
        <v>0</v>
      </c>
      <c r="AU1037" s="935">
        <f t="shared" si="1375"/>
        <v>0</v>
      </c>
      <c r="AV1037" s="659">
        <f t="shared" si="1375"/>
        <v>0</v>
      </c>
      <c r="AW1037" s="659">
        <f t="shared" si="1375"/>
        <v>21.370000000000005</v>
      </c>
      <c r="AX1037" s="482">
        <f t="shared" ref="AX1037" si="1376">AX297+AX634</f>
        <v>0</v>
      </c>
      <c r="AY1037" s="935">
        <f t="shared" ref="AY1037:BN1037" si="1377">AY297+AY634</f>
        <v>0</v>
      </c>
      <c r="AZ1037" s="659">
        <f t="shared" si="1377"/>
        <v>0</v>
      </c>
      <c r="BA1037" s="659">
        <f t="shared" si="1377"/>
        <v>0</v>
      </c>
      <c r="BB1037" s="482">
        <f t="shared" si="1377"/>
        <v>0</v>
      </c>
      <c r="BC1037" s="935">
        <f t="shared" si="1377"/>
        <v>0</v>
      </c>
      <c r="BD1037" s="659">
        <f t="shared" si="1377"/>
        <v>0</v>
      </c>
      <c r="BE1037" s="659">
        <f t="shared" si="1377"/>
        <v>0</v>
      </c>
      <c r="BF1037" s="482">
        <f t="shared" si="1377"/>
        <v>0</v>
      </c>
      <c r="BG1037" s="935">
        <f t="shared" si="1377"/>
        <v>0</v>
      </c>
      <c r="BH1037" s="659">
        <f t="shared" si="1377"/>
        <v>131.83000000000001</v>
      </c>
      <c r="BI1037" s="659">
        <f t="shared" si="1377"/>
        <v>99.944000000000003</v>
      </c>
      <c r="BJ1037" s="482">
        <f t="shared" si="1377"/>
        <v>137.16647840000002</v>
      </c>
      <c r="BK1037" s="935">
        <f t="shared" si="1377"/>
        <v>11.83</v>
      </c>
      <c r="BL1037" s="659">
        <f t="shared" si="1377"/>
        <v>0</v>
      </c>
      <c r="BM1037" s="659">
        <f t="shared" si="1377"/>
        <v>15</v>
      </c>
      <c r="BN1037" s="482">
        <f t="shared" si="1377"/>
        <v>0</v>
      </c>
      <c r="BO1037" s="935">
        <f t="shared" ref="BO1037:BV1037" si="1378">BO297+BO634</f>
        <v>0</v>
      </c>
      <c r="BP1037" s="659">
        <f t="shared" si="1378"/>
        <v>0</v>
      </c>
      <c r="BQ1037" s="659">
        <f t="shared" si="1378"/>
        <v>17.87</v>
      </c>
      <c r="BR1037" s="482">
        <f t="shared" si="1378"/>
        <v>0</v>
      </c>
      <c r="BS1037" s="935">
        <f t="shared" si="1378"/>
        <v>0</v>
      </c>
      <c r="BT1037" s="659">
        <f t="shared" si="1378"/>
        <v>0</v>
      </c>
      <c r="BU1037" s="659">
        <f t="shared" si="1378"/>
        <v>54.29</v>
      </c>
      <c r="BV1037" s="936">
        <f t="shared" si="1378"/>
        <v>0</v>
      </c>
      <c r="BW1037" s="229"/>
      <c r="BX1037" s="215"/>
      <c r="BY1037" s="125">
        <f t="shared" si="1185"/>
        <v>8849.74</v>
      </c>
      <c r="BZ1037" s="126">
        <f t="shared" si="1186"/>
        <v>178.26000000000002</v>
      </c>
      <c r="CA1037" s="126">
        <f t="shared" si="1187"/>
        <v>489.53400000000005</v>
      </c>
      <c r="CB1037" s="127">
        <f t="shared" si="1187"/>
        <v>137.16647840000002</v>
      </c>
      <c r="CC1037" s="768"/>
    </row>
    <row r="1038" spans="1:81" s="230" customFormat="1" ht="15.75" customHeight="1" outlineLevel="6" x14ac:dyDescent="0.25">
      <c r="A1038" s="215"/>
      <c r="B1038" s="215"/>
      <c r="C1038" s="216"/>
      <c r="D1038" s="216"/>
      <c r="E1038" s="216"/>
      <c r="F1038" s="216"/>
      <c r="G1038" s="216"/>
      <c r="H1038" s="216"/>
      <c r="I1038" s="216"/>
      <c r="J1038" s="216"/>
      <c r="K1038" s="217"/>
      <c r="L1038" s="216"/>
      <c r="M1038" s="215"/>
      <c r="N1038" s="215"/>
      <c r="O1038" s="215"/>
      <c r="P1038" s="215"/>
      <c r="Q1038" s="215"/>
      <c r="R1038" s="215"/>
      <c r="S1038" s="215"/>
      <c r="T1038" s="215"/>
      <c r="U1038" s="215"/>
      <c r="V1038" s="215"/>
      <c r="W1038" s="215"/>
      <c r="X1038" s="215"/>
      <c r="Y1038" s="215"/>
      <c r="Z1038" s="215"/>
      <c r="AA1038" s="215"/>
      <c r="AB1038" s="218"/>
      <c r="AC1038" s="219" t="s">
        <v>383</v>
      </c>
      <c r="AD1038" s="259" t="s">
        <v>111</v>
      </c>
      <c r="AE1038" s="260">
        <f t="shared" ref="AE1038:AK1038" si="1379">AE298</f>
        <v>0</v>
      </c>
      <c r="AF1038" s="659">
        <f t="shared" si="1379"/>
        <v>0</v>
      </c>
      <c r="AG1038" s="772">
        <f t="shared" si="1379"/>
        <v>0</v>
      </c>
      <c r="AH1038" s="487">
        <f t="shared" si="1379"/>
        <v>0</v>
      </c>
      <c r="AI1038" s="935">
        <f t="shared" si="1379"/>
        <v>0</v>
      </c>
      <c r="AJ1038" s="659">
        <f t="shared" si="1379"/>
        <v>0</v>
      </c>
      <c r="AK1038" s="659">
        <f t="shared" si="1379"/>
        <v>0</v>
      </c>
      <c r="AL1038" s="482">
        <f t="shared" ref="AL1038" si="1380">AL298</f>
        <v>0</v>
      </c>
      <c r="AM1038" s="935">
        <f t="shared" ref="AM1038:AW1038" si="1381">AM298</f>
        <v>0</v>
      </c>
      <c r="AN1038" s="659">
        <f t="shared" si="1381"/>
        <v>0</v>
      </c>
      <c r="AO1038" s="659">
        <f t="shared" si="1381"/>
        <v>250.97</v>
      </c>
      <c r="AP1038" s="482">
        <f t="shared" si="1381"/>
        <v>0</v>
      </c>
      <c r="AQ1038" s="935">
        <f t="shared" si="1381"/>
        <v>0</v>
      </c>
      <c r="AR1038" s="659">
        <f t="shared" si="1381"/>
        <v>0</v>
      </c>
      <c r="AS1038" s="659">
        <f t="shared" si="1381"/>
        <v>21.13</v>
      </c>
      <c r="AT1038" s="482">
        <f t="shared" si="1381"/>
        <v>0</v>
      </c>
      <c r="AU1038" s="935">
        <f t="shared" si="1381"/>
        <v>0</v>
      </c>
      <c r="AV1038" s="659">
        <f t="shared" si="1381"/>
        <v>0</v>
      </c>
      <c r="AW1038" s="659">
        <f t="shared" si="1381"/>
        <v>13.39</v>
      </c>
      <c r="AX1038" s="482">
        <f t="shared" ref="AX1038" si="1382">AX298</f>
        <v>0</v>
      </c>
      <c r="AY1038" s="935">
        <f t="shared" ref="AY1038:BN1038" si="1383">AY298</f>
        <v>0</v>
      </c>
      <c r="AZ1038" s="659">
        <f t="shared" si="1383"/>
        <v>0</v>
      </c>
      <c r="BA1038" s="659">
        <f t="shared" si="1383"/>
        <v>0</v>
      </c>
      <c r="BB1038" s="482">
        <f t="shared" si="1383"/>
        <v>0</v>
      </c>
      <c r="BC1038" s="935">
        <f t="shared" si="1383"/>
        <v>0</v>
      </c>
      <c r="BD1038" s="659">
        <f t="shared" si="1383"/>
        <v>0</v>
      </c>
      <c r="BE1038" s="659">
        <f t="shared" si="1383"/>
        <v>0</v>
      </c>
      <c r="BF1038" s="482">
        <f t="shared" si="1383"/>
        <v>0</v>
      </c>
      <c r="BG1038" s="935">
        <f t="shared" si="1383"/>
        <v>0</v>
      </c>
      <c r="BH1038" s="659">
        <f t="shared" si="1383"/>
        <v>0</v>
      </c>
      <c r="BI1038" s="659">
        <f t="shared" si="1383"/>
        <v>0</v>
      </c>
      <c r="BJ1038" s="482">
        <f t="shared" si="1383"/>
        <v>0</v>
      </c>
      <c r="BK1038" s="935">
        <f t="shared" si="1383"/>
        <v>0</v>
      </c>
      <c r="BL1038" s="659">
        <f t="shared" si="1383"/>
        <v>0</v>
      </c>
      <c r="BM1038" s="659">
        <f t="shared" si="1383"/>
        <v>0</v>
      </c>
      <c r="BN1038" s="482">
        <f t="shared" si="1383"/>
        <v>0</v>
      </c>
      <c r="BO1038" s="937">
        <f t="shared" ref="BO1038:BV1038" si="1384">BO298</f>
        <v>0</v>
      </c>
      <c r="BP1038" s="665">
        <f t="shared" si="1384"/>
        <v>0</v>
      </c>
      <c r="BQ1038" s="665">
        <f t="shared" si="1384"/>
        <v>17.87</v>
      </c>
      <c r="BR1038" s="1047">
        <f t="shared" si="1384"/>
        <v>0</v>
      </c>
      <c r="BS1038" s="937">
        <f t="shared" si="1384"/>
        <v>0</v>
      </c>
      <c r="BT1038" s="665">
        <f t="shared" si="1384"/>
        <v>0</v>
      </c>
      <c r="BU1038" s="665">
        <f t="shared" si="1384"/>
        <v>54.29</v>
      </c>
      <c r="BV1038" s="1018">
        <f t="shared" si="1384"/>
        <v>0</v>
      </c>
      <c r="BW1038" s="229"/>
      <c r="BX1038" s="215"/>
      <c r="BY1038" s="125">
        <f t="shared" si="1185"/>
        <v>0</v>
      </c>
      <c r="BZ1038" s="126">
        <f t="shared" si="1186"/>
        <v>0</v>
      </c>
      <c r="CA1038" s="126">
        <f t="shared" si="1187"/>
        <v>357.65000000000003</v>
      </c>
      <c r="CB1038" s="127">
        <f t="shared" si="1187"/>
        <v>0</v>
      </c>
      <c r="CC1038" s="768"/>
    </row>
    <row r="1039" spans="1:81" s="246" customFormat="1" ht="15.75" customHeight="1" outlineLevel="6" x14ac:dyDescent="0.25">
      <c r="A1039" s="229"/>
      <c r="B1039" s="229"/>
      <c r="C1039" s="242"/>
      <c r="D1039" s="242"/>
      <c r="E1039" s="242"/>
      <c r="F1039" s="242"/>
      <c r="G1039" s="242"/>
      <c r="H1039" s="242"/>
      <c r="I1039" s="242"/>
      <c r="J1039" s="242"/>
      <c r="K1039" s="243"/>
      <c r="L1039" s="242"/>
      <c r="M1039" s="229"/>
      <c r="N1039" s="229"/>
      <c r="O1039" s="229"/>
      <c r="P1039" s="229"/>
      <c r="Q1039" s="229"/>
      <c r="R1039" s="229"/>
      <c r="S1039" s="229"/>
      <c r="T1039" s="229"/>
      <c r="U1039" s="229"/>
      <c r="V1039" s="229"/>
      <c r="W1039" s="229"/>
      <c r="X1039" s="229"/>
      <c r="Y1039" s="229"/>
      <c r="Z1039" s="229"/>
      <c r="AA1039" s="229"/>
      <c r="AB1039" s="667"/>
      <c r="AC1039" s="219" t="s">
        <v>384</v>
      </c>
      <c r="AD1039" s="259" t="s">
        <v>111</v>
      </c>
      <c r="AE1039" s="935">
        <f t="shared" ref="AE1039:AK1039" si="1385">AE299+AE637</f>
        <v>3192.8099999999995</v>
      </c>
      <c r="AF1039" s="659">
        <f t="shared" si="1385"/>
        <v>2222.8599999999997</v>
      </c>
      <c r="AG1039" s="659">
        <f t="shared" si="1385"/>
        <v>2774.3140000000003</v>
      </c>
      <c r="AH1039" s="482">
        <f t="shared" si="1385"/>
        <v>0</v>
      </c>
      <c r="AI1039" s="935">
        <f t="shared" si="1385"/>
        <v>128.4</v>
      </c>
      <c r="AJ1039" s="659">
        <f t="shared" si="1385"/>
        <v>0</v>
      </c>
      <c r="AK1039" s="659">
        <f t="shared" si="1385"/>
        <v>138.76599999999999</v>
      </c>
      <c r="AL1039" s="482">
        <f t="shared" ref="AL1039" si="1386">AL299+AL637</f>
        <v>0</v>
      </c>
      <c r="AM1039" s="935">
        <f t="shared" ref="AM1039:AW1039" si="1387">AM299+AM637</f>
        <v>78.7</v>
      </c>
      <c r="AN1039" s="659">
        <f t="shared" si="1387"/>
        <v>0</v>
      </c>
      <c r="AO1039" s="659">
        <f t="shared" si="1387"/>
        <v>161.57</v>
      </c>
      <c r="AP1039" s="482">
        <f t="shared" si="1387"/>
        <v>0</v>
      </c>
      <c r="AQ1039" s="935">
        <f t="shared" si="1387"/>
        <v>70.17</v>
      </c>
      <c r="AR1039" s="659">
        <f t="shared" si="1387"/>
        <v>32.29</v>
      </c>
      <c r="AS1039" s="659">
        <f t="shared" si="1387"/>
        <v>39.989999999999995</v>
      </c>
      <c r="AT1039" s="482">
        <f t="shared" si="1387"/>
        <v>0</v>
      </c>
      <c r="AU1039" s="935">
        <f t="shared" si="1387"/>
        <v>9.9</v>
      </c>
      <c r="AV1039" s="659">
        <f t="shared" si="1387"/>
        <v>0</v>
      </c>
      <c r="AW1039" s="659">
        <f t="shared" si="1387"/>
        <v>70.08</v>
      </c>
      <c r="AX1039" s="482">
        <f t="shared" ref="AX1039" si="1388">AX299+AX637</f>
        <v>0</v>
      </c>
      <c r="AY1039" s="935">
        <f t="shared" ref="AY1039:BN1039" si="1389">AY299+AY637</f>
        <v>93.81</v>
      </c>
      <c r="AZ1039" s="659">
        <f t="shared" si="1389"/>
        <v>0</v>
      </c>
      <c r="BA1039" s="659">
        <f t="shared" si="1389"/>
        <v>70.2</v>
      </c>
      <c r="BB1039" s="482">
        <f t="shared" si="1389"/>
        <v>0</v>
      </c>
      <c r="BC1039" s="935">
        <f t="shared" si="1389"/>
        <v>143.38299999999998</v>
      </c>
      <c r="BD1039" s="659">
        <f t="shared" si="1389"/>
        <v>0</v>
      </c>
      <c r="BE1039" s="659">
        <f t="shared" si="1389"/>
        <v>157.76</v>
      </c>
      <c r="BF1039" s="482">
        <f t="shared" si="1389"/>
        <v>0</v>
      </c>
      <c r="BG1039" s="935">
        <f t="shared" si="1389"/>
        <v>127.11000000000001</v>
      </c>
      <c r="BH1039" s="659">
        <f t="shared" si="1389"/>
        <v>79.02</v>
      </c>
      <c r="BI1039" s="659">
        <f t="shared" si="1389"/>
        <v>139.84100000000001</v>
      </c>
      <c r="BJ1039" s="482">
        <f t="shared" si="1389"/>
        <v>82.218729600000003</v>
      </c>
      <c r="BK1039" s="935">
        <f t="shared" si="1389"/>
        <v>37.17</v>
      </c>
      <c r="BL1039" s="659">
        <f t="shared" si="1389"/>
        <v>0</v>
      </c>
      <c r="BM1039" s="659">
        <f t="shared" si="1389"/>
        <v>177.62</v>
      </c>
      <c r="BN1039" s="482">
        <f t="shared" si="1389"/>
        <v>0</v>
      </c>
      <c r="BO1039" s="935">
        <f t="shared" ref="BO1039:BV1039" si="1390">BO299+BO637</f>
        <v>9.9</v>
      </c>
      <c r="BP1039" s="659">
        <f t="shared" si="1390"/>
        <v>0</v>
      </c>
      <c r="BQ1039" s="659">
        <f t="shared" si="1390"/>
        <v>10.9</v>
      </c>
      <c r="BR1039" s="482">
        <f t="shared" si="1390"/>
        <v>0</v>
      </c>
      <c r="BS1039" s="935">
        <f t="shared" si="1390"/>
        <v>56.01</v>
      </c>
      <c r="BT1039" s="659">
        <f t="shared" si="1390"/>
        <v>0</v>
      </c>
      <c r="BU1039" s="659">
        <f t="shared" si="1390"/>
        <v>116.4</v>
      </c>
      <c r="BV1039" s="936">
        <f t="shared" si="1390"/>
        <v>0</v>
      </c>
      <c r="BW1039" s="229"/>
      <c r="BX1039" s="229"/>
      <c r="BY1039" s="125">
        <f t="shared" si="1185"/>
        <v>3947.3629999999998</v>
      </c>
      <c r="BZ1039" s="126">
        <f t="shared" si="1186"/>
        <v>2334.1699999999996</v>
      </c>
      <c r="CA1039" s="126">
        <f t="shared" si="1187"/>
        <v>3857.4410000000003</v>
      </c>
      <c r="CB1039" s="127">
        <f t="shared" si="1187"/>
        <v>82.218729600000003</v>
      </c>
      <c r="CC1039" s="771"/>
    </row>
    <row r="1040" spans="1:81" s="230" customFormat="1" ht="15.75" customHeight="1" outlineLevel="6" x14ac:dyDescent="0.25">
      <c r="A1040" s="215"/>
      <c r="B1040" s="215"/>
      <c r="C1040" s="216"/>
      <c r="D1040" s="216"/>
      <c r="E1040" s="216"/>
      <c r="F1040" s="216"/>
      <c r="G1040" s="216"/>
      <c r="H1040" s="216"/>
      <c r="I1040" s="216"/>
      <c r="J1040" s="216"/>
      <c r="K1040" s="217"/>
      <c r="L1040" s="216"/>
      <c r="M1040" s="215"/>
      <c r="N1040" s="215"/>
      <c r="O1040" s="215"/>
      <c r="P1040" s="215"/>
      <c r="Q1040" s="215"/>
      <c r="R1040" s="215"/>
      <c r="S1040" s="215"/>
      <c r="T1040" s="215"/>
      <c r="U1040" s="215"/>
      <c r="V1040" s="215"/>
      <c r="W1040" s="215"/>
      <c r="X1040" s="215"/>
      <c r="Y1040" s="215"/>
      <c r="Z1040" s="215"/>
      <c r="AA1040" s="215"/>
      <c r="AB1040" s="218"/>
      <c r="AC1040" s="219" t="s">
        <v>385</v>
      </c>
      <c r="AD1040" s="259" t="s">
        <v>111</v>
      </c>
      <c r="AE1040" s="935">
        <f t="shared" ref="AE1040:AK1040" si="1391">AE300+AE631</f>
        <v>535.04999999999995</v>
      </c>
      <c r="AF1040" s="659">
        <f t="shared" si="1391"/>
        <v>0</v>
      </c>
      <c r="AG1040" s="659">
        <f t="shared" si="1391"/>
        <v>0</v>
      </c>
      <c r="AH1040" s="482">
        <f t="shared" si="1391"/>
        <v>0</v>
      </c>
      <c r="AI1040" s="935">
        <f t="shared" si="1391"/>
        <v>0</v>
      </c>
      <c r="AJ1040" s="659">
        <f t="shared" si="1391"/>
        <v>0</v>
      </c>
      <c r="AK1040" s="659">
        <f t="shared" si="1391"/>
        <v>0</v>
      </c>
      <c r="AL1040" s="482">
        <f t="shared" ref="AL1040" si="1392">AL300+AL631</f>
        <v>0</v>
      </c>
      <c r="AM1040" s="935">
        <f t="shared" ref="AM1040:AW1040" si="1393">AM300+AM631</f>
        <v>15.26</v>
      </c>
      <c r="AN1040" s="659">
        <f t="shared" si="1393"/>
        <v>0</v>
      </c>
      <c r="AO1040" s="659">
        <f t="shared" si="1393"/>
        <v>16.510000000000002</v>
      </c>
      <c r="AP1040" s="482">
        <f t="shared" si="1393"/>
        <v>0</v>
      </c>
      <c r="AQ1040" s="935">
        <f t="shared" si="1393"/>
        <v>35.550000000000004</v>
      </c>
      <c r="AR1040" s="659">
        <f t="shared" si="1393"/>
        <v>32</v>
      </c>
      <c r="AS1040" s="659">
        <f t="shared" si="1393"/>
        <v>38.449999999999996</v>
      </c>
      <c r="AT1040" s="482">
        <f t="shared" si="1393"/>
        <v>0</v>
      </c>
      <c r="AU1040" s="935">
        <f t="shared" si="1393"/>
        <v>7.4499999999999993</v>
      </c>
      <c r="AV1040" s="659">
        <f t="shared" si="1393"/>
        <v>0</v>
      </c>
      <c r="AW1040" s="659">
        <f t="shared" si="1393"/>
        <v>8.06</v>
      </c>
      <c r="AX1040" s="482">
        <f t="shared" ref="AX1040" si="1394">AX300+AX631</f>
        <v>0</v>
      </c>
      <c r="AY1040" s="935">
        <f t="shared" ref="AY1040:BN1040" si="1395">AY300+AY631</f>
        <v>39.089999999999996</v>
      </c>
      <c r="AZ1040" s="659">
        <f t="shared" si="1395"/>
        <v>0</v>
      </c>
      <c r="BA1040" s="659">
        <f t="shared" si="1395"/>
        <v>39.441000000000003</v>
      </c>
      <c r="BB1040" s="482">
        <f t="shared" si="1395"/>
        <v>0</v>
      </c>
      <c r="BC1040" s="935">
        <f t="shared" si="1395"/>
        <v>10.794</v>
      </c>
      <c r="BD1040" s="659">
        <f t="shared" si="1395"/>
        <v>0</v>
      </c>
      <c r="BE1040" s="659">
        <f t="shared" si="1395"/>
        <v>11.675000000000001</v>
      </c>
      <c r="BF1040" s="482">
        <f t="shared" si="1395"/>
        <v>0</v>
      </c>
      <c r="BG1040" s="935">
        <f t="shared" si="1395"/>
        <v>85.98</v>
      </c>
      <c r="BH1040" s="659">
        <f t="shared" si="1395"/>
        <v>0</v>
      </c>
      <c r="BI1040" s="659">
        <f t="shared" si="1395"/>
        <v>92.997</v>
      </c>
      <c r="BJ1040" s="482">
        <f t="shared" si="1395"/>
        <v>0</v>
      </c>
      <c r="BK1040" s="935">
        <f t="shared" si="1395"/>
        <v>74.44</v>
      </c>
      <c r="BL1040" s="659">
        <f t="shared" si="1395"/>
        <v>34</v>
      </c>
      <c r="BM1040" s="659">
        <f t="shared" si="1395"/>
        <v>130</v>
      </c>
      <c r="BN1040" s="482">
        <f t="shared" si="1395"/>
        <v>0</v>
      </c>
      <c r="BO1040" s="935">
        <f t="shared" ref="BO1040:BV1040" si="1396">BO300+BO631</f>
        <v>2.98</v>
      </c>
      <c r="BP1040" s="659">
        <f t="shared" si="1396"/>
        <v>1.43</v>
      </c>
      <c r="BQ1040" s="659">
        <f t="shared" si="1396"/>
        <v>3.22</v>
      </c>
      <c r="BR1040" s="482">
        <f t="shared" si="1396"/>
        <v>0</v>
      </c>
      <c r="BS1040" s="935">
        <f t="shared" si="1396"/>
        <v>6.52</v>
      </c>
      <c r="BT1040" s="659">
        <f t="shared" si="1396"/>
        <v>6.0299999999999994</v>
      </c>
      <c r="BU1040" s="659">
        <f t="shared" si="1396"/>
        <v>7.04</v>
      </c>
      <c r="BV1040" s="936">
        <f t="shared" si="1396"/>
        <v>0</v>
      </c>
      <c r="BW1040" s="229"/>
      <c r="BX1040" s="215"/>
      <c r="BY1040" s="125">
        <f t="shared" si="1185"/>
        <v>813.11400000000003</v>
      </c>
      <c r="BZ1040" s="126">
        <f t="shared" si="1186"/>
        <v>73.460000000000008</v>
      </c>
      <c r="CA1040" s="126">
        <f t="shared" si="1187"/>
        <v>347.39300000000003</v>
      </c>
      <c r="CB1040" s="127">
        <f t="shared" si="1187"/>
        <v>0</v>
      </c>
      <c r="CC1040" s="768"/>
    </row>
    <row r="1041" spans="1:82" s="230" customFormat="1" ht="15.75" customHeight="1" outlineLevel="6" x14ac:dyDescent="0.25">
      <c r="A1041" s="215"/>
      <c r="B1041" s="215"/>
      <c r="C1041" s="216"/>
      <c r="D1041" s="216"/>
      <c r="E1041" s="216"/>
      <c r="F1041" s="216"/>
      <c r="G1041" s="216"/>
      <c r="H1041" s="216"/>
      <c r="I1041" s="216"/>
      <c r="J1041" s="216"/>
      <c r="K1041" s="217"/>
      <c r="L1041" s="216"/>
      <c r="M1041" s="215"/>
      <c r="N1041" s="215"/>
      <c r="O1041" s="215"/>
      <c r="P1041" s="215"/>
      <c r="Q1041" s="215"/>
      <c r="R1041" s="215"/>
      <c r="S1041" s="215"/>
      <c r="T1041" s="215"/>
      <c r="U1041" s="215"/>
      <c r="V1041" s="215"/>
      <c r="W1041" s="215"/>
      <c r="X1041" s="215"/>
      <c r="Y1041" s="215"/>
      <c r="Z1041" s="215"/>
      <c r="AA1041" s="215"/>
      <c r="AB1041" s="218"/>
      <c r="AC1041" s="219" t="s">
        <v>386</v>
      </c>
      <c r="AD1041" s="259" t="s">
        <v>111</v>
      </c>
      <c r="AE1041" s="935">
        <f t="shared" ref="AE1041:BU1041" si="1397">AE301+AE636</f>
        <v>0</v>
      </c>
      <c r="AF1041" s="659">
        <f t="shared" si="1397"/>
        <v>0</v>
      </c>
      <c r="AG1041" s="659">
        <f t="shared" si="1397"/>
        <v>0</v>
      </c>
      <c r="AH1041" s="482">
        <f t="shared" si="1397"/>
        <v>0</v>
      </c>
      <c r="AI1041" s="935">
        <f t="shared" si="1397"/>
        <v>0</v>
      </c>
      <c r="AJ1041" s="659">
        <f t="shared" si="1397"/>
        <v>0</v>
      </c>
      <c r="AK1041" s="659">
        <f t="shared" si="1397"/>
        <v>0</v>
      </c>
      <c r="AL1041" s="482">
        <f t="shared" ref="AL1041" si="1398">AL301+AL636</f>
        <v>0</v>
      </c>
      <c r="AM1041" s="935">
        <f t="shared" si="1397"/>
        <v>0</v>
      </c>
      <c r="AN1041" s="659">
        <f t="shared" si="1397"/>
        <v>0</v>
      </c>
      <c r="AO1041" s="659">
        <f t="shared" si="1397"/>
        <v>0</v>
      </c>
      <c r="AP1041" s="482">
        <f t="shared" si="1397"/>
        <v>0</v>
      </c>
      <c r="AQ1041" s="935">
        <f t="shared" si="1397"/>
        <v>0</v>
      </c>
      <c r="AR1041" s="659">
        <f t="shared" si="1397"/>
        <v>0</v>
      </c>
      <c r="AS1041" s="659">
        <f t="shared" si="1397"/>
        <v>0</v>
      </c>
      <c r="AT1041" s="482">
        <f t="shared" si="1397"/>
        <v>0</v>
      </c>
      <c r="AU1041" s="935">
        <f t="shared" si="1397"/>
        <v>0</v>
      </c>
      <c r="AV1041" s="659">
        <f t="shared" si="1397"/>
        <v>0</v>
      </c>
      <c r="AW1041" s="659">
        <f t="shared" si="1397"/>
        <v>0</v>
      </c>
      <c r="AX1041" s="482">
        <f t="shared" si="1397"/>
        <v>0</v>
      </c>
      <c r="AY1041" s="935">
        <f t="shared" si="1397"/>
        <v>0</v>
      </c>
      <c r="AZ1041" s="659">
        <f t="shared" si="1397"/>
        <v>0</v>
      </c>
      <c r="BA1041" s="659">
        <f t="shared" si="1397"/>
        <v>0</v>
      </c>
      <c r="BB1041" s="482">
        <f t="shared" si="1397"/>
        <v>0</v>
      </c>
      <c r="BC1041" s="935">
        <f t="shared" si="1397"/>
        <v>0</v>
      </c>
      <c r="BD1041" s="659">
        <f t="shared" si="1397"/>
        <v>0</v>
      </c>
      <c r="BE1041" s="659">
        <f t="shared" si="1397"/>
        <v>0</v>
      </c>
      <c r="BF1041" s="482">
        <f t="shared" si="1397"/>
        <v>0</v>
      </c>
      <c r="BG1041" s="935">
        <f t="shared" si="1397"/>
        <v>0</v>
      </c>
      <c r="BH1041" s="659">
        <f t="shared" si="1397"/>
        <v>0</v>
      </c>
      <c r="BI1041" s="659">
        <f t="shared" si="1397"/>
        <v>0</v>
      </c>
      <c r="BJ1041" s="482">
        <f t="shared" si="1397"/>
        <v>0</v>
      </c>
      <c r="BK1041" s="935">
        <f t="shared" si="1397"/>
        <v>0</v>
      </c>
      <c r="BL1041" s="659">
        <f t="shared" si="1397"/>
        <v>0</v>
      </c>
      <c r="BM1041" s="659">
        <f t="shared" si="1397"/>
        <v>0</v>
      </c>
      <c r="BN1041" s="482">
        <f t="shared" si="1397"/>
        <v>0</v>
      </c>
      <c r="BO1041" s="935">
        <f t="shared" si="1397"/>
        <v>0</v>
      </c>
      <c r="BP1041" s="659">
        <f t="shared" si="1397"/>
        <v>0</v>
      </c>
      <c r="BQ1041" s="659">
        <f t="shared" si="1397"/>
        <v>0</v>
      </c>
      <c r="BR1041" s="482">
        <f t="shared" si="1397"/>
        <v>0</v>
      </c>
      <c r="BS1041" s="935">
        <f t="shared" si="1397"/>
        <v>0</v>
      </c>
      <c r="BT1041" s="659">
        <f t="shared" si="1397"/>
        <v>0</v>
      </c>
      <c r="BU1041" s="659">
        <f t="shared" si="1397"/>
        <v>0</v>
      </c>
      <c r="BV1041" s="936">
        <f>BV301+BV636</f>
        <v>0</v>
      </c>
      <c r="BW1041" s="229"/>
      <c r="BX1041" s="215"/>
      <c r="BY1041" s="125">
        <f t="shared" si="1185"/>
        <v>0</v>
      </c>
      <c r="BZ1041" s="126">
        <f t="shared" si="1186"/>
        <v>0</v>
      </c>
      <c r="CA1041" s="126">
        <f t="shared" si="1187"/>
        <v>0</v>
      </c>
      <c r="CB1041" s="127">
        <f t="shared" si="1187"/>
        <v>0</v>
      </c>
      <c r="CC1041" s="768"/>
    </row>
    <row r="1042" spans="1:82" s="230" customFormat="1" ht="15.75" customHeight="1" outlineLevel="6" x14ac:dyDescent="0.25">
      <c r="A1042" s="215"/>
      <c r="B1042" s="215"/>
      <c r="C1042" s="216"/>
      <c r="D1042" s="216"/>
      <c r="E1042" s="216"/>
      <c r="F1042" s="216"/>
      <c r="G1042" s="216"/>
      <c r="H1042" s="216"/>
      <c r="I1042" s="216"/>
      <c r="J1042" s="216"/>
      <c r="K1042" s="217"/>
      <c r="L1042" s="216"/>
      <c r="M1042" s="215"/>
      <c r="N1042" s="215"/>
      <c r="O1042" s="215"/>
      <c r="P1042" s="215"/>
      <c r="Q1042" s="215"/>
      <c r="R1042" s="215"/>
      <c r="S1042" s="215"/>
      <c r="T1042" s="215"/>
      <c r="U1042" s="215"/>
      <c r="V1042" s="215"/>
      <c r="W1042" s="215"/>
      <c r="X1042" s="215"/>
      <c r="Y1042" s="215"/>
      <c r="Z1042" s="215"/>
      <c r="AA1042" s="215"/>
      <c r="AB1042" s="218"/>
      <c r="AC1042" s="219" t="s">
        <v>387</v>
      </c>
      <c r="AD1042" s="259" t="s">
        <v>111</v>
      </c>
      <c r="AE1042" s="260">
        <f t="shared" ref="AE1042:AK1042" si="1399">AE302</f>
        <v>3092.17</v>
      </c>
      <c r="AF1042" s="659">
        <f t="shared" si="1399"/>
        <v>1094.6099999999999</v>
      </c>
      <c r="AG1042" s="772">
        <f t="shared" si="1399"/>
        <v>3092.17</v>
      </c>
      <c r="AH1042" s="487">
        <f t="shared" si="1399"/>
        <v>0</v>
      </c>
      <c r="AI1042" s="935">
        <f t="shared" si="1399"/>
        <v>0</v>
      </c>
      <c r="AJ1042" s="659">
        <f t="shared" si="1399"/>
        <v>0</v>
      </c>
      <c r="AK1042" s="659">
        <f t="shared" si="1399"/>
        <v>0</v>
      </c>
      <c r="AL1042" s="482">
        <f t="shared" ref="AL1042" si="1400">AL302</f>
        <v>0</v>
      </c>
      <c r="AM1042" s="935">
        <f t="shared" ref="AM1042:AW1042" si="1401">AM302</f>
        <v>0</v>
      </c>
      <c r="AN1042" s="659">
        <f t="shared" si="1401"/>
        <v>0</v>
      </c>
      <c r="AO1042" s="659">
        <f t="shared" si="1401"/>
        <v>0</v>
      </c>
      <c r="AP1042" s="482">
        <f t="shared" si="1401"/>
        <v>0</v>
      </c>
      <c r="AQ1042" s="935">
        <f t="shared" si="1401"/>
        <v>0</v>
      </c>
      <c r="AR1042" s="659">
        <f t="shared" si="1401"/>
        <v>0</v>
      </c>
      <c r="AS1042" s="659">
        <f t="shared" si="1401"/>
        <v>0</v>
      </c>
      <c r="AT1042" s="482">
        <f t="shared" si="1401"/>
        <v>0</v>
      </c>
      <c r="AU1042" s="935">
        <f t="shared" si="1401"/>
        <v>0</v>
      </c>
      <c r="AV1042" s="659">
        <f t="shared" si="1401"/>
        <v>0</v>
      </c>
      <c r="AW1042" s="659">
        <f t="shared" si="1401"/>
        <v>0</v>
      </c>
      <c r="AX1042" s="482">
        <f t="shared" ref="AX1042" si="1402">AX302</f>
        <v>0</v>
      </c>
      <c r="AY1042" s="935">
        <f t="shared" ref="AY1042:BN1042" si="1403">AY302</f>
        <v>0</v>
      </c>
      <c r="AZ1042" s="659">
        <f t="shared" si="1403"/>
        <v>0</v>
      </c>
      <c r="BA1042" s="659">
        <f t="shared" si="1403"/>
        <v>0</v>
      </c>
      <c r="BB1042" s="482">
        <f t="shared" si="1403"/>
        <v>0</v>
      </c>
      <c r="BC1042" s="935">
        <f t="shared" si="1403"/>
        <v>0</v>
      </c>
      <c r="BD1042" s="659">
        <f t="shared" si="1403"/>
        <v>0</v>
      </c>
      <c r="BE1042" s="659">
        <f t="shared" si="1403"/>
        <v>0</v>
      </c>
      <c r="BF1042" s="482">
        <f t="shared" si="1403"/>
        <v>0</v>
      </c>
      <c r="BG1042" s="935">
        <f t="shared" si="1403"/>
        <v>0</v>
      </c>
      <c r="BH1042" s="659">
        <f t="shared" si="1403"/>
        <v>0</v>
      </c>
      <c r="BI1042" s="659">
        <f t="shared" si="1403"/>
        <v>0</v>
      </c>
      <c r="BJ1042" s="482">
        <f t="shared" si="1403"/>
        <v>0</v>
      </c>
      <c r="BK1042" s="935">
        <f t="shared" si="1403"/>
        <v>0</v>
      </c>
      <c r="BL1042" s="659">
        <f t="shared" si="1403"/>
        <v>0</v>
      </c>
      <c r="BM1042" s="659">
        <f t="shared" si="1403"/>
        <v>0</v>
      </c>
      <c r="BN1042" s="482">
        <f t="shared" si="1403"/>
        <v>0</v>
      </c>
      <c r="BO1042" s="935">
        <f t="shared" ref="BO1042:BV1042" si="1404">BO302</f>
        <v>0</v>
      </c>
      <c r="BP1042" s="659">
        <f t="shared" si="1404"/>
        <v>0</v>
      </c>
      <c r="BQ1042" s="659">
        <f t="shared" si="1404"/>
        <v>0</v>
      </c>
      <c r="BR1042" s="482">
        <f t="shared" si="1404"/>
        <v>0</v>
      </c>
      <c r="BS1042" s="935">
        <f t="shared" si="1404"/>
        <v>0</v>
      </c>
      <c r="BT1042" s="659">
        <f t="shared" si="1404"/>
        <v>0</v>
      </c>
      <c r="BU1042" s="659">
        <f t="shared" si="1404"/>
        <v>0</v>
      </c>
      <c r="BV1042" s="936">
        <f t="shared" si="1404"/>
        <v>0</v>
      </c>
      <c r="BW1042" s="229"/>
      <c r="BX1042" s="215"/>
      <c r="BY1042" s="125">
        <f t="shared" si="1185"/>
        <v>3092.17</v>
      </c>
      <c r="BZ1042" s="126">
        <f t="shared" si="1186"/>
        <v>1094.6099999999999</v>
      </c>
      <c r="CA1042" s="126">
        <f t="shared" si="1187"/>
        <v>3092.17</v>
      </c>
      <c r="CB1042" s="127">
        <f t="shared" si="1187"/>
        <v>0</v>
      </c>
      <c r="CC1042" s="768"/>
    </row>
    <row r="1043" spans="1:82" s="230" customFormat="1" ht="15.75" customHeight="1" outlineLevel="6" x14ac:dyDescent="0.25">
      <c r="A1043" s="215"/>
      <c r="B1043" s="215"/>
      <c r="C1043" s="216"/>
      <c r="D1043" s="216"/>
      <c r="E1043" s="216"/>
      <c r="F1043" s="216"/>
      <c r="G1043" s="216"/>
      <c r="H1043" s="216"/>
      <c r="I1043" s="216"/>
      <c r="J1043" s="216"/>
      <c r="K1043" s="217"/>
      <c r="L1043" s="216"/>
      <c r="M1043" s="215"/>
      <c r="N1043" s="215"/>
      <c r="O1043" s="215"/>
      <c r="P1043" s="215"/>
      <c r="Q1043" s="215"/>
      <c r="R1043" s="215"/>
      <c r="S1043" s="215"/>
      <c r="T1043" s="215"/>
      <c r="U1043" s="215"/>
      <c r="V1043" s="215"/>
      <c r="W1043" s="215"/>
      <c r="X1043" s="215"/>
      <c r="Y1043" s="215"/>
      <c r="Z1043" s="215"/>
      <c r="AA1043" s="215"/>
      <c r="AB1043" s="218"/>
      <c r="AC1043" s="219" t="s">
        <v>292</v>
      </c>
      <c r="AD1043" s="259" t="s">
        <v>111</v>
      </c>
      <c r="AE1043" s="221">
        <f t="shared" ref="AE1043:AK1043" si="1405">AE303+AE638</f>
        <v>0</v>
      </c>
      <c r="AF1043" s="222">
        <f t="shared" si="1405"/>
        <v>0</v>
      </c>
      <c r="AG1043" s="222">
        <f t="shared" si="1405"/>
        <v>0</v>
      </c>
      <c r="AH1043" s="767">
        <f t="shared" si="1405"/>
        <v>0</v>
      </c>
      <c r="AI1043" s="221">
        <f t="shared" si="1405"/>
        <v>0</v>
      </c>
      <c r="AJ1043" s="222">
        <f t="shared" si="1405"/>
        <v>0</v>
      </c>
      <c r="AK1043" s="222">
        <f t="shared" si="1405"/>
        <v>0</v>
      </c>
      <c r="AL1043" s="767">
        <f t="shared" ref="AL1043" si="1406">AL303+AL638</f>
        <v>0</v>
      </c>
      <c r="AM1043" s="221">
        <f t="shared" ref="AM1043:AW1043" si="1407">AM303+AM638</f>
        <v>0</v>
      </c>
      <c r="AN1043" s="222">
        <f t="shared" si="1407"/>
        <v>0</v>
      </c>
      <c r="AO1043" s="222">
        <f t="shared" si="1407"/>
        <v>0</v>
      </c>
      <c r="AP1043" s="767">
        <f t="shared" si="1407"/>
        <v>0</v>
      </c>
      <c r="AQ1043" s="221">
        <f t="shared" si="1407"/>
        <v>0</v>
      </c>
      <c r="AR1043" s="222">
        <f t="shared" si="1407"/>
        <v>0</v>
      </c>
      <c r="AS1043" s="222">
        <f t="shared" si="1407"/>
        <v>0</v>
      </c>
      <c r="AT1043" s="767">
        <f t="shared" si="1407"/>
        <v>0</v>
      </c>
      <c r="AU1043" s="221">
        <f t="shared" si="1407"/>
        <v>0</v>
      </c>
      <c r="AV1043" s="222">
        <f t="shared" si="1407"/>
        <v>0</v>
      </c>
      <c r="AW1043" s="222">
        <f t="shared" si="1407"/>
        <v>0</v>
      </c>
      <c r="AX1043" s="767">
        <f t="shared" ref="AX1043" si="1408">AX303+AX638</f>
        <v>0</v>
      </c>
      <c r="AY1043" s="221">
        <f t="shared" ref="AY1043:BN1043" si="1409">AY303+AY638</f>
        <v>0</v>
      </c>
      <c r="AZ1043" s="222">
        <f t="shared" si="1409"/>
        <v>0</v>
      </c>
      <c r="BA1043" s="222">
        <f t="shared" si="1409"/>
        <v>0</v>
      </c>
      <c r="BB1043" s="767">
        <f t="shared" si="1409"/>
        <v>0</v>
      </c>
      <c r="BC1043" s="221">
        <f t="shared" si="1409"/>
        <v>0</v>
      </c>
      <c r="BD1043" s="222">
        <f t="shared" si="1409"/>
        <v>0</v>
      </c>
      <c r="BE1043" s="222">
        <f t="shared" si="1409"/>
        <v>0</v>
      </c>
      <c r="BF1043" s="767">
        <f t="shared" si="1409"/>
        <v>0</v>
      </c>
      <c r="BG1043" s="221">
        <f t="shared" si="1409"/>
        <v>0</v>
      </c>
      <c r="BH1043" s="222">
        <f t="shared" si="1409"/>
        <v>0</v>
      </c>
      <c r="BI1043" s="222">
        <f t="shared" si="1409"/>
        <v>0</v>
      </c>
      <c r="BJ1043" s="767">
        <f t="shared" si="1409"/>
        <v>0</v>
      </c>
      <c r="BK1043" s="221">
        <f t="shared" si="1409"/>
        <v>0</v>
      </c>
      <c r="BL1043" s="222">
        <f t="shared" si="1409"/>
        <v>0</v>
      </c>
      <c r="BM1043" s="222">
        <f t="shared" si="1409"/>
        <v>0</v>
      </c>
      <c r="BN1043" s="767">
        <f t="shared" si="1409"/>
        <v>0</v>
      </c>
      <c r="BO1043" s="221">
        <f t="shared" ref="BO1043:BV1043" si="1410">BO303+BO638</f>
        <v>0</v>
      </c>
      <c r="BP1043" s="222">
        <f t="shared" si="1410"/>
        <v>0</v>
      </c>
      <c r="BQ1043" s="222">
        <f t="shared" si="1410"/>
        <v>0</v>
      </c>
      <c r="BR1043" s="767">
        <f t="shared" si="1410"/>
        <v>0</v>
      </c>
      <c r="BS1043" s="221">
        <f t="shared" si="1410"/>
        <v>96.960000000000008</v>
      </c>
      <c r="BT1043" s="222">
        <f t="shared" si="1410"/>
        <v>89.08</v>
      </c>
      <c r="BU1043" s="222">
        <f t="shared" si="1410"/>
        <v>106.68</v>
      </c>
      <c r="BV1043" s="223">
        <f t="shared" si="1410"/>
        <v>0</v>
      </c>
      <c r="BW1043" s="229"/>
      <c r="BX1043" s="215"/>
      <c r="BY1043" s="125">
        <f t="shared" si="1185"/>
        <v>96.960000000000008</v>
      </c>
      <c r="BZ1043" s="126">
        <f t="shared" si="1186"/>
        <v>89.08</v>
      </c>
      <c r="CA1043" s="126">
        <f t="shared" si="1187"/>
        <v>106.68</v>
      </c>
      <c r="CB1043" s="127">
        <f t="shared" si="1187"/>
        <v>0</v>
      </c>
      <c r="CC1043" s="768"/>
    </row>
    <row r="1044" spans="1:82" s="171" customFormat="1" ht="18.2" customHeight="1" outlineLevel="3" x14ac:dyDescent="0.25">
      <c r="A1044" s="166"/>
      <c r="B1044" s="166"/>
      <c r="C1044" s="167" t="s">
        <v>83</v>
      </c>
      <c r="D1044" s="167" t="s">
        <v>84</v>
      </c>
      <c r="E1044" s="167" t="s">
        <v>73</v>
      </c>
      <c r="F1044" s="167" t="s">
        <v>74</v>
      </c>
      <c r="G1044" s="167" t="s">
        <v>388</v>
      </c>
      <c r="H1044" s="167" t="s">
        <v>73</v>
      </c>
      <c r="I1044" s="167" t="s">
        <v>73</v>
      </c>
      <c r="J1044" s="167" t="s">
        <v>73</v>
      </c>
      <c r="K1044" s="168" t="s">
        <v>73</v>
      </c>
      <c r="L1044" s="167" t="s">
        <v>192</v>
      </c>
      <c r="M1044" s="166" t="str">
        <f t="array" ref="M1044">Y818</f>
        <v>1ХВС::1.1</v>
      </c>
      <c r="N1044" s="166"/>
      <c r="O1044" s="166"/>
      <c r="P1044" s="166"/>
      <c r="Q1044" s="166"/>
      <c r="R1044" s="166"/>
      <c r="S1044" s="166"/>
      <c r="T1044" s="166"/>
      <c r="U1044" s="166"/>
      <c r="V1044" s="166"/>
      <c r="W1044" s="166"/>
      <c r="X1044" s="166"/>
      <c r="Y1044" s="166"/>
      <c r="Z1044" s="166"/>
      <c r="AA1044" s="166"/>
      <c r="AB1044" s="623" t="str">
        <f>AB869&amp;".4"</f>
        <v>3.1.1.4</v>
      </c>
      <c r="AC1044" s="648" t="s">
        <v>389</v>
      </c>
      <c r="AD1044" s="931" t="s">
        <v>111</v>
      </c>
      <c r="AE1044" s="655">
        <f t="shared" ref="AE1044:AK1044" si="1411">SUM(AE1045:AE1047)+SUM(AE1053:AE1057)</f>
        <v>155469.06871799999</v>
      </c>
      <c r="AF1044" s="627">
        <f t="shared" si="1411"/>
        <v>151367.66999999998</v>
      </c>
      <c r="AG1044" s="627">
        <f t="shared" si="1411"/>
        <v>192366.90432600002</v>
      </c>
      <c r="AH1044" s="932">
        <f t="shared" si="1411"/>
        <v>166899.65067999999</v>
      </c>
      <c r="AI1044" s="655">
        <f t="shared" si="1411"/>
        <v>0</v>
      </c>
      <c r="AJ1044" s="627">
        <f t="shared" si="1411"/>
        <v>0</v>
      </c>
      <c r="AK1044" s="627">
        <f t="shared" si="1411"/>
        <v>0</v>
      </c>
      <c r="AL1044" s="932">
        <v>0</v>
      </c>
      <c r="AM1044" s="655">
        <f t="shared" ref="AM1044:BV1044" si="1412">SUM(AM1045:AM1047)+SUM(AM1053:AM1057)</f>
        <v>3630.5709999999999</v>
      </c>
      <c r="AN1044" s="627">
        <f t="shared" si="1412"/>
        <v>0</v>
      </c>
      <c r="AO1044" s="627">
        <f t="shared" si="1412"/>
        <v>4995.6592000000001</v>
      </c>
      <c r="AP1044" s="932">
        <f t="shared" si="1412"/>
        <v>3526.2464199999999</v>
      </c>
      <c r="AQ1044" s="655">
        <f t="shared" si="1412"/>
        <v>7473.0369999999994</v>
      </c>
      <c r="AR1044" s="627">
        <f t="shared" si="1412"/>
        <v>41.8</v>
      </c>
      <c r="AS1044" s="627">
        <f t="shared" si="1412"/>
        <v>7984.7780000000002</v>
      </c>
      <c r="AT1044" s="932">
        <f t="shared" si="1412"/>
        <v>7499.5557200000003</v>
      </c>
      <c r="AU1044" s="655">
        <f t="shared" si="1412"/>
        <v>4260.6949999999997</v>
      </c>
      <c r="AV1044" s="627">
        <f t="shared" si="1412"/>
        <v>0</v>
      </c>
      <c r="AW1044" s="627">
        <f t="shared" si="1412"/>
        <v>4355.6090000000004</v>
      </c>
      <c r="AX1044" s="932">
        <f t="shared" ref="AX1044" si="1413">SUM(AX1045:AX1047)+SUM(AX1053:AX1057)</f>
        <v>5256.4336079999994</v>
      </c>
      <c r="AY1044" s="655">
        <f t="shared" si="1412"/>
        <v>6295.6959999999999</v>
      </c>
      <c r="AZ1044" s="627">
        <f t="shared" si="1412"/>
        <v>12054.63</v>
      </c>
      <c r="BA1044" s="627">
        <f t="shared" si="1412"/>
        <v>12560.930999999999</v>
      </c>
      <c r="BB1044" s="932">
        <f t="shared" si="1412"/>
        <v>12542.731790925598</v>
      </c>
      <c r="BC1044" s="655">
        <f t="shared" si="1412"/>
        <v>4945.735952</v>
      </c>
      <c r="BD1044" s="627">
        <f t="shared" si="1412"/>
        <v>0</v>
      </c>
      <c r="BE1044" s="627">
        <f t="shared" si="1412"/>
        <v>6881.3340420000004</v>
      </c>
      <c r="BF1044" s="932">
        <f t="shared" si="1412"/>
        <v>4786.5586937999997</v>
      </c>
      <c r="BG1044" s="655">
        <f t="shared" si="1412"/>
        <v>9005.8765080000012</v>
      </c>
      <c r="BH1044" s="627">
        <f t="shared" si="1412"/>
        <v>11453.873275</v>
      </c>
      <c r="BI1044" s="627">
        <f t="shared" si="1412"/>
        <v>10926.635316</v>
      </c>
      <c r="BJ1044" s="932">
        <f t="shared" si="1412"/>
        <v>11917.526065172002</v>
      </c>
      <c r="BK1044" s="655">
        <f t="shared" si="1412"/>
        <v>12521.338669999999</v>
      </c>
      <c r="BL1044" s="627">
        <f t="shared" si="1412"/>
        <v>1348.9</v>
      </c>
      <c r="BM1044" s="627">
        <f t="shared" si="1412"/>
        <v>14508.9344</v>
      </c>
      <c r="BN1044" s="932">
        <f t="shared" si="1412"/>
        <v>12312.343719999999</v>
      </c>
      <c r="BO1044" s="655">
        <f t="shared" si="1412"/>
        <v>638.65016000000003</v>
      </c>
      <c r="BP1044" s="627">
        <f t="shared" si="1412"/>
        <v>95.69</v>
      </c>
      <c r="BQ1044" s="627">
        <f t="shared" si="1412"/>
        <v>778.05621999999994</v>
      </c>
      <c r="BR1044" s="932">
        <f t="shared" si="1412"/>
        <v>835.89451175839986</v>
      </c>
      <c r="BS1044" s="655">
        <f t="shared" si="1412"/>
        <v>3808.53</v>
      </c>
      <c r="BT1044" s="627">
        <f t="shared" si="1412"/>
        <v>266.73</v>
      </c>
      <c r="BU1044" s="627">
        <f t="shared" si="1412"/>
        <v>4492.32</v>
      </c>
      <c r="BV1044" s="650">
        <f t="shared" si="1412"/>
        <v>4208.3075099999996</v>
      </c>
      <c r="BW1044" s="1003"/>
      <c r="BX1044" s="1004"/>
      <c r="BY1044" s="630">
        <f t="shared" si="1185"/>
        <v>208049.199008</v>
      </c>
      <c r="BZ1044" s="631">
        <f t="shared" si="1186"/>
        <v>176629.29327499997</v>
      </c>
      <c r="CA1044" s="631">
        <f t="shared" si="1187"/>
        <v>259851.16150400002</v>
      </c>
      <c r="CB1044" s="632">
        <f t="shared" si="1187"/>
        <v>229785.24871965603</v>
      </c>
      <c r="CC1044" s="760"/>
    </row>
    <row r="1045" spans="1:82" ht="30.75" hidden="1" customHeight="1" outlineLevel="4" x14ac:dyDescent="0.25">
      <c r="C1045" s="10" t="s">
        <v>83</v>
      </c>
      <c r="D1045" s="10" t="s">
        <v>84</v>
      </c>
      <c r="E1045" s="10" t="s">
        <v>73</v>
      </c>
      <c r="F1045" s="10" t="s">
        <v>74</v>
      </c>
      <c r="G1045" s="10" t="s">
        <v>390</v>
      </c>
      <c r="H1045" s="10" t="s">
        <v>73</v>
      </c>
      <c r="I1045" s="10" t="s">
        <v>73</v>
      </c>
      <c r="J1045" s="10" t="s">
        <v>73</v>
      </c>
      <c r="K1045" s="12" t="s">
        <v>73</v>
      </c>
      <c r="L1045" s="10" t="s">
        <v>73</v>
      </c>
      <c r="M1045" s="5" t="str">
        <f t="array" ref="M1045">Y818</f>
        <v>1ХВС::1.1</v>
      </c>
      <c r="AB1045" s="29" t="str">
        <f>AB1044&amp;".1"</f>
        <v>3.1.1.4.1</v>
      </c>
      <c r="AC1045" s="174" t="s">
        <v>390</v>
      </c>
      <c r="AD1045" s="51" t="s">
        <v>111</v>
      </c>
      <c r="AE1045" s="95"/>
      <c r="AF1045" s="178"/>
      <c r="AG1045" s="178"/>
      <c r="AH1045" s="181"/>
      <c r="AI1045" s="95"/>
      <c r="AJ1045" s="178"/>
      <c r="AK1045" s="178"/>
      <c r="AL1045" s="181"/>
      <c r="AM1045" s="95"/>
      <c r="AN1045" s="178"/>
      <c r="AO1045" s="178"/>
      <c r="AP1045" s="181"/>
      <c r="AQ1045" s="95"/>
      <c r="AR1045" s="178"/>
      <c r="AS1045" s="178"/>
      <c r="AT1045" s="181"/>
      <c r="AU1045" s="95"/>
      <c r="AV1045" s="178"/>
      <c r="AW1045" s="178"/>
      <c r="AX1045" s="181"/>
      <c r="AY1045" s="95"/>
      <c r="AZ1045" s="178"/>
      <c r="BA1045" s="178"/>
      <c r="BB1045" s="181"/>
      <c r="BC1045" s="95"/>
      <c r="BD1045" s="178"/>
      <c r="BE1045" s="178"/>
      <c r="BF1045" s="181"/>
      <c r="BG1045" s="95"/>
      <c r="BH1045" s="178"/>
      <c r="BI1045" s="178"/>
      <c r="BJ1045" s="181"/>
      <c r="BK1045" s="95"/>
      <c r="BL1045" s="178"/>
      <c r="BM1045" s="178"/>
      <c r="BN1045" s="181"/>
      <c r="BO1045" s="185"/>
      <c r="BP1045" s="183"/>
      <c r="BQ1045" s="183"/>
      <c r="BR1045" s="184"/>
      <c r="BS1045" s="185"/>
      <c r="BT1045" s="183"/>
      <c r="BU1045" s="183"/>
      <c r="BV1045" s="186"/>
      <c r="BY1045" s="125">
        <f t="shared" si="1185"/>
        <v>0</v>
      </c>
      <c r="BZ1045" s="126">
        <f t="shared" si="1186"/>
        <v>0</v>
      </c>
      <c r="CA1045" s="126">
        <f t="shared" si="1187"/>
        <v>0</v>
      </c>
      <c r="CB1045" s="127">
        <f t="shared" ref="CB1045" si="1414">AH1045+AL1045+AP1045+AT1045+AX1045+BB1045+BF1045+BJ1045+BN1045+BR1045+BV1045</f>
        <v>0</v>
      </c>
    </row>
    <row r="1046" spans="1:82" ht="32.25" customHeight="1" outlineLevel="4" x14ac:dyDescent="0.25">
      <c r="C1046" s="10" t="s">
        <v>83</v>
      </c>
      <c r="D1046" s="10" t="s">
        <v>84</v>
      </c>
      <c r="E1046" s="10" t="s">
        <v>73</v>
      </c>
      <c r="F1046" s="10" t="s">
        <v>74</v>
      </c>
      <c r="G1046" s="10" t="s">
        <v>391</v>
      </c>
      <c r="H1046" s="10" t="s">
        <v>73</v>
      </c>
      <c r="I1046" s="10" t="s">
        <v>73</v>
      </c>
      <c r="J1046" s="10" t="s">
        <v>73</v>
      </c>
      <c r="K1046" s="12" t="s">
        <v>73</v>
      </c>
      <c r="L1046" s="10" t="s">
        <v>73</v>
      </c>
      <c r="M1046" s="5" t="str">
        <f t="array" ref="M1046">Y818</f>
        <v>1ХВС::1.1</v>
      </c>
      <c r="AB1046" s="29" t="str">
        <f>AB1044&amp;".2"</f>
        <v>3.1.1.4.2</v>
      </c>
      <c r="AC1046" s="174" t="s">
        <v>391</v>
      </c>
      <c r="AD1046" s="51" t="s">
        <v>111</v>
      </c>
      <c r="AE1046" s="95">
        <f t="shared" ref="AE1046:AK1046" si="1415">AE306+AE641</f>
        <v>0</v>
      </c>
      <c r="AF1046" s="178">
        <f t="shared" si="1415"/>
        <v>0</v>
      </c>
      <c r="AG1046" s="178">
        <f t="shared" si="1415"/>
        <v>1944.31</v>
      </c>
      <c r="AH1046" s="181">
        <f t="shared" si="1415"/>
        <v>0</v>
      </c>
      <c r="AI1046" s="95">
        <f t="shared" si="1415"/>
        <v>0</v>
      </c>
      <c r="AJ1046" s="178">
        <f t="shared" si="1415"/>
        <v>0</v>
      </c>
      <c r="AK1046" s="178">
        <f t="shared" si="1415"/>
        <v>0</v>
      </c>
      <c r="AL1046" s="181">
        <f t="shared" ref="AL1046" si="1416">AL306+AL641</f>
        <v>0</v>
      </c>
      <c r="AM1046" s="95">
        <f t="shared" ref="AM1046:AW1046" si="1417">AM306+AM641</f>
        <v>0</v>
      </c>
      <c r="AN1046" s="178">
        <f t="shared" si="1417"/>
        <v>0</v>
      </c>
      <c r="AO1046" s="178">
        <f t="shared" si="1417"/>
        <v>0</v>
      </c>
      <c r="AP1046" s="181">
        <f t="shared" si="1417"/>
        <v>0</v>
      </c>
      <c r="AQ1046" s="95">
        <f t="shared" si="1417"/>
        <v>0</v>
      </c>
      <c r="AR1046" s="178">
        <f t="shared" si="1417"/>
        <v>0</v>
      </c>
      <c r="AS1046" s="178">
        <f t="shared" si="1417"/>
        <v>0</v>
      </c>
      <c r="AT1046" s="181">
        <f t="shared" si="1417"/>
        <v>0</v>
      </c>
      <c r="AU1046" s="95">
        <f t="shared" si="1417"/>
        <v>0</v>
      </c>
      <c r="AV1046" s="178">
        <f t="shared" si="1417"/>
        <v>0</v>
      </c>
      <c r="AW1046" s="178">
        <f t="shared" si="1417"/>
        <v>0</v>
      </c>
      <c r="AX1046" s="181">
        <f t="shared" ref="AX1046" si="1418">AX306+AX641</f>
        <v>0</v>
      </c>
      <c r="AY1046" s="95">
        <f>AY306+AY641</f>
        <v>0</v>
      </c>
      <c r="AZ1046" s="178">
        <f>AZ306+AZ641</f>
        <v>0</v>
      </c>
      <c r="BA1046" s="178">
        <f>BA306+BA641</f>
        <v>0</v>
      </c>
      <c r="BB1046" s="181"/>
      <c r="BC1046" s="95">
        <f>BC306+BC641</f>
        <v>0</v>
      </c>
      <c r="BD1046" s="178">
        <f>BD306+BD641</f>
        <v>0</v>
      </c>
      <c r="BE1046" s="178">
        <f>BE306+BE641</f>
        <v>0</v>
      </c>
      <c r="BF1046" s="181"/>
      <c r="BG1046" s="95">
        <f>BG306+BG641</f>
        <v>0</v>
      </c>
      <c r="BH1046" s="178">
        <f>BH306+BH641</f>
        <v>0</v>
      </c>
      <c r="BI1046" s="178">
        <f>BI306+BI641</f>
        <v>0</v>
      </c>
      <c r="BJ1046" s="181"/>
      <c r="BK1046" s="95">
        <f t="shared" ref="BK1046:BQ1046" si="1419">BK306+BK641</f>
        <v>0</v>
      </c>
      <c r="BL1046" s="178">
        <f t="shared" si="1419"/>
        <v>0</v>
      </c>
      <c r="BM1046" s="178">
        <f t="shared" si="1419"/>
        <v>0</v>
      </c>
      <c r="BN1046" s="181">
        <f t="shared" si="1419"/>
        <v>0</v>
      </c>
      <c r="BO1046" s="95">
        <f t="shared" si="1419"/>
        <v>0</v>
      </c>
      <c r="BP1046" s="178">
        <f t="shared" si="1419"/>
        <v>0</v>
      </c>
      <c r="BQ1046" s="178">
        <f t="shared" si="1419"/>
        <v>0</v>
      </c>
      <c r="BR1046" s="181"/>
      <c r="BS1046" s="95">
        <f>BS306+BS641</f>
        <v>0</v>
      </c>
      <c r="BT1046" s="178">
        <f>BT306+BT641</f>
        <v>0</v>
      </c>
      <c r="BU1046" s="178">
        <f>BU306+BU641</f>
        <v>0</v>
      </c>
      <c r="BV1046" s="96"/>
      <c r="BY1046" s="125">
        <f t="shared" si="1185"/>
        <v>0</v>
      </c>
      <c r="BZ1046" s="126">
        <f t="shared" si="1186"/>
        <v>0</v>
      </c>
      <c r="CA1046" s="126">
        <f>AG1046+AK1046+AO1046+AS1046+AW1046+BA1046+BE1046+BI1046+BM1046+BQ1046+BU1046</f>
        <v>1944.31</v>
      </c>
      <c r="CB1046" s="127">
        <f>AH1046+AL1046+AP1046+AT1046+AX1046+BB1046+BF1046+BJ1046+BN1046+BR1046+BV1046</f>
        <v>0</v>
      </c>
      <c r="CD1046" s="1025"/>
    </row>
    <row r="1047" spans="1:82" ht="45.6" customHeight="1" outlineLevel="4" x14ac:dyDescent="0.25">
      <c r="C1047" s="10" t="s">
        <v>83</v>
      </c>
      <c r="D1047" s="10" t="s">
        <v>84</v>
      </c>
      <c r="E1047" s="10" t="s">
        <v>73</v>
      </c>
      <c r="F1047" s="10" t="s">
        <v>74</v>
      </c>
      <c r="G1047" s="10" t="s">
        <v>201</v>
      </c>
      <c r="H1047" s="10" t="s">
        <v>392</v>
      </c>
      <c r="I1047" s="10" t="s">
        <v>73</v>
      </c>
      <c r="J1047" s="10" t="s">
        <v>73</v>
      </c>
      <c r="K1047" s="12" t="s">
        <v>73</v>
      </c>
      <c r="L1047" s="10" t="s">
        <v>73</v>
      </c>
      <c r="M1047" s="5" t="str">
        <f t="array" ref="M1047">Y818</f>
        <v>1ХВС::1.1</v>
      </c>
      <c r="AB1047" s="29" t="str">
        <f>AB1044&amp;".3"</f>
        <v>3.1.1.4.3</v>
      </c>
      <c r="AC1047" s="174" t="s">
        <v>393</v>
      </c>
      <c r="AD1047" s="51" t="s">
        <v>111</v>
      </c>
      <c r="AE1047" s="72">
        <f t="shared" ref="AE1047:AK1047" si="1420">AE1048+AE1051</f>
        <v>121681.676718</v>
      </c>
      <c r="AF1047" s="73">
        <f t="shared" si="1420"/>
        <v>130530.87999999999</v>
      </c>
      <c r="AG1047" s="73">
        <f t="shared" si="1420"/>
        <v>149100.27432600001</v>
      </c>
      <c r="AH1047" s="138">
        <f t="shared" si="1420"/>
        <v>144079.97068</v>
      </c>
      <c r="AI1047" s="72">
        <f t="shared" si="1420"/>
        <v>0</v>
      </c>
      <c r="AJ1047" s="73">
        <f t="shared" si="1420"/>
        <v>0</v>
      </c>
      <c r="AK1047" s="73">
        <f t="shared" si="1420"/>
        <v>0</v>
      </c>
      <c r="AL1047" s="138">
        <f t="shared" ref="AL1047" si="1421">AL1048+AL1051</f>
        <v>0</v>
      </c>
      <c r="AM1047" s="72">
        <f t="shared" ref="AM1047:BV1047" si="1422">AM1048+AM1051</f>
        <v>2393.6509999999998</v>
      </c>
      <c r="AN1047" s="73">
        <f t="shared" si="1422"/>
        <v>0</v>
      </c>
      <c r="AO1047" s="73">
        <f t="shared" si="1422"/>
        <v>3496.0291999999999</v>
      </c>
      <c r="AP1047" s="138">
        <f t="shared" si="1422"/>
        <v>3016.3564200000001</v>
      </c>
      <c r="AQ1047" s="72">
        <f t="shared" si="1422"/>
        <v>5352.9169999999995</v>
      </c>
      <c r="AR1047" s="73">
        <f t="shared" si="1422"/>
        <v>0</v>
      </c>
      <c r="AS1047" s="73">
        <f t="shared" si="1422"/>
        <v>6251.6279999999997</v>
      </c>
      <c r="AT1047" s="138">
        <f t="shared" si="1422"/>
        <v>6745.4797200000003</v>
      </c>
      <c r="AU1047" s="72">
        <f t="shared" si="1422"/>
        <v>3951.2049999999999</v>
      </c>
      <c r="AV1047" s="73">
        <f t="shared" si="1422"/>
        <v>0</v>
      </c>
      <c r="AW1047" s="73">
        <f t="shared" si="1422"/>
        <v>3928.5990000000002</v>
      </c>
      <c r="AX1047" s="138">
        <f t="shared" ref="AX1047" si="1423">AX1048+AX1051</f>
        <v>4979.1136079999997</v>
      </c>
      <c r="AY1047" s="72">
        <f t="shared" si="1422"/>
        <v>4469.5159999999996</v>
      </c>
      <c r="AZ1047" s="73">
        <f t="shared" si="1422"/>
        <v>10255.48</v>
      </c>
      <c r="BA1047" s="73">
        <f t="shared" si="1422"/>
        <v>8535.110999999999</v>
      </c>
      <c r="BB1047" s="138">
        <f t="shared" si="1422"/>
        <v>10670.734207425598</v>
      </c>
      <c r="BC1047" s="72">
        <f t="shared" si="1422"/>
        <v>3546.0959520000001</v>
      </c>
      <c r="BD1047" s="73">
        <f t="shared" si="1422"/>
        <v>0</v>
      </c>
      <c r="BE1047" s="73">
        <f t="shared" si="1422"/>
        <v>5148.591042</v>
      </c>
      <c r="BF1047" s="138">
        <f t="shared" si="1422"/>
        <v>4468.6096938000001</v>
      </c>
      <c r="BG1047" s="72">
        <f t="shared" si="1422"/>
        <v>6603.2935080000007</v>
      </c>
      <c r="BH1047" s="73">
        <f t="shared" si="1422"/>
        <v>7263.2232750000003</v>
      </c>
      <c r="BI1047" s="73">
        <f t="shared" si="1422"/>
        <v>7675.3353160000006</v>
      </c>
      <c r="BJ1047" s="138">
        <f t="shared" si="1422"/>
        <v>7557.2385531720001</v>
      </c>
      <c r="BK1047" s="72">
        <f t="shared" si="1422"/>
        <v>8726.2810599999993</v>
      </c>
      <c r="BL1047" s="73">
        <f t="shared" si="1422"/>
        <v>0</v>
      </c>
      <c r="BM1047" s="73">
        <f t="shared" si="1422"/>
        <v>9601.6975999999995</v>
      </c>
      <c r="BN1047" s="138">
        <f>BN307+BN642</f>
        <v>10849.38372</v>
      </c>
      <c r="BO1047" s="72">
        <f t="shared" si="1422"/>
        <v>510.59616000000005</v>
      </c>
      <c r="BP1047" s="73">
        <f t="shared" si="1422"/>
        <v>0</v>
      </c>
      <c r="BQ1047" s="73">
        <f t="shared" si="1422"/>
        <v>603.11622</v>
      </c>
      <c r="BR1047" s="138">
        <f t="shared" si="1422"/>
        <v>722.8323805583999</v>
      </c>
      <c r="BS1047" s="72">
        <f t="shared" si="1422"/>
        <v>3120.82</v>
      </c>
      <c r="BT1047" s="73">
        <f t="shared" si="1422"/>
        <v>0</v>
      </c>
      <c r="BU1047" s="73">
        <f t="shared" si="1422"/>
        <v>3689.69</v>
      </c>
      <c r="BV1047" s="74">
        <f t="shared" si="1422"/>
        <v>3932.69751</v>
      </c>
      <c r="BY1047" s="125">
        <f t="shared" si="1185"/>
        <v>160356.052398</v>
      </c>
      <c r="BZ1047" s="126">
        <f t="shared" si="1186"/>
        <v>148049.58327499998</v>
      </c>
      <c r="CA1047" s="126">
        <f t="shared" si="1187"/>
        <v>198030.07170399997</v>
      </c>
      <c r="CB1047" s="127">
        <f t="shared" si="1187"/>
        <v>197022.41649295599</v>
      </c>
    </row>
    <row r="1048" spans="1:82" ht="21" customHeight="1" outlineLevel="4" x14ac:dyDescent="0.25">
      <c r="C1048" s="10" t="s">
        <v>394</v>
      </c>
      <c r="D1048" s="10" t="s">
        <v>84</v>
      </c>
      <c r="F1048" s="10" t="s">
        <v>74</v>
      </c>
      <c r="G1048" s="77" t="str">
        <f t="array" ref="G1048">AC1048</f>
        <v>Заработная плата всего</v>
      </c>
      <c r="H1048" s="10" t="s">
        <v>73</v>
      </c>
      <c r="I1048" s="10" t="s">
        <v>73</v>
      </c>
      <c r="J1048" s="10" t="s">
        <v>73</v>
      </c>
      <c r="L1048" s="10" t="s">
        <v>73</v>
      </c>
      <c r="M1048" s="5" t="str">
        <f t="array" ref="M1048">Y818</f>
        <v>1ХВС::1.1</v>
      </c>
      <c r="AB1048" s="29" t="str">
        <f>AB1047&amp;".1"</f>
        <v>3.1.1.4.3.1</v>
      </c>
      <c r="AC1048" s="177" t="s">
        <v>395</v>
      </c>
      <c r="AD1048" s="51" t="s">
        <v>111</v>
      </c>
      <c r="AE1048" s="95">
        <f t="shared" ref="AE1048:AK1048" si="1424">AE308+AE643</f>
        <v>93457.509000000005</v>
      </c>
      <c r="AF1048" s="178">
        <f t="shared" si="1424"/>
        <v>99540.65</v>
      </c>
      <c r="AG1048" s="178">
        <f t="shared" si="1424"/>
        <v>113763.223</v>
      </c>
      <c r="AH1048" s="181">
        <f t="shared" si="1424"/>
        <v>110660.5</v>
      </c>
      <c r="AI1048" s="95">
        <f t="shared" si="1424"/>
        <v>0</v>
      </c>
      <c r="AJ1048" s="178">
        <f t="shared" si="1424"/>
        <v>0</v>
      </c>
      <c r="AK1048" s="178">
        <f t="shared" si="1424"/>
        <v>0</v>
      </c>
      <c r="AL1048" s="181">
        <f t="shared" ref="AL1048" si="1425">AL308+AL643</f>
        <v>0</v>
      </c>
      <c r="AM1048" s="95">
        <f t="shared" ref="AM1048:BV1048" si="1426">AM308+AM643</f>
        <v>1838.441</v>
      </c>
      <c r="AN1048" s="178">
        <f t="shared" si="1426"/>
        <v>0</v>
      </c>
      <c r="AO1048" s="178">
        <f t="shared" si="1426"/>
        <v>2685.1192000000001</v>
      </c>
      <c r="AP1048" s="181">
        <f t="shared" si="1426"/>
        <v>2316.71</v>
      </c>
      <c r="AQ1048" s="95">
        <f t="shared" si="1426"/>
        <v>4111.3069999999998</v>
      </c>
      <c r="AR1048" s="178">
        <f t="shared" si="1426"/>
        <v>0</v>
      </c>
      <c r="AS1048" s="178">
        <f t="shared" si="1426"/>
        <v>4801.558</v>
      </c>
      <c r="AT1048" s="181">
        <f t="shared" si="1426"/>
        <v>5180.8600000000006</v>
      </c>
      <c r="AU1048" s="95">
        <f t="shared" si="1426"/>
        <v>3034.7249999999999</v>
      </c>
      <c r="AV1048" s="178">
        <f t="shared" si="1426"/>
        <v>0</v>
      </c>
      <c r="AW1048" s="178">
        <f t="shared" si="1426"/>
        <v>3017.3589999999999</v>
      </c>
      <c r="AX1048" s="181">
        <f t="shared" ref="AX1048" si="1427">AX308+AX643</f>
        <v>3824.2040000000002</v>
      </c>
      <c r="AY1048" s="95">
        <f t="shared" si="1426"/>
        <v>3432.8059999999996</v>
      </c>
      <c r="AZ1048" s="178">
        <f t="shared" si="1426"/>
        <v>7876.7199999999993</v>
      </c>
      <c r="BA1048" s="178">
        <f t="shared" si="1426"/>
        <v>6555.3809999999994</v>
      </c>
      <c r="BB1048" s="181">
        <f t="shared" si="1426"/>
        <v>8195.648392799998</v>
      </c>
      <c r="BC1048" s="95">
        <f t="shared" si="1426"/>
        <v>2723.576</v>
      </c>
      <c r="BD1048" s="178">
        <f t="shared" si="1426"/>
        <v>0</v>
      </c>
      <c r="BE1048" s="178">
        <f t="shared" si="1426"/>
        <v>3954.3710000000001</v>
      </c>
      <c r="BF1048" s="181">
        <f t="shared" si="1426"/>
        <v>3432.1118999999999</v>
      </c>
      <c r="BG1048" s="95">
        <f t="shared" si="1426"/>
        <v>5071.6540000000005</v>
      </c>
      <c r="BH1048" s="178">
        <f t="shared" si="1426"/>
        <v>5578.5124999999998</v>
      </c>
      <c r="BI1048" s="178">
        <f t="shared" si="1426"/>
        <v>5895.04</v>
      </c>
      <c r="BJ1048" s="181">
        <f t="shared" si="1426"/>
        <v>5804.3306860000002</v>
      </c>
      <c r="BK1048" s="95">
        <f t="shared" si="1426"/>
        <v>6702.2129999999997</v>
      </c>
      <c r="BL1048" s="178">
        <f t="shared" si="1426"/>
        <v>0</v>
      </c>
      <c r="BM1048" s="178">
        <f t="shared" si="1426"/>
        <v>7374.5776000000005</v>
      </c>
      <c r="BN1048" s="181">
        <f t="shared" si="1426"/>
        <v>8332.86</v>
      </c>
      <c r="BO1048" s="95">
        <f t="shared" si="1426"/>
        <v>392.16</v>
      </c>
      <c r="BP1048" s="178">
        <f t="shared" si="1426"/>
        <v>0</v>
      </c>
      <c r="BQ1048" s="178">
        <f t="shared" si="1426"/>
        <v>463.22</v>
      </c>
      <c r="BR1048" s="181">
        <f t="shared" si="1426"/>
        <v>555.17079919999992</v>
      </c>
      <c r="BS1048" s="95">
        <f t="shared" si="1426"/>
        <v>2396.94</v>
      </c>
      <c r="BT1048" s="178">
        <f t="shared" si="1426"/>
        <v>0</v>
      </c>
      <c r="BU1048" s="178">
        <f t="shared" si="1426"/>
        <v>2833.86</v>
      </c>
      <c r="BV1048" s="96">
        <f t="shared" si="1426"/>
        <v>3020.5050000000001</v>
      </c>
      <c r="BY1048" s="125">
        <f t="shared" si="1185"/>
        <v>123161.33100000002</v>
      </c>
      <c r="BZ1048" s="126">
        <f t="shared" si="1186"/>
        <v>112995.88249999999</v>
      </c>
      <c r="CA1048" s="126">
        <f t="shared" si="1187"/>
        <v>151343.70879999999</v>
      </c>
      <c r="CB1048" s="127">
        <f t="shared" si="1187"/>
        <v>151322.90077799998</v>
      </c>
    </row>
    <row r="1049" spans="1:82" s="115" customFormat="1" ht="14.25" customHeight="1" outlineLevel="4" x14ac:dyDescent="0.25">
      <c r="A1049" s="100"/>
      <c r="B1049" s="100"/>
      <c r="C1049" s="99" t="s">
        <v>206</v>
      </c>
      <c r="D1049" s="99" t="s">
        <v>207</v>
      </c>
      <c r="E1049" s="99" t="s">
        <v>73</v>
      </c>
      <c r="F1049" s="99" t="s">
        <v>74</v>
      </c>
      <c r="G1049" s="99" t="s">
        <v>73</v>
      </c>
      <c r="H1049" s="99" t="s">
        <v>73</v>
      </c>
      <c r="I1049" s="99" t="s">
        <v>73</v>
      </c>
      <c r="J1049" s="99" t="s">
        <v>73</v>
      </c>
      <c r="K1049" s="102" t="s">
        <v>73</v>
      </c>
      <c r="L1049" s="99" t="s">
        <v>73</v>
      </c>
      <c r="M1049" s="100" t="str">
        <f t="array" ref="M1049">Y818</f>
        <v>1ХВС::1.1</v>
      </c>
      <c r="N1049" s="100"/>
      <c r="O1049" s="100"/>
      <c r="P1049" s="100"/>
      <c r="Q1049" s="100"/>
      <c r="R1049" s="100"/>
      <c r="S1049" s="100"/>
      <c r="T1049" s="100"/>
      <c r="U1049" s="100"/>
      <c r="V1049" s="100"/>
      <c r="W1049" s="100"/>
      <c r="X1049" s="100"/>
      <c r="Y1049" s="100"/>
      <c r="Z1049" s="100"/>
      <c r="AA1049" s="100"/>
      <c r="AB1049" s="103" t="str">
        <f>AB1048&amp;".1"</f>
        <v>3.1.1.4.3.1.1</v>
      </c>
      <c r="AC1049" s="188" t="s">
        <v>208</v>
      </c>
      <c r="AD1049" s="189" t="s">
        <v>209</v>
      </c>
      <c r="AE1049" s="190">
        <f t="shared" ref="AE1049:AK1049" si="1428">AE1048/AE1050/12*1000</f>
        <v>61958.040970564834</v>
      </c>
      <c r="AF1049" s="191">
        <f t="shared" si="1428"/>
        <v>62604.182389937101</v>
      </c>
      <c r="AG1049" s="191">
        <f t="shared" si="1428"/>
        <v>61962.539760348584</v>
      </c>
      <c r="AH1049" s="193">
        <f t="shared" si="1428"/>
        <v>70914.398133907511</v>
      </c>
      <c r="AI1049" s="190" t="e">
        <f t="shared" si="1428"/>
        <v>#DIV/0!</v>
      </c>
      <c r="AJ1049" s="191" t="e">
        <f t="shared" si="1428"/>
        <v>#DIV/0!</v>
      </c>
      <c r="AK1049" s="191" t="e">
        <f t="shared" si="1428"/>
        <v>#DIV/0!</v>
      </c>
      <c r="AL1049" s="193" t="e">
        <f t="shared" ref="AL1049" si="1429">AL1048/AL1050/12*1000</f>
        <v>#DIV/0!</v>
      </c>
      <c r="AM1049" s="190">
        <f t="shared" ref="AM1049:BV1049" si="1430">AM1048/AM1050/12*1000</f>
        <v>52828.764367816089</v>
      </c>
      <c r="AN1049" s="191" t="e">
        <f t="shared" si="1430"/>
        <v>#DIV/0!</v>
      </c>
      <c r="AO1049" s="191">
        <f t="shared" si="1430"/>
        <v>48643.463768115944</v>
      </c>
      <c r="AP1049" s="193">
        <f t="shared" si="1430"/>
        <v>60520.114942528744</v>
      </c>
      <c r="AQ1049" s="190">
        <f t="shared" si="1430"/>
        <v>54382.36772486772</v>
      </c>
      <c r="AR1049" s="191" t="e">
        <f t="shared" si="1430"/>
        <v>#DIV/0!</v>
      </c>
      <c r="AS1049" s="191">
        <f t="shared" si="1430"/>
        <v>50016.229166666672</v>
      </c>
      <c r="AT1049" s="193">
        <f t="shared" si="1430"/>
        <v>62299.903799903812</v>
      </c>
      <c r="AU1049" s="190">
        <f t="shared" si="1430"/>
        <v>52686.197916666657</v>
      </c>
      <c r="AV1049" s="191" t="e">
        <f t="shared" si="1430"/>
        <v>#DIV/0!</v>
      </c>
      <c r="AW1049" s="191">
        <f t="shared" si="1430"/>
        <v>50289.316666666673</v>
      </c>
      <c r="AX1049" s="193">
        <f t="shared" ref="AX1049" si="1431">AX1048/AX1050/12*1000</f>
        <v>60356.75505050506</v>
      </c>
      <c r="AY1049" s="190">
        <f t="shared" si="1430"/>
        <v>53974.937106918238</v>
      </c>
      <c r="AZ1049" s="191">
        <f t="shared" si="1430"/>
        <v>47946.91989286583</v>
      </c>
      <c r="BA1049" s="191">
        <f t="shared" si="1430"/>
        <v>50117.591743119257</v>
      </c>
      <c r="BB1049" s="193">
        <f t="shared" si="1430"/>
        <v>49888.290679327962</v>
      </c>
      <c r="BC1049" s="190">
        <f t="shared" si="1430"/>
        <v>45392.933333333334</v>
      </c>
      <c r="BD1049" s="191" t="e">
        <f t="shared" si="1430"/>
        <v>#DIV/0!</v>
      </c>
      <c r="BE1049" s="191">
        <f t="shared" si="1430"/>
        <v>47075.845238095244</v>
      </c>
      <c r="BF1049" s="193">
        <f t="shared" si="1430"/>
        <v>52001.695454545457</v>
      </c>
      <c r="BG1049" s="190">
        <f t="shared" si="1430"/>
        <v>46959.759259259263</v>
      </c>
      <c r="BH1049" s="191">
        <f t="shared" si="1430"/>
        <v>46487.604166666664</v>
      </c>
      <c r="BI1049" s="191">
        <f t="shared" si="1430"/>
        <v>49125.333333333336</v>
      </c>
      <c r="BJ1049" s="193">
        <f t="shared" si="1430"/>
        <v>48369.422383333338</v>
      </c>
      <c r="BK1049" s="190">
        <f t="shared" si="1430"/>
        <v>43846.581095933434</v>
      </c>
      <c r="BL1049" s="191" t="e">
        <f t="shared" si="1430"/>
        <v>#DIV/0!</v>
      </c>
      <c r="BM1049" s="191">
        <f t="shared" si="1430"/>
        <v>48237.687074829926</v>
      </c>
      <c r="BN1049" s="193">
        <f t="shared" si="1430"/>
        <v>50246.38205499277</v>
      </c>
      <c r="BO1049" s="197">
        <f t="shared" si="1430"/>
        <v>39853.658536585368</v>
      </c>
      <c r="BP1049" s="195" t="e">
        <f t="shared" si="1430"/>
        <v>#DIV/0!</v>
      </c>
      <c r="BQ1049" s="195">
        <f t="shared" si="1430"/>
        <v>38601.666666666664</v>
      </c>
      <c r="BR1049" s="196">
        <f t="shared" si="1430"/>
        <v>51404.703629629614</v>
      </c>
      <c r="BS1049" s="197">
        <f t="shared" si="1430"/>
        <v>39949.000000000007</v>
      </c>
      <c r="BT1049" s="195" t="e">
        <f t="shared" si="1430"/>
        <v>#DIV/0!</v>
      </c>
      <c r="BU1049" s="195">
        <f t="shared" si="1430"/>
        <v>39359.166666666664</v>
      </c>
      <c r="BV1049" s="198">
        <f t="shared" si="1430"/>
        <v>45765.227272727279</v>
      </c>
      <c r="BW1049" s="111"/>
      <c r="BX1049" s="100"/>
      <c r="BY1049" s="197">
        <f>BY1048/BY1050/12*1000</f>
        <v>57803.333277013706</v>
      </c>
      <c r="BZ1049" s="195">
        <f>BZ1048/BZ1050/12*1000</f>
        <v>60287.621113174122</v>
      </c>
      <c r="CA1049" s="195">
        <f>CA1048/CA1050/12*1000</f>
        <v>57789.47825024437</v>
      </c>
      <c r="CB1049" s="198">
        <f>CB1048/CB1050/12*1000</f>
        <v>64717.68915319474</v>
      </c>
      <c r="CC1049" s="759"/>
    </row>
    <row r="1050" spans="1:82" s="115" customFormat="1" ht="14.25" customHeight="1" outlineLevel="4" x14ac:dyDescent="0.25">
      <c r="A1050" s="100"/>
      <c r="B1050" s="100"/>
      <c r="C1050" s="99" t="s">
        <v>210</v>
      </c>
      <c r="D1050" s="99" t="s">
        <v>211</v>
      </c>
      <c r="E1050" s="99" t="s">
        <v>73</v>
      </c>
      <c r="F1050" s="99" t="s">
        <v>74</v>
      </c>
      <c r="G1050" s="99" t="s">
        <v>73</v>
      </c>
      <c r="H1050" s="99" t="s">
        <v>73</v>
      </c>
      <c r="I1050" s="99" t="s">
        <v>73</v>
      </c>
      <c r="J1050" s="99" t="s">
        <v>73</v>
      </c>
      <c r="K1050" s="102" t="s">
        <v>73</v>
      </c>
      <c r="L1050" s="99" t="s">
        <v>73</v>
      </c>
      <c r="M1050" s="100" t="str">
        <f t="array" ref="M1050">Y818</f>
        <v>1ХВС::1.1</v>
      </c>
      <c r="N1050" s="100"/>
      <c r="O1050" s="100"/>
      <c r="P1050" s="100"/>
      <c r="Q1050" s="100"/>
      <c r="R1050" s="100"/>
      <c r="S1050" s="100"/>
      <c r="T1050" s="100"/>
      <c r="U1050" s="100"/>
      <c r="V1050" s="100"/>
      <c r="W1050" s="100"/>
      <c r="X1050" s="100"/>
      <c r="Y1050" s="100"/>
      <c r="Z1050" s="100"/>
      <c r="AA1050" s="100"/>
      <c r="AB1050" s="103" t="str">
        <f>AB1048&amp;".2"</f>
        <v>3.1.1.4.3.1.2</v>
      </c>
      <c r="AC1050" s="188" t="s">
        <v>212</v>
      </c>
      <c r="AD1050" s="189" t="s">
        <v>213</v>
      </c>
      <c r="AE1050" s="199">
        <f t="shared" ref="AE1050:AK1051" si="1432">AE310+AE645</f>
        <v>125.7</v>
      </c>
      <c r="AF1050" s="200">
        <f t="shared" si="1432"/>
        <v>132.5</v>
      </c>
      <c r="AG1050" s="200">
        <f t="shared" si="1432"/>
        <v>153</v>
      </c>
      <c r="AH1050" s="202">
        <f t="shared" si="1432"/>
        <v>130.04000000000002</v>
      </c>
      <c r="AI1050" s="199">
        <f t="shared" si="1432"/>
        <v>0</v>
      </c>
      <c r="AJ1050" s="200">
        <f t="shared" si="1432"/>
        <v>0</v>
      </c>
      <c r="AK1050" s="200">
        <f t="shared" si="1432"/>
        <v>0</v>
      </c>
      <c r="AL1050" s="202">
        <f t="shared" ref="AL1050" si="1433">AL310+AL645</f>
        <v>0</v>
      </c>
      <c r="AM1050" s="199">
        <f t="shared" ref="AM1050:BV1050" si="1434">AM310+AM645</f>
        <v>2.9</v>
      </c>
      <c r="AN1050" s="200">
        <f t="shared" si="1434"/>
        <v>0</v>
      </c>
      <c r="AO1050" s="200">
        <f t="shared" si="1434"/>
        <v>4.5999999999999996</v>
      </c>
      <c r="AP1050" s="202">
        <f t="shared" si="1434"/>
        <v>3.19</v>
      </c>
      <c r="AQ1050" s="199">
        <f t="shared" si="1434"/>
        <v>6.3</v>
      </c>
      <c r="AR1050" s="200">
        <f t="shared" si="1434"/>
        <v>0</v>
      </c>
      <c r="AS1050" s="200">
        <f t="shared" si="1434"/>
        <v>8</v>
      </c>
      <c r="AT1050" s="202">
        <f t="shared" si="1434"/>
        <v>6.93</v>
      </c>
      <c r="AU1050" s="199">
        <f t="shared" si="1434"/>
        <v>4.8000000000000007</v>
      </c>
      <c r="AV1050" s="200">
        <f t="shared" si="1434"/>
        <v>0</v>
      </c>
      <c r="AW1050" s="200">
        <f t="shared" si="1434"/>
        <v>5</v>
      </c>
      <c r="AX1050" s="202">
        <f t="shared" ref="AX1050" si="1435">AX310+AX645</f>
        <v>5.2799999999999994</v>
      </c>
      <c r="AY1050" s="199">
        <f t="shared" si="1434"/>
        <v>5.3</v>
      </c>
      <c r="AZ1050" s="200">
        <f t="shared" si="1434"/>
        <v>13.690000000000001</v>
      </c>
      <c r="BA1050" s="200">
        <f t="shared" si="1434"/>
        <v>10.9</v>
      </c>
      <c r="BB1050" s="202">
        <f t="shared" si="1434"/>
        <v>13.690000000000001</v>
      </c>
      <c r="BC1050" s="199">
        <f t="shared" si="1434"/>
        <v>5</v>
      </c>
      <c r="BD1050" s="200">
        <f t="shared" si="1434"/>
        <v>0</v>
      </c>
      <c r="BE1050" s="200">
        <f t="shared" si="1434"/>
        <v>7</v>
      </c>
      <c r="BF1050" s="202">
        <f t="shared" si="1434"/>
        <v>5.5</v>
      </c>
      <c r="BG1050" s="199">
        <f t="shared" si="1434"/>
        <v>9</v>
      </c>
      <c r="BH1050" s="200">
        <f t="shared" si="1434"/>
        <v>10</v>
      </c>
      <c r="BI1050" s="200">
        <f t="shared" si="1434"/>
        <v>10</v>
      </c>
      <c r="BJ1050" s="202">
        <f t="shared" si="1434"/>
        <v>10</v>
      </c>
      <c r="BK1050" s="199">
        <f t="shared" si="1434"/>
        <v>12.738</v>
      </c>
      <c r="BL1050" s="200">
        <f t="shared" si="1434"/>
        <v>0</v>
      </c>
      <c r="BM1050" s="200">
        <f t="shared" si="1434"/>
        <v>12.74</v>
      </c>
      <c r="BN1050" s="202">
        <f t="shared" si="1434"/>
        <v>13.82</v>
      </c>
      <c r="BO1050" s="199">
        <f t="shared" si="1434"/>
        <v>0.82</v>
      </c>
      <c r="BP1050" s="200">
        <f t="shared" si="1434"/>
        <v>0</v>
      </c>
      <c r="BQ1050" s="200">
        <f t="shared" si="1434"/>
        <v>1</v>
      </c>
      <c r="BR1050" s="202">
        <f t="shared" si="1434"/>
        <v>0.9</v>
      </c>
      <c r="BS1050" s="199">
        <f t="shared" si="1434"/>
        <v>5</v>
      </c>
      <c r="BT1050" s="200">
        <f t="shared" si="1434"/>
        <v>0</v>
      </c>
      <c r="BU1050" s="200">
        <f t="shared" si="1434"/>
        <v>6</v>
      </c>
      <c r="BV1050" s="201">
        <f t="shared" si="1434"/>
        <v>5.5</v>
      </c>
      <c r="BW1050" s="111"/>
      <c r="BX1050" s="100"/>
      <c r="BY1050" s="112">
        <f t="shared" ref="BY1050:CB1051" si="1436">AE1050+AI1050+AM1050+AQ1050+AU1050+AY1050+BC1050+BG1050+BK1050+BO1050+BS1050</f>
        <v>177.55800000000002</v>
      </c>
      <c r="BZ1050" s="113">
        <f t="shared" si="1436"/>
        <v>156.19</v>
      </c>
      <c r="CA1050" s="113">
        <f t="shared" si="1436"/>
        <v>218.24</v>
      </c>
      <c r="CB1050" s="114">
        <f t="shared" si="1436"/>
        <v>194.85000000000002</v>
      </c>
      <c r="CC1050" s="759"/>
    </row>
    <row r="1051" spans="1:82" ht="14.25" customHeight="1" outlineLevel="4" x14ac:dyDescent="0.25">
      <c r="C1051" s="10" t="s">
        <v>83</v>
      </c>
      <c r="D1051" s="10" t="s">
        <v>84</v>
      </c>
      <c r="E1051" s="10" t="s">
        <v>73</v>
      </c>
      <c r="F1051" s="10" t="s">
        <v>74</v>
      </c>
      <c r="G1051" s="10" t="s">
        <v>214</v>
      </c>
      <c r="H1051" s="10" t="s">
        <v>73</v>
      </c>
      <c r="I1051" s="10" t="s">
        <v>73</v>
      </c>
      <c r="J1051" s="10" t="s">
        <v>73</v>
      </c>
      <c r="K1051" s="12" t="s">
        <v>73</v>
      </c>
      <c r="L1051" s="10" t="s">
        <v>73</v>
      </c>
      <c r="M1051" s="5" t="str">
        <f t="array" ref="M1051">Y818</f>
        <v>1ХВС::1.1</v>
      </c>
      <c r="AB1051" s="29" t="str">
        <f>AB1047&amp;".2"</f>
        <v>3.1.1.4.3.2</v>
      </c>
      <c r="AC1051" s="177" t="s">
        <v>214</v>
      </c>
      <c r="AD1051" s="51" t="s">
        <v>111</v>
      </c>
      <c r="AE1051" s="95">
        <f t="shared" si="1432"/>
        <v>28224.167718000001</v>
      </c>
      <c r="AF1051" s="178">
        <f t="shared" si="1432"/>
        <v>30990.229999999996</v>
      </c>
      <c r="AG1051" s="178">
        <f t="shared" si="1432"/>
        <v>35337.051326000008</v>
      </c>
      <c r="AH1051" s="181">
        <f t="shared" si="1432"/>
        <v>33419.470679999999</v>
      </c>
      <c r="AI1051" s="95">
        <f t="shared" si="1432"/>
        <v>0</v>
      </c>
      <c r="AJ1051" s="178">
        <f t="shared" si="1432"/>
        <v>0</v>
      </c>
      <c r="AK1051" s="178">
        <f t="shared" si="1432"/>
        <v>0</v>
      </c>
      <c r="AL1051" s="181">
        <f t="shared" ref="AL1051" si="1437">AL311+AL646</f>
        <v>0</v>
      </c>
      <c r="AM1051" s="95">
        <f t="shared" ref="AM1051:BV1051" si="1438">AM311+AM646</f>
        <v>555.21</v>
      </c>
      <c r="AN1051" s="178">
        <f t="shared" si="1438"/>
        <v>0</v>
      </c>
      <c r="AO1051" s="178">
        <f t="shared" si="1438"/>
        <v>810.91</v>
      </c>
      <c r="AP1051" s="181">
        <f t="shared" si="1438"/>
        <v>699.64642000000003</v>
      </c>
      <c r="AQ1051" s="95">
        <f t="shared" si="1438"/>
        <v>1241.6100000000001</v>
      </c>
      <c r="AR1051" s="178">
        <f t="shared" si="1438"/>
        <v>0</v>
      </c>
      <c r="AS1051" s="178">
        <f t="shared" si="1438"/>
        <v>1450.07</v>
      </c>
      <c r="AT1051" s="181">
        <f t="shared" si="1438"/>
        <v>1564.6197199999999</v>
      </c>
      <c r="AU1051" s="95">
        <f t="shared" si="1438"/>
        <v>916.48</v>
      </c>
      <c r="AV1051" s="178">
        <f t="shared" si="1438"/>
        <v>0</v>
      </c>
      <c r="AW1051" s="178">
        <f t="shared" si="1438"/>
        <v>911.24</v>
      </c>
      <c r="AX1051" s="181">
        <f t="shared" ref="AX1051" si="1439">AX311+AX646</f>
        <v>1154.9096079999999</v>
      </c>
      <c r="AY1051" s="95">
        <f t="shared" si="1438"/>
        <v>1036.71</v>
      </c>
      <c r="AZ1051" s="178">
        <f t="shared" si="1438"/>
        <v>2378.7600000000002</v>
      </c>
      <c r="BA1051" s="178">
        <f t="shared" si="1438"/>
        <v>1979.73</v>
      </c>
      <c r="BB1051" s="181">
        <f t="shared" si="1438"/>
        <v>2475.0858146255996</v>
      </c>
      <c r="BC1051" s="95">
        <f t="shared" si="1438"/>
        <v>822.51995199999999</v>
      </c>
      <c r="BD1051" s="178">
        <f t="shared" si="1438"/>
        <v>0</v>
      </c>
      <c r="BE1051" s="178">
        <f t="shared" si="1438"/>
        <v>1194.2200419999999</v>
      </c>
      <c r="BF1051" s="181">
        <f t="shared" si="1438"/>
        <v>1036.4977938000002</v>
      </c>
      <c r="BG1051" s="95">
        <f t="shared" si="1438"/>
        <v>1531.639508</v>
      </c>
      <c r="BH1051" s="178">
        <f t="shared" si="1438"/>
        <v>1684.710775</v>
      </c>
      <c r="BI1051" s="178">
        <f t="shared" si="1438"/>
        <v>1780.2953160000002</v>
      </c>
      <c r="BJ1051" s="181">
        <f t="shared" si="1438"/>
        <v>1752.9078671719999</v>
      </c>
      <c r="BK1051" s="95">
        <f t="shared" si="1438"/>
        <v>2024.0680600000001</v>
      </c>
      <c r="BL1051" s="178">
        <f t="shared" si="1438"/>
        <v>0</v>
      </c>
      <c r="BM1051" s="178">
        <f t="shared" si="1438"/>
        <v>2227.12</v>
      </c>
      <c r="BN1051" s="181">
        <f t="shared" si="1438"/>
        <v>2516.5237200000001</v>
      </c>
      <c r="BO1051" s="95">
        <f t="shared" si="1438"/>
        <v>118.43616</v>
      </c>
      <c r="BP1051" s="178">
        <f t="shared" si="1438"/>
        <v>0</v>
      </c>
      <c r="BQ1051" s="178">
        <f t="shared" si="1438"/>
        <v>139.89622</v>
      </c>
      <c r="BR1051" s="181">
        <f t="shared" si="1438"/>
        <v>167.66158135839999</v>
      </c>
      <c r="BS1051" s="95">
        <f t="shared" si="1438"/>
        <v>723.88000000000011</v>
      </c>
      <c r="BT1051" s="178">
        <f t="shared" si="1438"/>
        <v>0</v>
      </c>
      <c r="BU1051" s="178">
        <f t="shared" si="1438"/>
        <v>855.83</v>
      </c>
      <c r="BV1051" s="96">
        <f t="shared" si="1438"/>
        <v>912.19250999999997</v>
      </c>
      <c r="BY1051" s="125">
        <f t="shared" si="1436"/>
        <v>37194.721397999994</v>
      </c>
      <c r="BZ1051" s="126">
        <f t="shared" si="1436"/>
        <v>35053.700774999998</v>
      </c>
      <c r="CA1051" s="126">
        <f t="shared" si="1436"/>
        <v>46686.362904000023</v>
      </c>
      <c r="CB1051" s="127">
        <f t="shared" si="1436"/>
        <v>45699.515714955996</v>
      </c>
    </row>
    <row r="1052" spans="1:82" ht="15.75" customHeight="1" outlineLevel="4" x14ac:dyDescent="0.25">
      <c r="C1052" s="10" t="s">
        <v>216</v>
      </c>
      <c r="D1052" s="10" t="s">
        <v>217</v>
      </c>
      <c r="E1052" s="10" t="s">
        <v>73</v>
      </c>
      <c r="F1052" s="10" t="s">
        <v>74</v>
      </c>
      <c r="G1052" s="10" t="s">
        <v>73</v>
      </c>
      <c r="H1052" s="10" t="s">
        <v>73</v>
      </c>
      <c r="I1052" s="10" t="s">
        <v>73</v>
      </c>
      <c r="J1052" s="10" t="s">
        <v>73</v>
      </c>
      <c r="K1052" s="12" t="s">
        <v>73</v>
      </c>
      <c r="L1052" s="10" t="s">
        <v>73</v>
      </c>
      <c r="M1052" s="5" t="str">
        <f t="array" ref="M1052">Y818</f>
        <v>1ХВС::1.1</v>
      </c>
      <c r="AB1052" s="29" t="str">
        <f>AB1051&amp;".1"</f>
        <v>3.1.1.4.3.2.1</v>
      </c>
      <c r="AC1052" s="208" t="s">
        <v>218</v>
      </c>
      <c r="AD1052" s="51" t="s">
        <v>119</v>
      </c>
      <c r="AE1052" s="72">
        <v>30.2</v>
      </c>
      <c r="AF1052" s="73">
        <v>30.2</v>
      </c>
      <c r="AG1052" s="73">
        <v>30.2</v>
      </c>
      <c r="AH1052" s="138">
        <v>30.2</v>
      </c>
      <c r="AI1052" s="72">
        <v>30.2</v>
      </c>
      <c r="AJ1052" s="73">
        <v>30.2</v>
      </c>
      <c r="AK1052" s="73">
        <v>30.2</v>
      </c>
      <c r="AL1052" s="138">
        <v>30.2</v>
      </c>
      <c r="AM1052" s="72">
        <v>30.2</v>
      </c>
      <c r="AN1052" s="73">
        <v>30.2</v>
      </c>
      <c r="AO1052" s="73">
        <v>30.2</v>
      </c>
      <c r="AP1052" s="138">
        <v>30.2</v>
      </c>
      <c r="AQ1052" s="72">
        <v>30.2</v>
      </c>
      <c r="AR1052" s="73">
        <v>30.2</v>
      </c>
      <c r="AS1052" s="73">
        <v>30.2</v>
      </c>
      <c r="AT1052" s="138">
        <v>30.2</v>
      </c>
      <c r="AU1052" s="72">
        <v>30.2</v>
      </c>
      <c r="AV1052" s="73">
        <v>30.2</v>
      </c>
      <c r="AW1052" s="73">
        <v>30.2</v>
      </c>
      <c r="AX1052" s="138">
        <v>31.2</v>
      </c>
      <c r="AY1052" s="72">
        <v>30.2</v>
      </c>
      <c r="AZ1052" s="73">
        <v>30.2</v>
      </c>
      <c r="BA1052" s="73">
        <v>30.2</v>
      </c>
      <c r="BB1052" s="138">
        <v>30.2</v>
      </c>
      <c r="BC1052" s="72">
        <v>30.2</v>
      </c>
      <c r="BD1052" s="73">
        <v>30.2</v>
      </c>
      <c r="BE1052" s="73">
        <v>30.2</v>
      </c>
      <c r="BF1052" s="138">
        <v>30.2</v>
      </c>
      <c r="BG1052" s="72">
        <v>30.2</v>
      </c>
      <c r="BH1052" s="73">
        <v>30.2</v>
      </c>
      <c r="BI1052" s="73">
        <v>30.2</v>
      </c>
      <c r="BJ1052" s="138">
        <v>30.2</v>
      </c>
      <c r="BK1052" s="72">
        <v>30.2</v>
      </c>
      <c r="BL1052" s="73">
        <v>30.2</v>
      </c>
      <c r="BM1052" s="73">
        <v>30.2</v>
      </c>
      <c r="BN1052" s="138">
        <v>30.2</v>
      </c>
      <c r="BO1052" s="72">
        <v>30.2</v>
      </c>
      <c r="BP1052" s="73">
        <v>30.2</v>
      </c>
      <c r="BQ1052" s="73">
        <v>30.2</v>
      </c>
      <c r="BR1052" s="138">
        <v>30.2</v>
      </c>
      <c r="BS1052" s="72">
        <v>30.2</v>
      </c>
      <c r="BT1052" s="73">
        <v>30.2</v>
      </c>
      <c r="BU1052" s="73">
        <v>30.2</v>
      </c>
      <c r="BV1052" s="74">
        <v>30.2</v>
      </c>
      <c r="BY1052" s="125">
        <v>30.2</v>
      </c>
      <c r="BZ1052" s="126">
        <v>30.2</v>
      </c>
      <c r="CA1052" s="126">
        <v>30.2</v>
      </c>
      <c r="CB1052" s="127">
        <v>30.2</v>
      </c>
    </row>
    <row r="1053" spans="1:82" ht="44.85" customHeight="1" outlineLevel="4" x14ac:dyDescent="0.25">
      <c r="C1053" s="10" t="s">
        <v>83</v>
      </c>
      <c r="D1053" s="10" t="s">
        <v>84</v>
      </c>
      <c r="E1053" s="10" t="s">
        <v>73</v>
      </c>
      <c r="F1053" s="10" t="s">
        <v>74</v>
      </c>
      <c r="G1053" s="10" t="s">
        <v>396</v>
      </c>
      <c r="H1053" s="10" t="s">
        <v>73</v>
      </c>
      <c r="I1053" s="10" t="s">
        <v>73</v>
      </c>
      <c r="J1053" s="10" t="s">
        <v>73</v>
      </c>
      <c r="K1053" s="12" t="s">
        <v>73</v>
      </c>
      <c r="L1053" s="10" t="s">
        <v>73</v>
      </c>
      <c r="M1053" s="5" t="str">
        <f t="array" ref="M1053">Y818</f>
        <v>1ХВС::1.1</v>
      </c>
      <c r="AB1053" s="65" t="str">
        <f>AB1044&amp;".4"</f>
        <v>3.1.1.4.4</v>
      </c>
      <c r="AC1053" s="174" t="s">
        <v>397</v>
      </c>
      <c r="AD1053" s="51" t="s">
        <v>111</v>
      </c>
      <c r="AE1053" s="95"/>
      <c r="AF1053" s="178"/>
      <c r="AG1053" s="178"/>
      <c r="AH1053" s="181"/>
      <c r="AI1053" s="95"/>
      <c r="AJ1053" s="178"/>
      <c r="AK1053" s="178"/>
      <c r="AL1053" s="181"/>
      <c r="AM1053" s="95"/>
      <c r="AN1053" s="178"/>
      <c r="AO1053" s="178"/>
      <c r="AP1053" s="181"/>
      <c r="AQ1053" s="95"/>
      <c r="AR1053" s="178"/>
      <c r="AS1053" s="178"/>
      <c r="AT1053" s="181"/>
      <c r="AU1053" s="95"/>
      <c r="AV1053" s="178"/>
      <c r="AW1053" s="178"/>
      <c r="AX1053" s="181"/>
      <c r="AY1053" s="95"/>
      <c r="AZ1053" s="178"/>
      <c r="BA1053" s="178"/>
      <c r="BB1053" s="181"/>
      <c r="BC1053" s="95"/>
      <c r="BD1053" s="178"/>
      <c r="BE1053" s="178"/>
      <c r="BF1053" s="181"/>
      <c r="BG1053" s="95"/>
      <c r="BH1053" s="178"/>
      <c r="BI1053" s="178"/>
      <c r="BJ1053" s="181"/>
      <c r="BK1053" s="95"/>
      <c r="BL1053" s="178"/>
      <c r="BM1053" s="178"/>
      <c r="BN1053" s="181"/>
      <c r="BO1053" s="185"/>
      <c r="BP1053" s="183"/>
      <c r="BQ1053" s="183"/>
      <c r="BR1053" s="184"/>
      <c r="BS1053" s="185"/>
      <c r="BT1053" s="183"/>
      <c r="BU1053" s="183"/>
      <c r="BV1053" s="186"/>
      <c r="BY1053" s="125">
        <f t="shared" ref="BY1053:CB1059" si="1440">AE1053+AI1053+AM1053+AQ1053+AU1053+AY1053+BC1053+BG1053+BK1053+BO1053+BS1053</f>
        <v>0</v>
      </c>
      <c r="BZ1053" s="126">
        <f t="shared" si="1440"/>
        <v>0</v>
      </c>
      <c r="CA1053" s="126">
        <f t="shared" si="1440"/>
        <v>0</v>
      </c>
      <c r="CB1053" s="127">
        <f t="shared" si="1440"/>
        <v>0</v>
      </c>
    </row>
    <row r="1054" spans="1:82" ht="31.5" customHeight="1" outlineLevel="4" x14ac:dyDescent="0.25">
      <c r="C1054" s="10" t="s">
        <v>83</v>
      </c>
      <c r="D1054" s="10" t="s">
        <v>84</v>
      </c>
      <c r="E1054" s="10" t="s">
        <v>73</v>
      </c>
      <c r="F1054" s="10" t="s">
        <v>74</v>
      </c>
      <c r="G1054" s="10" t="s">
        <v>398</v>
      </c>
      <c r="H1054" s="10" t="s">
        <v>73</v>
      </c>
      <c r="I1054" s="10" t="s">
        <v>73</v>
      </c>
      <c r="J1054" s="10" t="s">
        <v>73</v>
      </c>
      <c r="K1054" s="12" t="s">
        <v>73</v>
      </c>
      <c r="L1054" s="10" t="s">
        <v>73</v>
      </c>
      <c r="M1054" s="5" t="str">
        <f t="array" ref="M1054">Y818</f>
        <v>1ХВС::1.1</v>
      </c>
      <c r="AB1054" s="65" t="str">
        <f>AB1044&amp;".5"</f>
        <v>3.1.1.4.5</v>
      </c>
      <c r="AC1054" s="174" t="s">
        <v>398</v>
      </c>
      <c r="AD1054" s="51" t="s">
        <v>111</v>
      </c>
      <c r="AE1054" s="95">
        <f t="shared" ref="AE1054:AK1056" si="1441">AE314+AE649</f>
        <v>3375.9740000000002</v>
      </c>
      <c r="AF1054" s="178">
        <f t="shared" si="1441"/>
        <v>0</v>
      </c>
      <c r="AG1054" s="178">
        <f t="shared" si="1441"/>
        <v>3344.4780000000001</v>
      </c>
      <c r="AH1054" s="181">
        <f t="shared" si="1441"/>
        <v>259.57</v>
      </c>
      <c r="AI1054" s="95">
        <f t="shared" si="1441"/>
        <v>0</v>
      </c>
      <c r="AJ1054" s="178">
        <f t="shared" si="1441"/>
        <v>0</v>
      </c>
      <c r="AK1054" s="178">
        <f t="shared" si="1441"/>
        <v>0</v>
      </c>
      <c r="AL1054" s="181">
        <f t="shared" ref="AL1054" si="1442">AL314+AL649</f>
        <v>0</v>
      </c>
      <c r="AM1054" s="95">
        <f t="shared" ref="AM1054:AS1056" si="1443">AM314+AM649</f>
        <v>486.74</v>
      </c>
      <c r="AN1054" s="178">
        <f t="shared" si="1443"/>
        <v>0</v>
      </c>
      <c r="AO1054" s="178">
        <f t="shared" si="1443"/>
        <v>478.93</v>
      </c>
      <c r="AP1054" s="181">
        <f t="shared" si="1443"/>
        <v>0</v>
      </c>
      <c r="AQ1054" s="95">
        <f t="shared" si="1443"/>
        <v>745.2</v>
      </c>
      <c r="AR1054" s="178">
        <f t="shared" si="1443"/>
        <v>0</v>
      </c>
      <c r="AS1054" s="178">
        <f t="shared" si="1443"/>
        <v>0</v>
      </c>
      <c r="AT1054" s="181">
        <f t="shared" ref="AT1054" si="1444">AT314+AT649</f>
        <v>0</v>
      </c>
      <c r="AU1054" s="95">
        <f t="shared" ref="AU1054:AW1056" si="1445">AU314+AU649</f>
        <v>0</v>
      </c>
      <c r="AV1054" s="178">
        <f t="shared" si="1445"/>
        <v>0</v>
      </c>
      <c r="AW1054" s="178">
        <f t="shared" si="1445"/>
        <v>0</v>
      </c>
      <c r="AX1054" s="181">
        <f t="shared" ref="AX1054" si="1446">AX314+AX649</f>
        <v>0</v>
      </c>
      <c r="AY1054" s="95">
        <f t="shared" ref="AY1054:BE1056" si="1447">AY314+AY649</f>
        <v>399.75</v>
      </c>
      <c r="AZ1054" s="178">
        <f t="shared" si="1447"/>
        <v>0</v>
      </c>
      <c r="BA1054" s="178">
        <f t="shared" si="1447"/>
        <v>472.75</v>
      </c>
      <c r="BB1054" s="181">
        <f t="shared" si="1447"/>
        <v>0</v>
      </c>
      <c r="BC1054" s="95">
        <f t="shared" si="1447"/>
        <v>874.61</v>
      </c>
      <c r="BD1054" s="178">
        <f t="shared" si="1447"/>
        <v>0</v>
      </c>
      <c r="BE1054" s="178">
        <f t="shared" si="1447"/>
        <v>1025.877</v>
      </c>
      <c r="BF1054" s="181">
        <f t="shared" ref="BF1054" si="1448">BF314+BF649</f>
        <v>0</v>
      </c>
      <c r="BG1054" s="95">
        <f t="shared" ref="BG1054:BJ1057" si="1449">BG314+BG649</f>
        <v>0</v>
      </c>
      <c r="BH1054" s="178">
        <f t="shared" si="1449"/>
        <v>0</v>
      </c>
      <c r="BI1054" s="178">
        <f t="shared" si="1449"/>
        <v>0</v>
      </c>
      <c r="BJ1054" s="181">
        <f t="shared" ref="BJ1054" si="1450">BJ314+BJ649</f>
        <v>0</v>
      </c>
      <c r="BK1054" s="95">
        <f t="shared" ref="BK1054:BM1056" si="1451">BK314+BK649</f>
        <v>1416</v>
      </c>
      <c r="BL1054" s="178">
        <f t="shared" si="1451"/>
        <v>0</v>
      </c>
      <c r="BM1054" s="178">
        <f t="shared" si="1451"/>
        <v>1558.0447999999999</v>
      </c>
      <c r="BN1054" s="181">
        <f t="shared" ref="BN1054" si="1452">BN314+BN649</f>
        <v>0</v>
      </c>
      <c r="BO1054" s="95">
        <f t="shared" ref="BO1054:BV1056" si="1453">BO314+BO649</f>
        <v>0</v>
      </c>
      <c r="BP1054" s="178">
        <f t="shared" si="1453"/>
        <v>0</v>
      </c>
      <c r="BQ1054" s="178">
        <f t="shared" si="1453"/>
        <v>0</v>
      </c>
      <c r="BR1054" s="181">
        <f t="shared" si="1453"/>
        <v>0</v>
      </c>
      <c r="BS1054" s="95">
        <f t="shared" si="1453"/>
        <v>360</v>
      </c>
      <c r="BT1054" s="178">
        <f t="shared" si="1453"/>
        <v>0</v>
      </c>
      <c r="BU1054" s="178">
        <f t="shared" si="1453"/>
        <v>360</v>
      </c>
      <c r="BV1054" s="96">
        <f t="shared" si="1453"/>
        <v>0</v>
      </c>
      <c r="BY1054" s="125">
        <f t="shared" si="1440"/>
        <v>7658.2739999999994</v>
      </c>
      <c r="BZ1054" s="126">
        <f t="shared" si="1440"/>
        <v>0</v>
      </c>
      <c r="CA1054" s="126">
        <f t="shared" si="1440"/>
        <v>7240.0797999999995</v>
      </c>
      <c r="CB1054" s="127">
        <f t="shared" si="1440"/>
        <v>259.57</v>
      </c>
    </row>
    <row r="1055" spans="1:82" s="211" customFormat="1" ht="80.25" customHeight="1" outlineLevel="4" x14ac:dyDescent="0.25">
      <c r="A1055" s="6"/>
      <c r="B1055" s="6"/>
      <c r="C1055" s="116" t="s">
        <v>83</v>
      </c>
      <c r="D1055" s="116" t="s">
        <v>84</v>
      </c>
      <c r="E1055" s="116" t="s">
        <v>73</v>
      </c>
      <c r="F1055" s="116" t="s">
        <v>74</v>
      </c>
      <c r="G1055" s="116" t="s">
        <v>399</v>
      </c>
      <c r="H1055" s="116" t="s">
        <v>73</v>
      </c>
      <c r="I1055" s="116" t="s">
        <v>73</v>
      </c>
      <c r="J1055" s="116" t="s">
        <v>73</v>
      </c>
      <c r="K1055" s="209" t="s">
        <v>73</v>
      </c>
      <c r="L1055" s="116" t="s">
        <v>73</v>
      </c>
      <c r="M1055" s="6" t="str">
        <f t="array" ref="M1055">Y818</f>
        <v>1ХВС::1.1</v>
      </c>
      <c r="N1055" s="6"/>
      <c r="O1055" s="6"/>
      <c r="P1055" s="6"/>
      <c r="Q1055" s="6"/>
      <c r="R1055" s="6"/>
      <c r="S1055" s="6"/>
      <c r="T1055" s="6"/>
      <c r="U1055" s="6"/>
      <c r="V1055" s="6"/>
      <c r="W1055" s="6"/>
      <c r="X1055" s="6"/>
      <c r="Y1055" s="6"/>
      <c r="Z1055" s="6"/>
      <c r="AA1055" s="6"/>
      <c r="AB1055" s="65" t="str">
        <f>AB1044&amp;".6"</f>
        <v>3.1.1.4.6</v>
      </c>
      <c r="AC1055" s="174" t="s">
        <v>400</v>
      </c>
      <c r="AD1055" s="51" t="s">
        <v>111</v>
      </c>
      <c r="AE1055" s="95">
        <f t="shared" si="1441"/>
        <v>0</v>
      </c>
      <c r="AF1055" s="178">
        <f t="shared" si="1441"/>
        <v>0</v>
      </c>
      <c r="AG1055" s="178">
        <f t="shared" si="1441"/>
        <v>0</v>
      </c>
      <c r="AH1055" s="181">
        <f t="shared" si="1441"/>
        <v>0</v>
      </c>
      <c r="AI1055" s="95">
        <f t="shared" si="1441"/>
        <v>0</v>
      </c>
      <c r="AJ1055" s="178">
        <f t="shared" si="1441"/>
        <v>0</v>
      </c>
      <c r="AK1055" s="178">
        <f t="shared" si="1441"/>
        <v>0</v>
      </c>
      <c r="AL1055" s="181">
        <f t="shared" ref="AL1055" si="1454">AL315+AL650</f>
        <v>0</v>
      </c>
      <c r="AM1055" s="95">
        <f t="shared" si="1443"/>
        <v>0</v>
      </c>
      <c r="AN1055" s="178">
        <f t="shared" si="1443"/>
        <v>0</v>
      </c>
      <c r="AO1055" s="178">
        <f t="shared" si="1443"/>
        <v>0</v>
      </c>
      <c r="AP1055" s="181">
        <f t="shared" si="1443"/>
        <v>0</v>
      </c>
      <c r="AQ1055" s="95">
        <f t="shared" si="1443"/>
        <v>0</v>
      </c>
      <c r="AR1055" s="178">
        <f t="shared" si="1443"/>
        <v>0</v>
      </c>
      <c r="AS1055" s="178">
        <f t="shared" si="1443"/>
        <v>0</v>
      </c>
      <c r="AT1055" s="181">
        <f t="shared" ref="AT1055" si="1455">AT315+AT650</f>
        <v>0</v>
      </c>
      <c r="AU1055" s="95">
        <f t="shared" si="1445"/>
        <v>0</v>
      </c>
      <c r="AV1055" s="178">
        <f t="shared" si="1445"/>
        <v>0</v>
      </c>
      <c r="AW1055" s="178">
        <f t="shared" si="1445"/>
        <v>0</v>
      </c>
      <c r="AX1055" s="181">
        <f t="shared" ref="AX1055" si="1456">AX315+AX650</f>
        <v>0</v>
      </c>
      <c r="AY1055" s="95">
        <f t="shared" si="1447"/>
        <v>0</v>
      </c>
      <c r="AZ1055" s="178">
        <f t="shared" si="1447"/>
        <v>0</v>
      </c>
      <c r="BA1055" s="178">
        <f t="shared" si="1447"/>
        <v>0</v>
      </c>
      <c r="BB1055" s="181">
        <f t="shared" si="1447"/>
        <v>0</v>
      </c>
      <c r="BC1055" s="95">
        <f t="shared" si="1447"/>
        <v>0</v>
      </c>
      <c r="BD1055" s="178">
        <f t="shared" si="1447"/>
        <v>0</v>
      </c>
      <c r="BE1055" s="178">
        <f t="shared" si="1447"/>
        <v>0</v>
      </c>
      <c r="BF1055" s="181">
        <f t="shared" ref="BF1055" si="1457">BF315+BF650</f>
        <v>0</v>
      </c>
      <c r="BG1055" s="95">
        <f t="shared" si="1449"/>
        <v>0</v>
      </c>
      <c r="BH1055" s="178">
        <f t="shared" si="1449"/>
        <v>0</v>
      </c>
      <c r="BI1055" s="178">
        <f t="shared" si="1449"/>
        <v>0</v>
      </c>
      <c r="BJ1055" s="181">
        <f t="shared" ref="BJ1055" si="1458">BJ315+BJ650</f>
        <v>0</v>
      </c>
      <c r="BK1055" s="95">
        <f t="shared" si="1451"/>
        <v>0</v>
      </c>
      <c r="BL1055" s="178">
        <f t="shared" si="1451"/>
        <v>747.3</v>
      </c>
      <c r="BM1055" s="178">
        <f t="shared" si="1451"/>
        <v>804.78</v>
      </c>
      <c r="BN1055" s="181">
        <v>0</v>
      </c>
      <c r="BO1055" s="95">
        <f t="shared" si="1453"/>
        <v>0</v>
      </c>
      <c r="BP1055" s="178">
        <f t="shared" si="1453"/>
        <v>0</v>
      </c>
      <c r="BQ1055" s="178">
        <f t="shared" si="1453"/>
        <v>0</v>
      </c>
      <c r="BR1055" s="181">
        <f t="shared" si="1453"/>
        <v>0</v>
      </c>
      <c r="BS1055" s="95">
        <f t="shared" si="1453"/>
        <v>0</v>
      </c>
      <c r="BT1055" s="178">
        <f t="shared" si="1453"/>
        <v>0</v>
      </c>
      <c r="BU1055" s="178">
        <f t="shared" si="1453"/>
        <v>0</v>
      </c>
      <c r="BV1055" s="96">
        <f t="shared" si="1453"/>
        <v>0</v>
      </c>
      <c r="BW1055" s="6"/>
      <c r="BX1055" s="6"/>
      <c r="BY1055" s="125">
        <f t="shared" si="1440"/>
        <v>0</v>
      </c>
      <c r="BZ1055" s="126">
        <f t="shared" si="1440"/>
        <v>747.3</v>
      </c>
      <c r="CA1055" s="126">
        <f t="shared" si="1440"/>
        <v>804.78</v>
      </c>
      <c r="CB1055" s="127">
        <f t="shared" si="1440"/>
        <v>0</v>
      </c>
      <c r="CC1055" s="766"/>
    </row>
    <row r="1056" spans="1:82" ht="62.25" customHeight="1" outlineLevel="4" x14ac:dyDescent="0.25">
      <c r="C1056" s="10" t="s">
        <v>83</v>
      </c>
      <c r="D1056" s="10" t="s">
        <v>84</v>
      </c>
      <c r="E1056" s="10" t="s">
        <v>73</v>
      </c>
      <c r="F1056" s="10" t="s">
        <v>74</v>
      </c>
      <c r="G1056" s="10" t="s">
        <v>401</v>
      </c>
      <c r="H1056" s="10" t="s">
        <v>73</v>
      </c>
      <c r="I1056" s="10" t="s">
        <v>73</v>
      </c>
      <c r="J1056" s="10" t="s">
        <v>73</v>
      </c>
      <c r="K1056" s="12" t="s">
        <v>73</v>
      </c>
      <c r="L1056" s="10" t="s">
        <v>73</v>
      </c>
      <c r="M1056" s="5" t="str">
        <f t="array" ref="M1056">Y818</f>
        <v>1ХВС::1.1</v>
      </c>
      <c r="AB1056" s="65" t="str">
        <f>AB1044&amp;".7"</f>
        <v>3.1.1.4.7</v>
      </c>
      <c r="AC1056" s="174" t="s">
        <v>402</v>
      </c>
      <c r="AD1056" s="51" t="s">
        <v>111</v>
      </c>
      <c r="AE1056" s="95">
        <f t="shared" si="1441"/>
        <v>30411.417999999998</v>
      </c>
      <c r="AF1056" s="178">
        <f t="shared" si="1441"/>
        <v>20836.79</v>
      </c>
      <c r="AG1056" s="178">
        <f t="shared" si="1441"/>
        <v>37977.842000000004</v>
      </c>
      <c r="AH1056" s="181">
        <f t="shared" si="1441"/>
        <v>22560.11</v>
      </c>
      <c r="AI1056" s="95">
        <f t="shared" si="1441"/>
        <v>0</v>
      </c>
      <c r="AJ1056" s="178">
        <f t="shared" si="1441"/>
        <v>0</v>
      </c>
      <c r="AK1056" s="178">
        <f t="shared" si="1441"/>
        <v>0</v>
      </c>
      <c r="AL1056" s="181">
        <f t="shared" ref="AL1056" si="1459">AL316+AL651</f>
        <v>0</v>
      </c>
      <c r="AM1056" s="95">
        <f t="shared" si="1443"/>
        <v>750.18</v>
      </c>
      <c r="AN1056" s="178">
        <f t="shared" si="1443"/>
        <v>0</v>
      </c>
      <c r="AO1056" s="178">
        <f t="shared" si="1443"/>
        <v>1020.7</v>
      </c>
      <c r="AP1056" s="181">
        <f t="shared" si="1443"/>
        <v>509.89</v>
      </c>
      <c r="AQ1056" s="95">
        <f t="shared" si="1443"/>
        <v>1374.92</v>
      </c>
      <c r="AR1056" s="178">
        <f t="shared" si="1443"/>
        <v>41.8</v>
      </c>
      <c r="AS1056" s="178">
        <f t="shared" si="1443"/>
        <v>1733.15</v>
      </c>
      <c r="AT1056" s="181">
        <f>AT316+AT651</f>
        <v>754.07600000000002</v>
      </c>
      <c r="AU1056" s="95">
        <f t="shared" si="1445"/>
        <v>309.49</v>
      </c>
      <c r="AV1056" s="178">
        <f t="shared" si="1445"/>
        <v>0</v>
      </c>
      <c r="AW1056" s="178">
        <f t="shared" si="1445"/>
        <v>427.01</v>
      </c>
      <c r="AX1056" s="181">
        <f t="shared" ref="AX1056" si="1460">AX316+AX651</f>
        <v>277.32</v>
      </c>
      <c r="AY1056" s="95">
        <f t="shared" si="1447"/>
        <v>1426.4299999999998</v>
      </c>
      <c r="AZ1056" s="178">
        <f t="shared" si="1447"/>
        <v>1799.15</v>
      </c>
      <c r="BA1056" s="178">
        <f t="shared" si="1447"/>
        <v>3553.07</v>
      </c>
      <c r="BB1056" s="181">
        <f t="shared" si="1447"/>
        <v>1871.9975834999998</v>
      </c>
      <c r="BC1056" s="95">
        <f t="shared" si="1447"/>
        <v>525.03</v>
      </c>
      <c r="BD1056" s="178">
        <f t="shared" si="1447"/>
        <v>0</v>
      </c>
      <c r="BE1056" s="178">
        <f t="shared" si="1447"/>
        <v>706.86599999999999</v>
      </c>
      <c r="BF1056" s="181">
        <f>BF651+BF316</f>
        <v>317.94900000000001</v>
      </c>
      <c r="BG1056" s="95">
        <f t="shared" si="1449"/>
        <v>2402.5829999999996</v>
      </c>
      <c r="BH1056" s="178">
        <f t="shared" si="1449"/>
        <v>4190.6499999999996</v>
      </c>
      <c r="BI1056" s="178">
        <f t="shared" si="1449"/>
        <v>3251.3</v>
      </c>
      <c r="BJ1056" s="181">
        <f>BJ651+BJ316</f>
        <v>4360.2875120000008</v>
      </c>
      <c r="BK1056" s="95">
        <f t="shared" si="1451"/>
        <v>2379.0576099999998</v>
      </c>
      <c r="BL1056" s="178">
        <f t="shared" si="1451"/>
        <v>601.6</v>
      </c>
      <c r="BM1056" s="178">
        <f t="shared" si="1451"/>
        <v>2544.4120000000003</v>
      </c>
      <c r="BN1056" s="181">
        <f>BN316+BN651+0.01</f>
        <v>1462.9599999999998</v>
      </c>
      <c r="BO1056" s="95">
        <f t="shared" si="1453"/>
        <v>128.054</v>
      </c>
      <c r="BP1056" s="178">
        <f t="shared" si="1453"/>
        <v>95.69</v>
      </c>
      <c r="BQ1056" s="178">
        <f t="shared" si="1453"/>
        <v>174.94</v>
      </c>
      <c r="BR1056" s="181">
        <f t="shared" si="1453"/>
        <v>113.06213120000001</v>
      </c>
      <c r="BS1056" s="95">
        <f t="shared" si="1453"/>
        <v>327.71000000000004</v>
      </c>
      <c r="BT1056" s="178">
        <f t="shared" si="1453"/>
        <v>266.73</v>
      </c>
      <c r="BU1056" s="178">
        <f t="shared" si="1453"/>
        <v>442.63</v>
      </c>
      <c r="BV1056" s="96">
        <f t="shared" si="1453"/>
        <v>275.61</v>
      </c>
      <c r="BY1056" s="125">
        <f t="shared" si="1440"/>
        <v>40034.872609999991</v>
      </c>
      <c r="BZ1056" s="126">
        <f t="shared" si="1440"/>
        <v>27832.409999999996</v>
      </c>
      <c r="CA1056" s="126">
        <f t="shared" si="1440"/>
        <v>51831.920000000006</v>
      </c>
      <c r="CB1056" s="127">
        <f t="shared" si="1440"/>
        <v>32503.262226700004</v>
      </c>
    </row>
    <row r="1057" spans="1:81" ht="33.75" customHeight="1" outlineLevel="4" x14ac:dyDescent="0.25">
      <c r="C1057" s="10" t="s">
        <v>83</v>
      </c>
      <c r="D1057" s="10" t="s">
        <v>84</v>
      </c>
      <c r="E1057" s="10" t="s">
        <v>73</v>
      </c>
      <c r="F1057" s="10" t="s">
        <v>74</v>
      </c>
      <c r="G1057" s="10" t="s">
        <v>403</v>
      </c>
      <c r="H1057" s="10" t="s">
        <v>73</v>
      </c>
      <c r="I1057" s="10" t="s">
        <v>73</v>
      </c>
      <c r="J1057" s="10" t="s">
        <v>73</v>
      </c>
      <c r="K1057" s="12" t="s">
        <v>73</v>
      </c>
      <c r="L1057" s="10" t="s">
        <v>73</v>
      </c>
      <c r="M1057" s="5" t="str">
        <f t="array" ref="M1057">Y818</f>
        <v>1ХВС::1.1</v>
      </c>
      <c r="AB1057" s="65" t="str">
        <f>AB1044&amp;".8"</f>
        <v>3.1.1.4.8</v>
      </c>
      <c r="AC1057" s="174" t="s">
        <v>403</v>
      </c>
      <c r="AD1057" s="51" t="s">
        <v>111</v>
      </c>
      <c r="AE1057" s="95"/>
      <c r="AF1057" s="178"/>
      <c r="AG1057" s="178"/>
      <c r="AH1057" s="181"/>
      <c r="AI1057" s="95"/>
      <c r="AJ1057" s="73"/>
      <c r="AK1057" s="73"/>
      <c r="AL1057" s="138"/>
      <c r="AM1057" s="95"/>
      <c r="AN1057" s="73"/>
      <c r="AO1057" s="73"/>
      <c r="AP1057" s="138"/>
      <c r="AQ1057" s="95"/>
      <c r="AR1057" s="73"/>
      <c r="AS1057" s="73"/>
      <c r="AT1057" s="138"/>
      <c r="AU1057" s="95"/>
      <c r="AV1057" s="73"/>
      <c r="AW1057" s="73"/>
      <c r="AX1057" s="138"/>
      <c r="AY1057" s="95"/>
      <c r="AZ1057" s="73"/>
      <c r="BA1057" s="73"/>
      <c r="BB1057" s="138"/>
      <c r="BC1057" s="95"/>
      <c r="BD1057" s="73"/>
      <c r="BE1057" s="73"/>
      <c r="BF1057" s="138"/>
      <c r="BG1057" s="95">
        <f t="shared" si="1449"/>
        <v>0</v>
      </c>
      <c r="BH1057" s="178">
        <f t="shared" si="1449"/>
        <v>0</v>
      </c>
      <c r="BI1057" s="178">
        <f t="shared" si="1449"/>
        <v>0</v>
      </c>
      <c r="BJ1057" s="181">
        <f t="shared" si="1449"/>
        <v>0</v>
      </c>
      <c r="BK1057" s="95"/>
      <c r="BL1057" s="73"/>
      <c r="BM1057" s="73"/>
      <c r="BN1057" s="138"/>
      <c r="BO1057" s="185"/>
      <c r="BP1057" s="140"/>
      <c r="BQ1057" s="140"/>
      <c r="BR1057" s="141"/>
      <c r="BS1057" s="185"/>
      <c r="BT1057" s="140"/>
      <c r="BU1057" s="140"/>
      <c r="BV1057" s="143"/>
      <c r="BY1057" s="125">
        <f t="shared" si="1440"/>
        <v>0</v>
      </c>
      <c r="BZ1057" s="126">
        <f t="shared" si="1440"/>
        <v>0</v>
      </c>
      <c r="CA1057" s="126">
        <f t="shared" si="1440"/>
        <v>0</v>
      </c>
      <c r="CB1057" s="127">
        <f t="shared" si="1440"/>
        <v>0</v>
      </c>
    </row>
    <row r="1058" spans="1:81" s="171" customFormat="1" ht="27.75" customHeight="1" outlineLevel="2" x14ac:dyDescent="0.25">
      <c r="A1058" s="166"/>
      <c r="B1058" s="166"/>
      <c r="C1058" s="167" t="s">
        <v>83</v>
      </c>
      <c r="D1058" s="167" t="s">
        <v>84</v>
      </c>
      <c r="E1058" s="167" t="s">
        <v>73</v>
      </c>
      <c r="F1058" s="167" t="s">
        <v>74</v>
      </c>
      <c r="G1058" s="167" t="s">
        <v>404</v>
      </c>
      <c r="H1058" s="167" t="s">
        <v>73</v>
      </c>
      <c r="I1058" s="167" t="s">
        <v>73</v>
      </c>
      <c r="J1058" s="167" t="s">
        <v>73</v>
      </c>
      <c r="K1058" s="168" t="s">
        <v>73</v>
      </c>
      <c r="L1058" s="167" t="s">
        <v>133</v>
      </c>
      <c r="M1058" s="166" t="str">
        <f t="array" ref="M1058">Y818</f>
        <v>1ХВС::1.1</v>
      </c>
      <c r="N1058" s="166"/>
      <c r="O1058" s="166"/>
      <c r="P1058" s="166"/>
      <c r="Q1058" s="166"/>
      <c r="R1058" s="166"/>
      <c r="S1058" s="166"/>
      <c r="T1058" s="166"/>
      <c r="U1058" s="166"/>
      <c r="V1058" s="166"/>
      <c r="W1058" s="166"/>
      <c r="X1058" s="166"/>
      <c r="Y1058" s="166"/>
      <c r="Z1058" s="166"/>
      <c r="AA1058" s="166"/>
      <c r="AB1058" s="623" t="str">
        <f>AB868&amp;".2"</f>
        <v>3.1.2</v>
      </c>
      <c r="AC1058" s="634" t="s">
        <v>405</v>
      </c>
      <c r="AD1058" s="931" t="s">
        <v>111</v>
      </c>
      <c r="AE1058" s="655">
        <f t="shared" ref="AE1058:AL1058" si="1461">AE1059+AE1072+AE1073+AE1074</f>
        <v>359156.99663805298</v>
      </c>
      <c r="AF1058" s="627">
        <f t="shared" si="1461"/>
        <v>414137.97785600001</v>
      </c>
      <c r="AG1058" s="627">
        <f t="shared" si="1461"/>
        <v>498633.75916802569</v>
      </c>
      <c r="AH1058" s="932">
        <f t="shared" si="1461"/>
        <v>465712.99</v>
      </c>
      <c r="AI1058" s="655">
        <f t="shared" si="1461"/>
        <v>4009.1534892</v>
      </c>
      <c r="AJ1058" s="627">
        <f t="shared" si="1461"/>
        <v>4446.585</v>
      </c>
      <c r="AK1058" s="627">
        <f t="shared" si="1461"/>
        <v>5378.0579851000002</v>
      </c>
      <c r="AL1058" s="932">
        <f t="shared" si="1461"/>
        <v>5172.1900000000005</v>
      </c>
      <c r="AM1058" s="655">
        <f t="shared" ref="AM1058:BE1058" si="1462">AM1059+AM1072+AM1073+AM1074</f>
        <v>5383.0394308199993</v>
      </c>
      <c r="AN1058" s="627">
        <f t="shared" si="1462"/>
        <v>5431.9160988399999</v>
      </c>
      <c r="AO1058" s="627">
        <f t="shared" si="1462"/>
        <v>5773.1806944</v>
      </c>
      <c r="AP1058" s="932">
        <f t="shared" si="1462"/>
        <v>5257.9377990000003</v>
      </c>
      <c r="AQ1058" s="655">
        <f t="shared" si="1462"/>
        <v>15880.173562079999</v>
      </c>
      <c r="AR1058" s="627">
        <f t="shared" si="1462"/>
        <v>12223.699376971999</v>
      </c>
      <c r="AS1058" s="627">
        <f t="shared" si="1462"/>
        <v>21759.55932398</v>
      </c>
      <c r="AT1058" s="932">
        <f t="shared" si="1462"/>
        <v>16472.812120639999</v>
      </c>
      <c r="AU1058" s="655">
        <f t="shared" si="1462"/>
        <v>4351.3642761999999</v>
      </c>
      <c r="AV1058" s="627">
        <f t="shared" si="1462"/>
        <v>7508.8102252000008</v>
      </c>
      <c r="AW1058" s="627">
        <f t="shared" si="1462"/>
        <v>6556.7083980000007</v>
      </c>
      <c r="AX1058" s="932">
        <f t="shared" si="1462"/>
        <v>6471.0195989600006</v>
      </c>
      <c r="AY1058" s="655">
        <f t="shared" si="1462"/>
        <v>24351.0254699</v>
      </c>
      <c r="AZ1058" s="627">
        <f t="shared" si="1462"/>
        <v>13883.41550377</v>
      </c>
      <c r="BA1058" s="627">
        <f t="shared" si="1462"/>
        <v>35418.320525970004</v>
      </c>
      <c r="BB1058" s="932">
        <f t="shared" si="1462"/>
        <v>12976.809444</v>
      </c>
      <c r="BC1058" s="655">
        <f t="shared" si="1462"/>
        <v>7975.0567958600004</v>
      </c>
      <c r="BD1058" s="627">
        <f t="shared" si="1462"/>
        <v>18793.989999999998</v>
      </c>
      <c r="BE1058" s="627">
        <f t="shared" si="1462"/>
        <v>11293.618653199999</v>
      </c>
      <c r="BF1058" s="932">
        <f>BF1059</f>
        <v>6605.5481392000002</v>
      </c>
      <c r="BG1058" s="655">
        <f>BG1059+BG1072+BG1073+BG1074</f>
        <v>39482.033981094995</v>
      </c>
      <c r="BH1058" s="627">
        <f>BH1059+BH1072+BH1073+BH1074</f>
        <v>45821.955999999998</v>
      </c>
      <c r="BI1058" s="627">
        <f>BI1059+BI1072+BI1073+BI1074</f>
        <v>58340.690243949997</v>
      </c>
      <c r="BJ1058" s="932">
        <f>BJ1059</f>
        <v>67731.790000000008</v>
      </c>
      <c r="BK1058" s="655">
        <f>BK1059+BK1072+BK1073+BK1074</f>
        <v>30883.746583599997</v>
      </c>
      <c r="BL1058" s="627">
        <f>BL1059+BL1072+BL1073+BL1074</f>
        <v>37414.608327399998</v>
      </c>
      <c r="BM1058" s="627">
        <f>BM1059+BM1072+BM1073+BM1074</f>
        <v>32099.842525</v>
      </c>
      <c r="BN1058" s="932">
        <f>BN1059+BN1072+BN1073+BN1074</f>
        <v>44604.380000000005</v>
      </c>
      <c r="BO1058" s="655">
        <f t="shared" ref="BO1058:BV1058" si="1463">BO1059+BO1072+BO1073+BO1074</f>
        <v>3016.8415974999998</v>
      </c>
      <c r="BP1058" s="627">
        <f t="shared" si="1463"/>
        <v>3535.2288360000002</v>
      </c>
      <c r="BQ1058" s="627">
        <f t="shared" si="1463"/>
        <v>4039.0639868799999</v>
      </c>
      <c r="BR1058" s="932">
        <f t="shared" si="1463"/>
        <v>4709.1164867999996</v>
      </c>
      <c r="BS1058" s="655">
        <f t="shared" si="1463"/>
        <v>5012.7095393099999</v>
      </c>
      <c r="BT1058" s="627">
        <f t="shared" si="1463"/>
        <v>6068.9679152000008</v>
      </c>
      <c r="BU1058" s="627">
        <f t="shared" si="1463"/>
        <v>7198.5874521999995</v>
      </c>
      <c r="BV1058" s="650">
        <f t="shared" si="1463"/>
        <v>7411.65</v>
      </c>
      <c r="BW1058" s="170"/>
      <c r="BX1058" s="166"/>
      <c r="BY1058" s="630">
        <f t="shared" si="1440"/>
        <v>499502.14136361802</v>
      </c>
      <c r="BZ1058" s="631">
        <f t="shared" si="1440"/>
        <v>569267.15513938211</v>
      </c>
      <c r="CA1058" s="631">
        <f t="shared" si="1440"/>
        <v>686491.38895670557</v>
      </c>
      <c r="CB1058" s="632">
        <f t="shared" si="1440"/>
        <v>643126.24358860007</v>
      </c>
      <c r="CC1058" s="760"/>
    </row>
    <row r="1059" spans="1:81" ht="20.65" customHeight="1" outlineLevel="3" x14ac:dyDescent="0.25">
      <c r="C1059" s="10" t="s">
        <v>83</v>
      </c>
      <c r="D1059" s="10" t="s">
        <v>84</v>
      </c>
      <c r="E1059" s="10" t="s">
        <v>73</v>
      </c>
      <c r="F1059" s="10" t="s">
        <v>74</v>
      </c>
      <c r="G1059" s="10" t="s">
        <v>406</v>
      </c>
      <c r="H1059" s="10" t="s">
        <v>73</v>
      </c>
      <c r="I1059" s="10" t="s">
        <v>73</v>
      </c>
      <c r="J1059" s="10" t="s">
        <v>73</v>
      </c>
      <c r="K1059" s="12" t="s">
        <v>73</v>
      </c>
      <c r="L1059" s="10" t="s">
        <v>407</v>
      </c>
      <c r="M1059" s="5" t="str">
        <f t="array" ref="M1059">Y818</f>
        <v>1ХВС::1.1</v>
      </c>
      <c r="Y1059" s="10">
        <v>1</v>
      </c>
      <c r="AB1059" s="29" t="str">
        <f>AB1058&amp;".1"</f>
        <v>3.1.2.1</v>
      </c>
      <c r="AC1059" s="87" t="s">
        <v>406</v>
      </c>
      <c r="AD1059" s="51" t="s">
        <v>111</v>
      </c>
      <c r="AE1059" s="72">
        <f t="shared" ref="AE1059:AK1059" si="1464">AE319+AE654</f>
        <v>359156.99663805298</v>
      </c>
      <c r="AF1059" s="73">
        <f t="shared" si="1464"/>
        <v>414137.97785600001</v>
      </c>
      <c r="AG1059" s="73">
        <f t="shared" si="1464"/>
        <v>498633.75916802569</v>
      </c>
      <c r="AH1059" s="138">
        <f t="shared" si="1464"/>
        <v>465712.99</v>
      </c>
      <c r="AI1059" s="72">
        <f t="shared" si="1464"/>
        <v>4009.1534892</v>
      </c>
      <c r="AJ1059" s="73">
        <f t="shared" si="1464"/>
        <v>4446.585</v>
      </c>
      <c r="AK1059" s="73">
        <f t="shared" si="1464"/>
        <v>5378.0579851000002</v>
      </c>
      <c r="AL1059" s="138">
        <f>AL319+AL654</f>
        <v>5172.1900000000005</v>
      </c>
      <c r="AM1059" s="72">
        <f t="shared" ref="AM1059:BE1059" si="1465">AM319+AM654</f>
        <v>5383.0394308199993</v>
      </c>
      <c r="AN1059" s="73">
        <f t="shared" si="1465"/>
        <v>5431.9160988399999</v>
      </c>
      <c r="AO1059" s="73">
        <f t="shared" si="1465"/>
        <v>5773.1806944</v>
      </c>
      <c r="AP1059" s="138">
        <f t="shared" si="1465"/>
        <v>5257.9377990000003</v>
      </c>
      <c r="AQ1059" s="72">
        <f t="shared" si="1465"/>
        <v>15880.173562079999</v>
      </c>
      <c r="AR1059" s="73">
        <f t="shared" si="1465"/>
        <v>12223.699376971999</v>
      </c>
      <c r="AS1059" s="73">
        <f t="shared" si="1465"/>
        <v>21759.55932398</v>
      </c>
      <c r="AT1059" s="138">
        <f t="shared" si="1465"/>
        <v>16472.812120639999</v>
      </c>
      <c r="AU1059" s="72">
        <f t="shared" si="1465"/>
        <v>4351.3642761999999</v>
      </c>
      <c r="AV1059" s="73">
        <f t="shared" si="1465"/>
        <v>7508.8102252000008</v>
      </c>
      <c r="AW1059" s="73">
        <f t="shared" si="1465"/>
        <v>6556.7083980000007</v>
      </c>
      <c r="AX1059" s="138">
        <f t="shared" si="1465"/>
        <v>6471.0195989600006</v>
      </c>
      <c r="AY1059" s="72">
        <f t="shared" si="1465"/>
        <v>24351.0254699</v>
      </c>
      <c r="AZ1059" s="73">
        <f t="shared" si="1465"/>
        <v>13883.41550377</v>
      </c>
      <c r="BA1059" s="73">
        <f t="shared" si="1465"/>
        <v>35418.320525970004</v>
      </c>
      <c r="BB1059" s="138">
        <f t="shared" si="1465"/>
        <v>12976.809444</v>
      </c>
      <c r="BC1059" s="72">
        <f t="shared" si="1465"/>
        <v>7975.0567958600004</v>
      </c>
      <c r="BD1059" s="73">
        <f t="shared" si="1465"/>
        <v>18793.989999999998</v>
      </c>
      <c r="BE1059" s="73">
        <f t="shared" si="1465"/>
        <v>11293.618653199999</v>
      </c>
      <c r="BF1059" s="138">
        <f>BF654+BF319</f>
        <v>6605.5481392000002</v>
      </c>
      <c r="BG1059" s="72">
        <f>BG319+BG654</f>
        <v>39482.033981094995</v>
      </c>
      <c r="BH1059" s="73">
        <f>BH319+BH654</f>
        <v>45821.955999999998</v>
      </c>
      <c r="BI1059" s="73">
        <f>BI319+BI654</f>
        <v>58340.690243949997</v>
      </c>
      <c r="BJ1059" s="138">
        <f>BJ654+BJ319</f>
        <v>67731.790000000008</v>
      </c>
      <c r="BK1059" s="72">
        <f>BK319+BK654</f>
        <v>30883.746583599997</v>
      </c>
      <c r="BL1059" s="73">
        <f>BL319+BL654</f>
        <v>37414.608327399998</v>
      </c>
      <c r="BM1059" s="73">
        <f>BM319+BM654</f>
        <v>32099.842525</v>
      </c>
      <c r="BN1059" s="138">
        <f>BN654+BN319</f>
        <v>44604.380000000005</v>
      </c>
      <c r="BO1059" s="72">
        <f t="shared" ref="BO1059:BV1059" si="1466">BO319+BO654</f>
        <v>3016.8415974999998</v>
      </c>
      <c r="BP1059" s="73">
        <f t="shared" si="1466"/>
        <v>3535.2288360000002</v>
      </c>
      <c r="BQ1059" s="73">
        <f t="shared" si="1466"/>
        <v>4039.0639868799999</v>
      </c>
      <c r="BR1059" s="138">
        <f t="shared" si="1466"/>
        <v>4709.1164867999996</v>
      </c>
      <c r="BS1059" s="72">
        <f t="shared" si="1466"/>
        <v>5012.7095393099999</v>
      </c>
      <c r="BT1059" s="73">
        <f t="shared" si="1466"/>
        <v>6068.9679152000008</v>
      </c>
      <c r="BU1059" s="73">
        <f t="shared" si="1466"/>
        <v>7198.5874521999995</v>
      </c>
      <c r="BV1059" s="74">
        <f t="shared" si="1466"/>
        <v>7411.65</v>
      </c>
      <c r="BY1059" s="125">
        <f t="shared" si="1440"/>
        <v>499502.14136361802</v>
      </c>
      <c r="BZ1059" s="126">
        <f t="shared" si="1440"/>
        <v>569267.15513938211</v>
      </c>
      <c r="CA1059" s="126">
        <f t="shared" si="1440"/>
        <v>686491.38895670557</v>
      </c>
      <c r="CB1059" s="127">
        <f t="shared" si="1440"/>
        <v>643126.24358860007</v>
      </c>
    </row>
    <row r="1060" spans="1:81" ht="19.5" customHeight="1" outlineLevel="3" x14ac:dyDescent="0.25">
      <c r="C1060" s="10" t="s">
        <v>408</v>
      </c>
      <c r="D1060" s="10" t="s">
        <v>409</v>
      </c>
      <c r="E1060" s="10" t="s">
        <v>73</v>
      </c>
      <c r="F1060" s="10" t="s">
        <v>74</v>
      </c>
      <c r="G1060" s="10" t="s">
        <v>73</v>
      </c>
      <c r="H1060" s="10" t="s">
        <v>73</v>
      </c>
      <c r="I1060" s="10" t="s">
        <v>73</v>
      </c>
      <c r="J1060" s="10" t="s">
        <v>73</v>
      </c>
      <c r="K1060" s="12" t="s">
        <v>73</v>
      </c>
      <c r="L1060" s="10" t="s">
        <v>407</v>
      </c>
      <c r="M1060" s="5" t="str">
        <f t="array" ref="M1060">Y818</f>
        <v>1ХВС::1.1</v>
      </c>
      <c r="AB1060" s="29" t="str">
        <f>AB1059&amp;".1"</f>
        <v>3.1.2.1.1</v>
      </c>
      <c r="AC1060" s="137" t="s">
        <v>410</v>
      </c>
      <c r="AD1060" s="51" t="s">
        <v>411</v>
      </c>
      <c r="AE1060" s="66">
        <f t="shared" ref="AE1060:AK1060" si="1467">AE1059/AE1061</f>
        <v>6.8651401861087287</v>
      </c>
      <c r="AF1060" s="67">
        <f t="shared" si="1467"/>
        <v>7.5277203257384491</v>
      </c>
      <c r="AG1060" s="67">
        <f t="shared" si="1467"/>
        <v>9.5228383907658021</v>
      </c>
      <c r="AH1060" s="119">
        <f t="shared" si="1467"/>
        <v>10.698744393694707</v>
      </c>
      <c r="AI1060" s="66">
        <f t="shared" si="1467"/>
        <v>7.5845897955322821</v>
      </c>
      <c r="AJ1060" s="67">
        <f t="shared" si="1467"/>
        <v>8.637863225537183</v>
      </c>
      <c r="AK1060" s="67">
        <f t="shared" si="1467"/>
        <v>10.470501626823509</v>
      </c>
      <c r="AL1060" s="119">
        <f>AL1059/AL1061</f>
        <v>9.8246365078118494</v>
      </c>
      <c r="AM1060" s="66">
        <f t="shared" ref="AM1060:BM1060" si="1468">AM1059/AM1061</f>
        <v>8.3274899999999992</v>
      </c>
      <c r="AN1060" s="67">
        <f t="shared" si="1468"/>
        <v>10.250019999999999</v>
      </c>
      <c r="AO1060" s="67">
        <f t="shared" si="1468"/>
        <v>11.39616</v>
      </c>
      <c r="AP1060" s="119">
        <f t="shared" si="1468"/>
        <v>11.0001</v>
      </c>
      <c r="AQ1060" s="66">
        <f t="shared" si="1468"/>
        <v>7.6189700503287927</v>
      </c>
      <c r="AR1060" s="67">
        <f t="shared" si="1468"/>
        <v>8.6316709451629663</v>
      </c>
      <c r="AS1060" s="67">
        <f t="shared" si="1468"/>
        <v>10.251752196553063</v>
      </c>
      <c r="AT1060" s="119">
        <f t="shared" si="1468"/>
        <v>9.8805314306450516</v>
      </c>
      <c r="AU1060" s="66">
        <f t="shared" si="1468"/>
        <v>7.8530589827070303</v>
      </c>
      <c r="AV1060" s="67">
        <f t="shared" si="1468"/>
        <v>8.4547248403368922</v>
      </c>
      <c r="AW1060" s="67">
        <f t="shared" si="1468"/>
        <v>10.907668143933723</v>
      </c>
      <c r="AX1060" s="119">
        <f t="shared" si="1468"/>
        <v>10.317314411607143</v>
      </c>
      <c r="AY1060" s="66">
        <f t="shared" si="1468"/>
        <v>8.4676098769205623</v>
      </c>
      <c r="AZ1060" s="67">
        <f t="shared" si="1468"/>
        <v>10.503106281302035</v>
      </c>
      <c r="BA1060" s="67">
        <f t="shared" si="1468"/>
        <v>12.990250441300688</v>
      </c>
      <c r="BB1060" s="119">
        <f t="shared" si="1468"/>
        <v>10.930731242955579</v>
      </c>
      <c r="BC1060" s="66">
        <f t="shared" si="1468"/>
        <v>10.075253453494351</v>
      </c>
      <c r="BD1060" s="67">
        <f t="shared" si="1468"/>
        <v>11.71749925962872</v>
      </c>
      <c r="BE1060" s="67">
        <f t="shared" si="1468"/>
        <v>13.529018356193921</v>
      </c>
      <c r="BF1060" s="119">
        <f t="shared" si="1468"/>
        <v>13.225644487336071</v>
      </c>
      <c r="BG1060" s="66">
        <f t="shared" si="1468"/>
        <v>8.5795024951300025</v>
      </c>
      <c r="BH1060" s="67">
        <f t="shared" si="1468"/>
        <v>9.3643194196086448</v>
      </c>
      <c r="BI1060" s="67">
        <f t="shared" si="1468"/>
        <v>10.674492262081849</v>
      </c>
      <c r="BJ1060" s="138">
        <f t="shared" si="1468"/>
        <v>13.429905915952377</v>
      </c>
      <c r="BK1060" s="66">
        <f t="shared" si="1468"/>
        <v>7.1587874892184997</v>
      </c>
      <c r="BL1060" s="67">
        <f t="shared" si="1468"/>
        <v>4.7057428306191547</v>
      </c>
      <c r="BM1060" s="67">
        <f t="shared" si="1468"/>
        <v>6.6786736057940379</v>
      </c>
      <c r="BN1060" s="119">
        <f>BN1059/BN1061</f>
        <v>10.844425847179243</v>
      </c>
      <c r="BO1060" s="66">
        <f t="shared" ref="BO1060:BV1060" si="1469">BO1059/BO1061</f>
        <v>9.8790080441025729</v>
      </c>
      <c r="BP1060" s="67">
        <f t="shared" si="1469"/>
        <v>11.54172</v>
      </c>
      <c r="BQ1060" s="67">
        <f t="shared" si="1469"/>
        <v>13.256349874396516</v>
      </c>
      <c r="BR1060" s="119">
        <f t="shared" si="1469"/>
        <v>12.913009999999998</v>
      </c>
      <c r="BS1060" s="66">
        <f t="shared" si="1469"/>
        <v>8.0862152759925667</v>
      </c>
      <c r="BT1060" s="67">
        <f t="shared" si="1469"/>
        <v>8.8451771233856995</v>
      </c>
      <c r="BU1060" s="67">
        <f t="shared" si="1469"/>
        <v>8.7444273125045555</v>
      </c>
      <c r="BV1060" s="68">
        <f t="shared" si="1469"/>
        <v>9.5899420409944085</v>
      </c>
      <c r="BY1060" s="125">
        <f>BY1059/BY1061</f>
        <v>7.1728309229857752</v>
      </c>
      <c r="BZ1060" s="126">
        <f>BZ1059/BZ1061</f>
        <v>7.5774650961345413</v>
      </c>
      <c r="CA1060" s="126">
        <f>CA1059/CA1061</f>
        <v>9.6598174717193217</v>
      </c>
      <c r="CB1060" s="127">
        <f>CB1059/CB1061</f>
        <v>10.93581560700207</v>
      </c>
    </row>
    <row r="1061" spans="1:81" ht="19.149999999999999" customHeight="1" outlineLevel="3" x14ac:dyDescent="0.25">
      <c r="C1061" s="10" t="s">
        <v>412</v>
      </c>
      <c r="D1061" s="10" t="s">
        <v>413</v>
      </c>
      <c r="E1061" s="10" t="s">
        <v>73</v>
      </c>
      <c r="F1061" s="10" t="s">
        <v>74</v>
      </c>
      <c r="G1061" s="10" t="s">
        <v>73</v>
      </c>
      <c r="H1061" s="10" t="s">
        <v>73</v>
      </c>
      <c r="I1061" s="10" t="s">
        <v>73</v>
      </c>
      <c r="J1061" s="10" t="s">
        <v>73</v>
      </c>
      <c r="K1061" s="12" t="s">
        <v>73</v>
      </c>
      <c r="L1061" s="10" t="s">
        <v>407</v>
      </c>
      <c r="M1061" s="5" t="str">
        <f t="array" ref="M1061">Y818</f>
        <v>1ХВС::1.1</v>
      </c>
      <c r="AB1061" s="29" t="str">
        <f>AB1060&amp;".2"</f>
        <v>3.1.2.1.1.2</v>
      </c>
      <c r="AC1061" s="137" t="s">
        <v>414</v>
      </c>
      <c r="AD1061" s="51" t="s">
        <v>415</v>
      </c>
      <c r="AE1061" s="66">
        <f t="shared" ref="AE1061:AK1061" si="1470">AE321+AE656</f>
        <v>52316.046999999999</v>
      </c>
      <c r="AF1061" s="67">
        <f t="shared" si="1470"/>
        <v>55015.059000000001</v>
      </c>
      <c r="AG1061" s="67">
        <f t="shared" si="1470"/>
        <v>52361.884000000005</v>
      </c>
      <c r="AH1061" s="119">
        <f t="shared" si="1470"/>
        <v>43529.686555972628</v>
      </c>
      <c r="AI1061" s="66">
        <f t="shared" si="1470"/>
        <v>528.59199999999998</v>
      </c>
      <c r="AJ1061" s="67">
        <f t="shared" si="1470"/>
        <v>514.77835245804897</v>
      </c>
      <c r="AK1061" s="67">
        <f t="shared" si="1470"/>
        <v>513.63900000000001</v>
      </c>
      <c r="AL1061" s="138">
        <f>AL321+AL656</f>
        <v>526.45102909277557</v>
      </c>
      <c r="AM1061" s="66">
        <f t="shared" ref="AM1061:BE1061" si="1471">AM321+AM656</f>
        <v>646.41800000000001</v>
      </c>
      <c r="AN1061" s="67">
        <f t="shared" si="1471"/>
        <v>529.94200000000001</v>
      </c>
      <c r="AO1061" s="67">
        <f t="shared" si="1471"/>
        <v>506.59</v>
      </c>
      <c r="AP1061" s="119">
        <f t="shared" si="1471"/>
        <v>477.99</v>
      </c>
      <c r="AQ1061" s="66">
        <f t="shared" si="1471"/>
        <v>2084.2939999999999</v>
      </c>
      <c r="AR1061" s="67">
        <f t="shared" si="1471"/>
        <v>1416.1452000000002</v>
      </c>
      <c r="AS1061" s="67">
        <f t="shared" si="1471"/>
        <v>2122.5209999999997</v>
      </c>
      <c r="AT1061" s="119">
        <f t="shared" si="1471"/>
        <v>1667.1990000000001</v>
      </c>
      <c r="AU1061" s="66">
        <f t="shared" si="1471"/>
        <v>554.09799999999996</v>
      </c>
      <c r="AV1061" s="67">
        <f t="shared" si="1471"/>
        <v>888.12</v>
      </c>
      <c r="AW1061" s="67">
        <f t="shared" si="1471"/>
        <v>601.11</v>
      </c>
      <c r="AX1061" s="119">
        <f t="shared" si="1471"/>
        <v>627.20000000000005</v>
      </c>
      <c r="AY1061" s="66">
        <f t="shared" si="1471"/>
        <v>2875.7849999999999</v>
      </c>
      <c r="AZ1061" s="67">
        <f t="shared" si="1471"/>
        <v>1321.8389999999999</v>
      </c>
      <c r="BA1061" s="67">
        <f t="shared" si="1471"/>
        <v>2726.5309999999999</v>
      </c>
      <c r="BB1061" s="119">
        <f t="shared" si="1471"/>
        <v>1187.1858483724991</v>
      </c>
      <c r="BC1061" s="66">
        <f t="shared" si="1471"/>
        <v>791.54899999999998</v>
      </c>
      <c r="BD1061" s="67">
        <f t="shared" si="1471"/>
        <v>1603.9250000000002</v>
      </c>
      <c r="BE1061" s="67">
        <f t="shared" si="1471"/>
        <v>834.77</v>
      </c>
      <c r="BF1061" s="119">
        <f>BF656+BF321</f>
        <v>499.45</v>
      </c>
      <c r="BG1061" s="66">
        <f>BG321+BG656</f>
        <v>4601.9025000000001</v>
      </c>
      <c r="BH1061" s="67">
        <f>BH321+BH656</f>
        <v>4893.25</v>
      </c>
      <c r="BI1061" s="67">
        <f>BI321+BI656</f>
        <v>5465.43</v>
      </c>
      <c r="BJ1061" s="138">
        <f>BJ656+BJ321</f>
        <v>5043.3555099999994</v>
      </c>
      <c r="BK1061" s="66">
        <f>BK321+BK656</f>
        <v>4314.1030000000001</v>
      </c>
      <c r="BL1061" s="67">
        <f>BL321+BL656</f>
        <v>7950.84</v>
      </c>
      <c r="BM1061" s="67">
        <f>BM321+BM656</f>
        <v>4806.32</v>
      </c>
      <c r="BN1061" s="138">
        <f>BN656+BN321</f>
        <v>4113.1158651061369</v>
      </c>
      <c r="BO1061" s="66">
        <f t="shared" ref="BO1061:BV1061" si="1472">BO321+BO656</f>
        <v>305.37900000000002</v>
      </c>
      <c r="BP1061" s="67">
        <f t="shared" si="1472"/>
        <v>306.3</v>
      </c>
      <c r="BQ1061" s="67">
        <f t="shared" si="1472"/>
        <v>304.68899999999996</v>
      </c>
      <c r="BR1061" s="119">
        <f t="shared" si="1472"/>
        <v>364.68</v>
      </c>
      <c r="BS1061" s="66">
        <f t="shared" si="1472"/>
        <v>619.90800000000002</v>
      </c>
      <c r="BT1061" s="67">
        <f t="shared" si="1472"/>
        <v>686.13300000000004</v>
      </c>
      <c r="BU1061" s="67">
        <f t="shared" si="1472"/>
        <v>823.21999999999991</v>
      </c>
      <c r="BV1061" s="68">
        <f t="shared" si="1472"/>
        <v>772.85660000000007</v>
      </c>
      <c r="BY1061" s="125">
        <f t="shared" ref="BY1061:BY1092" si="1473">AE1061+AI1061+AM1061+AQ1061+AU1061+AY1061+BC1061+BG1061+BK1061+BO1061+BS1061</f>
        <v>69638.075499999992</v>
      </c>
      <c r="BZ1061" s="126">
        <f t="shared" ref="BZ1061:BZ1101" si="1474">AF1061+AJ1061+AN1061+AR1061+AV1061+AZ1061+BD1061+BH1061+BL1061+BP1061+BT1061</f>
        <v>75126.331552458068</v>
      </c>
      <c r="CA1061" s="126">
        <f t="shared" ref="CA1061:CB1092" si="1475">AG1061+AK1061+AO1061+AS1061+AW1061+BA1061+BE1061+BI1061+BM1061+BQ1061+BU1061</f>
        <v>71066.704000000012</v>
      </c>
      <c r="CB1061" s="127">
        <f t="shared" si="1475"/>
        <v>58809.170408544029</v>
      </c>
    </row>
    <row r="1062" spans="1:81" ht="14.25" hidden="1" customHeight="1" outlineLevel="3" x14ac:dyDescent="0.25">
      <c r="B1062" s="10" t="b">
        <f>$AD$36="да"</f>
        <v>0</v>
      </c>
      <c r="C1062" s="11" t="s">
        <v>412</v>
      </c>
      <c r="D1062" s="10" t="s">
        <v>413</v>
      </c>
      <c r="E1062" s="10" t="s">
        <v>73</v>
      </c>
      <c r="F1062" s="10" t="s">
        <v>74</v>
      </c>
      <c r="G1062" s="10" t="s">
        <v>73</v>
      </c>
      <c r="H1062" s="10" t="s">
        <v>73</v>
      </c>
      <c r="I1062" s="10" t="s">
        <v>73</v>
      </c>
      <c r="J1062" s="11" t="s">
        <v>416</v>
      </c>
      <c r="K1062" s="12" t="s">
        <v>73</v>
      </c>
      <c r="L1062" s="10" t="s">
        <v>417</v>
      </c>
      <c r="M1062" s="5" t="str">
        <f t="array" ref="M1062">Y818</f>
        <v>1ХВС::1.1</v>
      </c>
      <c r="AB1062" s="29" t="str">
        <f t="array" ref="AB1062">IF(A1062,AB1061&amp;".1",AB1061)</f>
        <v>3.1.2.1.1.2</v>
      </c>
      <c r="AC1062" s="280" t="s">
        <v>418</v>
      </c>
      <c r="AD1062" s="51" t="s">
        <v>415</v>
      </c>
      <c r="AE1062" s="66"/>
      <c r="AF1062" s="67"/>
      <c r="AG1062" s="67"/>
      <c r="AH1062" s="119"/>
      <c r="AI1062" s="66"/>
      <c r="AJ1062" s="67"/>
      <c r="AK1062" s="67"/>
      <c r="AL1062" s="119"/>
      <c r="AM1062" s="66"/>
      <c r="AN1062" s="67"/>
      <c r="AO1062" s="67"/>
      <c r="AP1062" s="119"/>
      <c r="AQ1062" s="66"/>
      <c r="AR1062" s="67"/>
      <c r="AS1062" s="67"/>
      <c r="AT1062" s="119"/>
      <c r="AU1062" s="66"/>
      <c r="AV1062" s="67"/>
      <c r="AW1062" s="67"/>
      <c r="AX1062" s="119"/>
      <c r="AY1062" s="66"/>
      <c r="AZ1062" s="67"/>
      <c r="BA1062" s="67"/>
      <c r="BB1062" s="119"/>
      <c r="BC1062" s="66"/>
      <c r="BD1062" s="67"/>
      <c r="BE1062" s="67"/>
      <c r="BF1062" s="119"/>
      <c r="BG1062" s="66"/>
      <c r="BH1062" s="67"/>
      <c r="BI1062" s="67"/>
      <c r="BJ1062" s="119"/>
      <c r="BK1062" s="66"/>
      <c r="BL1062" s="67"/>
      <c r="BM1062" s="67"/>
      <c r="BN1062" s="119"/>
      <c r="BO1062" s="123"/>
      <c r="BP1062" s="121"/>
      <c r="BQ1062" s="121"/>
      <c r="BR1062" s="122"/>
      <c r="BS1062" s="123"/>
      <c r="BT1062" s="121"/>
      <c r="BU1062" s="121"/>
      <c r="BV1062" s="124"/>
      <c r="BY1062" s="125">
        <f t="shared" si="1473"/>
        <v>0</v>
      </c>
      <c r="BZ1062" s="126">
        <f t="shared" si="1474"/>
        <v>0</v>
      </c>
      <c r="CA1062" s="126">
        <f t="shared" si="1475"/>
        <v>0</v>
      </c>
      <c r="CB1062" s="127">
        <f t="shared" si="1475"/>
        <v>0</v>
      </c>
    </row>
    <row r="1063" spans="1:81" ht="14.25" hidden="1" customHeight="1" outlineLevel="3" x14ac:dyDescent="0.25">
      <c r="B1063" s="10" t="b">
        <f>$AD$37="нет"</f>
        <v>0</v>
      </c>
      <c r="C1063" s="10" t="s">
        <v>419</v>
      </c>
      <c r="D1063" s="10" t="s">
        <v>420</v>
      </c>
      <c r="E1063" s="10" t="s">
        <v>73</v>
      </c>
      <c r="F1063" s="10" t="s">
        <v>74</v>
      </c>
      <c r="G1063" s="10" t="s">
        <v>73</v>
      </c>
      <c r="H1063" s="10" t="s">
        <v>73</v>
      </c>
      <c r="I1063" s="10" t="s">
        <v>73</v>
      </c>
      <c r="J1063" s="10" t="s">
        <v>73</v>
      </c>
      <c r="K1063" s="12" t="s">
        <v>73</v>
      </c>
      <c r="L1063" s="10" t="s">
        <v>417</v>
      </c>
      <c r="M1063" s="5" t="str">
        <f t="array" ref="M1063">Y818</f>
        <v>1ХВС::1.1</v>
      </c>
      <c r="AB1063" s="29" t="str">
        <f>IF(AB1062="",AB1061&amp;".1",AB1062&amp;".1")</f>
        <v>3.1.2.1.1.2.1</v>
      </c>
      <c r="AC1063" s="281" t="s">
        <v>421</v>
      </c>
      <c r="AD1063" s="51" t="s">
        <v>422</v>
      </c>
      <c r="AE1063" s="282"/>
      <c r="AF1063" s="283"/>
      <c r="AG1063" s="283"/>
      <c r="AH1063" s="285"/>
      <c r="AI1063" s="282"/>
      <c r="AJ1063" s="283"/>
      <c r="AK1063" s="283"/>
      <c r="AL1063" s="285"/>
      <c r="AM1063" s="282"/>
      <c r="AN1063" s="283"/>
      <c r="AO1063" s="283"/>
      <c r="AP1063" s="285"/>
      <c r="AQ1063" s="282"/>
      <c r="AR1063" s="283"/>
      <c r="AS1063" s="283"/>
      <c r="AT1063" s="285"/>
      <c r="AU1063" s="282"/>
      <c r="AV1063" s="283"/>
      <c r="AW1063" s="283"/>
      <c r="AX1063" s="285"/>
      <c r="AY1063" s="282"/>
      <c r="AZ1063" s="283"/>
      <c r="BA1063" s="283"/>
      <c r="BB1063" s="285"/>
      <c r="BC1063" s="282"/>
      <c r="BD1063" s="283"/>
      <c r="BE1063" s="283"/>
      <c r="BF1063" s="285"/>
      <c r="BG1063" s="282"/>
      <c r="BH1063" s="283"/>
      <c r="BI1063" s="283"/>
      <c r="BJ1063" s="285"/>
      <c r="BK1063" s="282"/>
      <c r="BL1063" s="283"/>
      <c r="BM1063" s="283"/>
      <c r="BN1063" s="285">
        <f>BN1066+BN1069</f>
        <v>0.80499999999999994</v>
      </c>
      <c r="BO1063" s="289"/>
      <c r="BP1063" s="287"/>
      <c r="BQ1063" s="287"/>
      <c r="BR1063" s="288"/>
      <c r="BS1063" s="289"/>
      <c r="BT1063" s="287"/>
      <c r="BU1063" s="287"/>
      <c r="BV1063" s="290"/>
      <c r="BY1063" s="125">
        <f t="shared" si="1473"/>
        <v>0</v>
      </c>
      <c r="BZ1063" s="126">
        <f t="shared" si="1474"/>
        <v>0</v>
      </c>
      <c r="CA1063" s="126">
        <f t="shared" si="1475"/>
        <v>0</v>
      </c>
      <c r="CB1063" s="127">
        <f t="shared" si="1475"/>
        <v>0.80499999999999994</v>
      </c>
    </row>
    <row r="1064" spans="1:81" ht="14.25" hidden="1" customHeight="1" outlineLevel="3" x14ac:dyDescent="0.25">
      <c r="B1064" s="10" t="b">
        <f t="array" ref="B1064">B1063</f>
        <v>0</v>
      </c>
      <c r="C1064" s="10" t="s">
        <v>423</v>
      </c>
      <c r="D1064" s="10" t="s">
        <v>424</v>
      </c>
      <c r="E1064" s="10" t="s">
        <v>73</v>
      </c>
      <c r="F1064" s="10" t="s">
        <v>74</v>
      </c>
      <c r="G1064" s="10" t="s">
        <v>73</v>
      </c>
      <c r="H1064" s="10" t="s">
        <v>73</v>
      </c>
      <c r="I1064" s="10" t="s">
        <v>73</v>
      </c>
      <c r="J1064" s="10" t="s">
        <v>73</v>
      </c>
      <c r="K1064" s="12" t="s">
        <v>73</v>
      </c>
      <c r="L1064" s="10" t="s">
        <v>417</v>
      </c>
      <c r="M1064" s="5" t="str">
        <f t="array" ref="M1064">Y818</f>
        <v>1ХВС::1.1</v>
      </c>
      <c r="AB1064" s="29" t="str">
        <f>IF(AB1062="",AB1061&amp;".2",AB1062&amp;".2")</f>
        <v>3.1.2.1.1.2.2</v>
      </c>
      <c r="AC1064" s="281" t="s">
        <v>425</v>
      </c>
      <c r="AD1064" s="51" t="s">
        <v>137</v>
      </c>
      <c r="AE1064" s="66"/>
      <c r="AF1064" s="67"/>
      <c r="AG1064" s="67"/>
      <c r="AH1064" s="119"/>
      <c r="AI1064" s="66"/>
      <c r="AJ1064" s="67"/>
      <c r="AK1064" s="67"/>
      <c r="AL1064" s="119"/>
      <c r="AM1064" s="66"/>
      <c r="AN1064" s="67"/>
      <c r="AO1064" s="67"/>
      <c r="AP1064" s="119"/>
      <c r="AQ1064" s="66"/>
      <c r="AR1064" s="67"/>
      <c r="AS1064" s="67"/>
      <c r="AT1064" s="119"/>
      <c r="AU1064" s="66"/>
      <c r="AV1064" s="67"/>
      <c r="AW1064" s="67"/>
      <c r="AX1064" s="119"/>
      <c r="AY1064" s="66"/>
      <c r="AZ1064" s="67"/>
      <c r="BA1064" s="67"/>
      <c r="BB1064" s="119"/>
      <c r="BC1064" s="66"/>
      <c r="BD1064" s="67"/>
      <c r="BE1064" s="67"/>
      <c r="BF1064" s="119"/>
      <c r="BG1064" s="66"/>
      <c r="BH1064" s="67"/>
      <c r="BI1064" s="67"/>
      <c r="BJ1064" s="119"/>
      <c r="BK1064" s="66"/>
      <c r="BL1064" s="67"/>
      <c r="BM1064" s="67"/>
      <c r="BN1064" s="119"/>
      <c r="BO1064" s="123"/>
      <c r="BP1064" s="121"/>
      <c r="BQ1064" s="121"/>
      <c r="BR1064" s="122"/>
      <c r="BS1064" s="123"/>
      <c r="BT1064" s="121"/>
      <c r="BU1064" s="121"/>
      <c r="BV1064" s="124"/>
      <c r="BY1064" s="125">
        <f t="shared" si="1473"/>
        <v>0</v>
      </c>
      <c r="BZ1064" s="126">
        <f t="shared" si="1474"/>
        <v>0</v>
      </c>
      <c r="CA1064" s="126">
        <f t="shared" si="1475"/>
        <v>0</v>
      </c>
      <c r="CB1064" s="127">
        <f t="shared" si="1475"/>
        <v>0</v>
      </c>
    </row>
    <row r="1065" spans="1:81" ht="38.25" customHeight="1" outlineLevel="3" x14ac:dyDescent="0.25">
      <c r="B1065" s="10" t="b">
        <f>NOT(B1064)</f>
        <v>1</v>
      </c>
      <c r="C1065" s="10" t="s">
        <v>426</v>
      </c>
      <c r="D1065" s="10" t="s">
        <v>427</v>
      </c>
      <c r="E1065" s="10" t="s">
        <v>73</v>
      </c>
      <c r="F1065" s="10" t="s">
        <v>74</v>
      </c>
      <c r="G1065" s="10" t="s">
        <v>73</v>
      </c>
      <c r="H1065" s="10" t="s">
        <v>73</v>
      </c>
      <c r="I1065" s="10" t="s">
        <v>428</v>
      </c>
      <c r="J1065" s="10" t="s">
        <v>73</v>
      </c>
      <c r="K1065" s="12" t="s">
        <v>73</v>
      </c>
      <c r="L1065" s="10" t="s">
        <v>429</v>
      </c>
      <c r="M1065" s="5" t="str">
        <f t="array" ref="M1065">Y818</f>
        <v>1ХВС::1.1</v>
      </c>
      <c r="AB1065" s="29" t="str">
        <f>AB1062&amp;".1"</f>
        <v>3.1.2.1.1.2.1</v>
      </c>
      <c r="AC1065" s="291" t="s">
        <v>430</v>
      </c>
      <c r="AD1065" s="51" t="s">
        <v>415</v>
      </c>
      <c r="AE1065" s="66"/>
      <c r="AF1065" s="67"/>
      <c r="AG1065" s="67"/>
      <c r="AH1065" s="119"/>
      <c r="AI1065" s="66">
        <v>56.084000000000003</v>
      </c>
      <c r="AJ1065" s="67"/>
      <c r="AK1065" s="67">
        <v>56.84</v>
      </c>
      <c r="AL1065" s="119"/>
      <c r="AM1065" s="66"/>
      <c r="AN1065" s="67"/>
      <c r="AO1065" s="67"/>
      <c r="AP1065" s="119"/>
      <c r="AQ1065" s="66"/>
      <c r="AR1065" s="67"/>
      <c r="AS1065" s="67"/>
      <c r="AT1065" s="119"/>
      <c r="AU1065" s="66"/>
      <c r="AV1065" s="67"/>
      <c r="AW1065" s="67"/>
      <c r="AX1065" s="119"/>
      <c r="AY1065" s="66"/>
      <c r="AZ1065" s="67"/>
      <c r="BA1065" s="67"/>
      <c r="BB1065" s="119"/>
      <c r="BC1065" s="66">
        <v>0</v>
      </c>
      <c r="BD1065" s="67"/>
      <c r="BE1065" s="67">
        <v>37.866</v>
      </c>
      <c r="BF1065" s="119">
        <v>37.866</v>
      </c>
      <c r="BG1065" s="66">
        <v>2762.085</v>
      </c>
      <c r="BH1065" s="67">
        <v>2718.82</v>
      </c>
      <c r="BI1065" s="67">
        <f>BI1061</f>
        <v>5465.43</v>
      </c>
      <c r="BJ1065" s="119">
        <f>BJ1061</f>
        <v>5043.3555099999994</v>
      </c>
      <c r="BK1065" s="66">
        <v>852.29399999999998</v>
      </c>
      <c r="BL1065" s="67">
        <v>2619.9589999999998</v>
      </c>
      <c r="BM1065" s="67"/>
      <c r="BN1065" s="119"/>
      <c r="BO1065" s="123"/>
      <c r="BP1065" s="121"/>
      <c r="BQ1065" s="121"/>
      <c r="BR1065" s="122"/>
      <c r="BS1065" s="123">
        <v>155.46700000000001</v>
      </c>
      <c r="BT1065" s="121">
        <v>235.98500000000001</v>
      </c>
      <c r="BU1065" s="121">
        <v>426.15</v>
      </c>
      <c r="BV1065" s="124">
        <v>427.15</v>
      </c>
      <c r="BY1065" s="125">
        <f t="shared" si="1473"/>
        <v>3825.93</v>
      </c>
      <c r="BZ1065" s="126">
        <f t="shared" si="1474"/>
        <v>5574.7640000000001</v>
      </c>
      <c r="CA1065" s="126">
        <f t="shared" si="1475"/>
        <v>5986.2860000000001</v>
      </c>
      <c r="CB1065" s="127">
        <f t="shared" si="1475"/>
        <v>5508.371509999999</v>
      </c>
    </row>
    <row r="1066" spans="1:81" ht="37.5" customHeight="1" outlineLevel="3" x14ac:dyDescent="0.25">
      <c r="B1066" s="10" t="b">
        <f t="array" ref="B1066">B1065</f>
        <v>1</v>
      </c>
      <c r="C1066" s="10" t="s">
        <v>426</v>
      </c>
      <c r="D1066" s="10" t="s">
        <v>427</v>
      </c>
      <c r="E1066" s="10" t="s">
        <v>73</v>
      </c>
      <c r="F1066" s="10" t="s">
        <v>74</v>
      </c>
      <c r="G1066" s="10" t="s">
        <v>73</v>
      </c>
      <c r="H1066" s="10" t="s">
        <v>73</v>
      </c>
      <c r="I1066" s="10" t="s">
        <v>431</v>
      </c>
      <c r="J1066" s="10" t="s">
        <v>73</v>
      </c>
      <c r="K1066" s="12" t="s">
        <v>73</v>
      </c>
      <c r="L1066" s="10" t="s">
        <v>429</v>
      </c>
      <c r="M1066" s="5" t="str">
        <f t="array" ref="M1066">Y818</f>
        <v>1ХВС::1.1</v>
      </c>
      <c r="AB1066" s="65" t="str">
        <f>AB1065&amp;".1"</f>
        <v>3.1.2.1.1.2.1.1</v>
      </c>
      <c r="AC1066" s="292" t="s">
        <v>432</v>
      </c>
      <c r="AD1066" s="51" t="s">
        <v>422</v>
      </c>
      <c r="AE1066" s="282"/>
      <c r="AF1066" s="283"/>
      <c r="AG1066" s="283"/>
      <c r="AH1066" s="285"/>
      <c r="AI1066" s="282">
        <f>AI1065/AI1067</f>
        <v>0.36855421132526794</v>
      </c>
      <c r="AJ1066" s="283"/>
      <c r="AK1066" s="283">
        <f>AK1065/AK1067</f>
        <v>0.32784615917034854</v>
      </c>
      <c r="AL1066" s="285">
        <v>3.27</v>
      </c>
      <c r="AM1066" s="282"/>
      <c r="AN1066" s="283"/>
      <c r="AO1066" s="283"/>
      <c r="AP1066" s="285"/>
      <c r="AQ1066" s="282"/>
      <c r="AR1066" s="283"/>
      <c r="AS1066" s="283"/>
      <c r="AT1066" s="285"/>
      <c r="AU1066" s="282"/>
      <c r="AV1066" s="283"/>
      <c r="AW1066" s="283"/>
      <c r="AX1066" s="285"/>
      <c r="AY1066" s="282"/>
      <c r="AZ1066" s="283"/>
      <c r="BA1066" s="283"/>
      <c r="BB1066" s="285"/>
      <c r="BC1066" s="282">
        <v>0</v>
      </c>
      <c r="BD1066" s="283"/>
      <c r="BE1066" s="283">
        <v>5.04E-2</v>
      </c>
      <c r="BF1066" s="285">
        <v>5.04E-2</v>
      </c>
      <c r="BG1066" s="282">
        <f>BG1065/BG1067</f>
        <v>1.2820431295371419</v>
      </c>
      <c r="BH1066" s="283">
        <f>BH1065/BH1067</f>
        <v>0.77000110452487025</v>
      </c>
      <c r="BI1066" s="283">
        <f>BI1065/BI1067</f>
        <v>1.1469634616474262</v>
      </c>
      <c r="BJ1066" s="285">
        <f>BJ1065/BJ1067</f>
        <v>1.0581657466330123</v>
      </c>
      <c r="BK1066" s="282">
        <v>0.2414</v>
      </c>
      <c r="BL1066" s="283">
        <v>0.74539999999999995</v>
      </c>
      <c r="BM1066" s="283">
        <f>BM1068/BM1067</f>
        <v>0.7489616292624629</v>
      </c>
      <c r="BN1066" s="285">
        <v>0.71399999999999997</v>
      </c>
      <c r="BO1066" s="289"/>
      <c r="BP1066" s="287"/>
      <c r="BQ1066" s="287"/>
      <c r="BR1066" s="288"/>
      <c r="BS1066" s="289">
        <v>0.34050000000000002</v>
      </c>
      <c r="BT1066" s="287">
        <v>0.94699999999999995</v>
      </c>
      <c r="BU1066" s="287">
        <v>0.94699999999999995</v>
      </c>
      <c r="BV1066" s="290">
        <v>1.9470000000000001</v>
      </c>
      <c r="BY1066" s="125">
        <f t="shared" si="1473"/>
        <v>2.2324973408624098</v>
      </c>
      <c r="BZ1066" s="126">
        <f t="shared" si="1474"/>
        <v>2.4624011045248704</v>
      </c>
      <c r="CA1066" s="126">
        <f t="shared" si="1475"/>
        <v>3.2211712500802379</v>
      </c>
      <c r="CB1066" s="127">
        <f t="shared" si="1475"/>
        <v>7.0395657466330119</v>
      </c>
    </row>
    <row r="1067" spans="1:81" ht="31.5" customHeight="1" outlineLevel="3" x14ac:dyDescent="0.25">
      <c r="B1067" s="10" t="b">
        <f t="array" ref="B1067">B1066</f>
        <v>1</v>
      </c>
      <c r="C1067" s="10" t="s">
        <v>426</v>
      </c>
      <c r="D1067" s="10" t="s">
        <v>427</v>
      </c>
      <c r="E1067" s="10" t="s">
        <v>73</v>
      </c>
      <c r="F1067" s="10" t="s">
        <v>74</v>
      </c>
      <c r="G1067" s="10" t="s">
        <v>73</v>
      </c>
      <c r="H1067" s="10" t="s">
        <v>73</v>
      </c>
      <c r="I1067" s="10" t="s">
        <v>433</v>
      </c>
      <c r="J1067" s="10" t="s">
        <v>73</v>
      </c>
      <c r="K1067" s="12" t="s">
        <v>73</v>
      </c>
      <c r="L1067" s="10" t="s">
        <v>429</v>
      </c>
      <c r="M1067" s="5" t="str">
        <f t="array" ref="M1067">Y818</f>
        <v>1ХВС::1.1</v>
      </c>
      <c r="AB1067" s="65" t="str">
        <f>AB1065&amp;".2"</f>
        <v>3.1.2.1.1.2.1.2</v>
      </c>
      <c r="AC1067" s="292" t="s">
        <v>425</v>
      </c>
      <c r="AD1067" s="51" t="s">
        <v>137</v>
      </c>
      <c r="AE1067" s="66">
        <v>52396.260999999999</v>
      </c>
      <c r="AF1067" s="67">
        <v>52396.260999999999</v>
      </c>
      <c r="AG1067" s="67">
        <v>52396.260999999999</v>
      </c>
      <c r="AH1067" s="119">
        <v>52396.260999999999</v>
      </c>
      <c r="AI1067" s="66">
        <v>152.173</v>
      </c>
      <c r="AJ1067" s="67"/>
      <c r="AK1067" s="67">
        <v>173.374</v>
      </c>
      <c r="AL1067" s="119">
        <v>162.69200000000001</v>
      </c>
      <c r="AM1067" s="66">
        <v>1151.5329999999999</v>
      </c>
      <c r="AN1067" s="67">
        <v>1038</v>
      </c>
      <c r="AO1067" s="67">
        <v>1346.55</v>
      </c>
      <c r="AP1067" s="119">
        <v>1346.55</v>
      </c>
      <c r="AQ1067" s="66"/>
      <c r="AR1067" s="67"/>
      <c r="AS1067" s="67"/>
      <c r="AT1067" s="119"/>
      <c r="AU1067" s="66">
        <v>399.11</v>
      </c>
      <c r="AV1067" s="67">
        <v>493.12</v>
      </c>
      <c r="AW1067" s="67">
        <v>415.79</v>
      </c>
      <c r="AX1067" s="119">
        <v>415.79</v>
      </c>
      <c r="AY1067" s="66">
        <v>7733.2</v>
      </c>
      <c r="AZ1067" s="67">
        <v>7474.4679999999998</v>
      </c>
      <c r="BA1067" s="67">
        <v>7474.4679999999998</v>
      </c>
      <c r="BB1067" s="119">
        <v>7474.4679999999998</v>
      </c>
      <c r="BC1067" s="66">
        <v>741.82399999999996</v>
      </c>
      <c r="BD1067" s="67"/>
      <c r="BE1067" s="67">
        <v>751.28599999999994</v>
      </c>
      <c r="BF1067" s="119">
        <v>751.28599999999994</v>
      </c>
      <c r="BG1067" s="66">
        <v>2154.44</v>
      </c>
      <c r="BH1067" s="67">
        <v>3530.93</v>
      </c>
      <c r="BI1067" s="67">
        <v>4765.13</v>
      </c>
      <c r="BJ1067" s="119">
        <v>4766.13</v>
      </c>
      <c r="BK1067" s="66">
        <v>3531.2759999999998</v>
      </c>
      <c r="BL1067" s="67">
        <v>3514.9549999999999</v>
      </c>
      <c r="BM1067" s="67">
        <v>4083.32</v>
      </c>
      <c r="BN1067" s="119">
        <v>3694.89</v>
      </c>
      <c r="BO1067" s="123">
        <v>147.52199999999999</v>
      </c>
      <c r="BP1067" s="121">
        <v>204.5</v>
      </c>
      <c r="BQ1067" s="121">
        <v>256.42399999999998</v>
      </c>
      <c r="BR1067" s="122">
        <v>257.42399999999998</v>
      </c>
      <c r="BS1067" s="123">
        <v>456.62</v>
      </c>
      <c r="BT1067" s="121">
        <v>400</v>
      </c>
      <c r="BU1067" s="121">
        <v>450</v>
      </c>
      <c r="BV1067" s="124">
        <v>451</v>
      </c>
      <c r="BY1067" s="125">
        <f t="shared" si="1473"/>
        <v>68863.959000000003</v>
      </c>
      <c r="BZ1067" s="126">
        <f t="shared" si="1474"/>
        <v>69052.233999999997</v>
      </c>
      <c r="CA1067" s="126">
        <f t="shared" si="1475"/>
        <v>72112.603000000017</v>
      </c>
      <c r="CB1067" s="127">
        <f t="shared" si="1475"/>
        <v>71716.491000000009</v>
      </c>
    </row>
    <row r="1068" spans="1:81" ht="38.25" customHeight="1" outlineLevel="3" x14ac:dyDescent="0.25">
      <c r="B1068" s="10" t="b">
        <f t="array" ref="B1068">B1067</f>
        <v>1</v>
      </c>
      <c r="C1068" s="10" t="s">
        <v>426</v>
      </c>
      <c r="D1068" s="10" t="s">
        <v>427</v>
      </c>
      <c r="E1068" s="10" t="s">
        <v>73</v>
      </c>
      <c r="F1068" s="10" t="s">
        <v>74</v>
      </c>
      <c r="G1068" s="10" t="s">
        <v>73</v>
      </c>
      <c r="H1068" s="10" t="s">
        <v>73</v>
      </c>
      <c r="I1068" s="10" t="s">
        <v>434</v>
      </c>
      <c r="J1068" s="10" t="s">
        <v>73</v>
      </c>
      <c r="K1068" s="12" t="s">
        <v>73</v>
      </c>
      <c r="L1068" s="10" t="s">
        <v>429</v>
      </c>
      <c r="M1068" s="5" t="str">
        <f t="array" ref="M1068">Y818</f>
        <v>1ХВС::1.1</v>
      </c>
      <c r="AB1068" s="65" t="str">
        <f>AB1062&amp;".2"</f>
        <v>3.1.2.1.1.2.2</v>
      </c>
      <c r="AC1068" s="291" t="s">
        <v>435</v>
      </c>
      <c r="AD1068" s="51" t="s">
        <v>415</v>
      </c>
      <c r="AE1068" s="66">
        <v>29279.306</v>
      </c>
      <c r="AF1068" s="67">
        <v>29279.306</v>
      </c>
      <c r="AG1068" s="67">
        <v>29279.306</v>
      </c>
      <c r="AH1068" s="119">
        <v>29279.306</v>
      </c>
      <c r="AI1068" s="66">
        <v>67.445999999999998</v>
      </c>
      <c r="AJ1068" s="67"/>
      <c r="AK1068" s="67">
        <v>52.649000000000001</v>
      </c>
      <c r="AL1068" s="119">
        <v>526.45000000000005</v>
      </c>
      <c r="AM1068" s="66">
        <v>646.41800000000001</v>
      </c>
      <c r="AN1068" s="67">
        <v>492.12</v>
      </c>
      <c r="AO1068" s="67">
        <v>506.59</v>
      </c>
      <c r="AP1068" s="119">
        <v>506.59</v>
      </c>
      <c r="AQ1068" s="66">
        <v>1807.5039999999999</v>
      </c>
      <c r="AR1068" s="67"/>
      <c r="AS1068" s="67">
        <v>1846.49</v>
      </c>
      <c r="AT1068" s="119">
        <v>1847.49</v>
      </c>
      <c r="AU1068" s="66">
        <v>477.37200000000001</v>
      </c>
      <c r="AV1068" s="67">
        <v>875.12</v>
      </c>
      <c r="AW1068" s="67">
        <v>539.35</v>
      </c>
      <c r="AX1068" s="119">
        <v>539.35</v>
      </c>
      <c r="AY1068" s="66">
        <v>2838.2950000000001</v>
      </c>
      <c r="AZ1068" s="67">
        <v>1250.23</v>
      </c>
      <c r="BA1068" s="67">
        <v>2671.53</v>
      </c>
      <c r="BB1068" s="119">
        <v>2671.53</v>
      </c>
      <c r="BC1068" s="66">
        <v>747.18600000000004</v>
      </c>
      <c r="BD1068" s="67">
        <f>BD1061</f>
        <v>1603.9250000000002</v>
      </c>
      <c r="BE1068" s="67">
        <v>721.024</v>
      </c>
      <c r="BF1068" s="119">
        <v>721.024</v>
      </c>
      <c r="BG1068" s="66"/>
      <c r="BH1068" s="67"/>
      <c r="BI1068" s="67"/>
      <c r="BJ1068" s="119"/>
      <c r="BK1068" s="66">
        <v>1708.962</v>
      </c>
      <c r="BL1068" s="67">
        <v>2291.3009999999999</v>
      </c>
      <c r="BM1068" s="67">
        <v>3058.25</v>
      </c>
      <c r="BN1068" s="119">
        <f>BN1066*BN1067</f>
        <v>2638.1514599999996</v>
      </c>
      <c r="BO1068" s="123">
        <v>292.81400000000002</v>
      </c>
      <c r="BP1068" s="121">
        <v>306.3</v>
      </c>
      <c r="BQ1068" s="121">
        <v>292.12799999999999</v>
      </c>
      <c r="BR1068" s="122">
        <v>293.12799999999999</v>
      </c>
      <c r="BS1068" s="123">
        <v>263.14600000000002</v>
      </c>
      <c r="BT1068" s="121">
        <v>401.81099999999998</v>
      </c>
      <c r="BU1068" s="121">
        <v>356.4</v>
      </c>
      <c r="BV1068" s="124">
        <v>357.4</v>
      </c>
      <c r="BY1068" s="125">
        <f t="shared" si="1473"/>
        <v>38128.449000000001</v>
      </c>
      <c r="BZ1068" s="126">
        <f t="shared" si="1474"/>
        <v>36500.113000000005</v>
      </c>
      <c r="CA1068" s="126">
        <f t="shared" si="1475"/>
        <v>39323.716999999997</v>
      </c>
      <c r="CB1068" s="127">
        <f t="shared" si="1475"/>
        <v>39380.419459999997</v>
      </c>
    </row>
    <row r="1069" spans="1:81" ht="32.25" customHeight="1" outlineLevel="3" x14ac:dyDescent="0.25">
      <c r="B1069" s="10" t="b">
        <f t="array" ref="B1069">B1068</f>
        <v>1</v>
      </c>
      <c r="C1069" s="10" t="s">
        <v>426</v>
      </c>
      <c r="D1069" s="10" t="s">
        <v>427</v>
      </c>
      <c r="E1069" s="10" t="s">
        <v>73</v>
      </c>
      <c r="F1069" s="10" t="s">
        <v>74</v>
      </c>
      <c r="G1069" s="10" t="s">
        <v>73</v>
      </c>
      <c r="H1069" s="10" t="s">
        <v>73</v>
      </c>
      <c r="I1069" s="10" t="s">
        <v>436</v>
      </c>
      <c r="J1069" s="10" t="s">
        <v>73</v>
      </c>
      <c r="K1069" s="12" t="s">
        <v>73</v>
      </c>
      <c r="L1069" s="10" t="s">
        <v>429</v>
      </c>
      <c r="M1069" s="5" t="str">
        <f t="array" ref="M1069">Y818</f>
        <v>1ХВС::1.1</v>
      </c>
      <c r="AB1069" s="65" t="str">
        <f>AB1068&amp;".1"</f>
        <v>3.1.2.1.1.2.2.1</v>
      </c>
      <c r="AC1069" s="292" t="s">
        <v>437</v>
      </c>
      <c r="AD1069" s="51" t="s">
        <v>422</v>
      </c>
      <c r="AE1069" s="282">
        <f>AE1068/AE1070</f>
        <v>0.58139995889992635</v>
      </c>
      <c r="AF1069" s="283">
        <f>AF1068/AF1070</f>
        <v>0.58138841425470311</v>
      </c>
      <c r="AG1069" s="283">
        <f>AG1068/AG1070</f>
        <v>0.58137687006794625</v>
      </c>
      <c r="AH1069" s="285">
        <f>AH1068/AH1070</f>
        <v>0.58136532633962867</v>
      </c>
      <c r="AI1069" s="282">
        <f>AI1068/AI1070</f>
        <v>0.45254837757320376</v>
      </c>
      <c r="AJ1069" s="283"/>
      <c r="AK1069" s="283">
        <f>AK1068/AK1070</f>
        <v>0.31457592686642966</v>
      </c>
      <c r="AL1069" s="285"/>
      <c r="AM1069" s="282">
        <f>AM1068/AM1070</f>
        <v>0.56135429900836542</v>
      </c>
      <c r="AN1069" s="283">
        <f>AN1068/AN1070</f>
        <v>0.35937956417596545</v>
      </c>
      <c r="AO1069" s="283">
        <f>AO1068/AO1070</f>
        <v>0.37621328580446323</v>
      </c>
      <c r="AP1069" s="285">
        <f>AP1068/AP1070</f>
        <v>0.37593410263070015</v>
      </c>
      <c r="AQ1069" s="282">
        <f>AQ1068/AQ1070</f>
        <v>0.68930243129681612</v>
      </c>
      <c r="AR1069" s="283"/>
      <c r="AS1069" s="283">
        <f t="shared" ref="AS1069:BC1069" si="1476">AS1068/AS1070</f>
        <v>0.7356299400815911</v>
      </c>
      <c r="AT1069" s="285">
        <f t="shared" si="1476"/>
        <v>0.73573522149831949</v>
      </c>
      <c r="AU1069" s="282">
        <f t="shared" si="1476"/>
        <v>1.1960913031495077</v>
      </c>
      <c r="AV1069" s="283">
        <f t="shared" si="1476"/>
        <v>1.7746593121349772</v>
      </c>
      <c r="AW1069" s="283">
        <f t="shared" si="1476"/>
        <v>1.2971692440895644</v>
      </c>
      <c r="AX1069" s="285">
        <f t="shared" si="1476"/>
        <v>1.2940569591400946</v>
      </c>
      <c r="AY1069" s="282">
        <f t="shared" si="1476"/>
        <v>0.36702723322815911</v>
      </c>
      <c r="AZ1069" s="283">
        <f t="shared" si="1476"/>
        <v>0.1672667539683092</v>
      </c>
      <c r="BA1069" s="283">
        <f t="shared" si="1476"/>
        <v>0.35742075556414188</v>
      </c>
      <c r="BB1069" s="285">
        <f t="shared" si="1476"/>
        <v>0.35737294307192541</v>
      </c>
      <c r="BC1069" s="282">
        <f t="shared" si="1476"/>
        <v>0.60806647189511642</v>
      </c>
      <c r="BD1069" s="283"/>
      <c r="BE1069" s="283">
        <v>0.59709999999999996</v>
      </c>
      <c r="BF1069" s="285">
        <v>0.59709999999999996</v>
      </c>
      <c r="BG1069" s="282"/>
      <c r="BH1069" s="283"/>
      <c r="BI1069" s="283"/>
      <c r="BJ1069" s="285"/>
      <c r="BK1069" s="282">
        <f>BK1068/BK1070</f>
        <v>0.37532564451368877</v>
      </c>
      <c r="BL1069" s="283">
        <f>BL1068/BL1070</f>
        <v>0.50953909337083547</v>
      </c>
      <c r="BM1069" s="283">
        <f>BM1068/BM1070</f>
        <v>0.6657141072182281</v>
      </c>
      <c r="BN1069" s="285">
        <v>9.0999999999999998E-2</v>
      </c>
      <c r="BO1069" s="289">
        <f>BO1068/BO1070</f>
        <v>1.098450688374536</v>
      </c>
      <c r="BP1069" s="287">
        <v>1.7373000000000001</v>
      </c>
      <c r="BQ1069" s="287">
        <f>BQ1068/BQ1070</f>
        <v>1.1392381368358657</v>
      </c>
      <c r="BR1069" s="288">
        <f>BR1068/BR1070</f>
        <v>1.1386972465659768</v>
      </c>
      <c r="BS1069" s="289">
        <f>BS1068/BS1070</f>
        <v>0.57629100784021725</v>
      </c>
      <c r="BT1069" s="287">
        <v>0.79200000000000004</v>
      </c>
      <c r="BU1069" s="287">
        <f>BU1068/BU1070</f>
        <v>0.79199999999999993</v>
      </c>
      <c r="BV1069" s="290">
        <f>BV1068/BV1070</f>
        <v>0.79246119733924603</v>
      </c>
      <c r="BY1069" s="125">
        <f t="shared" si="1473"/>
        <v>6.5058574157795377</v>
      </c>
      <c r="BZ1069" s="126">
        <f t="shared" si="1474"/>
        <v>5.9215331379047909</v>
      </c>
      <c r="CA1069" s="126">
        <f t="shared" si="1475"/>
        <v>6.8564382665282304</v>
      </c>
      <c r="CB1069" s="127">
        <f t="shared" si="1475"/>
        <v>5.9637229965858909</v>
      </c>
    </row>
    <row r="1070" spans="1:81" ht="17.45" customHeight="1" outlineLevel="3" x14ac:dyDescent="0.25">
      <c r="B1070" s="10" t="b">
        <f t="array" ref="B1070">B1069</f>
        <v>1</v>
      </c>
      <c r="C1070" s="10" t="s">
        <v>426</v>
      </c>
      <c r="D1070" s="10" t="s">
        <v>427</v>
      </c>
      <c r="E1070" s="10" t="s">
        <v>73</v>
      </c>
      <c r="F1070" s="10" t="s">
        <v>74</v>
      </c>
      <c r="G1070" s="10" t="s">
        <v>73</v>
      </c>
      <c r="H1070" s="10" t="s">
        <v>73</v>
      </c>
      <c r="I1070" s="10" t="s">
        <v>438</v>
      </c>
      <c r="J1070" s="10" t="s">
        <v>73</v>
      </c>
      <c r="K1070" s="12" t="s">
        <v>73</v>
      </c>
      <c r="L1070" s="10" t="s">
        <v>429</v>
      </c>
      <c r="M1070" s="5" t="str">
        <f t="array" ref="M1070">Y818</f>
        <v>1ХВС::1.1</v>
      </c>
      <c r="AB1070" s="65" t="str">
        <f>AB1068&amp;".2"</f>
        <v>3.1.2.1.1.2.2.2</v>
      </c>
      <c r="AC1070" s="292" t="s">
        <v>425</v>
      </c>
      <c r="AD1070" s="51" t="s">
        <v>137</v>
      </c>
      <c r="AE1070" s="66">
        <v>50360.006999999998</v>
      </c>
      <c r="AF1070" s="67">
        <v>50361.006999999998</v>
      </c>
      <c r="AG1070" s="67">
        <v>50362.006999999998</v>
      </c>
      <c r="AH1070" s="119">
        <v>50363.006999999998</v>
      </c>
      <c r="AI1070" s="66">
        <v>149.036</v>
      </c>
      <c r="AJ1070" s="67"/>
      <c r="AK1070" s="67">
        <v>167.36500000000001</v>
      </c>
      <c r="AL1070" s="119"/>
      <c r="AM1070" s="66">
        <v>1151.5329999999999</v>
      </c>
      <c r="AN1070" s="67">
        <v>1369.36</v>
      </c>
      <c r="AO1070" s="67">
        <v>1346.55</v>
      </c>
      <c r="AP1070" s="119">
        <v>1347.55</v>
      </c>
      <c r="AQ1070" s="66">
        <v>2622.2220000000002</v>
      </c>
      <c r="AR1070" s="67"/>
      <c r="AS1070" s="67">
        <v>2510.08</v>
      </c>
      <c r="AT1070" s="119">
        <v>2511.08</v>
      </c>
      <c r="AU1070" s="66">
        <v>399.11</v>
      </c>
      <c r="AV1070" s="67">
        <v>493.12</v>
      </c>
      <c r="AW1070" s="67">
        <v>415.79</v>
      </c>
      <c r="AX1070" s="119">
        <v>416.79</v>
      </c>
      <c r="AY1070" s="66">
        <v>7733.2</v>
      </c>
      <c r="AZ1070" s="67">
        <v>7474.4679999999998</v>
      </c>
      <c r="BA1070" s="67">
        <v>7474.4679999999998</v>
      </c>
      <c r="BB1070" s="119">
        <v>7475.4679999999998</v>
      </c>
      <c r="BC1070" s="66">
        <v>1228.79</v>
      </c>
      <c r="BD1070" s="67">
        <f>BD856</f>
        <v>0</v>
      </c>
      <c r="BE1070" s="67">
        <v>1207.5650000000001</v>
      </c>
      <c r="BF1070" s="119">
        <v>1207.5650000000001</v>
      </c>
      <c r="BG1070" s="66"/>
      <c r="BH1070" s="67"/>
      <c r="BI1070" s="67"/>
      <c r="BJ1070" s="119"/>
      <c r="BK1070" s="66">
        <v>4553.2780000000002</v>
      </c>
      <c r="BL1070" s="67">
        <v>4496.8109999999997</v>
      </c>
      <c r="BM1070" s="67">
        <v>4593.9390000000003</v>
      </c>
      <c r="BN1070" s="119">
        <f>BN838</f>
        <v>4595.9389999999994</v>
      </c>
      <c r="BO1070" s="123">
        <v>266.57</v>
      </c>
      <c r="BP1070" s="121">
        <v>204.5</v>
      </c>
      <c r="BQ1070" s="121">
        <v>256.42399999999998</v>
      </c>
      <c r="BR1070" s="122">
        <v>257.42399999999998</v>
      </c>
      <c r="BS1070" s="123">
        <v>456.62</v>
      </c>
      <c r="BT1070" s="121">
        <v>400</v>
      </c>
      <c r="BU1070" s="121">
        <v>450</v>
      </c>
      <c r="BV1070" s="124">
        <v>451</v>
      </c>
      <c r="BY1070" s="125">
        <f t="shared" si="1473"/>
        <v>68920.366000000009</v>
      </c>
      <c r="BZ1070" s="126">
        <f t="shared" si="1474"/>
        <v>64799.266000000003</v>
      </c>
      <c r="CA1070" s="126">
        <f t="shared" si="1475"/>
        <v>68784.188000000009</v>
      </c>
      <c r="CB1070" s="127">
        <f t="shared" si="1475"/>
        <v>68625.823000000004</v>
      </c>
    </row>
    <row r="1071" spans="1:81" s="1024" customFormat="1" ht="15.75" hidden="1" customHeight="1" outlineLevel="3" x14ac:dyDescent="0.25">
      <c r="A1071" s="1019"/>
      <c r="B1071" s="1020" t="b">
        <f t="array" ref="B1071">B1062</f>
        <v>0</v>
      </c>
      <c r="C1071" s="1021" t="s">
        <v>412</v>
      </c>
      <c r="D1071" s="1020" t="s">
        <v>413</v>
      </c>
      <c r="E1071" s="1020" t="s">
        <v>73</v>
      </c>
      <c r="F1071" s="1020" t="s">
        <v>74</v>
      </c>
      <c r="G1071" s="1020" t="s">
        <v>73</v>
      </c>
      <c r="H1071" s="1020" t="s">
        <v>73</v>
      </c>
      <c r="I1071" s="1020" t="s">
        <v>73</v>
      </c>
      <c r="J1071" s="1021" t="s">
        <v>439</v>
      </c>
      <c r="K1071" s="1022" t="s">
        <v>73</v>
      </c>
      <c r="L1071" s="1020" t="s">
        <v>417</v>
      </c>
      <c r="M1071" s="1019" t="str">
        <f t="array" ref="M1071">Y818</f>
        <v>1ХВС::1.1</v>
      </c>
      <c r="N1071" s="1019"/>
      <c r="O1071" s="1019"/>
      <c r="P1071" s="1019"/>
      <c r="Q1071" s="1019"/>
      <c r="R1071" s="1019"/>
      <c r="S1071" s="1019"/>
      <c r="T1071" s="1019"/>
      <c r="U1071" s="1019"/>
      <c r="V1071" s="1019"/>
      <c r="W1071" s="1019"/>
      <c r="X1071" s="1019"/>
      <c r="Y1071" s="1019"/>
      <c r="Z1071" s="1019"/>
      <c r="AA1071" s="1019"/>
      <c r="AB1071" s="29" t="str">
        <f>AB1061&amp;".2"</f>
        <v>3.1.2.1.1.2.2</v>
      </c>
      <c r="AC1071" s="293" t="s">
        <v>440</v>
      </c>
      <c r="AD1071" s="51" t="s">
        <v>415</v>
      </c>
      <c r="AE1071" s="66"/>
      <c r="AF1071" s="67"/>
      <c r="AG1071" s="67"/>
      <c r="AH1071" s="119"/>
      <c r="AI1071" s="66"/>
      <c r="AJ1071" s="67"/>
      <c r="AK1071" s="67"/>
      <c r="AL1071" s="119"/>
      <c r="AM1071" s="66"/>
      <c r="AN1071" s="67"/>
      <c r="AO1071" s="67"/>
      <c r="AP1071" s="119"/>
      <c r="AQ1071" s="66"/>
      <c r="AR1071" s="67"/>
      <c r="AS1071" s="67"/>
      <c r="AT1071" s="119"/>
      <c r="AU1071" s="66"/>
      <c r="AV1071" s="67"/>
      <c r="AW1071" s="67"/>
      <c r="AX1071" s="119"/>
      <c r="AY1071" s="66"/>
      <c r="AZ1071" s="67"/>
      <c r="BA1071" s="67"/>
      <c r="BB1071" s="119"/>
      <c r="BC1071" s="66"/>
      <c r="BD1071" s="67"/>
      <c r="BE1071" s="67"/>
      <c r="BF1071" s="119"/>
      <c r="BG1071" s="66"/>
      <c r="BH1071" s="67"/>
      <c r="BI1071" s="67"/>
      <c r="BJ1071" s="119"/>
      <c r="BK1071" s="66"/>
      <c r="BL1071" s="67"/>
      <c r="BM1071" s="67"/>
      <c r="BN1071" s="119"/>
      <c r="BO1071" s="123"/>
      <c r="BP1071" s="121"/>
      <c r="BQ1071" s="121"/>
      <c r="BR1071" s="122"/>
      <c r="BS1071" s="123"/>
      <c r="BT1071" s="121"/>
      <c r="BU1071" s="121"/>
      <c r="BV1071" s="124"/>
      <c r="BW1071" s="6"/>
      <c r="BX1071" s="1019"/>
      <c r="BY1071" s="125">
        <f t="shared" si="1473"/>
        <v>0</v>
      </c>
      <c r="BZ1071" s="126">
        <f t="shared" si="1474"/>
        <v>0</v>
      </c>
      <c r="CA1071" s="126">
        <f t="shared" si="1475"/>
        <v>0</v>
      </c>
      <c r="CB1071" s="127">
        <f t="shared" ref="CB1071:CB1101" si="1477">AH1071+AL1071+AP1071+AT1071+AX1071+BB1071+BF1071+BJ1071+BN1071+BR1071+BV1071</f>
        <v>0</v>
      </c>
      <c r="CC1071" s="1023"/>
    </row>
    <row r="1072" spans="1:81" ht="19.899999999999999" hidden="1" customHeight="1" outlineLevel="3" x14ac:dyDescent="0.25">
      <c r="A1072" s="10" t="b">
        <f>$AD$48="да"</f>
        <v>1</v>
      </c>
      <c r="B1072" s="5" t="b">
        <f t="array" ref="B1072">A1072</f>
        <v>1</v>
      </c>
      <c r="C1072" s="10" t="s">
        <v>83</v>
      </c>
      <c r="D1072" s="10" t="s">
        <v>84</v>
      </c>
      <c r="E1072" s="10" t="s">
        <v>73</v>
      </c>
      <c r="F1072" s="10" t="s">
        <v>74</v>
      </c>
      <c r="G1072" s="10" t="s">
        <v>441</v>
      </c>
      <c r="H1072" s="10" t="s">
        <v>73</v>
      </c>
      <c r="I1072" s="10" t="s">
        <v>73</v>
      </c>
      <c r="J1072" s="10" t="s">
        <v>73</v>
      </c>
      <c r="K1072" s="12" t="s">
        <v>73</v>
      </c>
      <c r="L1072" s="10" t="s">
        <v>442</v>
      </c>
      <c r="M1072" s="5" t="str">
        <f t="array" ref="M1072">Y818</f>
        <v>1ХВС::1.1</v>
      </c>
      <c r="Y1072" s="10">
        <f>COUNT($Y1059:Y1071)+1</f>
        <v>2</v>
      </c>
      <c r="AB1072" s="29" t="str">
        <f>AB$318&amp;"."&amp;Y1072</f>
        <v>3.1.2.2</v>
      </c>
      <c r="AC1072" s="87" t="s">
        <v>443</v>
      </c>
      <c r="AD1072" s="51" t="s">
        <v>111</v>
      </c>
      <c r="AE1072" s="72"/>
      <c r="AF1072" s="73"/>
      <c r="AG1072" s="73"/>
      <c r="AH1072" s="138"/>
      <c r="AI1072" s="72"/>
      <c r="AJ1072" s="178"/>
      <c r="AK1072" s="73"/>
      <c r="AL1072" s="138"/>
      <c r="AM1072" s="72"/>
      <c r="AN1072" s="178"/>
      <c r="AO1072" s="73"/>
      <c r="AP1072" s="138"/>
      <c r="AQ1072" s="72"/>
      <c r="AR1072" s="178"/>
      <c r="AS1072" s="73"/>
      <c r="AT1072" s="138"/>
      <c r="AU1072" s="72"/>
      <c r="AV1072" s="178"/>
      <c r="AW1072" s="73"/>
      <c r="AX1072" s="138"/>
      <c r="AY1072" s="72"/>
      <c r="AZ1072" s="178"/>
      <c r="BA1072" s="73"/>
      <c r="BB1072" s="138"/>
      <c r="BC1072" s="72">
        <v>0</v>
      </c>
      <c r="BD1072" s="178"/>
      <c r="BE1072" s="73">
        <v>0</v>
      </c>
      <c r="BF1072" s="138"/>
      <c r="BG1072" s="72"/>
      <c r="BH1072" s="178"/>
      <c r="BI1072" s="73"/>
      <c r="BJ1072" s="138"/>
      <c r="BK1072" s="72"/>
      <c r="BL1072" s="178"/>
      <c r="BM1072" s="73"/>
      <c r="BN1072" s="138"/>
      <c r="BO1072" s="142"/>
      <c r="BP1072" s="183"/>
      <c r="BQ1072" s="140"/>
      <c r="BR1072" s="141"/>
      <c r="BS1072" s="142"/>
      <c r="BT1072" s="183"/>
      <c r="BU1072" s="140"/>
      <c r="BV1072" s="143"/>
      <c r="BY1072" s="125">
        <f t="shared" si="1473"/>
        <v>0</v>
      </c>
      <c r="BZ1072" s="126">
        <f t="shared" si="1474"/>
        <v>0</v>
      </c>
      <c r="CA1072" s="126">
        <f t="shared" si="1475"/>
        <v>0</v>
      </c>
      <c r="CB1072" s="127">
        <f t="shared" si="1477"/>
        <v>0</v>
      </c>
    </row>
    <row r="1073" spans="1:81" ht="25.7" hidden="1" customHeight="1" outlineLevel="3" x14ac:dyDescent="0.25">
      <c r="A1073" s="10" t="b">
        <f>$AD$49="да"</f>
        <v>1</v>
      </c>
      <c r="B1073" s="5" t="b">
        <f t="array" ref="B1073">A1073</f>
        <v>1</v>
      </c>
      <c r="C1073" s="10" t="s">
        <v>83</v>
      </c>
      <c r="D1073" s="10" t="s">
        <v>84</v>
      </c>
      <c r="E1073" s="10" t="s">
        <v>73</v>
      </c>
      <c r="F1073" s="10" t="s">
        <v>74</v>
      </c>
      <c r="G1073" s="10" t="s">
        <v>444</v>
      </c>
      <c r="H1073" s="10" t="s">
        <v>73</v>
      </c>
      <c r="I1073" s="10" t="s">
        <v>73</v>
      </c>
      <c r="J1073" s="10" t="s">
        <v>73</v>
      </c>
      <c r="K1073" s="12" t="s">
        <v>73</v>
      </c>
      <c r="L1073" s="10" t="s">
        <v>224</v>
      </c>
      <c r="M1073" s="5" t="str">
        <f t="array" ref="M1073">Y818</f>
        <v>1ХВС::1.1</v>
      </c>
      <c r="Y1073" s="10">
        <f>COUNT($Y1059:Y1072)+1</f>
        <v>3</v>
      </c>
      <c r="AB1073" s="29" t="str">
        <f>AB$318&amp;"."&amp;Y1073</f>
        <v>3.1.2.3</v>
      </c>
      <c r="AC1073" s="87" t="s">
        <v>445</v>
      </c>
      <c r="AD1073" s="51" t="s">
        <v>111</v>
      </c>
      <c r="AE1073" s="72"/>
      <c r="AF1073" s="73"/>
      <c r="AG1073" s="73"/>
      <c r="AH1073" s="138"/>
      <c r="AI1073" s="72"/>
      <c r="AJ1073" s="178"/>
      <c r="AK1073" s="73"/>
      <c r="AL1073" s="138"/>
      <c r="AM1073" s="72"/>
      <c r="AN1073" s="178"/>
      <c r="AO1073" s="73"/>
      <c r="AP1073" s="138"/>
      <c r="AQ1073" s="72"/>
      <c r="AR1073" s="178"/>
      <c r="AS1073" s="73"/>
      <c r="AT1073" s="138"/>
      <c r="AU1073" s="72"/>
      <c r="AV1073" s="178"/>
      <c r="AW1073" s="73"/>
      <c r="AX1073" s="138"/>
      <c r="AY1073" s="72"/>
      <c r="AZ1073" s="178"/>
      <c r="BA1073" s="73"/>
      <c r="BB1073" s="138"/>
      <c r="BC1073" s="72">
        <v>0</v>
      </c>
      <c r="BD1073" s="178"/>
      <c r="BE1073" s="73">
        <v>0</v>
      </c>
      <c r="BF1073" s="138"/>
      <c r="BG1073" s="72"/>
      <c r="BH1073" s="178"/>
      <c r="BI1073" s="73"/>
      <c r="BJ1073" s="138"/>
      <c r="BK1073" s="72"/>
      <c r="BL1073" s="178"/>
      <c r="BM1073" s="73"/>
      <c r="BN1073" s="138"/>
      <c r="BO1073" s="142"/>
      <c r="BP1073" s="183"/>
      <c r="BQ1073" s="140"/>
      <c r="BR1073" s="141"/>
      <c r="BS1073" s="142"/>
      <c r="BT1073" s="183"/>
      <c r="BU1073" s="140"/>
      <c r="BV1073" s="143"/>
      <c r="BY1073" s="125">
        <f t="shared" si="1473"/>
        <v>0</v>
      </c>
      <c r="BZ1073" s="126">
        <f t="shared" si="1474"/>
        <v>0</v>
      </c>
      <c r="CA1073" s="126">
        <f t="shared" si="1475"/>
        <v>0</v>
      </c>
      <c r="CB1073" s="127">
        <f t="shared" si="1477"/>
        <v>0</v>
      </c>
    </row>
    <row r="1074" spans="1:81" ht="17.45" hidden="1" customHeight="1" outlineLevel="3" x14ac:dyDescent="0.25">
      <c r="A1074" s="10" t="b">
        <f>$AD$50="да"</f>
        <v>1</v>
      </c>
      <c r="B1074" s="5" t="b">
        <f t="array" ref="B1074">A1074</f>
        <v>1</v>
      </c>
      <c r="C1074" s="10" t="s">
        <v>83</v>
      </c>
      <c r="D1074" s="10" t="s">
        <v>84</v>
      </c>
      <c r="E1074" s="10" t="s">
        <v>73</v>
      </c>
      <c r="F1074" s="10" t="s">
        <v>74</v>
      </c>
      <c r="G1074" s="10" t="s">
        <v>446</v>
      </c>
      <c r="H1074" s="10" t="s">
        <v>73</v>
      </c>
      <c r="I1074" s="10" t="s">
        <v>73</v>
      </c>
      <c r="J1074" s="10" t="s">
        <v>73</v>
      </c>
      <c r="K1074" s="12" t="s">
        <v>73</v>
      </c>
      <c r="L1074" s="10" t="s">
        <v>447</v>
      </c>
      <c r="M1074" s="5" t="str">
        <f t="array" ref="M1074">Y818</f>
        <v>1ХВС::1.1</v>
      </c>
      <c r="Y1074" s="10">
        <f>COUNT($Y1059:Y1073)+1</f>
        <v>4</v>
      </c>
      <c r="AB1074" s="29" t="str">
        <f>AB$318&amp;"."&amp;Y1074</f>
        <v>3.1.2.4</v>
      </c>
      <c r="AC1074" s="87" t="s">
        <v>448</v>
      </c>
      <c r="AD1074" s="51" t="s">
        <v>111</v>
      </c>
      <c r="AE1074" s="72"/>
      <c r="AF1074" s="73"/>
      <c r="AG1074" s="73"/>
      <c r="AH1074" s="138"/>
      <c r="AI1074" s="72"/>
      <c r="AJ1074" s="178"/>
      <c r="AK1074" s="73"/>
      <c r="AL1074" s="138"/>
      <c r="AM1074" s="72"/>
      <c r="AN1074" s="178"/>
      <c r="AO1074" s="73"/>
      <c r="AP1074" s="138"/>
      <c r="AQ1074" s="72"/>
      <c r="AR1074" s="178"/>
      <c r="AS1074" s="73"/>
      <c r="AT1074" s="138"/>
      <c r="AU1074" s="72"/>
      <c r="AV1074" s="178"/>
      <c r="AW1074" s="73"/>
      <c r="AX1074" s="138"/>
      <c r="AY1074" s="72"/>
      <c r="AZ1074" s="178"/>
      <c r="BA1074" s="73"/>
      <c r="BB1074" s="138"/>
      <c r="BC1074" s="72">
        <v>0</v>
      </c>
      <c r="BD1074" s="178"/>
      <c r="BE1074" s="73">
        <v>0</v>
      </c>
      <c r="BF1074" s="138"/>
      <c r="BG1074" s="72"/>
      <c r="BH1074" s="178"/>
      <c r="BI1074" s="73"/>
      <c r="BJ1074" s="138"/>
      <c r="BK1074" s="72"/>
      <c r="BL1074" s="178"/>
      <c r="BM1074" s="73"/>
      <c r="BN1074" s="138"/>
      <c r="BO1074" s="142"/>
      <c r="BP1074" s="183"/>
      <c r="BQ1074" s="140"/>
      <c r="BR1074" s="141"/>
      <c r="BS1074" s="142"/>
      <c r="BT1074" s="183"/>
      <c r="BU1074" s="140"/>
      <c r="BV1074" s="143"/>
      <c r="BY1074" s="125">
        <f t="shared" si="1473"/>
        <v>0</v>
      </c>
      <c r="BZ1074" s="126">
        <f t="shared" si="1474"/>
        <v>0</v>
      </c>
      <c r="CA1074" s="126">
        <f t="shared" si="1475"/>
        <v>0</v>
      </c>
      <c r="CB1074" s="127">
        <f t="shared" si="1477"/>
        <v>0</v>
      </c>
    </row>
    <row r="1075" spans="1:81" s="171" customFormat="1" ht="24" customHeight="1" outlineLevel="2" x14ac:dyDescent="0.25">
      <c r="A1075" s="166"/>
      <c r="B1075" s="166"/>
      <c r="C1075" s="167" t="s">
        <v>83</v>
      </c>
      <c r="D1075" s="167" t="s">
        <v>84</v>
      </c>
      <c r="E1075" s="167" t="s">
        <v>73</v>
      </c>
      <c r="F1075" s="167" t="s">
        <v>74</v>
      </c>
      <c r="G1075" s="167" t="s">
        <v>449</v>
      </c>
      <c r="H1075" s="167" t="s">
        <v>73</v>
      </c>
      <c r="I1075" s="167" t="s">
        <v>73</v>
      </c>
      <c r="J1075" s="167" t="s">
        <v>73</v>
      </c>
      <c r="K1075" s="168" t="s">
        <v>73</v>
      </c>
      <c r="L1075" s="167" t="s">
        <v>133</v>
      </c>
      <c r="M1075" s="166" t="str">
        <f t="array" ref="M1075">Y818</f>
        <v>1ХВС::1.1</v>
      </c>
      <c r="N1075" s="166"/>
      <c r="O1075" s="166"/>
      <c r="P1075" s="166"/>
      <c r="Q1075" s="166"/>
      <c r="R1075" s="166"/>
      <c r="S1075" s="166"/>
      <c r="T1075" s="166"/>
      <c r="U1075" s="166"/>
      <c r="V1075" s="166"/>
      <c r="W1075" s="166"/>
      <c r="X1075" s="166"/>
      <c r="Y1075" s="166"/>
      <c r="Z1075" s="166"/>
      <c r="AA1075" s="166"/>
      <c r="AB1075" s="623" t="str">
        <f>AB868&amp;".3"</f>
        <v>3.1.3</v>
      </c>
      <c r="AC1075" s="634" t="s">
        <v>450</v>
      </c>
      <c r="AD1075" s="931" t="s">
        <v>111</v>
      </c>
      <c r="AE1075" s="655">
        <f>AE1076+AE1089+AE1090+AE1100+AE1107+AE1108+AE1109+AE1110</f>
        <v>444317.75099999999</v>
      </c>
      <c r="AF1075" s="627">
        <f>AF1076+AF1089+AF1090+AF1100+AF1107+AF1108+AF1109+AF1110</f>
        <v>502448.03599999996</v>
      </c>
      <c r="AG1075" s="627">
        <f>AG1076+AG1089+AG1090+AG1100+AG1107+AG1108+AG1109+AG1110</f>
        <v>604860.201</v>
      </c>
      <c r="AH1075" s="932">
        <f>AH335+AH670</f>
        <v>422236.5</v>
      </c>
      <c r="AI1075" s="655">
        <f>AI1076+AI1089+AI1090+AI1100+AI1107+AI1108+AI1109+AI1110</f>
        <v>6203.0399999999991</v>
      </c>
      <c r="AJ1075" s="627">
        <f>AJ1076+AJ1089+AJ1090+AJ1100+AJ1107+AJ1108+AJ1109+AJ1110</f>
        <v>7056.41</v>
      </c>
      <c r="AK1075" s="627">
        <f>AK1076+AK1089+AK1090+AK1100+AK1107+AK1108+AK1109+AK1110</f>
        <v>6397.12</v>
      </c>
      <c r="AL1075" s="932">
        <f>AL1076+AL1089+AL1090+AL1100+AL1107+AL1108+AL1109+AL1110</f>
        <v>5553.3980000000001</v>
      </c>
      <c r="AM1075" s="655">
        <f t="shared" ref="AM1075:BE1075" si="1478">AM1076+AM1089+AM1090+AM1100+AM1107+AM1108+AM1109+AM1110</f>
        <v>7967.0240000000003</v>
      </c>
      <c r="AN1075" s="627">
        <f t="shared" si="1478"/>
        <v>3652.2699999999995</v>
      </c>
      <c r="AO1075" s="627">
        <f t="shared" si="1478"/>
        <v>8314.9699999999993</v>
      </c>
      <c r="AP1075" s="932">
        <f t="shared" si="1478"/>
        <v>7646.3959999999997</v>
      </c>
      <c r="AQ1075" s="655">
        <f t="shared" si="1478"/>
        <v>6213.8939999999993</v>
      </c>
      <c r="AR1075" s="627">
        <f t="shared" si="1478"/>
        <v>4787.8500000000004</v>
      </c>
      <c r="AS1075" s="627">
        <f t="shared" si="1478"/>
        <v>7911.88</v>
      </c>
      <c r="AT1075" s="932">
        <f t="shared" si="1478"/>
        <v>5224.8899999999994</v>
      </c>
      <c r="AU1075" s="655">
        <f t="shared" si="1478"/>
        <v>936.93000000000006</v>
      </c>
      <c r="AV1075" s="627">
        <f t="shared" si="1478"/>
        <v>1120.7</v>
      </c>
      <c r="AW1075" s="627">
        <f t="shared" si="1478"/>
        <v>2422.9899999999998</v>
      </c>
      <c r="AX1075" s="932">
        <f t="shared" si="1478"/>
        <v>1443.3999999999999</v>
      </c>
      <c r="AY1075" s="655">
        <f t="shared" si="1478"/>
        <v>4549.1499999999996</v>
      </c>
      <c r="AZ1075" s="627">
        <f t="shared" si="1478"/>
        <v>4769.6499999999996</v>
      </c>
      <c r="BA1075" s="627">
        <f t="shared" si="1478"/>
        <v>6553.1699999999992</v>
      </c>
      <c r="BB1075" s="932">
        <f t="shared" si="1478"/>
        <v>4505.170000000001</v>
      </c>
      <c r="BC1075" s="655">
        <f t="shared" si="1478"/>
        <v>1414.74</v>
      </c>
      <c r="BD1075" s="627">
        <f t="shared" si="1478"/>
        <v>1603.5</v>
      </c>
      <c r="BE1075" s="627">
        <f t="shared" si="1478"/>
        <v>1555.1519999999998</v>
      </c>
      <c r="BF1075" s="932">
        <f>BF1076+BF1089+BF1090+BF1100</f>
        <v>1517.15</v>
      </c>
      <c r="BG1075" s="655">
        <f>BG1076+BG1089+BG1090+BG1100+BG1107+BG1108+BG1109+BG1110</f>
        <v>12913.381000000001</v>
      </c>
      <c r="BH1075" s="627">
        <f>BH1076+BH1089+BH1090+BH1100+BH1107+BH1108+BH1109+BH1110</f>
        <v>13375.02</v>
      </c>
      <c r="BI1075" s="627">
        <f>BI1076+BI1089+BI1090+BI1100+BI1107+BI1108+BI1109+BI1110</f>
        <v>52225.909999999996</v>
      </c>
      <c r="BJ1075" s="932">
        <f>BJ1076+BJ1089+BJ1090+BJ1100+BJ1106</f>
        <v>5922.24</v>
      </c>
      <c r="BK1075" s="655">
        <f>BK1076+BK1089+BK1090+BK1100+BK1107+BK1108+BK1109+BK1110</f>
        <v>29745.755999999998</v>
      </c>
      <c r="BL1075" s="627">
        <f>BL1076+BL1089+BL1090+BL1100+BL1107+BL1108+BL1109+BL1110</f>
        <v>31203.670000000002</v>
      </c>
      <c r="BM1075" s="627">
        <f>BM1076+BM1089+BM1090+BM1100+BM1107+BM1108+BM1109+BM1110</f>
        <v>36560.28</v>
      </c>
      <c r="BN1075" s="932">
        <f>BN1077+BN1078+BN1079+BN1080+BN1081+BN1087+BN1089+BN1090</f>
        <v>29056.312000000002</v>
      </c>
      <c r="BO1075" s="655">
        <f t="shared" ref="BO1075:BV1075" si="1479">BO1076+BO1089+BO1090+BO1100+BO1107+BO1108+BO1109+BO1110</f>
        <v>624.29</v>
      </c>
      <c r="BP1075" s="627">
        <f t="shared" si="1479"/>
        <v>505.7</v>
      </c>
      <c r="BQ1075" s="627">
        <f t="shared" si="1479"/>
        <v>621.54799999999989</v>
      </c>
      <c r="BR1075" s="932">
        <f t="shared" si="1479"/>
        <v>308.41000000000003</v>
      </c>
      <c r="BS1075" s="655">
        <f t="shared" si="1479"/>
        <v>7222.9350000000004</v>
      </c>
      <c r="BT1075" s="627">
        <f t="shared" si="1479"/>
        <v>6996.06</v>
      </c>
      <c r="BU1075" s="627">
        <f t="shared" si="1479"/>
        <v>12262.880000000001</v>
      </c>
      <c r="BV1075" s="650">
        <f t="shared" si="1479"/>
        <v>6589.7100000000009</v>
      </c>
      <c r="BW1075" s="170"/>
      <c r="BX1075" s="166"/>
      <c r="BY1075" s="630">
        <f t="shared" si="1473"/>
        <v>522108.89099999989</v>
      </c>
      <c r="BZ1075" s="631">
        <f t="shared" si="1474"/>
        <v>577518.86600000004</v>
      </c>
      <c r="CA1075" s="631">
        <f t="shared" si="1475"/>
        <v>739686.10100000002</v>
      </c>
      <c r="CB1075" s="632">
        <f>AH1075+AL1075+AP1075+AT1075+AX1075+BB1075+BF1075+BJ1075+BN1075+BR1075+BV1075</f>
        <v>490003.576</v>
      </c>
      <c r="CC1075" s="760"/>
    </row>
    <row r="1076" spans="1:81" ht="35.25" hidden="1" customHeight="1" outlineLevel="3" x14ac:dyDescent="0.25">
      <c r="C1076" s="10" t="s">
        <v>83</v>
      </c>
      <c r="D1076" s="10" t="s">
        <v>84</v>
      </c>
      <c r="E1076" s="10" t="s">
        <v>73</v>
      </c>
      <c r="F1076" s="10" t="s">
        <v>74</v>
      </c>
      <c r="G1076" s="10" t="s">
        <v>451</v>
      </c>
      <c r="H1076" s="10" t="s">
        <v>73</v>
      </c>
      <c r="I1076" s="10" t="s">
        <v>73</v>
      </c>
      <c r="J1076" s="10" t="s">
        <v>73</v>
      </c>
      <c r="K1076" s="12" t="s">
        <v>73</v>
      </c>
      <c r="L1076" s="10" t="s">
        <v>452</v>
      </c>
      <c r="M1076" s="5" t="str">
        <f t="array" ref="M1076">Y818</f>
        <v>1ХВС::1.1</v>
      </c>
      <c r="AB1076" s="29" t="str">
        <f>AB1075&amp;".1"</f>
        <v>3.1.3.1</v>
      </c>
      <c r="AC1076" s="92" t="s">
        <v>453</v>
      </c>
      <c r="AD1076" s="51" t="s">
        <v>111</v>
      </c>
      <c r="AE1076" s="72">
        <f t="shared" ref="AE1076:AK1076" si="1480">AE1077+AE1078+AE1079+AE1080+AE1081+AE1082+AE1083+AE1084+AE1085+AE1086+AE1087+AE1088</f>
        <v>39047.024999999994</v>
      </c>
      <c r="AF1076" s="73">
        <f t="shared" si="1480"/>
        <v>44929.689999999995</v>
      </c>
      <c r="AG1076" s="73">
        <f t="shared" si="1480"/>
        <v>44588.83</v>
      </c>
      <c r="AH1076" s="138">
        <f t="shared" si="1480"/>
        <v>44446.68</v>
      </c>
      <c r="AI1076" s="72">
        <f t="shared" si="1480"/>
        <v>0</v>
      </c>
      <c r="AJ1076" s="73">
        <f t="shared" si="1480"/>
        <v>0</v>
      </c>
      <c r="AK1076" s="73">
        <f t="shared" si="1480"/>
        <v>0</v>
      </c>
      <c r="AL1076" s="138"/>
      <c r="AM1076" s="72">
        <f t="shared" ref="AM1076:BE1076" si="1481">AM1077+AM1078+AM1079+AM1080+AM1081+AM1082+AM1083+AM1084+AM1085+AM1086+AM1087+AM1088</f>
        <v>395.37</v>
      </c>
      <c r="AN1076" s="73">
        <f t="shared" si="1481"/>
        <v>350.43</v>
      </c>
      <c r="AO1076" s="73">
        <f t="shared" si="1481"/>
        <v>435.03</v>
      </c>
      <c r="AP1076" s="138">
        <f t="shared" si="1481"/>
        <v>435.03</v>
      </c>
      <c r="AQ1076" s="72">
        <f t="shared" si="1481"/>
        <v>1353.76</v>
      </c>
      <c r="AR1076" s="73">
        <f t="shared" si="1481"/>
        <v>1946.8200000000002</v>
      </c>
      <c r="AS1076" s="73">
        <f t="shared" si="1481"/>
        <v>1489.57</v>
      </c>
      <c r="AT1076" s="138">
        <f t="shared" si="1481"/>
        <v>0</v>
      </c>
      <c r="AU1076" s="72">
        <f t="shared" si="1481"/>
        <v>0</v>
      </c>
      <c r="AV1076" s="73">
        <f t="shared" si="1481"/>
        <v>0</v>
      </c>
      <c r="AW1076" s="73">
        <f t="shared" si="1481"/>
        <v>0</v>
      </c>
      <c r="AX1076" s="138">
        <f t="shared" si="1481"/>
        <v>0</v>
      </c>
      <c r="AY1076" s="72">
        <f t="shared" si="1481"/>
        <v>0</v>
      </c>
      <c r="AZ1076" s="73">
        <f t="shared" si="1481"/>
        <v>0</v>
      </c>
      <c r="BA1076" s="73">
        <f t="shared" si="1481"/>
        <v>0</v>
      </c>
      <c r="BB1076" s="138">
        <f t="shared" si="1481"/>
        <v>0</v>
      </c>
      <c r="BC1076" s="72">
        <f t="shared" si="1481"/>
        <v>0</v>
      </c>
      <c r="BD1076" s="73">
        <f t="shared" si="1481"/>
        <v>0</v>
      </c>
      <c r="BE1076" s="73">
        <f t="shared" si="1481"/>
        <v>0</v>
      </c>
      <c r="BF1076" s="138">
        <f>SUM(BF1077:BF1087)</f>
        <v>0</v>
      </c>
      <c r="BG1076" s="72">
        <f>BG1077+BG1078+BG1079+BG1080+BG1081+BG1082+BG1083+BG1084+BG1085+BG1086+BG1087+BG1088</f>
        <v>922.20499999999993</v>
      </c>
      <c r="BH1076" s="73">
        <f>BH1077+BH1078+BH1079+BH1080+BH1081+BH1082+BH1083+BH1084+BH1085+BH1086+BH1087+BH1088</f>
        <v>6336.04</v>
      </c>
      <c r="BI1076" s="73">
        <f>BI1077+BI1078+BI1079+BI1080+BI1081+BI1082+BI1083+BI1084+BI1085+BI1086+BI1087+BI1088</f>
        <v>3122.7400000000002</v>
      </c>
      <c r="BJ1076" s="138">
        <f>SUM(BJ1077:BJ1081)</f>
        <v>1112.45</v>
      </c>
      <c r="BK1076" s="72">
        <f>BK1077+BK1078+BK1079+BK1080+BK1081+BK1082+BK1083+BK1084+BK1085+BK1086+BK1087+BK1088</f>
        <v>2967.14</v>
      </c>
      <c r="BL1076" s="73">
        <f>BL1077+BL1078+BL1079+BL1080+BL1081+BL1082+BL1083+BL1084+BL1085+BL1086+BL1087+BL1088</f>
        <v>1241.24</v>
      </c>
      <c r="BM1076" s="73">
        <f>BM1077+BM1078+BM1079+BM1080+BM1081+BM1082+BM1083+BM1084+BM1085+BM1086+BM1087+BM1088</f>
        <v>3746.2500000000005</v>
      </c>
      <c r="BN1076" s="138"/>
      <c r="BO1076" s="142">
        <f>BO1077+BO1078+BO1079+BO1080+BO1081+BO1082+BO1083+BO1084+BO1085+BO1086+BO1087+BO1088</f>
        <v>0</v>
      </c>
      <c r="BP1076" s="140">
        <f>BP1077+BP1078+BP1079+BP1080+BP1081+BP1082+BP1083+BP1084+BP1085+BP1086+BP1087+BP1088</f>
        <v>0</v>
      </c>
      <c r="BQ1076" s="140">
        <f>BQ1077+BQ1078+BQ1079+BQ1080+BQ1081+BQ1082+BQ1083+BQ1084+BQ1085+BQ1086+BQ1087+BQ1088</f>
        <v>0</v>
      </c>
      <c r="BR1076" s="141"/>
      <c r="BS1076" s="142">
        <f>BS1077+BS1078+BS1079+BS1080+BS1081+BS1082+BS1083+BS1084+BS1085+BS1086+BS1087+BS1088</f>
        <v>0</v>
      </c>
      <c r="BT1076" s="140">
        <f>BT1077+BT1078+BT1079+BT1080+BT1081+BT1082+BT1083+BT1084+BT1085+BT1086+BT1087+BT1088</f>
        <v>0</v>
      </c>
      <c r="BU1076" s="140">
        <f>BU1077+BU1078+BU1079+BU1080+BU1081+BU1082+BU1083+BU1084+BU1085+BU1086+BU1087+BU1088</f>
        <v>0</v>
      </c>
      <c r="BV1076" s="143"/>
      <c r="BY1076" s="125">
        <f t="shared" si="1473"/>
        <v>44685.5</v>
      </c>
      <c r="BZ1076" s="126">
        <f t="shared" si="1474"/>
        <v>54804.219999999994</v>
      </c>
      <c r="CA1076" s="126">
        <f t="shared" si="1475"/>
        <v>53382.42</v>
      </c>
      <c r="CB1076" s="127">
        <f t="shared" si="1477"/>
        <v>45994.159999999996</v>
      </c>
    </row>
    <row r="1077" spans="1:81" ht="14.25" hidden="1" customHeight="1" outlineLevel="4" x14ac:dyDescent="0.25">
      <c r="C1077" s="10" t="s">
        <v>83</v>
      </c>
      <c r="D1077" s="10" t="s">
        <v>84</v>
      </c>
      <c r="E1077" s="10" t="s">
        <v>73</v>
      </c>
      <c r="F1077" s="10" t="s">
        <v>74</v>
      </c>
      <c r="G1077" s="10" t="s">
        <v>454</v>
      </c>
      <c r="H1077" s="10" t="s">
        <v>73</v>
      </c>
      <c r="I1077" s="10" t="s">
        <v>73</v>
      </c>
      <c r="J1077" s="10" t="s">
        <v>73</v>
      </c>
      <c r="K1077" s="12" t="s">
        <v>73</v>
      </c>
      <c r="L1077" s="10" t="s">
        <v>452</v>
      </c>
      <c r="M1077" s="5" t="str">
        <f t="array" ref="M1077">Y818</f>
        <v>1ХВС::1.1</v>
      </c>
      <c r="Y1077" s="10">
        <v>1</v>
      </c>
      <c r="AB1077" s="29" t="str">
        <f>AB$336&amp;"."&amp;Y1077</f>
        <v>3.1.3.1.1</v>
      </c>
      <c r="AC1077" s="294" t="s">
        <v>455</v>
      </c>
      <c r="AD1077" s="51" t="s">
        <v>111</v>
      </c>
      <c r="AE1077" s="72">
        <f t="shared" ref="AE1077:AK1089" si="1482">AE672+AE337</f>
        <v>8019.85</v>
      </c>
      <c r="AF1077" s="73">
        <f t="shared" si="1482"/>
        <v>8747.52</v>
      </c>
      <c r="AG1077" s="73">
        <f t="shared" si="1482"/>
        <v>8774.130000000001</v>
      </c>
      <c r="AH1077" s="138">
        <f t="shared" si="1482"/>
        <v>8774.14</v>
      </c>
      <c r="AI1077" s="72">
        <f t="shared" si="1482"/>
        <v>0</v>
      </c>
      <c r="AJ1077" s="73">
        <f t="shared" si="1482"/>
        <v>0</v>
      </c>
      <c r="AK1077" s="73">
        <f t="shared" si="1482"/>
        <v>0</v>
      </c>
      <c r="AL1077" s="138">
        <f t="shared" ref="AL1077" si="1483">AL672+AL337</f>
        <v>0</v>
      </c>
      <c r="AM1077" s="72">
        <f t="shared" ref="AM1077:BE1077" si="1484">AM672+AM337</f>
        <v>335.26</v>
      </c>
      <c r="AN1077" s="73">
        <f t="shared" si="1484"/>
        <v>350.43</v>
      </c>
      <c r="AO1077" s="73">
        <f t="shared" si="1484"/>
        <v>368.89</v>
      </c>
      <c r="AP1077" s="138">
        <f t="shared" si="1484"/>
        <v>368.89</v>
      </c>
      <c r="AQ1077" s="72">
        <f t="shared" si="1484"/>
        <v>162.19</v>
      </c>
      <c r="AR1077" s="73">
        <f t="shared" si="1484"/>
        <v>0</v>
      </c>
      <c r="AS1077" s="73">
        <f t="shared" si="1484"/>
        <v>178.45999999999998</v>
      </c>
      <c r="AT1077" s="138">
        <f t="shared" si="1484"/>
        <v>0</v>
      </c>
      <c r="AU1077" s="72">
        <f t="shared" si="1484"/>
        <v>0</v>
      </c>
      <c r="AV1077" s="73">
        <f t="shared" si="1484"/>
        <v>0</v>
      </c>
      <c r="AW1077" s="73">
        <f t="shared" si="1484"/>
        <v>0</v>
      </c>
      <c r="AX1077" s="138">
        <f t="shared" si="1484"/>
        <v>0</v>
      </c>
      <c r="AY1077" s="72">
        <f t="shared" si="1484"/>
        <v>0</v>
      </c>
      <c r="AZ1077" s="73">
        <f t="shared" si="1484"/>
        <v>0</v>
      </c>
      <c r="BA1077" s="73">
        <f t="shared" si="1484"/>
        <v>0</v>
      </c>
      <c r="BB1077" s="138">
        <f t="shared" si="1484"/>
        <v>0</v>
      </c>
      <c r="BC1077" s="72">
        <f t="shared" si="1484"/>
        <v>0</v>
      </c>
      <c r="BD1077" s="73">
        <f t="shared" si="1484"/>
        <v>0</v>
      </c>
      <c r="BE1077" s="73">
        <f t="shared" si="1484"/>
        <v>0</v>
      </c>
      <c r="BF1077" s="138"/>
      <c r="BG1077" s="72">
        <f t="shared" ref="BG1077:BM1077" si="1485">BG672+BG337</f>
        <v>905.58999999999992</v>
      </c>
      <c r="BH1077" s="73">
        <f t="shared" si="1485"/>
        <v>853.29</v>
      </c>
      <c r="BI1077" s="73">
        <f t="shared" si="1485"/>
        <v>3095.92</v>
      </c>
      <c r="BJ1077" s="138">
        <f t="shared" si="1485"/>
        <v>1085.6300000000001</v>
      </c>
      <c r="BK1077" s="72">
        <f t="shared" si="1485"/>
        <v>2608.85</v>
      </c>
      <c r="BL1077" s="73">
        <f t="shared" si="1485"/>
        <v>1241.24</v>
      </c>
      <c r="BM1077" s="73">
        <f t="shared" si="1485"/>
        <v>3160.9300000000003</v>
      </c>
      <c r="BN1077" s="138">
        <f>BN337+BN672</f>
        <v>1599.4559999999999</v>
      </c>
      <c r="BO1077" s="72">
        <f t="shared" ref="BO1077:BQ1089" si="1486">BO672+BO337</f>
        <v>0</v>
      </c>
      <c r="BP1077" s="73">
        <f t="shared" si="1486"/>
        <v>0</v>
      </c>
      <c r="BQ1077" s="73">
        <f t="shared" si="1486"/>
        <v>0</v>
      </c>
      <c r="BR1077" s="138"/>
      <c r="BS1077" s="72">
        <f t="shared" ref="BS1077:BU1089" si="1487">BS672+BS337</f>
        <v>0</v>
      </c>
      <c r="BT1077" s="73">
        <f t="shared" si="1487"/>
        <v>0</v>
      </c>
      <c r="BU1077" s="73">
        <f t="shared" si="1487"/>
        <v>0</v>
      </c>
      <c r="BV1077" s="74"/>
      <c r="BY1077" s="125">
        <f t="shared" si="1473"/>
        <v>12031.740000000002</v>
      </c>
      <c r="BZ1077" s="126">
        <f t="shared" si="1474"/>
        <v>11192.480000000001</v>
      </c>
      <c r="CA1077" s="126">
        <f t="shared" si="1475"/>
        <v>15578.33</v>
      </c>
      <c r="CB1077" s="127">
        <f t="shared" si="1477"/>
        <v>11828.116</v>
      </c>
    </row>
    <row r="1078" spans="1:81" ht="14.25" hidden="1" customHeight="1" outlineLevel="4" x14ac:dyDescent="0.25">
      <c r="C1078" s="10" t="s">
        <v>83</v>
      </c>
      <c r="D1078" s="10" t="s">
        <v>84</v>
      </c>
      <c r="E1078" s="10" t="s">
        <v>73</v>
      </c>
      <c r="F1078" s="10" t="s">
        <v>74</v>
      </c>
      <c r="G1078" s="10" t="s">
        <v>456</v>
      </c>
      <c r="H1078" s="10" t="s">
        <v>73</v>
      </c>
      <c r="I1078" s="10" t="s">
        <v>73</v>
      </c>
      <c r="J1078" s="10" t="s">
        <v>73</v>
      </c>
      <c r="K1078" s="12" t="s">
        <v>73</v>
      </c>
      <c r="L1078" s="10" t="s">
        <v>452</v>
      </c>
      <c r="M1078" s="5" t="str">
        <f t="array" ref="M1078">Y818</f>
        <v>1ХВС::1.1</v>
      </c>
      <c r="Y1078" s="10">
        <f>COUNT($Y1076:Y1077)+1</f>
        <v>2</v>
      </c>
      <c r="AB1078" s="29" t="str">
        <f>AB$336&amp;"."&amp;Y1078</f>
        <v>3.1.3.1.2</v>
      </c>
      <c r="AC1078" s="294" t="s">
        <v>456</v>
      </c>
      <c r="AD1078" s="51" t="s">
        <v>111</v>
      </c>
      <c r="AE1078" s="72">
        <f t="shared" si="1482"/>
        <v>0</v>
      </c>
      <c r="AF1078" s="73">
        <f t="shared" si="1482"/>
        <v>5393.65</v>
      </c>
      <c r="AG1078" s="73">
        <f t="shared" si="1482"/>
        <v>0</v>
      </c>
      <c r="AH1078" s="138">
        <f t="shared" si="1482"/>
        <v>0</v>
      </c>
      <c r="AI1078" s="72">
        <f t="shared" si="1482"/>
        <v>0</v>
      </c>
      <c r="AJ1078" s="73">
        <f t="shared" si="1482"/>
        <v>0</v>
      </c>
      <c r="AK1078" s="73">
        <f t="shared" si="1482"/>
        <v>0</v>
      </c>
      <c r="AL1078" s="138">
        <f t="shared" ref="AL1078" si="1488">AL673+AL338</f>
        <v>0</v>
      </c>
      <c r="AM1078" s="72">
        <f t="shared" ref="AM1078:BE1078" si="1489">AM673+AM338</f>
        <v>0</v>
      </c>
      <c r="AN1078" s="73">
        <f t="shared" si="1489"/>
        <v>0</v>
      </c>
      <c r="AO1078" s="73">
        <f t="shared" si="1489"/>
        <v>0</v>
      </c>
      <c r="AP1078" s="138">
        <f t="shared" si="1489"/>
        <v>0</v>
      </c>
      <c r="AQ1078" s="72">
        <f t="shared" si="1489"/>
        <v>0</v>
      </c>
      <c r="AR1078" s="73">
        <f t="shared" si="1489"/>
        <v>0</v>
      </c>
      <c r="AS1078" s="73">
        <f t="shared" si="1489"/>
        <v>0</v>
      </c>
      <c r="AT1078" s="138">
        <f t="shared" si="1489"/>
        <v>0</v>
      </c>
      <c r="AU1078" s="72">
        <f t="shared" si="1489"/>
        <v>0</v>
      </c>
      <c r="AV1078" s="73">
        <f t="shared" si="1489"/>
        <v>0</v>
      </c>
      <c r="AW1078" s="73">
        <f t="shared" si="1489"/>
        <v>0</v>
      </c>
      <c r="AX1078" s="138">
        <f t="shared" si="1489"/>
        <v>0</v>
      </c>
      <c r="AY1078" s="72">
        <f t="shared" si="1489"/>
        <v>0</v>
      </c>
      <c r="AZ1078" s="73">
        <f t="shared" si="1489"/>
        <v>0</v>
      </c>
      <c r="BA1078" s="73">
        <f t="shared" si="1489"/>
        <v>0</v>
      </c>
      <c r="BB1078" s="138">
        <f t="shared" si="1489"/>
        <v>0</v>
      </c>
      <c r="BC1078" s="72">
        <f t="shared" si="1489"/>
        <v>0</v>
      </c>
      <c r="BD1078" s="73">
        <f t="shared" si="1489"/>
        <v>0</v>
      </c>
      <c r="BE1078" s="73">
        <f t="shared" si="1489"/>
        <v>0</v>
      </c>
      <c r="BF1078" s="138"/>
      <c r="BG1078" s="72">
        <f t="shared" ref="BG1078:BI1089" si="1490">BG673+BG338</f>
        <v>0</v>
      </c>
      <c r="BH1078" s="73">
        <f t="shared" si="1490"/>
        <v>0</v>
      </c>
      <c r="BI1078" s="73">
        <f t="shared" si="1490"/>
        <v>0</v>
      </c>
      <c r="BJ1078" s="138"/>
      <c r="BK1078" s="72">
        <f t="shared" ref="BK1078:BM1089" si="1491">BK673+BK338</f>
        <v>0</v>
      </c>
      <c r="BL1078" s="73">
        <f t="shared" si="1491"/>
        <v>0</v>
      </c>
      <c r="BM1078" s="73">
        <f t="shared" si="1491"/>
        <v>0</v>
      </c>
      <c r="BN1078" s="43"/>
      <c r="BO1078" s="72">
        <f t="shared" si="1486"/>
        <v>0</v>
      </c>
      <c r="BP1078" s="73">
        <f t="shared" si="1486"/>
        <v>0</v>
      </c>
      <c r="BQ1078" s="73">
        <f t="shared" si="1486"/>
        <v>0</v>
      </c>
      <c r="BR1078" s="138"/>
      <c r="BS1078" s="72">
        <f t="shared" si="1487"/>
        <v>0</v>
      </c>
      <c r="BT1078" s="73">
        <f t="shared" si="1487"/>
        <v>0</v>
      </c>
      <c r="BU1078" s="73">
        <f t="shared" si="1487"/>
        <v>0</v>
      </c>
      <c r="BV1078" s="74"/>
      <c r="BY1078" s="125">
        <f t="shared" si="1473"/>
        <v>0</v>
      </c>
      <c r="BZ1078" s="126">
        <f t="shared" si="1474"/>
        <v>5393.65</v>
      </c>
      <c r="CA1078" s="126">
        <f t="shared" si="1475"/>
        <v>0</v>
      </c>
      <c r="CB1078" s="127">
        <f>AH1078+AL1078+AP1078+AT1078+AX1078+BB1078+BF1078+BJ1078+BN1079+BR1078+BV1078</f>
        <v>561.97</v>
      </c>
    </row>
    <row r="1079" spans="1:81" ht="14.25" hidden="1" customHeight="1" outlineLevel="4" x14ac:dyDescent="0.25">
      <c r="C1079" s="10" t="s">
        <v>83</v>
      </c>
      <c r="D1079" s="10" t="s">
        <v>84</v>
      </c>
      <c r="E1079" s="10" t="s">
        <v>73</v>
      </c>
      <c r="F1079" s="10" t="s">
        <v>74</v>
      </c>
      <c r="G1079" s="10" t="s">
        <v>457</v>
      </c>
      <c r="H1079" s="10" t="s">
        <v>73</v>
      </c>
      <c r="I1079" s="10" t="s">
        <v>73</v>
      </c>
      <c r="J1079" s="10" t="s">
        <v>73</v>
      </c>
      <c r="K1079" s="12" t="s">
        <v>73</v>
      </c>
      <c r="L1079" s="10" t="s">
        <v>452</v>
      </c>
      <c r="M1079" s="5" t="str">
        <f t="array" ref="M1079">Y818</f>
        <v>1ХВС::1.1</v>
      </c>
      <c r="Y1079" s="10">
        <f>COUNT($Y1076:Y1078)+1</f>
        <v>3</v>
      </c>
      <c r="AB1079" s="29" t="str">
        <f>AB$336&amp;"."&amp;Y1079</f>
        <v>3.1.3.1.3</v>
      </c>
      <c r="AC1079" s="294" t="s">
        <v>457</v>
      </c>
      <c r="AD1079" s="51" t="s">
        <v>111</v>
      </c>
      <c r="AE1079" s="72">
        <f t="shared" si="1482"/>
        <v>5843.7800000000007</v>
      </c>
      <c r="AF1079" s="73">
        <f t="shared" si="1482"/>
        <v>775.98</v>
      </c>
      <c r="AG1079" s="73">
        <f t="shared" si="1482"/>
        <v>9873.68</v>
      </c>
      <c r="AH1079" s="138">
        <f t="shared" si="1482"/>
        <v>9731.52</v>
      </c>
      <c r="AI1079" s="72">
        <f t="shared" si="1482"/>
        <v>0</v>
      </c>
      <c r="AJ1079" s="73">
        <f t="shared" si="1482"/>
        <v>0</v>
      </c>
      <c r="AK1079" s="73">
        <f t="shared" si="1482"/>
        <v>0</v>
      </c>
      <c r="AL1079" s="138">
        <f t="shared" ref="AL1079" si="1492">AL674+AL339</f>
        <v>0</v>
      </c>
      <c r="AM1079" s="72">
        <f t="shared" ref="AM1079:BE1079" si="1493">AM674+AM339</f>
        <v>0</v>
      </c>
      <c r="AN1079" s="73">
        <f t="shared" si="1493"/>
        <v>0</v>
      </c>
      <c r="AO1079" s="73">
        <f t="shared" si="1493"/>
        <v>0</v>
      </c>
      <c r="AP1079" s="138">
        <f t="shared" si="1493"/>
        <v>0</v>
      </c>
      <c r="AQ1079" s="72">
        <f t="shared" si="1493"/>
        <v>0</v>
      </c>
      <c r="AR1079" s="73">
        <f t="shared" si="1493"/>
        <v>0</v>
      </c>
      <c r="AS1079" s="73">
        <f t="shared" si="1493"/>
        <v>0</v>
      </c>
      <c r="AT1079" s="138">
        <f t="shared" si="1493"/>
        <v>0</v>
      </c>
      <c r="AU1079" s="72">
        <f t="shared" si="1493"/>
        <v>0</v>
      </c>
      <c r="AV1079" s="73">
        <f t="shared" si="1493"/>
        <v>0</v>
      </c>
      <c r="AW1079" s="73">
        <f t="shared" si="1493"/>
        <v>0</v>
      </c>
      <c r="AX1079" s="138">
        <f t="shared" si="1493"/>
        <v>0</v>
      </c>
      <c r="AY1079" s="72">
        <f t="shared" si="1493"/>
        <v>0</v>
      </c>
      <c r="AZ1079" s="73">
        <f t="shared" si="1493"/>
        <v>0</v>
      </c>
      <c r="BA1079" s="73">
        <f t="shared" si="1493"/>
        <v>0</v>
      </c>
      <c r="BB1079" s="138">
        <f t="shared" si="1493"/>
        <v>0</v>
      </c>
      <c r="BC1079" s="72">
        <f t="shared" si="1493"/>
        <v>0</v>
      </c>
      <c r="BD1079" s="73">
        <f t="shared" si="1493"/>
        <v>0</v>
      </c>
      <c r="BE1079" s="73">
        <f t="shared" si="1493"/>
        <v>0</v>
      </c>
      <c r="BF1079" s="138"/>
      <c r="BG1079" s="72">
        <f t="shared" si="1490"/>
        <v>16.614999999999998</v>
      </c>
      <c r="BH1079" s="73">
        <f t="shared" si="1490"/>
        <v>0</v>
      </c>
      <c r="BI1079" s="73">
        <f t="shared" si="1490"/>
        <v>26.82</v>
      </c>
      <c r="BJ1079" s="138">
        <f>BJ339</f>
        <v>26.82</v>
      </c>
      <c r="BK1079" s="72">
        <f t="shared" si="1491"/>
        <v>358.29</v>
      </c>
      <c r="BL1079" s="73">
        <f t="shared" si="1491"/>
        <v>0</v>
      </c>
      <c r="BM1079" s="73">
        <f t="shared" si="1491"/>
        <v>585.32000000000005</v>
      </c>
      <c r="BN1079" s="138">
        <f>BN338+BN673</f>
        <v>561.97</v>
      </c>
      <c r="BO1079" s="72">
        <f t="shared" si="1486"/>
        <v>0</v>
      </c>
      <c r="BP1079" s="73">
        <f t="shared" si="1486"/>
        <v>0</v>
      </c>
      <c r="BQ1079" s="73">
        <f t="shared" si="1486"/>
        <v>0</v>
      </c>
      <c r="BR1079" s="138"/>
      <c r="BS1079" s="72">
        <f t="shared" si="1487"/>
        <v>0</v>
      </c>
      <c r="BT1079" s="73">
        <f t="shared" si="1487"/>
        <v>0</v>
      </c>
      <c r="BU1079" s="73">
        <f t="shared" si="1487"/>
        <v>0</v>
      </c>
      <c r="BV1079" s="74"/>
      <c r="BY1079" s="125">
        <f t="shared" si="1473"/>
        <v>6218.6850000000004</v>
      </c>
      <c r="BZ1079" s="126">
        <f t="shared" si="1474"/>
        <v>775.98</v>
      </c>
      <c r="CA1079" s="126">
        <f t="shared" si="1475"/>
        <v>10485.82</v>
      </c>
      <c r="CB1079" s="127" t="e">
        <f>AH1079+AL1079+AP1079+AT1079+AX1079+BB1079+BF1079+BJ1079+#REF!+BR1079+BV1079</f>
        <v>#REF!</v>
      </c>
    </row>
    <row r="1080" spans="1:81" ht="14.25" hidden="1" customHeight="1" outlineLevel="4" x14ac:dyDescent="0.25">
      <c r="A1080" s="76" t="b">
        <f>OR($AD$52="да",$U818="Водоснабжение")</f>
        <v>1</v>
      </c>
      <c r="B1080" s="5" t="b">
        <f t="array" ref="B1080">A1080</f>
        <v>1</v>
      </c>
      <c r="C1080" s="10" t="s">
        <v>83</v>
      </c>
      <c r="D1080" s="10" t="s">
        <v>84</v>
      </c>
      <c r="E1080" s="10" t="s">
        <v>73</v>
      </c>
      <c r="F1080" s="10" t="s">
        <v>74</v>
      </c>
      <c r="G1080" s="10" t="s">
        <v>458</v>
      </c>
      <c r="H1080" s="10" t="s">
        <v>73</v>
      </c>
      <c r="I1080" s="10" t="s">
        <v>73</v>
      </c>
      <c r="J1080" s="10" t="s">
        <v>73</v>
      </c>
      <c r="K1080" s="12" t="s">
        <v>73</v>
      </c>
      <c r="L1080" s="10" t="s">
        <v>452</v>
      </c>
      <c r="M1080" s="5" t="str">
        <f t="array" ref="M1080">Y818</f>
        <v>1ХВС::1.1</v>
      </c>
      <c r="Y1080" s="10">
        <f>COUNT($Y1076:Y1079)+1</f>
        <v>4</v>
      </c>
      <c r="AB1080" s="29" t="str">
        <f>AB$336&amp;"."&amp;Y1080</f>
        <v>3.1.3.1.4</v>
      </c>
      <c r="AC1080" s="294" t="s">
        <v>459</v>
      </c>
      <c r="AD1080" s="51" t="s">
        <v>111</v>
      </c>
      <c r="AE1080" s="72">
        <f t="shared" si="1482"/>
        <v>0</v>
      </c>
      <c r="AF1080" s="73">
        <f t="shared" si="1482"/>
        <v>0</v>
      </c>
      <c r="AG1080" s="73">
        <f t="shared" si="1482"/>
        <v>0</v>
      </c>
      <c r="AH1080" s="138">
        <f t="shared" si="1482"/>
        <v>0</v>
      </c>
      <c r="AI1080" s="72">
        <f t="shared" si="1482"/>
        <v>0</v>
      </c>
      <c r="AJ1080" s="73">
        <f t="shared" si="1482"/>
        <v>0</v>
      </c>
      <c r="AK1080" s="73">
        <f t="shared" si="1482"/>
        <v>0</v>
      </c>
      <c r="AL1080" s="138">
        <f t="shared" ref="AL1080" si="1494">AL675+AL340</f>
        <v>0</v>
      </c>
      <c r="AM1080" s="72">
        <f t="shared" ref="AM1080:BE1080" si="1495">AM675+AM340</f>
        <v>0</v>
      </c>
      <c r="AN1080" s="73">
        <f t="shared" si="1495"/>
        <v>0</v>
      </c>
      <c r="AO1080" s="73">
        <f t="shared" si="1495"/>
        <v>0</v>
      </c>
      <c r="AP1080" s="138">
        <f t="shared" si="1495"/>
        <v>0</v>
      </c>
      <c r="AQ1080" s="72">
        <f t="shared" si="1495"/>
        <v>0</v>
      </c>
      <c r="AR1080" s="73">
        <f t="shared" si="1495"/>
        <v>0</v>
      </c>
      <c r="AS1080" s="73">
        <f t="shared" si="1495"/>
        <v>0</v>
      </c>
      <c r="AT1080" s="138">
        <f t="shared" si="1495"/>
        <v>0</v>
      </c>
      <c r="AU1080" s="72">
        <f t="shared" si="1495"/>
        <v>0</v>
      </c>
      <c r="AV1080" s="73">
        <f t="shared" si="1495"/>
        <v>0</v>
      </c>
      <c r="AW1080" s="73">
        <f t="shared" si="1495"/>
        <v>0</v>
      </c>
      <c r="AX1080" s="138">
        <f t="shared" si="1495"/>
        <v>0</v>
      </c>
      <c r="AY1080" s="72">
        <f t="shared" si="1495"/>
        <v>0</v>
      </c>
      <c r="AZ1080" s="73">
        <f t="shared" si="1495"/>
        <v>0</v>
      </c>
      <c r="BA1080" s="73">
        <f t="shared" si="1495"/>
        <v>0</v>
      </c>
      <c r="BB1080" s="138">
        <f t="shared" si="1495"/>
        <v>0</v>
      </c>
      <c r="BC1080" s="72">
        <f t="shared" si="1495"/>
        <v>0</v>
      </c>
      <c r="BD1080" s="73">
        <f t="shared" si="1495"/>
        <v>0</v>
      </c>
      <c r="BE1080" s="73">
        <f t="shared" si="1495"/>
        <v>0</v>
      </c>
      <c r="BF1080" s="138"/>
      <c r="BG1080" s="72">
        <f t="shared" si="1490"/>
        <v>0</v>
      </c>
      <c r="BH1080" s="73">
        <f t="shared" si="1490"/>
        <v>0</v>
      </c>
      <c r="BI1080" s="73">
        <f t="shared" si="1490"/>
        <v>0</v>
      </c>
      <c r="BJ1080" s="138"/>
      <c r="BK1080" s="72">
        <f t="shared" si="1491"/>
        <v>0</v>
      </c>
      <c r="BL1080" s="73">
        <f t="shared" si="1491"/>
        <v>0</v>
      </c>
      <c r="BM1080" s="73">
        <f t="shared" si="1491"/>
        <v>0</v>
      </c>
      <c r="BN1080" s="138"/>
      <c r="BO1080" s="72">
        <f t="shared" si="1486"/>
        <v>0</v>
      </c>
      <c r="BP1080" s="73">
        <f t="shared" si="1486"/>
        <v>0</v>
      </c>
      <c r="BQ1080" s="73">
        <f t="shared" si="1486"/>
        <v>0</v>
      </c>
      <c r="BR1080" s="138"/>
      <c r="BS1080" s="72">
        <f t="shared" si="1487"/>
        <v>0</v>
      </c>
      <c r="BT1080" s="73">
        <f t="shared" si="1487"/>
        <v>0</v>
      </c>
      <c r="BU1080" s="73">
        <f t="shared" si="1487"/>
        <v>0</v>
      </c>
      <c r="BV1080" s="74"/>
      <c r="BY1080" s="125">
        <f t="shared" si="1473"/>
        <v>0</v>
      </c>
      <c r="BZ1080" s="126">
        <f t="shared" si="1474"/>
        <v>0</v>
      </c>
      <c r="CA1080" s="126">
        <f t="shared" si="1475"/>
        <v>0</v>
      </c>
      <c r="CB1080" s="127">
        <f t="shared" si="1477"/>
        <v>0</v>
      </c>
    </row>
    <row r="1081" spans="1:81" ht="14.25" hidden="1" customHeight="1" outlineLevel="4" x14ac:dyDescent="0.25">
      <c r="C1081" s="10" t="s">
        <v>83</v>
      </c>
      <c r="D1081" s="10" t="s">
        <v>84</v>
      </c>
      <c r="E1081" s="10" t="s">
        <v>73</v>
      </c>
      <c r="F1081" s="10" t="s">
        <v>74</v>
      </c>
      <c r="G1081" s="10" t="s">
        <v>460</v>
      </c>
      <c r="H1081" s="10" t="s">
        <v>73</v>
      </c>
      <c r="I1081" s="10" t="s">
        <v>73</v>
      </c>
      <c r="J1081" s="10" t="s">
        <v>73</v>
      </c>
      <c r="K1081" s="12" t="s">
        <v>73</v>
      </c>
      <c r="L1081" s="10" t="s">
        <v>452</v>
      </c>
      <c r="M1081" s="5" t="str">
        <f t="array" ref="M1081">Y818</f>
        <v>1ХВС::1.1</v>
      </c>
      <c r="Y1081" s="10">
        <f>COUNT($Y1076:Y1080)+1</f>
        <v>5</v>
      </c>
      <c r="AB1081" s="29" t="str">
        <f>AB$336&amp;"."&amp;Y1081</f>
        <v>3.1.3.1.5</v>
      </c>
      <c r="AC1081" s="294" t="s">
        <v>461</v>
      </c>
      <c r="AD1081" s="51" t="s">
        <v>111</v>
      </c>
      <c r="AE1081" s="72">
        <f t="shared" si="1482"/>
        <v>24494.805</v>
      </c>
      <c r="AF1081" s="73">
        <f t="shared" si="1482"/>
        <v>28985.16</v>
      </c>
      <c r="AG1081" s="73">
        <f t="shared" si="1482"/>
        <v>25054.81</v>
      </c>
      <c r="AH1081" s="138">
        <f t="shared" si="1482"/>
        <v>25054.81</v>
      </c>
      <c r="AI1081" s="72">
        <f t="shared" si="1482"/>
        <v>0</v>
      </c>
      <c r="AJ1081" s="73">
        <f t="shared" si="1482"/>
        <v>0</v>
      </c>
      <c r="AK1081" s="73">
        <f t="shared" si="1482"/>
        <v>0</v>
      </c>
      <c r="AL1081" s="138">
        <f t="shared" ref="AL1081" si="1496">AL676+AL341</f>
        <v>0</v>
      </c>
      <c r="AM1081" s="72">
        <f t="shared" ref="AM1081:BE1081" si="1497">AM676+AM341</f>
        <v>0</v>
      </c>
      <c r="AN1081" s="73">
        <f t="shared" si="1497"/>
        <v>0</v>
      </c>
      <c r="AO1081" s="73">
        <f t="shared" si="1497"/>
        <v>0</v>
      </c>
      <c r="AP1081" s="138">
        <f t="shared" si="1497"/>
        <v>0</v>
      </c>
      <c r="AQ1081" s="72">
        <f t="shared" si="1497"/>
        <v>0</v>
      </c>
      <c r="AR1081" s="73">
        <f t="shared" si="1497"/>
        <v>1820.19</v>
      </c>
      <c r="AS1081" s="73">
        <f t="shared" si="1497"/>
        <v>0</v>
      </c>
      <c r="AT1081" s="138">
        <f t="shared" si="1497"/>
        <v>0</v>
      </c>
      <c r="AU1081" s="72">
        <f t="shared" si="1497"/>
        <v>0</v>
      </c>
      <c r="AV1081" s="73">
        <f t="shared" si="1497"/>
        <v>0</v>
      </c>
      <c r="AW1081" s="73">
        <f t="shared" si="1497"/>
        <v>0</v>
      </c>
      <c r="AX1081" s="138">
        <f t="shared" si="1497"/>
        <v>0</v>
      </c>
      <c r="AY1081" s="72">
        <f t="shared" si="1497"/>
        <v>0</v>
      </c>
      <c r="AZ1081" s="73">
        <f t="shared" si="1497"/>
        <v>0</v>
      </c>
      <c r="BA1081" s="73">
        <f t="shared" si="1497"/>
        <v>0</v>
      </c>
      <c r="BB1081" s="138">
        <f t="shared" si="1497"/>
        <v>0</v>
      </c>
      <c r="BC1081" s="72">
        <f t="shared" si="1497"/>
        <v>0</v>
      </c>
      <c r="BD1081" s="73">
        <f t="shared" si="1497"/>
        <v>0</v>
      </c>
      <c r="BE1081" s="73">
        <f t="shared" si="1497"/>
        <v>0</v>
      </c>
      <c r="BF1081" s="138"/>
      <c r="BG1081" s="72">
        <f t="shared" si="1490"/>
        <v>0</v>
      </c>
      <c r="BH1081" s="73">
        <f t="shared" si="1490"/>
        <v>5482.75</v>
      </c>
      <c r="BI1081" s="73">
        <f t="shared" si="1490"/>
        <v>0</v>
      </c>
      <c r="BJ1081" s="138"/>
      <c r="BK1081" s="72">
        <f t="shared" si="1491"/>
        <v>0</v>
      </c>
      <c r="BL1081" s="73">
        <f t="shared" si="1491"/>
        <v>0</v>
      </c>
      <c r="BM1081" s="73">
        <f t="shared" si="1491"/>
        <v>0</v>
      </c>
      <c r="BN1081" s="138"/>
      <c r="BO1081" s="72">
        <f t="shared" si="1486"/>
        <v>0</v>
      </c>
      <c r="BP1081" s="73">
        <f t="shared" si="1486"/>
        <v>0</v>
      </c>
      <c r="BQ1081" s="73">
        <f t="shared" si="1486"/>
        <v>0</v>
      </c>
      <c r="BR1081" s="138"/>
      <c r="BS1081" s="72">
        <f t="shared" si="1487"/>
        <v>0</v>
      </c>
      <c r="BT1081" s="73">
        <f t="shared" si="1487"/>
        <v>0</v>
      </c>
      <c r="BU1081" s="73">
        <f t="shared" si="1487"/>
        <v>0</v>
      </c>
      <c r="BV1081" s="74"/>
      <c r="BY1081" s="125">
        <f t="shared" si="1473"/>
        <v>24494.805</v>
      </c>
      <c r="BZ1081" s="126">
        <f t="shared" si="1474"/>
        <v>36288.1</v>
      </c>
      <c r="CA1081" s="126">
        <f t="shared" si="1475"/>
        <v>25054.81</v>
      </c>
      <c r="CB1081" s="127">
        <f t="shared" si="1477"/>
        <v>25054.81</v>
      </c>
    </row>
    <row r="1082" spans="1:81" ht="14.25" hidden="1" customHeight="1" outlineLevel="4" x14ac:dyDescent="0.25">
      <c r="A1082" s="76" t="b">
        <f>$AD$52="да"</f>
        <v>0</v>
      </c>
      <c r="B1082" s="5" t="b">
        <f t="array" ref="B1082">A1082</f>
        <v>0</v>
      </c>
      <c r="C1082" s="10" t="s">
        <v>83</v>
      </c>
      <c r="D1082" s="10" t="s">
        <v>84</v>
      </c>
      <c r="E1082" s="10" t="s">
        <v>73</v>
      </c>
      <c r="F1082" s="10" t="s">
        <v>74</v>
      </c>
      <c r="G1082" s="10" t="s">
        <v>462</v>
      </c>
      <c r="H1082" s="10" t="s">
        <v>73</v>
      </c>
      <c r="I1082" s="10" t="s">
        <v>73</v>
      </c>
      <c r="J1082" s="10" t="s">
        <v>73</v>
      </c>
      <c r="K1082" s="12" t="s">
        <v>73</v>
      </c>
      <c r="L1082" s="10" t="s">
        <v>452</v>
      </c>
      <c r="M1082" s="5" t="str">
        <f t="array" ref="M1082">Y818</f>
        <v>1ХВС::1.1</v>
      </c>
      <c r="Y1082" s="10">
        <f>COUNT($Y1076:Y1081)+1</f>
        <v>6</v>
      </c>
      <c r="Z1082" s="6"/>
      <c r="AA1082" s="6"/>
      <c r="AB1082" s="29"/>
      <c r="AC1082" s="153"/>
      <c r="AD1082" s="51"/>
      <c r="AE1082" s="72">
        <f t="shared" si="1482"/>
        <v>0</v>
      </c>
      <c r="AF1082" s="73">
        <f t="shared" si="1482"/>
        <v>0</v>
      </c>
      <c r="AG1082" s="73">
        <f t="shared" si="1482"/>
        <v>0</v>
      </c>
      <c r="AH1082" s="138">
        <f t="shared" si="1482"/>
        <v>0</v>
      </c>
      <c r="AI1082" s="72">
        <f t="shared" si="1482"/>
        <v>0</v>
      </c>
      <c r="AJ1082" s="73">
        <f t="shared" si="1482"/>
        <v>0</v>
      </c>
      <c r="AK1082" s="73">
        <f t="shared" si="1482"/>
        <v>0</v>
      </c>
      <c r="AL1082" s="138">
        <f t="shared" ref="AL1082" si="1498">AL677+AL342</f>
        <v>0</v>
      </c>
      <c r="AM1082" s="72">
        <f t="shared" ref="AM1082:BE1082" si="1499">AM677+AM342</f>
        <v>0</v>
      </c>
      <c r="AN1082" s="73">
        <f t="shared" si="1499"/>
        <v>0</v>
      </c>
      <c r="AO1082" s="73">
        <f t="shared" si="1499"/>
        <v>0</v>
      </c>
      <c r="AP1082" s="138">
        <f t="shared" si="1499"/>
        <v>0</v>
      </c>
      <c r="AQ1082" s="72">
        <f t="shared" si="1499"/>
        <v>0</v>
      </c>
      <c r="AR1082" s="73">
        <f t="shared" si="1499"/>
        <v>0</v>
      </c>
      <c r="AS1082" s="73">
        <f t="shared" si="1499"/>
        <v>0</v>
      </c>
      <c r="AT1082" s="138">
        <f t="shared" si="1499"/>
        <v>0</v>
      </c>
      <c r="AU1082" s="72">
        <f t="shared" si="1499"/>
        <v>0</v>
      </c>
      <c r="AV1082" s="73">
        <f t="shared" si="1499"/>
        <v>0</v>
      </c>
      <c r="AW1082" s="73">
        <f t="shared" si="1499"/>
        <v>0</v>
      </c>
      <c r="AX1082" s="138">
        <f t="shared" si="1499"/>
        <v>0</v>
      </c>
      <c r="AY1082" s="72">
        <f t="shared" si="1499"/>
        <v>0</v>
      </c>
      <c r="AZ1082" s="73">
        <f t="shared" si="1499"/>
        <v>0</v>
      </c>
      <c r="BA1082" s="73">
        <f t="shared" si="1499"/>
        <v>0</v>
      </c>
      <c r="BB1082" s="138">
        <f t="shared" si="1499"/>
        <v>0</v>
      </c>
      <c r="BC1082" s="72">
        <f t="shared" si="1499"/>
        <v>0</v>
      </c>
      <c r="BD1082" s="73">
        <f t="shared" si="1499"/>
        <v>0</v>
      </c>
      <c r="BE1082" s="73">
        <f t="shared" si="1499"/>
        <v>0</v>
      </c>
      <c r="BF1082" s="138"/>
      <c r="BG1082" s="72">
        <f t="shared" si="1490"/>
        <v>0</v>
      </c>
      <c r="BH1082" s="73">
        <f t="shared" si="1490"/>
        <v>0</v>
      </c>
      <c r="BI1082" s="73">
        <f t="shared" si="1490"/>
        <v>0</v>
      </c>
      <c r="BJ1082" s="138"/>
      <c r="BK1082" s="72">
        <f t="shared" si="1491"/>
        <v>0</v>
      </c>
      <c r="BL1082" s="73">
        <f t="shared" si="1491"/>
        <v>0</v>
      </c>
      <c r="BM1082" s="73">
        <f t="shared" si="1491"/>
        <v>0</v>
      </c>
      <c r="BN1082" s="138"/>
      <c r="BO1082" s="72">
        <f t="shared" si="1486"/>
        <v>0</v>
      </c>
      <c r="BP1082" s="73">
        <f t="shared" si="1486"/>
        <v>0</v>
      </c>
      <c r="BQ1082" s="73">
        <f t="shared" si="1486"/>
        <v>0</v>
      </c>
      <c r="BR1082" s="138"/>
      <c r="BS1082" s="72">
        <f t="shared" si="1487"/>
        <v>0</v>
      </c>
      <c r="BT1082" s="73">
        <f t="shared" si="1487"/>
        <v>0</v>
      </c>
      <c r="BU1082" s="73">
        <f t="shared" si="1487"/>
        <v>0</v>
      </c>
      <c r="BV1082" s="74"/>
      <c r="BY1082" s="125">
        <f t="shared" si="1473"/>
        <v>0</v>
      </c>
      <c r="BZ1082" s="126">
        <f t="shared" si="1474"/>
        <v>0</v>
      </c>
      <c r="CA1082" s="126">
        <f t="shared" si="1475"/>
        <v>0</v>
      </c>
      <c r="CB1082" s="127">
        <f t="shared" si="1477"/>
        <v>0</v>
      </c>
    </row>
    <row r="1083" spans="1:81" ht="14.25" hidden="1" customHeight="1" outlineLevel="4" x14ac:dyDescent="0.25">
      <c r="A1083" s="76" t="b">
        <f t="array" ref="A1083">A1082</f>
        <v>0</v>
      </c>
      <c r="B1083" s="5" t="b">
        <f t="array" ref="B1083">A1083</f>
        <v>0</v>
      </c>
      <c r="C1083" s="10" t="s">
        <v>83</v>
      </c>
      <c r="D1083" s="10" t="s">
        <v>84</v>
      </c>
      <c r="E1083" s="10" t="s">
        <v>73</v>
      </c>
      <c r="F1083" s="10" t="s">
        <v>74</v>
      </c>
      <c r="G1083" s="10" t="s">
        <v>463</v>
      </c>
      <c r="H1083" s="10" t="s">
        <v>73</v>
      </c>
      <c r="I1083" s="10" t="s">
        <v>73</v>
      </c>
      <c r="J1083" s="10" t="s">
        <v>73</v>
      </c>
      <c r="K1083" s="12" t="s">
        <v>73</v>
      </c>
      <c r="L1083" s="10" t="s">
        <v>452</v>
      </c>
      <c r="M1083" s="5" t="str">
        <f t="array" ref="M1083">Y818</f>
        <v>1ХВС::1.1</v>
      </c>
      <c r="Y1083" s="10">
        <f>COUNT($Y1076:Y1082)+1</f>
        <v>7</v>
      </c>
      <c r="Z1083" s="6"/>
      <c r="AA1083" s="6"/>
      <c r="AB1083" s="29"/>
      <c r="AC1083" s="153"/>
      <c r="AD1083" s="51"/>
      <c r="AE1083" s="72">
        <f t="shared" si="1482"/>
        <v>0</v>
      </c>
      <c r="AF1083" s="73">
        <f t="shared" si="1482"/>
        <v>0</v>
      </c>
      <c r="AG1083" s="73">
        <f t="shared" si="1482"/>
        <v>0</v>
      </c>
      <c r="AH1083" s="138">
        <f t="shared" si="1482"/>
        <v>0</v>
      </c>
      <c r="AI1083" s="72">
        <f t="shared" si="1482"/>
        <v>0</v>
      </c>
      <c r="AJ1083" s="73">
        <f t="shared" si="1482"/>
        <v>0</v>
      </c>
      <c r="AK1083" s="73">
        <f t="shared" si="1482"/>
        <v>0</v>
      </c>
      <c r="AL1083" s="138">
        <f t="shared" ref="AL1083" si="1500">AL678+AL343</f>
        <v>0</v>
      </c>
      <c r="AM1083" s="72">
        <f t="shared" ref="AM1083:BE1083" si="1501">AM678+AM343</f>
        <v>0</v>
      </c>
      <c r="AN1083" s="73">
        <f t="shared" si="1501"/>
        <v>0</v>
      </c>
      <c r="AO1083" s="73">
        <f t="shared" si="1501"/>
        <v>0</v>
      </c>
      <c r="AP1083" s="138">
        <f t="shared" si="1501"/>
        <v>0</v>
      </c>
      <c r="AQ1083" s="72">
        <f t="shared" si="1501"/>
        <v>0</v>
      </c>
      <c r="AR1083" s="73">
        <f t="shared" si="1501"/>
        <v>0</v>
      </c>
      <c r="AS1083" s="73">
        <f t="shared" si="1501"/>
        <v>0</v>
      </c>
      <c r="AT1083" s="138">
        <f t="shared" si="1501"/>
        <v>0</v>
      </c>
      <c r="AU1083" s="72">
        <f t="shared" si="1501"/>
        <v>0</v>
      </c>
      <c r="AV1083" s="73">
        <f t="shared" si="1501"/>
        <v>0</v>
      </c>
      <c r="AW1083" s="73">
        <f t="shared" si="1501"/>
        <v>0</v>
      </c>
      <c r="AX1083" s="138">
        <f t="shared" si="1501"/>
        <v>0</v>
      </c>
      <c r="AY1083" s="72">
        <f t="shared" si="1501"/>
        <v>0</v>
      </c>
      <c r="AZ1083" s="73">
        <f t="shared" si="1501"/>
        <v>0</v>
      </c>
      <c r="BA1083" s="73">
        <f t="shared" si="1501"/>
        <v>0</v>
      </c>
      <c r="BB1083" s="138">
        <f t="shared" si="1501"/>
        <v>0</v>
      </c>
      <c r="BC1083" s="72">
        <f t="shared" si="1501"/>
        <v>0</v>
      </c>
      <c r="BD1083" s="73">
        <f t="shared" si="1501"/>
        <v>0</v>
      </c>
      <c r="BE1083" s="73">
        <f t="shared" si="1501"/>
        <v>0</v>
      </c>
      <c r="BF1083" s="138"/>
      <c r="BG1083" s="72">
        <f t="shared" si="1490"/>
        <v>0</v>
      </c>
      <c r="BH1083" s="73">
        <f t="shared" si="1490"/>
        <v>0</v>
      </c>
      <c r="BI1083" s="73">
        <f t="shared" si="1490"/>
        <v>0</v>
      </c>
      <c r="BJ1083" s="138"/>
      <c r="BK1083" s="72">
        <f t="shared" si="1491"/>
        <v>0</v>
      </c>
      <c r="BL1083" s="73">
        <f t="shared" si="1491"/>
        <v>0</v>
      </c>
      <c r="BM1083" s="73">
        <f t="shared" si="1491"/>
        <v>0</v>
      </c>
      <c r="BN1083" s="138"/>
      <c r="BO1083" s="72">
        <f t="shared" si="1486"/>
        <v>0</v>
      </c>
      <c r="BP1083" s="73">
        <f t="shared" si="1486"/>
        <v>0</v>
      </c>
      <c r="BQ1083" s="73">
        <f t="shared" si="1486"/>
        <v>0</v>
      </c>
      <c r="BR1083" s="138"/>
      <c r="BS1083" s="72">
        <f t="shared" si="1487"/>
        <v>0</v>
      </c>
      <c r="BT1083" s="73">
        <f t="shared" si="1487"/>
        <v>0</v>
      </c>
      <c r="BU1083" s="73">
        <f t="shared" si="1487"/>
        <v>0</v>
      </c>
      <c r="BV1083" s="74"/>
      <c r="BY1083" s="125">
        <f t="shared" si="1473"/>
        <v>0</v>
      </c>
      <c r="BZ1083" s="126">
        <f t="shared" si="1474"/>
        <v>0</v>
      </c>
      <c r="CA1083" s="126">
        <f t="shared" si="1475"/>
        <v>0</v>
      </c>
      <c r="CB1083" s="127">
        <f t="shared" si="1477"/>
        <v>0</v>
      </c>
    </row>
    <row r="1084" spans="1:81" ht="14.25" hidden="1" customHeight="1" outlineLevel="4" x14ac:dyDescent="0.25">
      <c r="A1084" s="76" t="b">
        <f t="array" ref="A1084">A1083</f>
        <v>0</v>
      </c>
      <c r="B1084" s="5" t="b">
        <f t="array" ref="B1084">A1084</f>
        <v>0</v>
      </c>
      <c r="C1084" s="10" t="s">
        <v>83</v>
      </c>
      <c r="D1084" s="10" t="s">
        <v>84</v>
      </c>
      <c r="E1084" s="10" t="s">
        <v>73</v>
      </c>
      <c r="F1084" s="10" t="s">
        <v>74</v>
      </c>
      <c r="G1084" s="10" t="s">
        <v>464</v>
      </c>
      <c r="H1084" s="10" t="s">
        <v>73</v>
      </c>
      <c r="I1084" s="10" t="s">
        <v>73</v>
      </c>
      <c r="J1084" s="10" t="s">
        <v>73</v>
      </c>
      <c r="K1084" s="12" t="s">
        <v>73</v>
      </c>
      <c r="L1084" s="10" t="s">
        <v>452</v>
      </c>
      <c r="M1084" s="5" t="str">
        <f t="array" ref="M1084">Y818</f>
        <v>1ХВС::1.1</v>
      </c>
      <c r="Y1084" s="10">
        <f>COUNT($Y1076:Y1083)+1</f>
        <v>8</v>
      </c>
      <c r="Z1084" s="6"/>
      <c r="AA1084" s="6"/>
      <c r="AB1084" s="29"/>
      <c r="AC1084" s="153"/>
      <c r="AD1084" s="51"/>
      <c r="AE1084" s="72">
        <f t="shared" si="1482"/>
        <v>0</v>
      </c>
      <c r="AF1084" s="73">
        <f t="shared" si="1482"/>
        <v>0</v>
      </c>
      <c r="AG1084" s="73">
        <f t="shared" si="1482"/>
        <v>0</v>
      </c>
      <c r="AH1084" s="138">
        <f t="shared" si="1482"/>
        <v>0</v>
      </c>
      <c r="AI1084" s="72">
        <f t="shared" si="1482"/>
        <v>0</v>
      </c>
      <c r="AJ1084" s="73">
        <f t="shared" si="1482"/>
        <v>0</v>
      </c>
      <c r="AK1084" s="73">
        <f t="shared" si="1482"/>
        <v>0</v>
      </c>
      <c r="AL1084" s="138">
        <f t="shared" ref="AL1084" si="1502">AL679+AL344</f>
        <v>0</v>
      </c>
      <c r="AM1084" s="72">
        <f t="shared" ref="AM1084:BE1084" si="1503">AM679+AM344</f>
        <v>0</v>
      </c>
      <c r="AN1084" s="73">
        <f t="shared" si="1503"/>
        <v>0</v>
      </c>
      <c r="AO1084" s="73">
        <f t="shared" si="1503"/>
        <v>0</v>
      </c>
      <c r="AP1084" s="138">
        <f t="shared" si="1503"/>
        <v>0</v>
      </c>
      <c r="AQ1084" s="72">
        <f t="shared" si="1503"/>
        <v>0</v>
      </c>
      <c r="AR1084" s="73">
        <f t="shared" si="1503"/>
        <v>0</v>
      </c>
      <c r="AS1084" s="73">
        <f t="shared" si="1503"/>
        <v>0</v>
      </c>
      <c r="AT1084" s="138">
        <f t="shared" si="1503"/>
        <v>0</v>
      </c>
      <c r="AU1084" s="72">
        <f t="shared" si="1503"/>
        <v>0</v>
      </c>
      <c r="AV1084" s="73">
        <f t="shared" si="1503"/>
        <v>0</v>
      </c>
      <c r="AW1084" s="73">
        <f t="shared" si="1503"/>
        <v>0</v>
      </c>
      <c r="AX1084" s="138">
        <f t="shared" si="1503"/>
        <v>0</v>
      </c>
      <c r="AY1084" s="72">
        <f t="shared" si="1503"/>
        <v>0</v>
      </c>
      <c r="AZ1084" s="73">
        <f t="shared" si="1503"/>
        <v>0</v>
      </c>
      <c r="BA1084" s="73">
        <f t="shared" si="1503"/>
        <v>0</v>
      </c>
      <c r="BB1084" s="138">
        <f t="shared" si="1503"/>
        <v>0</v>
      </c>
      <c r="BC1084" s="72">
        <f t="shared" si="1503"/>
        <v>0</v>
      </c>
      <c r="BD1084" s="73">
        <f t="shared" si="1503"/>
        <v>0</v>
      </c>
      <c r="BE1084" s="73">
        <f t="shared" si="1503"/>
        <v>0</v>
      </c>
      <c r="BF1084" s="138"/>
      <c r="BG1084" s="72">
        <f t="shared" si="1490"/>
        <v>0</v>
      </c>
      <c r="BH1084" s="73">
        <f t="shared" si="1490"/>
        <v>0</v>
      </c>
      <c r="BI1084" s="73">
        <f t="shared" si="1490"/>
        <v>0</v>
      </c>
      <c r="BJ1084" s="138"/>
      <c r="BK1084" s="72">
        <f t="shared" si="1491"/>
        <v>0</v>
      </c>
      <c r="BL1084" s="73">
        <f t="shared" si="1491"/>
        <v>0</v>
      </c>
      <c r="BM1084" s="73">
        <f t="shared" si="1491"/>
        <v>0</v>
      </c>
      <c r="BN1084" s="138"/>
      <c r="BO1084" s="72">
        <f t="shared" si="1486"/>
        <v>0</v>
      </c>
      <c r="BP1084" s="73">
        <f t="shared" si="1486"/>
        <v>0</v>
      </c>
      <c r="BQ1084" s="73">
        <f t="shared" si="1486"/>
        <v>0</v>
      </c>
      <c r="BR1084" s="138"/>
      <c r="BS1084" s="72">
        <f t="shared" si="1487"/>
        <v>0</v>
      </c>
      <c r="BT1084" s="73">
        <f t="shared" si="1487"/>
        <v>0</v>
      </c>
      <c r="BU1084" s="73">
        <f t="shared" si="1487"/>
        <v>0</v>
      </c>
      <c r="BV1084" s="74"/>
      <c r="BY1084" s="125">
        <f t="shared" si="1473"/>
        <v>0</v>
      </c>
      <c r="BZ1084" s="126">
        <f t="shared" si="1474"/>
        <v>0</v>
      </c>
      <c r="CA1084" s="126">
        <f t="shared" si="1475"/>
        <v>0</v>
      </c>
      <c r="CB1084" s="127">
        <f t="shared" si="1477"/>
        <v>0</v>
      </c>
    </row>
    <row r="1085" spans="1:81" ht="14.25" hidden="1" customHeight="1" outlineLevel="4" x14ac:dyDescent="0.25">
      <c r="A1085" s="76" t="b">
        <f t="array" ref="A1085">A1084</f>
        <v>0</v>
      </c>
      <c r="B1085" s="5" t="b">
        <f t="array" ref="B1085">A1085</f>
        <v>0</v>
      </c>
      <c r="C1085" s="10" t="s">
        <v>83</v>
      </c>
      <c r="D1085" s="10" t="s">
        <v>84</v>
      </c>
      <c r="E1085" s="10" t="s">
        <v>73</v>
      </c>
      <c r="F1085" s="10" t="s">
        <v>74</v>
      </c>
      <c r="G1085" s="10" t="s">
        <v>465</v>
      </c>
      <c r="H1085" s="10" t="s">
        <v>73</v>
      </c>
      <c r="I1085" s="10" t="s">
        <v>73</v>
      </c>
      <c r="J1085" s="10" t="s">
        <v>73</v>
      </c>
      <c r="K1085" s="12" t="s">
        <v>73</v>
      </c>
      <c r="L1085" s="10" t="s">
        <v>452</v>
      </c>
      <c r="M1085" s="5" t="str">
        <f t="array" ref="M1085">Y818</f>
        <v>1ХВС::1.1</v>
      </c>
      <c r="Y1085" s="10">
        <f>COUNT($Y1076:Y1084)+1</f>
        <v>9</v>
      </c>
      <c r="Z1085" s="6"/>
      <c r="AA1085" s="6"/>
      <c r="AB1085" s="29"/>
      <c r="AC1085" s="153"/>
      <c r="AD1085" s="51"/>
      <c r="AE1085" s="72">
        <f t="shared" si="1482"/>
        <v>0</v>
      </c>
      <c r="AF1085" s="73">
        <f t="shared" si="1482"/>
        <v>0</v>
      </c>
      <c r="AG1085" s="73">
        <f t="shared" si="1482"/>
        <v>0</v>
      </c>
      <c r="AH1085" s="138">
        <f t="shared" si="1482"/>
        <v>0</v>
      </c>
      <c r="AI1085" s="72">
        <f t="shared" si="1482"/>
        <v>0</v>
      </c>
      <c r="AJ1085" s="73">
        <f t="shared" si="1482"/>
        <v>0</v>
      </c>
      <c r="AK1085" s="73">
        <f t="shared" si="1482"/>
        <v>0</v>
      </c>
      <c r="AL1085" s="138">
        <f t="shared" ref="AL1085" si="1504">AL680+AL345</f>
        <v>0</v>
      </c>
      <c r="AM1085" s="72">
        <f t="shared" ref="AM1085:BE1085" si="1505">AM680+AM345</f>
        <v>0</v>
      </c>
      <c r="AN1085" s="73">
        <f t="shared" si="1505"/>
        <v>0</v>
      </c>
      <c r="AO1085" s="73">
        <f t="shared" si="1505"/>
        <v>0</v>
      </c>
      <c r="AP1085" s="138">
        <f t="shared" si="1505"/>
        <v>0</v>
      </c>
      <c r="AQ1085" s="72">
        <f t="shared" si="1505"/>
        <v>0</v>
      </c>
      <c r="AR1085" s="73">
        <f t="shared" si="1505"/>
        <v>0</v>
      </c>
      <c r="AS1085" s="73">
        <f t="shared" si="1505"/>
        <v>0</v>
      </c>
      <c r="AT1085" s="138">
        <f t="shared" si="1505"/>
        <v>0</v>
      </c>
      <c r="AU1085" s="72">
        <f t="shared" si="1505"/>
        <v>0</v>
      </c>
      <c r="AV1085" s="73">
        <f t="shared" si="1505"/>
        <v>0</v>
      </c>
      <c r="AW1085" s="73">
        <f t="shared" si="1505"/>
        <v>0</v>
      </c>
      <c r="AX1085" s="138">
        <f t="shared" si="1505"/>
        <v>0</v>
      </c>
      <c r="AY1085" s="72">
        <f t="shared" si="1505"/>
        <v>0</v>
      </c>
      <c r="AZ1085" s="73">
        <f t="shared" si="1505"/>
        <v>0</v>
      </c>
      <c r="BA1085" s="73">
        <f t="shared" si="1505"/>
        <v>0</v>
      </c>
      <c r="BB1085" s="138">
        <f t="shared" si="1505"/>
        <v>0</v>
      </c>
      <c r="BC1085" s="72">
        <f t="shared" si="1505"/>
        <v>0</v>
      </c>
      <c r="BD1085" s="73">
        <f t="shared" si="1505"/>
        <v>0</v>
      </c>
      <c r="BE1085" s="73">
        <f t="shared" si="1505"/>
        <v>0</v>
      </c>
      <c r="BF1085" s="138"/>
      <c r="BG1085" s="72">
        <f t="shared" si="1490"/>
        <v>0</v>
      </c>
      <c r="BH1085" s="73">
        <f t="shared" si="1490"/>
        <v>0</v>
      </c>
      <c r="BI1085" s="73">
        <f t="shared" si="1490"/>
        <v>0</v>
      </c>
      <c r="BJ1085" s="138"/>
      <c r="BK1085" s="72">
        <f t="shared" si="1491"/>
        <v>0</v>
      </c>
      <c r="BL1085" s="73">
        <f t="shared" si="1491"/>
        <v>0</v>
      </c>
      <c r="BM1085" s="73">
        <f t="shared" si="1491"/>
        <v>0</v>
      </c>
      <c r="BN1085" s="138"/>
      <c r="BO1085" s="72">
        <f t="shared" si="1486"/>
        <v>0</v>
      </c>
      <c r="BP1085" s="73">
        <f t="shared" si="1486"/>
        <v>0</v>
      </c>
      <c r="BQ1085" s="73">
        <f t="shared" si="1486"/>
        <v>0</v>
      </c>
      <c r="BR1085" s="138"/>
      <c r="BS1085" s="72">
        <f t="shared" si="1487"/>
        <v>0</v>
      </c>
      <c r="BT1085" s="73">
        <f t="shared" si="1487"/>
        <v>0</v>
      </c>
      <c r="BU1085" s="73">
        <f t="shared" si="1487"/>
        <v>0</v>
      </c>
      <c r="BV1085" s="74"/>
      <c r="BY1085" s="125">
        <f t="shared" si="1473"/>
        <v>0</v>
      </c>
      <c r="BZ1085" s="126">
        <f t="shared" si="1474"/>
        <v>0</v>
      </c>
      <c r="CA1085" s="126">
        <f t="shared" si="1475"/>
        <v>0</v>
      </c>
      <c r="CB1085" s="127">
        <f t="shared" si="1477"/>
        <v>0</v>
      </c>
    </row>
    <row r="1086" spans="1:81" ht="14.25" hidden="1" customHeight="1" outlineLevel="4" x14ac:dyDescent="0.25">
      <c r="A1086" s="76" t="b">
        <f t="array" ref="A1086">A1085</f>
        <v>0</v>
      </c>
      <c r="B1086" s="5" t="b">
        <f t="array" ref="B1086">A1086</f>
        <v>0</v>
      </c>
      <c r="C1086" s="10" t="s">
        <v>83</v>
      </c>
      <c r="D1086" s="10" t="s">
        <v>84</v>
      </c>
      <c r="E1086" s="10" t="s">
        <v>73</v>
      </c>
      <c r="F1086" s="10" t="s">
        <v>74</v>
      </c>
      <c r="G1086" s="10" t="s">
        <v>466</v>
      </c>
      <c r="H1086" s="10" t="s">
        <v>73</v>
      </c>
      <c r="I1086" s="10" t="s">
        <v>73</v>
      </c>
      <c r="J1086" s="10" t="s">
        <v>73</v>
      </c>
      <c r="K1086" s="12" t="s">
        <v>73</v>
      </c>
      <c r="L1086" s="10" t="s">
        <v>452</v>
      </c>
      <c r="M1086" s="5" t="str">
        <f t="array" ref="M1086">Y818</f>
        <v>1ХВС::1.1</v>
      </c>
      <c r="Y1086" s="10">
        <f>COUNT($Y1076:Y1085)+1</f>
        <v>10</v>
      </c>
      <c r="Z1086" s="6"/>
      <c r="AA1086" s="6"/>
      <c r="AB1086" s="29"/>
      <c r="AC1086" s="153"/>
      <c r="AD1086" s="51"/>
      <c r="AE1086" s="72">
        <f t="shared" si="1482"/>
        <v>0</v>
      </c>
      <c r="AF1086" s="73">
        <f t="shared" si="1482"/>
        <v>0</v>
      </c>
      <c r="AG1086" s="73">
        <f t="shared" si="1482"/>
        <v>0</v>
      </c>
      <c r="AH1086" s="138">
        <f t="shared" si="1482"/>
        <v>0</v>
      </c>
      <c r="AI1086" s="72">
        <f t="shared" si="1482"/>
        <v>0</v>
      </c>
      <c r="AJ1086" s="73">
        <f t="shared" si="1482"/>
        <v>0</v>
      </c>
      <c r="AK1086" s="73">
        <f t="shared" si="1482"/>
        <v>0</v>
      </c>
      <c r="AL1086" s="138">
        <f t="shared" ref="AL1086" si="1506">AL681+AL346</f>
        <v>0</v>
      </c>
      <c r="AM1086" s="72">
        <f t="shared" ref="AM1086:BE1086" si="1507">AM681+AM346</f>
        <v>0</v>
      </c>
      <c r="AN1086" s="73">
        <f t="shared" si="1507"/>
        <v>0</v>
      </c>
      <c r="AO1086" s="73">
        <f t="shared" si="1507"/>
        <v>0</v>
      </c>
      <c r="AP1086" s="138">
        <f t="shared" si="1507"/>
        <v>0</v>
      </c>
      <c r="AQ1086" s="72">
        <f t="shared" si="1507"/>
        <v>0</v>
      </c>
      <c r="AR1086" s="73">
        <f t="shared" si="1507"/>
        <v>0</v>
      </c>
      <c r="AS1086" s="73">
        <f t="shared" si="1507"/>
        <v>0</v>
      </c>
      <c r="AT1086" s="138">
        <f t="shared" si="1507"/>
        <v>0</v>
      </c>
      <c r="AU1086" s="72">
        <f t="shared" si="1507"/>
        <v>0</v>
      </c>
      <c r="AV1086" s="73">
        <f t="shared" si="1507"/>
        <v>0</v>
      </c>
      <c r="AW1086" s="73">
        <f t="shared" si="1507"/>
        <v>0</v>
      </c>
      <c r="AX1086" s="138">
        <f t="shared" si="1507"/>
        <v>0</v>
      </c>
      <c r="AY1086" s="72">
        <f t="shared" si="1507"/>
        <v>0</v>
      </c>
      <c r="AZ1086" s="73">
        <f t="shared" si="1507"/>
        <v>0</v>
      </c>
      <c r="BA1086" s="73">
        <f t="shared" si="1507"/>
        <v>0</v>
      </c>
      <c r="BB1086" s="138">
        <f t="shared" si="1507"/>
        <v>0</v>
      </c>
      <c r="BC1086" s="72">
        <f t="shared" si="1507"/>
        <v>0</v>
      </c>
      <c r="BD1086" s="73">
        <f t="shared" si="1507"/>
        <v>0</v>
      </c>
      <c r="BE1086" s="73">
        <f t="shared" si="1507"/>
        <v>0</v>
      </c>
      <c r="BF1086" s="138"/>
      <c r="BG1086" s="72">
        <f t="shared" si="1490"/>
        <v>0</v>
      </c>
      <c r="BH1086" s="73">
        <f t="shared" si="1490"/>
        <v>0</v>
      </c>
      <c r="BI1086" s="73">
        <f t="shared" si="1490"/>
        <v>0</v>
      </c>
      <c r="BJ1086" s="138"/>
      <c r="BK1086" s="72">
        <f t="shared" si="1491"/>
        <v>0</v>
      </c>
      <c r="BL1086" s="73">
        <f t="shared" si="1491"/>
        <v>0</v>
      </c>
      <c r="BM1086" s="73">
        <f t="shared" si="1491"/>
        <v>0</v>
      </c>
      <c r="BN1086" s="138"/>
      <c r="BO1086" s="72">
        <f t="shared" si="1486"/>
        <v>0</v>
      </c>
      <c r="BP1086" s="73">
        <f t="shared" si="1486"/>
        <v>0</v>
      </c>
      <c r="BQ1086" s="73">
        <f t="shared" si="1486"/>
        <v>0</v>
      </c>
      <c r="BR1086" s="138"/>
      <c r="BS1086" s="72">
        <f t="shared" si="1487"/>
        <v>0</v>
      </c>
      <c r="BT1086" s="73">
        <f t="shared" si="1487"/>
        <v>0</v>
      </c>
      <c r="BU1086" s="73">
        <f t="shared" si="1487"/>
        <v>0</v>
      </c>
      <c r="BV1086" s="74"/>
      <c r="BY1086" s="125">
        <f t="shared" si="1473"/>
        <v>0</v>
      </c>
      <c r="BZ1086" s="126">
        <f t="shared" si="1474"/>
        <v>0</v>
      </c>
      <c r="CA1086" s="126">
        <f t="shared" si="1475"/>
        <v>0</v>
      </c>
      <c r="CB1086" s="127">
        <f t="shared" si="1477"/>
        <v>0</v>
      </c>
    </row>
    <row r="1087" spans="1:81" ht="14.25" hidden="1" customHeight="1" outlineLevel="4" x14ac:dyDescent="0.25">
      <c r="C1087" s="10" t="s">
        <v>83</v>
      </c>
      <c r="D1087" s="10" t="s">
        <v>84</v>
      </c>
      <c r="E1087" s="10" t="s">
        <v>73</v>
      </c>
      <c r="F1087" s="10" t="s">
        <v>74</v>
      </c>
      <c r="G1087" s="10" t="s">
        <v>467</v>
      </c>
      <c r="H1087" s="10" t="s">
        <v>73</v>
      </c>
      <c r="I1087" s="10" t="s">
        <v>73</v>
      </c>
      <c r="J1087" s="10" t="s">
        <v>73</v>
      </c>
      <c r="K1087" s="12" t="s">
        <v>73</v>
      </c>
      <c r="L1087" s="10" t="s">
        <v>452</v>
      </c>
      <c r="M1087" s="5" t="str">
        <f t="array" ref="M1087">Y818</f>
        <v>1ХВС::1.1</v>
      </c>
      <c r="Y1087" s="10">
        <f>COUNT($Y1076:Y1086)+1</f>
        <v>11</v>
      </c>
      <c r="AB1087" s="29" t="str">
        <f>AB$336&amp;"."&amp;Y1087</f>
        <v>3.1.3.1.11</v>
      </c>
      <c r="AC1087" s="294" t="s">
        <v>468</v>
      </c>
      <c r="AD1087" s="51" t="s">
        <v>111</v>
      </c>
      <c r="AE1087" s="72">
        <f t="shared" si="1482"/>
        <v>688.59</v>
      </c>
      <c r="AF1087" s="73">
        <f t="shared" si="1482"/>
        <v>1027.3800000000001</v>
      </c>
      <c r="AG1087" s="73">
        <f t="shared" si="1482"/>
        <v>886.21</v>
      </c>
      <c r="AH1087" s="138">
        <f t="shared" si="1482"/>
        <v>886.21</v>
      </c>
      <c r="AI1087" s="72">
        <f t="shared" si="1482"/>
        <v>0</v>
      </c>
      <c r="AJ1087" s="73">
        <f t="shared" si="1482"/>
        <v>0</v>
      </c>
      <c r="AK1087" s="73">
        <f t="shared" si="1482"/>
        <v>0</v>
      </c>
      <c r="AL1087" s="138">
        <f t="shared" ref="AL1087" si="1508">AL682+AL347</f>
        <v>0</v>
      </c>
      <c r="AM1087" s="72">
        <f t="shared" ref="AM1087:BE1087" si="1509">AM682+AM347</f>
        <v>60.11</v>
      </c>
      <c r="AN1087" s="73">
        <f t="shared" si="1509"/>
        <v>0</v>
      </c>
      <c r="AO1087" s="73">
        <f t="shared" si="1509"/>
        <v>66.14</v>
      </c>
      <c r="AP1087" s="138">
        <f t="shared" si="1509"/>
        <v>66.14</v>
      </c>
      <c r="AQ1087" s="72">
        <f t="shared" si="1509"/>
        <v>1191.57</v>
      </c>
      <c r="AR1087" s="73">
        <f t="shared" si="1509"/>
        <v>126.63</v>
      </c>
      <c r="AS1087" s="73">
        <f t="shared" si="1509"/>
        <v>1311.11</v>
      </c>
      <c r="AT1087" s="138">
        <f t="shared" si="1509"/>
        <v>0</v>
      </c>
      <c r="AU1087" s="72">
        <f t="shared" si="1509"/>
        <v>0</v>
      </c>
      <c r="AV1087" s="73">
        <f t="shared" si="1509"/>
        <v>0</v>
      </c>
      <c r="AW1087" s="73">
        <f t="shared" si="1509"/>
        <v>0</v>
      </c>
      <c r="AX1087" s="138">
        <f t="shared" si="1509"/>
        <v>0</v>
      </c>
      <c r="AY1087" s="72">
        <f t="shared" si="1509"/>
        <v>0</v>
      </c>
      <c r="AZ1087" s="73">
        <f t="shared" si="1509"/>
        <v>0</v>
      </c>
      <c r="BA1087" s="73">
        <f t="shared" si="1509"/>
        <v>0</v>
      </c>
      <c r="BB1087" s="138">
        <f t="shared" si="1509"/>
        <v>0</v>
      </c>
      <c r="BC1087" s="72">
        <f t="shared" si="1509"/>
        <v>0</v>
      </c>
      <c r="BD1087" s="73">
        <f t="shared" si="1509"/>
        <v>0</v>
      </c>
      <c r="BE1087" s="73">
        <f t="shared" si="1509"/>
        <v>0</v>
      </c>
      <c r="BF1087" s="138"/>
      <c r="BG1087" s="72">
        <f t="shared" si="1490"/>
        <v>0</v>
      </c>
      <c r="BH1087" s="73">
        <f t="shared" si="1490"/>
        <v>0</v>
      </c>
      <c r="BI1087" s="73">
        <f t="shared" si="1490"/>
        <v>0</v>
      </c>
      <c r="BJ1087" s="138"/>
      <c r="BK1087" s="72">
        <f t="shared" si="1491"/>
        <v>0</v>
      </c>
      <c r="BL1087" s="73">
        <f t="shared" si="1491"/>
        <v>0</v>
      </c>
      <c r="BM1087" s="73">
        <f t="shared" si="1491"/>
        <v>0</v>
      </c>
      <c r="BN1087" s="138"/>
      <c r="BO1087" s="72">
        <f t="shared" si="1486"/>
        <v>0</v>
      </c>
      <c r="BP1087" s="73">
        <f t="shared" si="1486"/>
        <v>0</v>
      </c>
      <c r="BQ1087" s="73">
        <f t="shared" si="1486"/>
        <v>0</v>
      </c>
      <c r="BR1087" s="138"/>
      <c r="BS1087" s="72">
        <f t="shared" si="1487"/>
        <v>0</v>
      </c>
      <c r="BT1087" s="73">
        <f t="shared" si="1487"/>
        <v>0</v>
      </c>
      <c r="BU1087" s="73">
        <f t="shared" si="1487"/>
        <v>0</v>
      </c>
      <c r="BV1087" s="74"/>
      <c r="BY1087" s="125">
        <f t="shared" si="1473"/>
        <v>1940.27</v>
      </c>
      <c r="BZ1087" s="126">
        <f t="shared" si="1474"/>
        <v>1154.0100000000002</v>
      </c>
      <c r="CA1087" s="126">
        <f t="shared" si="1475"/>
        <v>2263.46</v>
      </c>
      <c r="CB1087" s="127">
        <f t="shared" si="1477"/>
        <v>952.35</v>
      </c>
    </row>
    <row r="1088" spans="1:81" ht="14.25" hidden="1" customHeight="1" outlineLevel="4" x14ac:dyDescent="0.25">
      <c r="A1088" s="76" t="b">
        <f>OR($AD$52="да",$U818&lt;&gt;"Водоснабжение")</f>
        <v>0</v>
      </c>
      <c r="B1088" s="5" t="b">
        <f t="array" ref="B1088">A1088</f>
        <v>0</v>
      </c>
      <c r="C1088" s="10" t="s">
        <v>83</v>
      </c>
      <c r="D1088" s="10" t="s">
        <v>84</v>
      </c>
      <c r="E1088" s="10" t="s">
        <v>73</v>
      </c>
      <c r="F1088" s="10" t="s">
        <v>74</v>
      </c>
      <c r="G1088" s="10" t="s">
        <v>469</v>
      </c>
      <c r="H1088" s="10" t="s">
        <v>73</v>
      </c>
      <c r="I1088" s="10" t="s">
        <v>73</v>
      </c>
      <c r="J1088" s="10" t="s">
        <v>73</v>
      </c>
      <c r="K1088" s="12" t="s">
        <v>73</v>
      </c>
      <c r="L1088" s="10" t="s">
        <v>452</v>
      </c>
      <c r="M1088" s="5" t="str">
        <f t="array" ref="M1088">Y818</f>
        <v>1ХВС::1.1</v>
      </c>
      <c r="Y1088" s="10">
        <f>COUNT($Y1076:Y1087)+1</f>
        <v>12</v>
      </c>
      <c r="Z1088" s="6"/>
      <c r="AA1088" s="6"/>
      <c r="AB1088" s="29"/>
      <c r="AC1088" s="153"/>
      <c r="AD1088" s="51"/>
      <c r="AE1088" s="72">
        <f t="shared" si="1482"/>
        <v>0</v>
      </c>
      <c r="AF1088" s="73">
        <f t="shared" si="1482"/>
        <v>0</v>
      </c>
      <c r="AG1088" s="73">
        <f t="shared" si="1482"/>
        <v>0</v>
      </c>
      <c r="AH1088" s="138">
        <f t="shared" si="1482"/>
        <v>0</v>
      </c>
      <c r="AI1088" s="72">
        <f t="shared" si="1482"/>
        <v>0</v>
      </c>
      <c r="AJ1088" s="73">
        <f t="shared" si="1482"/>
        <v>0</v>
      </c>
      <c r="AK1088" s="73">
        <f t="shared" si="1482"/>
        <v>0</v>
      </c>
      <c r="AL1088" s="138">
        <f t="shared" ref="AL1088" si="1510">AL683+AL348</f>
        <v>0</v>
      </c>
      <c r="AM1088" s="72">
        <f t="shared" ref="AM1088:BE1088" si="1511">AM683+AM348</f>
        <v>0</v>
      </c>
      <c r="AN1088" s="73">
        <f t="shared" si="1511"/>
        <v>0</v>
      </c>
      <c r="AO1088" s="73">
        <f t="shared" si="1511"/>
        <v>0</v>
      </c>
      <c r="AP1088" s="138">
        <f t="shared" si="1511"/>
        <v>0</v>
      </c>
      <c r="AQ1088" s="72">
        <f t="shared" si="1511"/>
        <v>0</v>
      </c>
      <c r="AR1088" s="73">
        <f t="shared" si="1511"/>
        <v>0</v>
      </c>
      <c r="AS1088" s="73">
        <f t="shared" si="1511"/>
        <v>0</v>
      </c>
      <c r="AT1088" s="138">
        <f t="shared" si="1511"/>
        <v>0</v>
      </c>
      <c r="AU1088" s="72">
        <f t="shared" si="1511"/>
        <v>0</v>
      </c>
      <c r="AV1088" s="73">
        <f t="shared" si="1511"/>
        <v>0</v>
      </c>
      <c r="AW1088" s="73">
        <f t="shared" si="1511"/>
        <v>0</v>
      </c>
      <c r="AX1088" s="138">
        <f t="shared" si="1511"/>
        <v>0</v>
      </c>
      <c r="AY1088" s="72">
        <f t="shared" si="1511"/>
        <v>0</v>
      </c>
      <c r="AZ1088" s="73">
        <f t="shared" si="1511"/>
        <v>0</v>
      </c>
      <c r="BA1088" s="73">
        <f t="shared" si="1511"/>
        <v>0</v>
      </c>
      <c r="BB1088" s="138">
        <f t="shared" si="1511"/>
        <v>0</v>
      </c>
      <c r="BC1088" s="72">
        <f t="shared" si="1511"/>
        <v>0</v>
      </c>
      <c r="BD1088" s="73">
        <f t="shared" si="1511"/>
        <v>0</v>
      </c>
      <c r="BE1088" s="73">
        <f t="shared" si="1511"/>
        <v>0</v>
      </c>
      <c r="BF1088" s="138"/>
      <c r="BG1088" s="72">
        <f t="shared" si="1490"/>
        <v>0</v>
      </c>
      <c r="BH1088" s="73">
        <f t="shared" si="1490"/>
        <v>0</v>
      </c>
      <c r="BI1088" s="73">
        <f t="shared" si="1490"/>
        <v>0</v>
      </c>
      <c r="BJ1088" s="138"/>
      <c r="BK1088" s="72">
        <f t="shared" si="1491"/>
        <v>0</v>
      </c>
      <c r="BL1088" s="73">
        <f t="shared" si="1491"/>
        <v>0</v>
      </c>
      <c r="BM1088" s="73">
        <f t="shared" si="1491"/>
        <v>0</v>
      </c>
      <c r="BN1088" s="138"/>
      <c r="BO1088" s="72">
        <f t="shared" si="1486"/>
        <v>0</v>
      </c>
      <c r="BP1088" s="73">
        <f t="shared" si="1486"/>
        <v>0</v>
      </c>
      <c r="BQ1088" s="73">
        <f t="shared" si="1486"/>
        <v>0</v>
      </c>
      <c r="BR1088" s="138"/>
      <c r="BS1088" s="72">
        <f t="shared" si="1487"/>
        <v>0</v>
      </c>
      <c r="BT1088" s="73">
        <f t="shared" si="1487"/>
        <v>0</v>
      </c>
      <c r="BU1088" s="73">
        <f t="shared" si="1487"/>
        <v>0</v>
      </c>
      <c r="BV1088" s="74"/>
      <c r="BY1088" s="125">
        <f t="shared" si="1473"/>
        <v>0</v>
      </c>
      <c r="BZ1088" s="126">
        <f t="shared" si="1474"/>
        <v>0</v>
      </c>
      <c r="CA1088" s="126">
        <f t="shared" si="1475"/>
        <v>0</v>
      </c>
      <c r="CB1088" s="127">
        <f t="shared" si="1477"/>
        <v>0</v>
      </c>
    </row>
    <row r="1089" spans="1:82" ht="14.25" customHeight="1" outlineLevel="3" collapsed="1" x14ac:dyDescent="0.25">
      <c r="C1089" s="10" t="s">
        <v>83</v>
      </c>
      <c r="D1089" s="10" t="s">
        <v>84</v>
      </c>
      <c r="E1089" s="10" t="s">
        <v>73</v>
      </c>
      <c r="F1089" s="10" t="s">
        <v>74</v>
      </c>
      <c r="G1089" s="10" t="s">
        <v>470</v>
      </c>
      <c r="H1089" s="10" t="s">
        <v>73</v>
      </c>
      <c r="I1089" s="10" t="s">
        <v>73</v>
      </c>
      <c r="J1089" s="10" t="s">
        <v>73</v>
      </c>
      <c r="K1089" s="12" t="s">
        <v>73</v>
      </c>
      <c r="L1089" s="10" t="s">
        <v>452</v>
      </c>
      <c r="M1089" s="5" t="str">
        <f t="array" ref="M1089">Y818</f>
        <v>1ХВС::1.1</v>
      </c>
      <c r="AB1089" s="65" t="str">
        <f>AB1075&amp;".2"</f>
        <v>3.1.3.2</v>
      </c>
      <c r="AC1089" s="92" t="s">
        <v>471</v>
      </c>
      <c r="AD1089" s="51" t="s">
        <v>111</v>
      </c>
      <c r="AE1089" s="72">
        <f t="shared" si="1482"/>
        <v>175561.60499999998</v>
      </c>
      <c r="AF1089" s="73">
        <f t="shared" si="1482"/>
        <v>259782.01</v>
      </c>
      <c r="AG1089" s="73">
        <f t="shared" si="1482"/>
        <v>280465.15000000002</v>
      </c>
      <c r="AH1089" s="138">
        <f t="shared" si="1482"/>
        <v>195245.63</v>
      </c>
      <c r="AI1089" s="72">
        <f t="shared" si="1482"/>
        <v>105.92</v>
      </c>
      <c r="AJ1089" s="73">
        <f t="shared" si="1482"/>
        <v>803.88</v>
      </c>
      <c r="AK1089" s="73">
        <f t="shared" si="1482"/>
        <v>538.54</v>
      </c>
      <c r="AL1089" s="138">
        <f t="shared" ref="AL1089" si="1512">AL684+AL349</f>
        <v>396.16999999999996</v>
      </c>
      <c r="AM1089" s="72">
        <f>AM684+AM349</f>
        <v>210.45</v>
      </c>
      <c r="AN1089" s="73">
        <f>AN684+AN349</f>
        <v>164</v>
      </c>
      <c r="AO1089" s="73">
        <f>AO684+AO349</f>
        <v>365.25</v>
      </c>
      <c r="AP1089" s="138">
        <v>330.65600000000001</v>
      </c>
      <c r="AQ1089" s="72">
        <f t="shared" ref="AQ1089:BE1089" si="1513">AQ684+AQ349</f>
        <v>369.03</v>
      </c>
      <c r="AR1089" s="73">
        <f t="shared" si="1513"/>
        <v>477.88</v>
      </c>
      <c r="AS1089" s="73">
        <f t="shared" si="1513"/>
        <v>547.57000000000005</v>
      </c>
      <c r="AT1089" s="138">
        <f t="shared" si="1513"/>
        <v>547.57000000000005</v>
      </c>
      <c r="AU1089" s="72">
        <f t="shared" si="1513"/>
        <v>320.27999999999997</v>
      </c>
      <c r="AV1089" s="73">
        <f t="shared" si="1513"/>
        <v>20.77</v>
      </c>
      <c r="AW1089" s="73">
        <f t="shared" si="1513"/>
        <v>368.33</v>
      </c>
      <c r="AX1089" s="138">
        <f t="shared" si="1513"/>
        <v>377.55</v>
      </c>
      <c r="AY1089" s="72">
        <f t="shared" si="1513"/>
        <v>6.24</v>
      </c>
      <c r="AZ1089" s="73">
        <f t="shared" si="1513"/>
        <v>1002.04</v>
      </c>
      <c r="BA1089" s="73">
        <f t="shared" si="1513"/>
        <v>763.15</v>
      </c>
      <c r="BB1089" s="138">
        <f t="shared" si="1513"/>
        <v>343.81</v>
      </c>
      <c r="BC1089" s="72">
        <f t="shared" si="1513"/>
        <v>201.52</v>
      </c>
      <c r="BD1089" s="73">
        <f t="shared" si="1513"/>
        <v>0</v>
      </c>
      <c r="BE1089" s="73">
        <f t="shared" si="1513"/>
        <v>331.17</v>
      </c>
      <c r="BF1089" s="138">
        <f>BF349</f>
        <v>257.25</v>
      </c>
      <c r="BG1089" s="72">
        <f t="shared" si="1490"/>
        <v>802.79</v>
      </c>
      <c r="BH1089" s="73">
        <f t="shared" si="1490"/>
        <v>1484.86</v>
      </c>
      <c r="BI1089" s="73">
        <f t="shared" si="1490"/>
        <v>1747.39</v>
      </c>
      <c r="BJ1089" s="138">
        <f>BJ349</f>
        <v>1747.39</v>
      </c>
      <c r="BK1089" s="72">
        <f t="shared" si="1491"/>
        <v>423.23</v>
      </c>
      <c r="BL1089" s="73">
        <f t="shared" si="1491"/>
        <v>6197.24</v>
      </c>
      <c r="BM1089" s="73">
        <f t="shared" si="1491"/>
        <v>3662.09</v>
      </c>
      <c r="BN1089" s="138">
        <f>BN349+BN684-0.01</f>
        <v>3567.3599999999997</v>
      </c>
      <c r="BO1089" s="72">
        <f t="shared" si="1486"/>
        <v>0</v>
      </c>
      <c r="BP1089" s="73">
        <f t="shared" si="1486"/>
        <v>205</v>
      </c>
      <c r="BQ1089" s="73">
        <f t="shared" si="1486"/>
        <v>127.6</v>
      </c>
      <c r="BR1089" s="138">
        <f>BR684+BR349</f>
        <v>0</v>
      </c>
      <c r="BS1089" s="72">
        <f t="shared" si="1487"/>
        <v>78.02</v>
      </c>
      <c r="BT1089" s="73">
        <f t="shared" si="1487"/>
        <v>483.76499999999999</v>
      </c>
      <c r="BU1089" s="73">
        <f t="shared" si="1487"/>
        <v>656.59999999999991</v>
      </c>
      <c r="BV1089" s="74">
        <f>BV684+BV349</f>
        <v>408.13</v>
      </c>
      <c r="BY1089" s="125">
        <f t="shared" si="1473"/>
        <v>178079.08499999999</v>
      </c>
      <c r="BZ1089" s="126">
        <f t="shared" si="1474"/>
        <v>270621.44500000001</v>
      </c>
      <c r="CA1089" s="126">
        <f t="shared" si="1475"/>
        <v>289572.84000000003</v>
      </c>
      <c r="CB1089" s="127">
        <f t="shared" si="1477"/>
        <v>203221.516</v>
      </c>
      <c r="CD1089" s="1025"/>
    </row>
    <row r="1090" spans="1:82" ht="14.25" customHeight="1" outlineLevel="3" x14ac:dyDescent="0.25">
      <c r="C1090" s="10" t="s">
        <v>83</v>
      </c>
      <c r="D1090" s="10" t="s">
        <v>84</v>
      </c>
      <c r="E1090" s="10" t="s">
        <v>73</v>
      </c>
      <c r="F1090" s="10" t="s">
        <v>74</v>
      </c>
      <c r="G1090" s="10" t="s">
        <v>472</v>
      </c>
      <c r="H1090" s="10" t="s">
        <v>73</v>
      </c>
      <c r="I1090" s="10" t="s">
        <v>73</v>
      </c>
      <c r="J1090" s="10" t="s">
        <v>73</v>
      </c>
      <c r="K1090" s="12" t="s">
        <v>73</v>
      </c>
      <c r="L1090" s="10" t="s">
        <v>452</v>
      </c>
      <c r="M1090" s="5" t="str">
        <f t="array" ref="M1090">Y818</f>
        <v>1ХВС::1.1</v>
      </c>
      <c r="AB1090" s="65" t="str">
        <f>AB1075&amp;".3"</f>
        <v>3.1.3.3</v>
      </c>
      <c r="AC1090" s="92" t="s">
        <v>473</v>
      </c>
      <c r="AD1090" s="51" t="s">
        <v>111</v>
      </c>
      <c r="AE1090" s="72">
        <f t="shared" ref="AE1090:AK1090" si="1514">AE1091+AE1092+AE1093+AE1094+AE1095+AE1096+AE1097+AE1098+AE1099</f>
        <v>185045.00999999998</v>
      </c>
      <c r="AF1090" s="73">
        <f t="shared" si="1514"/>
        <v>192052.39999999997</v>
      </c>
      <c r="AG1090" s="73">
        <f t="shared" si="1514"/>
        <v>212365.84</v>
      </c>
      <c r="AH1090" s="138">
        <f t="shared" si="1514"/>
        <v>181594.85</v>
      </c>
      <c r="AI1090" s="72">
        <f t="shared" si="1514"/>
        <v>5889.7199999999993</v>
      </c>
      <c r="AJ1090" s="73">
        <f t="shared" si="1514"/>
        <v>6252.53</v>
      </c>
      <c r="AK1090" s="73">
        <f t="shared" si="1514"/>
        <v>5651.18</v>
      </c>
      <c r="AL1090" s="138">
        <f t="shared" ref="AL1090" si="1515">AL1091+AL1092+AL1093+AL1094+AL1095+AL1096+AL1097+AL1098+AL1099</f>
        <v>5157.2280000000001</v>
      </c>
      <c r="AM1090" s="72">
        <f t="shared" ref="AM1090:BE1090" si="1516">AM1091+AM1092+AM1093+AM1094+AM1095+AM1096+AM1097+AM1098+AM1099</f>
        <v>6944.4440000000004</v>
      </c>
      <c r="AN1090" s="73">
        <f t="shared" si="1516"/>
        <v>3137.8399999999997</v>
      </c>
      <c r="AO1090" s="73">
        <f t="shared" si="1516"/>
        <v>6951.579999999999</v>
      </c>
      <c r="AP1090" s="138">
        <f t="shared" si="1516"/>
        <v>6880.71</v>
      </c>
      <c r="AQ1090" s="72">
        <f t="shared" si="1516"/>
        <v>4303.1939999999995</v>
      </c>
      <c r="AR1090" s="73">
        <f t="shared" si="1516"/>
        <v>2363.15</v>
      </c>
      <c r="AS1090" s="73">
        <f t="shared" si="1516"/>
        <v>5633.84</v>
      </c>
      <c r="AT1090" s="138">
        <f t="shared" si="1516"/>
        <v>4677.32</v>
      </c>
      <c r="AU1090" s="72">
        <f t="shared" si="1516"/>
        <v>551.83000000000004</v>
      </c>
      <c r="AV1090" s="73">
        <f t="shared" si="1516"/>
        <v>919.93000000000006</v>
      </c>
      <c r="AW1090" s="73">
        <f t="shared" si="1516"/>
        <v>1978.22</v>
      </c>
      <c r="AX1090" s="138">
        <f t="shared" si="1516"/>
        <v>1065.8499999999999</v>
      </c>
      <c r="AY1090" s="72">
        <f t="shared" si="1516"/>
        <v>4542.91</v>
      </c>
      <c r="AZ1090" s="73">
        <f t="shared" si="1516"/>
        <v>3767.61</v>
      </c>
      <c r="BA1090" s="73">
        <f t="shared" si="1516"/>
        <v>5790.0199999999995</v>
      </c>
      <c r="BB1090" s="138">
        <f t="shared" si="1516"/>
        <v>4161.3600000000006</v>
      </c>
      <c r="BC1090" s="72">
        <f t="shared" si="1516"/>
        <v>961.65</v>
      </c>
      <c r="BD1090" s="73">
        <f t="shared" si="1516"/>
        <v>1123.5</v>
      </c>
      <c r="BE1090" s="73">
        <f t="shared" si="1516"/>
        <v>946.1049999999999</v>
      </c>
      <c r="BF1090" s="138">
        <f>SUM(BF1091:BF1099)</f>
        <v>698.36</v>
      </c>
      <c r="BG1090" s="72">
        <f>BG1091+BG1092+BG1093+BG1094+BG1095+BG1096+BG1097+BG1098+BG1099</f>
        <v>11178.866</v>
      </c>
      <c r="BH1090" s="73">
        <f>BH1091+BH1092+BH1093+BH1094+BH1095+BH1096+BH1097+BH1098+BH1099</f>
        <v>5554.1200000000008</v>
      </c>
      <c r="BI1090" s="73">
        <f>BI1091+BI1092+BI1093+BI1094+BI1095+BI1096+BI1097+BI1098+BI1099</f>
        <v>47309.81</v>
      </c>
      <c r="BJ1090" s="138">
        <f>SUM(BJ1091:BJ1099)</f>
        <v>3045.79</v>
      </c>
      <c r="BK1090" s="72">
        <f>BK1091+BK1092+BK1093+BK1094+BK1095+BK1096+BK1097+BK1098+BK1099</f>
        <v>25319.036</v>
      </c>
      <c r="BL1090" s="73">
        <f>BL1091+BL1092+BL1093+BL1094+BL1095+BL1096+BL1097+BL1098+BL1099</f>
        <v>23765.190000000002</v>
      </c>
      <c r="BM1090" s="73">
        <f>BM1091+BM1092+BM1093+BM1094+BM1095+BM1096+BM1097+BM1098+BM1099</f>
        <v>28387.7</v>
      </c>
      <c r="BN1090" s="138">
        <f>BN1091+BN1092+BN1093+BN1094+BN1095+BN1096+BN1097+BN1098+BN1099+0.01</f>
        <v>23327.526000000002</v>
      </c>
      <c r="BO1090" s="142">
        <f t="shared" ref="BO1090:BV1090" si="1517">BO1091+BO1092+BO1093+BO1094+BO1095+BO1096+BO1097+BO1098+BO1099</f>
        <v>447.96999999999997</v>
      </c>
      <c r="BP1090" s="140">
        <f t="shared" si="1517"/>
        <v>300.7</v>
      </c>
      <c r="BQ1090" s="140">
        <f t="shared" si="1517"/>
        <v>299.41799999999995</v>
      </c>
      <c r="BR1090" s="141">
        <f t="shared" si="1517"/>
        <v>308.41000000000003</v>
      </c>
      <c r="BS1090" s="142">
        <f t="shared" si="1517"/>
        <v>6894.19</v>
      </c>
      <c r="BT1090" s="140">
        <f t="shared" si="1517"/>
        <v>6512.2950000000001</v>
      </c>
      <c r="BU1090" s="140">
        <f t="shared" si="1517"/>
        <v>11345.29</v>
      </c>
      <c r="BV1090" s="143">
        <f t="shared" si="1517"/>
        <v>6181.5800000000008</v>
      </c>
      <c r="BY1090" s="125">
        <f t="shared" si="1473"/>
        <v>252078.81999999995</v>
      </c>
      <c r="BZ1090" s="126">
        <f t="shared" si="1474"/>
        <v>245749.26499999996</v>
      </c>
      <c r="CA1090" s="126">
        <f t="shared" si="1475"/>
        <v>326659.00299999997</v>
      </c>
      <c r="CB1090" s="127">
        <f t="shared" si="1477"/>
        <v>237098.98400000003</v>
      </c>
    </row>
    <row r="1091" spans="1:82" ht="14.25" customHeight="1" outlineLevel="4" x14ac:dyDescent="0.25">
      <c r="C1091" s="10" t="s">
        <v>83</v>
      </c>
      <c r="D1091" s="10" t="s">
        <v>84</v>
      </c>
      <c r="E1091" s="10" t="s">
        <v>73</v>
      </c>
      <c r="F1091" s="10" t="s">
        <v>74</v>
      </c>
      <c r="G1091" s="10" t="s">
        <v>474</v>
      </c>
      <c r="H1091" s="10" t="s">
        <v>73</v>
      </c>
      <c r="I1091" s="10" t="s">
        <v>73</v>
      </c>
      <c r="J1091" s="10" t="s">
        <v>73</v>
      </c>
      <c r="K1091" s="12" t="s">
        <v>73</v>
      </c>
      <c r="L1091" s="10" t="s">
        <v>452</v>
      </c>
      <c r="M1091" s="5" t="str">
        <f t="array" ref="M1091">Y818</f>
        <v>1ХВС::1.1</v>
      </c>
      <c r="Y1091" s="10">
        <v>1</v>
      </c>
      <c r="AB1091" s="29" t="str">
        <f t="shared" ref="AB1091:AB1099" si="1518">AB$350&amp;"."&amp;Y1091</f>
        <v>3.1.3.3.1</v>
      </c>
      <c r="AC1091" s="294" t="s">
        <v>474</v>
      </c>
      <c r="AD1091" s="51" t="s">
        <v>111</v>
      </c>
      <c r="AE1091" s="72"/>
      <c r="AF1091" s="73"/>
      <c r="AG1091" s="73"/>
      <c r="AH1091" s="138"/>
      <c r="AI1091" s="72"/>
      <c r="AJ1091" s="178"/>
      <c r="AK1091" s="73"/>
      <c r="AL1091" s="138"/>
      <c r="AM1091" s="72"/>
      <c r="AN1091" s="178"/>
      <c r="AO1091" s="73"/>
      <c r="AP1091" s="138"/>
      <c r="AQ1091" s="72"/>
      <c r="AR1091" s="178"/>
      <c r="AS1091" s="73"/>
      <c r="AT1091" s="138"/>
      <c r="AU1091" s="72"/>
      <c r="AV1091" s="178"/>
      <c r="AW1091" s="73"/>
      <c r="AX1091" s="138"/>
      <c r="AY1091" s="72"/>
      <c r="AZ1091" s="178"/>
      <c r="BA1091" s="73"/>
      <c r="BB1091" s="138"/>
      <c r="BC1091" s="72">
        <v>0</v>
      </c>
      <c r="BD1091" s="178"/>
      <c r="BE1091" s="73">
        <v>0</v>
      </c>
      <c r="BF1091" s="138"/>
      <c r="BG1091" s="72"/>
      <c r="BH1091" s="178"/>
      <c r="BI1091" s="73"/>
      <c r="BJ1091" s="138"/>
      <c r="BK1091" s="72">
        <v>0</v>
      </c>
      <c r="BL1091" s="178">
        <v>0</v>
      </c>
      <c r="BM1091" s="73">
        <v>0</v>
      </c>
      <c r="BN1091" s="138">
        <v>0</v>
      </c>
      <c r="BO1091" s="142"/>
      <c r="BP1091" s="183"/>
      <c r="BQ1091" s="140"/>
      <c r="BR1091" s="141"/>
      <c r="BS1091" s="142"/>
      <c r="BT1091" s="183"/>
      <c r="BU1091" s="140"/>
      <c r="BV1091" s="143"/>
      <c r="BY1091" s="125">
        <f>AE1091+AI1091+AM1091+AQ1091+AU1091+AY1091+BC1091+BG1091+BK1091+BO1091+BS1091</f>
        <v>0</v>
      </c>
      <c r="BZ1091" s="126">
        <f t="shared" si="1474"/>
        <v>0</v>
      </c>
      <c r="CA1091" s="126">
        <f t="shared" si="1475"/>
        <v>0</v>
      </c>
      <c r="CB1091" s="127">
        <f t="shared" si="1477"/>
        <v>0</v>
      </c>
      <c r="CD1091" s="1025"/>
    </row>
    <row r="1092" spans="1:82" ht="14.25" customHeight="1" outlineLevel="4" x14ac:dyDescent="0.25">
      <c r="C1092" s="10" t="s">
        <v>83</v>
      </c>
      <c r="D1092" s="10" t="s">
        <v>84</v>
      </c>
      <c r="E1092" s="10" t="s">
        <v>73</v>
      </c>
      <c r="F1092" s="10" t="s">
        <v>74</v>
      </c>
      <c r="G1092" s="10" t="s">
        <v>475</v>
      </c>
      <c r="H1092" s="10" t="s">
        <v>73</v>
      </c>
      <c r="I1092" s="10" t="s">
        <v>73</v>
      </c>
      <c r="J1092" s="10" t="s">
        <v>73</v>
      </c>
      <c r="K1092" s="12" t="s">
        <v>73</v>
      </c>
      <c r="L1092" s="10" t="s">
        <v>452</v>
      </c>
      <c r="M1092" s="5" t="str">
        <f t="array" ref="M1092">Y818</f>
        <v>1ХВС::1.1</v>
      </c>
      <c r="Y1092" s="10">
        <f>COUNT($Y1091:Y1091)+1</f>
        <v>2</v>
      </c>
      <c r="AB1092" s="29" t="str">
        <f t="shared" si="1518"/>
        <v>3.1.3.3.2</v>
      </c>
      <c r="AC1092" s="294" t="s">
        <v>475</v>
      </c>
      <c r="AD1092" s="51" t="s">
        <v>111</v>
      </c>
      <c r="AE1092" s="72">
        <f t="shared" ref="AE1092:AK1092" si="1519">AE352+AE687</f>
        <v>157263.10999999999</v>
      </c>
      <c r="AF1092" s="73">
        <f t="shared" si="1519"/>
        <v>147883.16999999998</v>
      </c>
      <c r="AG1092" s="73">
        <f t="shared" si="1519"/>
        <v>160466.78</v>
      </c>
      <c r="AH1092" s="138">
        <f t="shared" si="1519"/>
        <v>146047.1</v>
      </c>
      <c r="AI1092" s="72">
        <f t="shared" si="1519"/>
        <v>5634.24</v>
      </c>
      <c r="AJ1092" s="73">
        <f t="shared" si="1519"/>
        <v>5167.8</v>
      </c>
      <c r="AK1092" s="73">
        <f t="shared" si="1519"/>
        <v>5333.91</v>
      </c>
      <c r="AL1092" s="138">
        <f t="shared" ref="AL1092" si="1520">AL352+AL687</f>
        <v>4880.2179999999998</v>
      </c>
      <c r="AM1092" s="72">
        <f t="shared" ref="AM1092:BE1092" si="1521">AM352+AM687</f>
        <v>6189.7539999999999</v>
      </c>
      <c r="AN1092" s="73">
        <f t="shared" si="1521"/>
        <v>2341.71</v>
      </c>
      <c r="AO1092" s="73">
        <f t="shared" si="1521"/>
        <v>5806.78</v>
      </c>
      <c r="AP1092" s="138">
        <f t="shared" si="1521"/>
        <v>5806.78</v>
      </c>
      <c r="AQ1092" s="72">
        <f t="shared" si="1521"/>
        <v>2123.0699999999997</v>
      </c>
      <c r="AR1092" s="73">
        <f t="shared" si="1521"/>
        <v>534.43000000000006</v>
      </c>
      <c r="AS1092" s="73">
        <f t="shared" si="1521"/>
        <v>3272.91</v>
      </c>
      <c r="AT1092" s="138">
        <f t="shared" si="1521"/>
        <v>2277.52</v>
      </c>
      <c r="AU1092" s="72">
        <f t="shared" si="1521"/>
        <v>108.41</v>
      </c>
      <c r="AV1092" s="73">
        <f t="shared" si="1521"/>
        <v>502.25</v>
      </c>
      <c r="AW1092" s="73">
        <f t="shared" si="1521"/>
        <v>680.68999999999994</v>
      </c>
      <c r="AX1092" s="138">
        <f t="shared" si="1521"/>
        <v>651.58000000000004</v>
      </c>
      <c r="AY1092" s="72">
        <f t="shared" si="1521"/>
        <v>1235.19</v>
      </c>
      <c r="AZ1092" s="73">
        <f t="shared" si="1521"/>
        <v>1294.43</v>
      </c>
      <c r="BA1092" s="73">
        <f t="shared" si="1521"/>
        <v>1587.37</v>
      </c>
      <c r="BB1092" s="138">
        <f t="shared" si="1521"/>
        <v>1576.6</v>
      </c>
      <c r="BC1092" s="72">
        <f t="shared" si="1521"/>
        <v>175.49</v>
      </c>
      <c r="BD1092" s="73">
        <f t="shared" si="1521"/>
        <v>784.66</v>
      </c>
      <c r="BE1092" s="73">
        <f t="shared" si="1521"/>
        <v>159.33999999999997</v>
      </c>
      <c r="BF1092" s="138">
        <f>BF687+BF352</f>
        <v>142.81</v>
      </c>
      <c r="BG1092" s="72">
        <f>BG352+BG687</f>
        <v>8273.48</v>
      </c>
      <c r="BH1092" s="73">
        <f>BH352+BH687</f>
        <v>4241.09</v>
      </c>
      <c r="BI1092" s="73">
        <f>BI352+BI687</f>
        <v>9317.93</v>
      </c>
      <c r="BJ1092" s="138">
        <f>BJ687+BJ352</f>
        <v>1954.625</v>
      </c>
      <c r="BK1092" s="72">
        <f>BK352+BK687</f>
        <v>22003.502</v>
      </c>
      <c r="BL1092" s="73">
        <f>BL352+BL687</f>
        <v>20514.72</v>
      </c>
      <c r="BM1092" s="73">
        <f>BM352+BM687</f>
        <v>24426.07</v>
      </c>
      <c r="BN1092" s="138">
        <f>BN352+BN687</f>
        <v>19731.550000000003</v>
      </c>
      <c r="BO1092" s="72">
        <f t="shared" ref="BO1092:BV1092" si="1522">BO352+BO687</f>
        <v>250.93</v>
      </c>
      <c r="BP1092" s="73">
        <f t="shared" si="1522"/>
        <v>232.07</v>
      </c>
      <c r="BQ1092" s="73">
        <f t="shared" si="1522"/>
        <v>216.114</v>
      </c>
      <c r="BR1092" s="138">
        <f t="shared" si="1522"/>
        <v>214.66</v>
      </c>
      <c r="BS1092" s="72">
        <f t="shared" si="1522"/>
        <v>6731.71</v>
      </c>
      <c r="BT1092" s="73">
        <f t="shared" si="1522"/>
        <v>6353.3249999999998</v>
      </c>
      <c r="BU1092" s="73">
        <f t="shared" si="1522"/>
        <v>6472.54</v>
      </c>
      <c r="BV1092" s="74">
        <f t="shared" si="1522"/>
        <v>6005.89</v>
      </c>
      <c r="BY1092" s="125">
        <f t="shared" si="1473"/>
        <v>209988.88599999997</v>
      </c>
      <c r="BZ1092" s="126">
        <f t="shared" si="1474"/>
        <v>189849.65499999997</v>
      </c>
      <c r="CA1092" s="126">
        <f t="shared" si="1475"/>
        <v>217740.43400000001</v>
      </c>
      <c r="CB1092" s="127">
        <f t="shared" si="1477"/>
        <v>189289.33300000001</v>
      </c>
    </row>
    <row r="1093" spans="1:82" ht="14.25" customHeight="1" outlineLevel="4" x14ac:dyDescent="0.25">
      <c r="C1093" s="10" t="s">
        <v>83</v>
      </c>
      <c r="D1093" s="10" t="s">
        <v>84</v>
      </c>
      <c r="E1093" s="10" t="s">
        <v>73</v>
      </c>
      <c r="F1093" s="10" t="s">
        <v>74</v>
      </c>
      <c r="G1093" s="10" t="s">
        <v>476</v>
      </c>
      <c r="H1093" s="10" t="s">
        <v>73</v>
      </c>
      <c r="I1093" s="10" t="s">
        <v>73</v>
      </c>
      <c r="J1093" s="10" t="s">
        <v>73</v>
      </c>
      <c r="K1093" s="12" t="s">
        <v>73</v>
      </c>
      <c r="L1093" s="10" t="s">
        <v>452</v>
      </c>
      <c r="M1093" s="5" t="str">
        <f t="array" ref="M1093">Y818</f>
        <v>1ХВС::1.1</v>
      </c>
      <c r="Y1093" s="10">
        <f>COUNT($Y1091:Y1092)+1</f>
        <v>3</v>
      </c>
      <c r="AB1093" s="29" t="str">
        <f t="shared" si="1518"/>
        <v>3.1.3.3.3</v>
      </c>
      <c r="AC1093" s="294" t="s">
        <v>476</v>
      </c>
      <c r="AD1093" s="51" t="s">
        <v>111</v>
      </c>
      <c r="AE1093" s="72"/>
      <c r="AF1093" s="73"/>
      <c r="AG1093" s="73"/>
      <c r="AH1093" s="138"/>
      <c r="AI1093" s="72"/>
      <c r="AJ1093" s="73"/>
      <c r="AK1093" s="73"/>
      <c r="AL1093" s="138"/>
      <c r="AM1093" s="72"/>
      <c r="AN1093" s="73"/>
      <c r="AO1093" s="73"/>
      <c r="AP1093" s="138"/>
      <c r="AQ1093" s="72"/>
      <c r="AR1093" s="73"/>
      <c r="AS1093" s="73"/>
      <c r="AT1093" s="138"/>
      <c r="AU1093" s="72"/>
      <c r="AV1093" s="73"/>
      <c r="AW1093" s="73"/>
      <c r="AX1093" s="138"/>
      <c r="AY1093" s="72"/>
      <c r="AZ1093" s="73"/>
      <c r="BA1093" s="73"/>
      <c r="BB1093" s="138"/>
      <c r="BC1093" s="72"/>
      <c r="BD1093" s="73"/>
      <c r="BE1093" s="73"/>
      <c r="BF1093" s="138"/>
      <c r="BG1093" s="72"/>
      <c r="BH1093" s="73"/>
      <c r="BI1093" s="73"/>
      <c r="BJ1093" s="138"/>
      <c r="BK1093" s="72"/>
      <c r="BL1093" s="73"/>
      <c r="BM1093" s="73"/>
      <c r="BN1093" s="138">
        <f t="shared" ref="BN1093:BN1110" si="1523">BN353+BN688</f>
        <v>0</v>
      </c>
      <c r="BO1093" s="72"/>
      <c r="BP1093" s="73"/>
      <c r="BQ1093" s="73"/>
      <c r="BR1093" s="138"/>
      <c r="BS1093" s="72"/>
      <c r="BT1093" s="73"/>
      <c r="BU1093" s="73"/>
      <c r="BV1093" s="74"/>
      <c r="BY1093" s="125">
        <f t="shared" ref="BY1093:BY1117" si="1524">AE1093+AI1093+AM1093+AQ1093+AU1093+AY1093+BC1093+BG1093+BK1093+BO1093+BS1093</f>
        <v>0</v>
      </c>
      <c r="BZ1093" s="126">
        <f t="shared" si="1474"/>
        <v>0</v>
      </c>
      <c r="CA1093" s="126">
        <f t="shared" ref="CA1093:CA1101" si="1525">AG1093+AK1093+AO1093+AS1093+AW1093+BA1093+BE1093+BI1093+BM1093+BQ1093+BU1093</f>
        <v>0</v>
      </c>
      <c r="CB1093" s="127">
        <f t="shared" si="1477"/>
        <v>0</v>
      </c>
    </row>
    <row r="1094" spans="1:82" ht="14.25" customHeight="1" outlineLevel="4" x14ac:dyDescent="0.25">
      <c r="A1094" s="10" t="b">
        <f>$U818="Водоснабжение"</f>
        <v>1</v>
      </c>
      <c r="B1094" s="5" t="b">
        <f t="array" ref="B1094">A1094</f>
        <v>1</v>
      </c>
      <c r="C1094" s="10" t="s">
        <v>83</v>
      </c>
      <c r="D1094" s="10" t="s">
        <v>84</v>
      </c>
      <c r="E1094" s="10" t="s">
        <v>73</v>
      </c>
      <c r="F1094" s="10" t="s">
        <v>74</v>
      </c>
      <c r="G1094" s="10" t="s">
        <v>477</v>
      </c>
      <c r="H1094" s="10" t="s">
        <v>73</v>
      </c>
      <c r="I1094" s="10" t="s">
        <v>73</v>
      </c>
      <c r="J1094" s="10" t="s">
        <v>73</v>
      </c>
      <c r="K1094" s="12" t="s">
        <v>73</v>
      </c>
      <c r="L1094" s="10" t="s">
        <v>452</v>
      </c>
      <c r="M1094" s="5" t="str">
        <f t="array" ref="M1094">Y818</f>
        <v>1ХВС::1.1</v>
      </c>
      <c r="Y1094" s="10">
        <f>COUNT($Y1091:Y1093)+1</f>
        <v>4</v>
      </c>
      <c r="AB1094" s="29" t="str">
        <f t="shared" si="1518"/>
        <v>3.1.3.3.4</v>
      </c>
      <c r="AC1094" s="294" t="s">
        <v>477</v>
      </c>
      <c r="AD1094" s="51" t="s">
        <v>111</v>
      </c>
      <c r="AE1094" s="72">
        <f t="shared" ref="AE1094:AK1095" si="1526">AE354</f>
        <v>7042.5</v>
      </c>
      <c r="AF1094" s="73">
        <f t="shared" si="1526"/>
        <v>8971.5499999999993</v>
      </c>
      <c r="AG1094" s="73">
        <f t="shared" si="1526"/>
        <v>13845.57</v>
      </c>
      <c r="AH1094" s="138">
        <f t="shared" si="1526"/>
        <v>10151.89</v>
      </c>
      <c r="AI1094" s="72">
        <f t="shared" si="1526"/>
        <v>255.48</v>
      </c>
      <c r="AJ1094" s="73">
        <f t="shared" si="1526"/>
        <v>291.49</v>
      </c>
      <c r="AK1094" s="73">
        <f t="shared" si="1526"/>
        <v>317.27</v>
      </c>
      <c r="AL1094" s="138">
        <f t="shared" ref="AL1094" si="1527">AL354</f>
        <v>277.01</v>
      </c>
      <c r="AM1094" s="72">
        <f t="shared" ref="AM1094:BM1094" si="1528">AM354</f>
        <v>739.51</v>
      </c>
      <c r="AN1094" s="73">
        <f t="shared" si="1528"/>
        <v>793.14</v>
      </c>
      <c r="AO1094" s="73">
        <f t="shared" si="1528"/>
        <v>1126.0999999999999</v>
      </c>
      <c r="AP1094" s="138">
        <f t="shared" si="1528"/>
        <v>1055.23</v>
      </c>
      <c r="AQ1094" s="72">
        <f t="shared" si="1528"/>
        <v>2180.1239999999998</v>
      </c>
      <c r="AR1094" s="73">
        <f t="shared" si="1528"/>
        <v>1828.72</v>
      </c>
      <c r="AS1094" s="73">
        <f t="shared" si="1528"/>
        <v>2360.9299999999998</v>
      </c>
      <c r="AT1094" s="138">
        <f t="shared" si="1528"/>
        <v>2399.8000000000002</v>
      </c>
      <c r="AU1094" s="72">
        <f t="shared" si="1528"/>
        <v>443.42</v>
      </c>
      <c r="AV1094" s="73">
        <f t="shared" si="1528"/>
        <v>417.68</v>
      </c>
      <c r="AW1094" s="73">
        <f t="shared" si="1528"/>
        <v>340.05</v>
      </c>
      <c r="AX1094" s="138">
        <f t="shared" si="1528"/>
        <v>414.27</v>
      </c>
      <c r="AY1094" s="72">
        <f t="shared" si="1528"/>
        <v>3307.72</v>
      </c>
      <c r="AZ1094" s="73">
        <f t="shared" si="1528"/>
        <v>2458.12</v>
      </c>
      <c r="BA1094" s="73">
        <f t="shared" si="1528"/>
        <v>4202.6499999999996</v>
      </c>
      <c r="BB1094" s="138">
        <f t="shared" si="1528"/>
        <v>2584.7600000000002</v>
      </c>
      <c r="BC1094" s="72">
        <f t="shared" si="1528"/>
        <v>767.27</v>
      </c>
      <c r="BD1094" s="73">
        <f t="shared" si="1528"/>
        <v>338.84</v>
      </c>
      <c r="BE1094" s="73">
        <f t="shared" si="1528"/>
        <v>767.875</v>
      </c>
      <c r="BF1094" s="138">
        <f t="shared" si="1528"/>
        <v>537.41</v>
      </c>
      <c r="BG1094" s="72">
        <f t="shared" si="1528"/>
        <v>2871.94</v>
      </c>
      <c r="BH1094" s="73">
        <f t="shared" si="1528"/>
        <v>1301.3900000000001</v>
      </c>
      <c r="BI1094" s="73">
        <f t="shared" si="1528"/>
        <v>2150.5700000000002</v>
      </c>
      <c r="BJ1094" s="138">
        <f t="shared" si="1528"/>
        <v>1091.1650000000002</v>
      </c>
      <c r="BK1094" s="72">
        <f t="shared" si="1528"/>
        <v>3222.8519999999999</v>
      </c>
      <c r="BL1094" s="73">
        <f t="shared" si="1528"/>
        <v>3250.47</v>
      </c>
      <c r="BM1094" s="73">
        <f t="shared" si="1528"/>
        <v>3961.63</v>
      </c>
      <c r="BN1094" s="138">
        <f>BN354+BN689-0.01</f>
        <v>3560.37</v>
      </c>
      <c r="BO1094" s="72">
        <f t="shared" ref="BO1094:BV1095" si="1529">BO354</f>
        <v>190.33</v>
      </c>
      <c r="BP1094" s="73">
        <f t="shared" si="1529"/>
        <v>68.63</v>
      </c>
      <c r="BQ1094" s="73">
        <f t="shared" si="1529"/>
        <v>76.593999999999994</v>
      </c>
      <c r="BR1094" s="138">
        <f t="shared" si="1529"/>
        <v>87.03</v>
      </c>
      <c r="BS1094" s="72">
        <f t="shared" si="1529"/>
        <v>160.97999999999999</v>
      </c>
      <c r="BT1094" s="73">
        <f t="shared" si="1529"/>
        <v>158.97</v>
      </c>
      <c r="BU1094" s="73">
        <f t="shared" si="1529"/>
        <v>143.15</v>
      </c>
      <c r="BV1094" s="74">
        <f t="shared" si="1529"/>
        <v>174.18</v>
      </c>
      <c r="BY1094" s="125">
        <f t="shared" si="1524"/>
        <v>21182.126</v>
      </c>
      <c r="BZ1094" s="126">
        <f t="shared" si="1474"/>
        <v>19879</v>
      </c>
      <c r="CA1094" s="126">
        <f t="shared" si="1525"/>
        <v>29292.389000000003</v>
      </c>
      <c r="CB1094" s="127">
        <f t="shared" si="1477"/>
        <v>22333.114999999998</v>
      </c>
    </row>
    <row r="1095" spans="1:82" ht="14.25" customHeight="1" outlineLevel="4" x14ac:dyDescent="0.25">
      <c r="A1095" s="10" t="b">
        <f t="array" ref="A1095">A1094</f>
        <v>1</v>
      </c>
      <c r="B1095" s="5" t="b">
        <f t="array" ref="B1095">A1095</f>
        <v>1</v>
      </c>
      <c r="C1095" s="10" t="s">
        <v>83</v>
      </c>
      <c r="D1095" s="10" t="s">
        <v>84</v>
      </c>
      <c r="E1095" s="10" t="s">
        <v>73</v>
      </c>
      <c r="F1095" s="10" t="s">
        <v>74</v>
      </c>
      <c r="G1095" s="10" t="s">
        <v>478</v>
      </c>
      <c r="H1095" s="10" t="s">
        <v>73</v>
      </c>
      <c r="I1095" s="10" t="s">
        <v>73</v>
      </c>
      <c r="J1095" s="10" t="s">
        <v>73</v>
      </c>
      <c r="K1095" s="12" t="s">
        <v>73</v>
      </c>
      <c r="L1095" s="10" t="s">
        <v>452</v>
      </c>
      <c r="M1095" s="5" t="str">
        <f t="array" ref="M1095">Y818</f>
        <v>1ХВС::1.1</v>
      </c>
      <c r="Y1095" s="10">
        <f>COUNT($Y1091:Y1094)+1</f>
        <v>5</v>
      </c>
      <c r="AB1095" s="29" t="str">
        <f t="shared" si="1518"/>
        <v>3.1.3.3.5</v>
      </c>
      <c r="AC1095" s="294" t="s">
        <v>478</v>
      </c>
      <c r="AD1095" s="51" t="s">
        <v>111</v>
      </c>
      <c r="AE1095" s="72">
        <f t="shared" si="1526"/>
        <v>19492.62</v>
      </c>
      <c r="AF1095" s="73">
        <f t="shared" si="1526"/>
        <v>24031.599999999999</v>
      </c>
      <c r="AG1095" s="73">
        <f t="shared" si="1526"/>
        <v>24169.88</v>
      </c>
      <c r="AH1095" s="138">
        <f t="shared" si="1526"/>
        <v>24169.88</v>
      </c>
      <c r="AI1095" s="72">
        <f t="shared" si="1526"/>
        <v>0</v>
      </c>
      <c r="AJ1095" s="73">
        <f t="shared" si="1526"/>
        <v>0</v>
      </c>
      <c r="AK1095" s="73">
        <f t="shared" si="1526"/>
        <v>0</v>
      </c>
      <c r="AL1095" s="138">
        <f t="shared" ref="AL1095" si="1530">AL355</f>
        <v>0</v>
      </c>
      <c r="AM1095" s="72">
        <f t="shared" ref="AM1095:BE1095" si="1531">AM355</f>
        <v>0</v>
      </c>
      <c r="AN1095" s="73">
        <f t="shared" si="1531"/>
        <v>0</v>
      </c>
      <c r="AO1095" s="73">
        <f t="shared" si="1531"/>
        <v>0</v>
      </c>
      <c r="AP1095" s="138">
        <f t="shared" si="1531"/>
        <v>0</v>
      </c>
      <c r="AQ1095" s="72">
        <f t="shared" si="1531"/>
        <v>0</v>
      </c>
      <c r="AR1095" s="73">
        <f t="shared" si="1531"/>
        <v>0</v>
      </c>
      <c r="AS1095" s="73">
        <f t="shared" si="1531"/>
        <v>0</v>
      </c>
      <c r="AT1095" s="138">
        <f t="shared" si="1531"/>
        <v>0</v>
      </c>
      <c r="AU1095" s="72">
        <f t="shared" si="1531"/>
        <v>0</v>
      </c>
      <c r="AV1095" s="73">
        <f t="shared" si="1531"/>
        <v>0</v>
      </c>
      <c r="AW1095" s="73">
        <f t="shared" si="1531"/>
        <v>0</v>
      </c>
      <c r="AX1095" s="138">
        <f t="shared" si="1531"/>
        <v>0</v>
      </c>
      <c r="AY1095" s="72">
        <f t="shared" si="1531"/>
        <v>0</v>
      </c>
      <c r="AZ1095" s="73">
        <f t="shared" si="1531"/>
        <v>0</v>
      </c>
      <c r="BA1095" s="73">
        <f t="shared" si="1531"/>
        <v>0</v>
      </c>
      <c r="BB1095" s="138">
        <f t="shared" si="1531"/>
        <v>0</v>
      </c>
      <c r="BC1095" s="72">
        <f t="shared" si="1531"/>
        <v>0.01</v>
      </c>
      <c r="BD1095" s="73">
        <f t="shared" si="1531"/>
        <v>0</v>
      </c>
      <c r="BE1095" s="73">
        <f t="shared" si="1531"/>
        <v>0.01</v>
      </c>
      <c r="BF1095" s="138"/>
      <c r="BG1095" s="72">
        <f>BG355</f>
        <v>0</v>
      </c>
      <c r="BH1095" s="73">
        <f>BH355</f>
        <v>0</v>
      </c>
      <c r="BI1095" s="73">
        <f>BI355</f>
        <v>0</v>
      </c>
      <c r="BJ1095" s="138"/>
      <c r="BK1095" s="72">
        <f>BK355</f>
        <v>0</v>
      </c>
      <c r="BL1095" s="73">
        <f>BL355</f>
        <v>0</v>
      </c>
      <c r="BM1095" s="73">
        <f>BM355</f>
        <v>0</v>
      </c>
      <c r="BN1095" s="138">
        <f t="shared" si="1523"/>
        <v>0</v>
      </c>
      <c r="BO1095" s="72">
        <f t="shared" si="1529"/>
        <v>0</v>
      </c>
      <c r="BP1095" s="73">
        <f t="shared" si="1529"/>
        <v>0</v>
      </c>
      <c r="BQ1095" s="73">
        <f t="shared" si="1529"/>
        <v>0</v>
      </c>
      <c r="BR1095" s="138">
        <f t="shared" si="1529"/>
        <v>0</v>
      </c>
      <c r="BS1095" s="72">
        <f t="shared" si="1529"/>
        <v>0</v>
      </c>
      <c r="BT1095" s="73">
        <f t="shared" si="1529"/>
        <v>0</v>
      </c>
      <c r="BU1095" s="73">
        <f t="shared" si="1529"/>
        <v>0</v>
      </c>
      <c r="BV1095" s="74">
        <f t="shared" si="1529"/>
        <v>0</v>
      </c>
      <c r="BY1095" s="125">
        <f t="shared" si="1524"/>
        <v>19492.629999999997</v>
      </c>
      <c r="BZ1095" s="126">
        <f t="shared" si="1474"/>
        <v>24031.599999999999</v>
      </c>
      <c r="CA1095" s="126">
        <f t="shared" si="1525"/>
        <v>24169.89</v>
      </c>
      <c r="CB1095" s="127">
        <f t="shared" si="1477"/>
        <v>24169.88</v>
      </c>
    </row>
    <row r="1096" spans="1:82" ht="15" customHeight="1" outlineLevel="4" x14ac:dyDescent="0.25">
      <c r="C1096" s="10" t="s">
        <v>83</v>
      </c>
      <c r="D1096" s="10" t="s">
        <v>84</v>
      </c>
      <c r="E1096" s="10" t="s">
        <v>73</v>
      </c>
      <c r="F1096" s="10" t="s">
        <v>74</v>
      </c>
      <c r="G1096" s="10" t="s">
        <v>479</v>
      </c>
      <c r="H1096" s="10" t="s">
        <v>73</v>
      </c>
      <c r="I1096" s="10" t="s">
        <v>73</v>
      </c>
      <c r="J1096" s="10" t="s">
        <v>73</v>
      </c>
      <c r="K1096" s="12" t="s">
        <v>73</v>
      </c>
      <c r="L1096" s="10" t="s">
        <v>452</v>
      </c>
      <c r="M1096" s="5" t="str">
        <f t="array" ref="M1096">Y818</f>
        <v>1ХВС::1.1</v>
      </c>
      <c r="Y1096" s="10">
        <f>COUNT($Y1091:Y1095)+1</f>
        <v>6</v>
      </c>
      <c r="AB1096" s="29" t="str">
        <f t="shared" si="1518"/>
        <v>3.1.3.3.6</v>
      </c>
      <c r="AC1096" s="294" t="s">
        <v>479</v>
      </c>
      <c r="AD1096" s="51" t="s">
        <v>111</v>
      </c>
      <c r="AE1096" s="72">
        <f t="shared" ref="AE1096:AK1097" si="1532">AE356+AE691</f>
        <v>1208.5900000000001</v>
      </c>
      <c r="AF1096" s="73">
        <f t="shared" si="1532"/>
        <v>1048.6100000000001</v>
      </c>
      <c r="AG1096" s="73">
        <f t="shared" si="1532"/>
        <v>1208.6100000000001</v>
      </c>
      <c r="AH1096" s="138">
        <f t="shared" si="1532"/>
        <v>1208.5900000000001</v>
      </c>
      <c r="AI1096" s="72">
        <f t="shared" si="1532"/>
        <v>0</v>
      </c>
      <c r="AJ1096" s="73">
        <f t="shared" si="1532"/>
        <v>0</v>
      </c>
      <c r="AK1096" s="73">
        <f t="shared" si="1532"/>
        <v>0</v>
      </c>
      <c r="AL1096" s="138">
        <f t="shared" ref="AL1096" si="1533">AL356+AL691</f>
        <v>0</v>
      </c>
      <c r="AM1096" s="72">
        <f t="shared" ref="AM1096:BE1096" si="1534">AM356+AM691</f>
        <v>15.18</v>
      </c>
      <c r="AN1096" s="73">
        <f t="shared" si="1534"/>
        <v>2.99</v>
      </c>
      <c r="AO1096" s="73">
        <f t="shared" si="1534"/>
        <v>18.7</v>
      </c>
      <c r="AP1096" s="138">
        <f t="shared" si="1534"/>
        <v>18.7</v>
      </c>
      <c r="AQ1096" s="72">
        <f t="shared" si="1534"/>
        <v>0</v>
      </c>
      <c r="AR1096" s="73">
        <f t="shared" si="1534"/>
        <v>0</v>
      </c>
      <c r="AS1096" s="73">
        <f t="shared" si="1534"/>
        <v>0</v>
      </c>
      <c r="AT1096" s="138">
        <f t="shared" si="1534"/>
        <v>0</v>
      </c>
      <c r="AU1096" s="72">
        <f t="shared" si="1534"/>
        <v>0</v>
      </c>
      <c r="AV1096" s="73">
        <f t="shared" si="1534"/>
        <v>0</v>
      </c>
      <c r="AW1096" s="73">
        <f t="shared" si="1534"/>
        <v>0</v>
      </c>
      <c r="AX1096" s="138">
        <f t="shared" si="1534"/>
        <v>0</v>
      </c>
      <c r="AY1096" s="72">
        <f t="shared" si="1534"/>
        <v>0</v>
      </c>
      <c r="AZ1096" s="73">
        <f t="shared" si="1534"/>
        <v>15.06</v>
      </c>
      <c r="BA1096" s="73">
        <f t="shared" si="1534"/>
        <v>0</v>
      </c>
      <c r="BB1096" s="138">
        <f t="shared" si="1534"/>
        <v>0</v>
      </c>
      <c r="BC1096" s="72">
        <f t="shared" si="1534"/>
        <v>18.88</v>
      </c>
      <c r="BD1096" s="73">
        <f t="shared" si="1534"/>
        <v>0</v>
      </c>
      <c r="BE1096" s="73">
        <f t="shared" si="1534"/>
        <v>18.88</v>
      </c>
      <c r="BF1096" s="138">
        <f>BF356</f>
        <v>18.14</v>
      </c>
      <c r="BG1096" s="72">
        <f t="shared" ref="BG1096:BI1097" si="1535">BG356+BG691</f>
        <v>33.436</v>
      </c>
      <c r="BH1096" s="73">
        <f t="shared" si="1535"/>
        <v>11.64</v>
      </c>
      <c r="BI1096" s="73">
        <f t="shared" si="1535"/>
        <v>32.5</v>
      </c>
      <c r="BJ1096" s="138"/>
      <c r="BK1096" s="72">
        <f t="shared" ref="BK1096:BM1097" si="1536">BK356+BK691</f>
        <v>92.682000000000002</v>
      </c>
      <c r="BL1096" s="73">
        <f t="shared" si="1536"/>
        <v>0</v>
      </c>
      <c r="BM1096" s="73">
        <f t="shared" si="1536"/>
        <v>0</v>
      </c>
      <c r="BN1096" s="138">
        <f t="shared" si="1523"/>
        <v>35.596000000000004</v>
      </c>
      <c r="BO1096" s="72">
        <f t="shared" ref="BO1096:BV1097" si="1537">BO356+BO691</f>
        <v>6.71</v>
      </c>
      <c r="BP1096" s="73">
        <f t="shared" si="1537"/>
        <v>0</v>
      </c>
      <c r="BQ1096" s="73">
        <f t="shared" si="1537"/>
        <v>6.71</v>
      </c>
      <c r="BR1096" s="138">
        <f t="shared" si="1537"/>
        <v>6.72</v>
      </c>
      <c r="BS1096" s="72">
        <f t="shared" si="1537"/>
        <v>1.5</v>
      </c>
      <c r="BT1096" s="73">
        <f t="shared" si="1537"/>
        <v>0</v>
      </c>
      <c r="BU1096" s="73">
        <f t="shared" si="1537"/>
        <v>1.5</v>
      </c>
      <c r="BV1096" s="74">
        <f t="shared" si="1537"/>
        <v>1.51</v>
      </c>
      <c r="BY1096" s="125">
        <f t="shared" si="1524"/>
        <v>1376.9780000000003</v>
      </c>
      <c r="BZ1096" s="126">
        <f t="shared" si="1474"/>
        <v>1078.3000000000002</v>
      </c>
      <c r="CA1096" s="126">
        <f t="shared" si="1525"/>
        <v>1286.9000000000003</v>
      </c>
      <c r="CB1096" s="127">
        <f t="shared" si="1477"/>
        <v>1289.2560000000003</v>
      </c>
    </row>
    <row r="1097" spans="1:82" ht="15.75" customHeight="1" outlineLevel="4" x14ac:dyDescent="0.25">
      <c r="C1097" s="10" t="s">
        <v>83</v>
      </c>
      <c r="D1097" s="10" t="s">
        <v>84</v>
      </c>
      <c r="E1097" s="10" t="s">
        <v>73</v>
      </c>
      <c r="F1097" s="10" t="s">
        <v>74</v>
      </c>
      <c r="G1097" s="10" t="s">
        <v>480</v>
      </c>
      <c r="H1097" s="10" t="s">
        <v>73</v>
      </c>
      <c r="I1097" s="10" t="s">
        <v>73</v>
      </c>
      <c r="J1097" s="10" t="s">
        <v>73</v>
      </c>
      <c r="K1097" s="12" t="s">
        <v>73</v>
      </c>
      <c r="L1097" s="10" t="s">
        <v>452</v>
      </c>
      <c r="M1097" s="5" t="str">
        <f t="array" ref="M1097">Y818</f>
        <v>1ХВС::1.1</v>
      </c>
      <c r="Y1097" s="10">
        <f>COUNT($Y1091:Y1096)+1</f>
        <v>7</v>
      </c>
      <c r="AB1097" s="29" t="str">
        <f t="shared" si="1518"/>
        <v>3.1.3.3.7</v>
      </c>
      <c r="AC1097" s="294" t="s">
        <v>480</v>
      </c>
      <c r="AD1097" s="51" t="s">
        <v>111</v>
      </c>
      <c r="AE1097" s="72">
        <f t="shared" si="1532"/>
        <v>38.19</v>
      </c>
      <c r="AF1097" s="73">
        <f t="shared" si="1532"/>
        <v>10117.470000000001</v>
      </c>
      <c r="AG1097" s="73">
        <f t="shared" si="1532"/>
        <v>12675</v>
      </c>
      <c r="AH1097" s="138">
        <f t="shared" si="1532"/>
        <v>17.39</v>
      </c>
      <c r="AI1097" s="72">
        <f t="shared" si="1532"/>
        <v>0</v>
      </c>
      <c r="AJ1097" s="73">
        <f t="shared" si="1532"/>
        <v>793.24</v>
      </c>
      <c r="AK1097" s="73">
        <f t="shared" si="1532"/>
        <v>0</v>
      </c>
      <c r="AL1097" s="138">
        <f t="shared" ref="AL1097" si="1538">AL357+AL692</f>
        <v>0</v>
      </c>
      <c r="AM1097" s="72">
        <f t="shared" ref="AM1097:BE1097" si="1539">AM357+AM692</f>
        <v>0</v>
      </c>
      <c r="AN1097" s="73">
        <f t="shared" si="1539"/>
        <v>0</v>
      </c>
      <c r="AO1097" s="73">
        <f t="shared" si="1539"/>
        <v>0</v>
      </c>
      <c r="AP1097" s="138">
        <f t="shared" si="1539"/>
        <v>0</v>
      </c>
      <c r="AQ1097" s="72">
        <f t="shared" si="1539"/>
        <v>0</v>
      </c>
      <c r="AR1097" s="73">
        <f t="shared" si="1539"/>
        <v>0</v>
      </c>
      <c r="AS1097" s="73">
        <f t="shared" si="1539"/>
        <v>0</v>
      </c>
      <c r="AT1097" s="138">
        <f t="shared" si="1539"/>
        <v>0</v>
      </c>
      <c r="AU1097" s="72">
        <f t="shared" si="1539"/>
        <v>0</v>
      </c>
      <c r="AV1097" s="73">
        <f t="shared" si="1539"/>
        <v>0</v>
      </c>
      <c r="AW1097" s="73">
        <f t="shared" si="1539"/>
        <v>957.48</v>
      </c>
      <c r="AX1097" s="138">
        <f t="shared" si="1539"/>
        <v>0</v>
      </c>
      <c r="AY1097" s="72">
        <f t="shared" si="1539"/>
        <v>0</v>
      </c>
      <c r="AZ1097" s="73">
        <f t="shared" si="1539"/>
        <v>0</v>
      </c>
      <c r="BA1097" s="73">
        <f t="shared" si="1539"/>
        <v>0</v>
      </c>
      <c r="BB1097" s="138">
        <f t="shared" si="1539"/>
        <v>0</v>
      </c>
      <c r="BC1097" s="72">
        <f t="shared" si="1539"/>
        <v>0</v>
      </c>
      <c r="BD1097" s="73">
        <f t="shared" si="1539"/>
        <v>0</v>
      </c>
      <c r="BE1097" s="73">
        <f t="shared" si="1539"/>
        <v>0</v>
      </c>
      <c r="BF1097" s="138"/>
      <c r="BG1097" s="72">
        <f t="shared" si="1535"/>
        <v>0.01</v>
      </c>
      <c r="BH1097" s="73">
        <f t="shared" si="1535"/>
        <v>0</v>
      </c>
      <c r="BI1097" s="73">
        <f t="shared" si="1535"/>
        <v>35808.81</v>
      </c>
      <c r="BJ1097" s="138"/>
      <c r="BK1097" s="72">
        <f t="shared" si="1536"/>
        <v>0</v>
      </c>
      <c r="BL1097" s="73">
        <f t="shared" si="1536"/>
        <v>0</v>
      </c>
      <c r="BM1097" s="73">
        <f t="shared" si="1536"/>
        <v>0</v>
      </c>
      <c r="BN1097" s="138">
        <f t="shared" si="1523"/>
        <v>0</v>
      </c>
      <c r="BO1097" s="72">
        <f t="shared" si="1537"/>
        <v>0</v>
      </c>
      <c r="BP1097" s="73">
        <f t="shared" si="1537"/>
        <v>0</v>
      </c>
      <c r="BQ1097" s="73">
        <f t="shared" si="1537"/>
        <v>0</v>
      </c>
      <c r="BR1097" s="138">
        <f t="shared" si="1537"/>
        <v>0</v>
      </c>
      <c r="BS1097" s="72">
        <f t="shared" si="1537"/>
        <v>0</v>
      </c>
      <c r="BT1097" s="73">
        <f t="shared" si="1537"/>
        <v>0</v>
      </c>
      <c r="BU1097" s="73">
        <f t="shared" si="1537"/>
        <v>4728.1000000000004</v>
      </c>
      <c r="BV1097" s="74">
        <f t="shared" si="1537"/>
        <v>0</v>
      </c>
      <c r="BY1097" s="125">
        <f t="shared" si="1524"/>
        <v>38.199999999999996</v>
      </c>
      <c r="BZ1097" s="126">
        <f t="shared" si="1474"/>
        <v>10910.710000000001</v>
      </c>
      <c r="CA1097" s="126">
        <f t="shared" si="1525"/>
        <v>54169.389999999992</v>
      </c>
      <c r="CB1097" s="127">
        <f t="shared" si="1477"/>
        <v>17.39</v>
      </c>
    </row>
    <row r="1098" spans="1:82" ht="14.25" customHeight="1" outlineLevel="4" x14ac:dyDescent="0.25">
      <c r="C1098" s="10" t="s">
        <v>83</v>
      </c>
      <c r="D1098" s="10" t="s">
        <v>84</v>
      </c>
      <c r="E1098" s="10" t="s">
        <v>73</v>
      </c>
      <c r="F1098" s="10" t="s">
        <v>74</v>
      </c>
      <c r="G1098" s="10" t="s">
        <v>481</v>
      </c>
      <c r="H1098" s="10" t="s">
        <v>73</v>
      </c>
      <c r="I1098" s="10" t="s">
        <v>73</v>
      </c>
      <c r="J1098" s="10" t="s">
        <v>73</v>
      </c>
      <c r="K1098" s="12" t="s">
        <v>73</v>
      </c>
      <c r="L1098" s="10" t="s">
        <v>452</v>
      </c>
      <c r="M1098" s="5" t="str">
        <f t="array" ref="M1098">Y818</f>
        <v>1ХВС::1.1</v>
      </c>
      <c r="Y1098" s="10">
        <f>COUNT($Y1091:Y1097)+1</f>
        <v>8</v>
      </c>
      <c r="AB1098" s="29" t="str">
        <f t="shared" si="1518"/>
        <v>3.1.3.3.8</v>
      </c>
      <c r="AC1098" s="294" t="s">
        <v>481</v>
      </c>
      <c r="AD1098" s="51" t="s">
        <v>111</v>
      </c>
      <c r="AE1098" s="72">
        <f t="shared" ref="AE1098:AH1099" si="1540">AE358+AE693</f>
        <v>0</v>
      </c>
      <c r="AF1098" s="73">
        <f t="shared" si="1540"/>
        <v>0</v>
      </c>
      <c r="AG1098" s="73">
        <f t="shared" si="1540"/>
        <v>0</v>
      </c>
      <c r="AH1098" s="138">
        <f t="shared" si="1540"/>
        <v>0</v>
      </c>
      <c r="AI1098" s="72"/>
      <c r="AJ1098" s="178"/>
      <c r="AK1098" s="73"/>
      <c r="AL1098" s="138"/>
      <c r="AM1098" s="72"/>
      <c r="AN1098" s="178"/>
      <c r="AO1098" s="73"/>
      <c r="AP1098" s="138"/>
      <c r="AQ1098" s="72"/>
      <c r="AR1098" s="178"/>
      <c r="AS1098" s="73"/>
      <c r="AT1098" s="138"/>
      <c r="AU1098" s="72"/>
      <c r="AV1098" s="178"/>
      <c r="AW1098" s="73"/>
      <c r="AX1098" s="138"/>
      <c r="AY1098" s="72"/>
      <c r="AZ1098" s="178"/>
      <c r="BA1098" s="73"/>
      <c r="BB1098" s="138"/>
      <c r="BC1098" s="72">
        <v>0</v>
      </c>
      <c r="BD1098" s="178"/>
      <c r="BE1098" s="73">
        <v>0</v>
      </c>
      <c r="BF1098" s="138"/>
      <c r="BG1098" s="72"/>
      <c r="BH1098" s="178"/>
      <c r="BI1098" s="73"/>
      <c r="BJ1098" s="138"/>
      <c r="BK1098" s="72"/>
      <c r="BL1098" s="178"/>
      <c r="BM1098" s="73"/>
      <c r="BN1098" s="138">
        <f t="shared" si="1523"/>
        <v>0</v>
      </c>
      <c r="BO1098" s="142"/>
      <c r="BP1098" s="183"/>
      <c r="BQ1098" s="140"/>
      <c r="BR1098" s="141"/>
      <c r="BS1098" s="142"/>
      <c r="BT1098" s="183"/>
      <c r="BU1098" s="140"/>
      <c r="BV1098" s="143"/>
      <c r="BY1098" s="125">
        <f t="shared" si="1524"/>
        <v>0</v>
      </c>
      <c r="BZ1098" s="126">
        <f t="shared" si="1474"/>
        <v>0</v>
      </c>
      <c r="CA1098" s="126">
        <f t="shared" si="1525"/>
        <v>0</v>
      </c>
      <c r="CB1098" s="127">
        <f t="shared" si="1477"/>
        <v>0</v>
      </c>
    </row>
    <row r="1099" spans="1:82" ht="14.25" customHeight="1" outlineLevel="4" x14ac:dyDescent="0.25">
      <c r="C1099" s="10" t="s">
        <v>83</v>
      </c>
      <c r="D1099" s="10" t="s">
        <v>84</v>
      </c>
      <c r="E1099" s="10" t="s">
        <v>73</v>
      </c>
      <c r="F1099" s="10" t="s">
        <v>74</v>
      </c>
      <c r="G1099" s="10" t="s">
        <v>482</v>
      </c>
      <c r="H1099" s="10" t="s">
        <v>73</v>
      </c>
      <c r="I1099" s="10" t="s">
        <v>73</v>
      </c>
      <c r="J1099" s="10" t="s">
        <v>73</v>
      </c>
      <c r="K1099" s="12" t="s">
        <v>73</v>
      </c>
      <c r="L1099" s="10" t="s">
        <v>452</v>
      </c>
      <c r="M1099" s="5" t="str">
        <f t="array" ref="M1099">Y818</f>
        <v>1ХВС::1.1</v>
      </c>
      <c r="Y1099" s="10">
        <f>COUNT($Y1091:Y1098)+1</f>
        <v>9</v>
      </c>
      <c r="AB1099" s="29" t="str">
        <f t="shared" si="1518"/>
        <v>3.1.3.3.9</v>
      </c>
      <c r="AC1099" s="294" t="s">
        <v>483</v>
      </c>
      <c r="AD1099" s="51" t="s">
        <v>111</v>
      </c>
      <c r="AE1099" s="72">
        <f t="shared" si="1540"/>
        <v>0</v>
      </c>
      <c r="AF1099" s="73">
        <f t="shared" si="1540"/>
        <v>0</v>
      </c>
      <c r="AG1099" s="73">
        <f t="shared" si="1540"/>
        <v>0</v>
      </c>
      <c r="AH1099" s="138">
        <f t="shared" si="1540"/>
        <v>0</v>
      </c>
      <c r="AI1099" s="72"/>
      <c r="AJ1099" s="178"/>
      <c r="AK1099" s="73"/>
      <c r="AL1099" s="138"/>
      <c r="AM1099" s="72"/>
      <c r="AN1099" s="178"/>
      <c r="AO1099" s="73"/>
      <c r="AP1099" s="138"/>
      <c r="AQ1099" s="72"/>
      <c r="AR1099" s="178"/>
      <c r="AS1099" s="73"/>
      <c r="AT1099" s="138"/>
      <c r="AU1099" s="72"/>
      <c r="AV1099" s="178"/>
      <c r="AW1099" s="73"/>
      <c r="AX1099" s="138"/>
      <c r="AY1099" s="72"/>
      <c r="AZ1099" s="178"/>
      <c r="BA1099" s="73"/>
      <c r="BB1099" s="138"/>
      <c r="BC1099" s="72">
        <v>0</v>
      </c>
      <c r="BD1099" s="178"/>
      <c r="BE1099" s="73">
        <v>0</v>
      </c>
      <c r="BF1099" s="138"/>
      <c r="BG1099" s="72"/>
      <c r="BH1099" s="178"/>
      <c r="BI1099" s="73"/>
      <c r="BJ1099" s="138"/>
      <c r="BK1099" s="72"/>
      <c r="BL1099" s="178"/>
      <c r="BM1099" s="73"/>
      <c r="BN1099" s="138">
        <f t="shared" si="1523"/>
        <v>0</v>
      </c>
      <c r="BO1099" s="142"/>
      <c r="BP1099" s="183"/>
      <c r="BQ1099" s="140"/>
      <c r="BR1099" s="141"/>
      <c r="BS1099" s="142"/>
      <c r="BT1099" s="183"/>
      <c r="BU1099" s="140"/>
      <c r="BV1099" s="143"/>
      <c r="BY1099" s="125">
        <f t="shared" si="1524"/>
        <v>0</v>
      </c>
      <c r="BZ1099" s="126">
        <f t="shared" si="1474"/>
        <v>0</v>
      </c>
      <c r="CA1099" s="126">
        <f t="shared" si="1525"/>
        <v>0</v>
      </c>
      <c r="CB1099" s="127">
        <f t="shared" si="1477"/>
        <v>0</v>
      </c>
    </row>
    <row r="1100" spans="1:82" ht="19.149999999999999" customHeight="1" outlineLevel="3" x14ac:dyDescent="0.25">
      <c r="C1100" s="10" t="s">
        <v>83</v>
      </c>
      <c r="D1100" s="10" t="s">
        <v>84</v>
      </c>
      <c r="E1100" s="10" t="s">
        <v>73</v>
      </c>
      <c r="F1100" s="10" t="s">
        <v>74</v>
      </c>
      <c r="G1100" s="10" t="s">
        <v>484</v>
      </c>
      <c r="H1100" s="10" t="s">
        <v>73</v>
      </c>
      <c r="I1100" s="10" t="s">
        <v>73</v>
      </c>
      <c r="J1100" s="10" t="s">
        <v>73</v>
      </c>
      <c r="K1100" s="12" t="s">
        <v>73</v>
      </c>
      <c r="L1100" s="10" t="s">
        <v>407</v>
      </c>
      <c r="M1100" s="5" t="str">
        <f t="array" ref="M1100">Y818</f>
        <v>1ХВС::1.1</v>
      </c>
      <c r="AB1100" s="65" t="str">
        <f>AB1075&amp;".4"</f>
        <v>3.1.3.4</v>
      </c>
      <c r="AC1100" s="92" t="s">
        <v>485</v>
      </c>
      <c r="AD1100" s="51" t="s">
        <v>111</v>
      </c>
      <c r="AE1100" s="72">
        <f t="shared" ref="AE1100:AK1100" si="1541">AE1101+AE1104+AE1105+AE1106</f>
        <v>43644.58</v>
      </c>
      <c r="AF1100" s="73">
        <f t="shared" si="1541"/>
        <v>5066.4100000000017</v>
      </c>
      <c r="AG1100" s="73">
        <f t="shared" si="1541"/>
        <v>66420.849999999991</v>
      </c>
      <c r="AH1100" s="138">
        <f t="shared" si="1541"/>
        <v>0</v>
      </c>
      <c r="AI1100" s="72">
        <f t="shared" si="1541"/>
        <v>207.4</v>
      </c>
      <c r="AJ1100" s="73">
        <f t="shared" si="1541"/>
        <v>0</v>
      </c>
      <c r="AK1100" s="73">
        <f t="shared" si="1541"/>
        <v>207.4</v>
      </c>
      <c r="AL1100" s="138">
        <f t="shared" ref="AL1100" si="1542">AL1101+AL1104+AL1105+AL1106</f>
        <v>0</v>
      </c>
      <c r="AM1100" s="72">
        <f t="shared" ref="AM1100:AU1100" si="1543">AM1101+AM1104+AM1105+AM1106</f>
        <v>416.76</v>
      </c>
      <c r="AN1100" s="73">
        <f t="shared" si="1543"/>
        <v>0</v>
      </c>
      <c r="AO1100" s="73">
        <f t="shared" si="1543"/>
        <v>563.11</v>
      </c>
      <c r="AP1100" s="138">
        <f t="shared" si="1543"/>
        <v>0</v>
      </c>
      <c r="AQ1100" s="72">
        <f t="shared" si="1543"/>
        <v>184.82</v>
      </c>
      <c r="AR1100" s="73">
        <f t="shared" si="1543"/>
        <v>0</v>
      </c>
      <c r="AS1100" s="73">
        <f t="shared" si="1543"/>
        <v>237.81</v>
      </c>
      <c r="AT1100" s="138">
        <f t="shared" si="1543"/>
        <v>0</v>
      </c>
      <c r="AU1100" s="72">
        <f t="shared" si="1543"/>
        <v>46.37</v>
      </c>
      <c r="AV1100" s="73">
        <v>180</v>
      </c>
      <c r="AW1100" s="73">
        <f t="shared" ref="AW1100:BC1100" si="1544">AW1101+AW1104+AW1105+AW1106</f>
        <v>57.99</v>
      </c>
      <c r="AX1100" s="138">
        <f t="shared" si="1544"/>
        <v>0</v>
      </c>
      <c r="AY1100" s="72">
        <f t="shared" si="1544"/>
        <v>0</v>
      </c>
      <c r="AZ1100" s="73">
        <f t="shared" si="1544"/>
        <v>0</v>
      </c>
      <c r="BA1100" s="73">
        <f t="shared" si="1544"/>
        <v>0</v>
      </c>
      <c r="BB1100" s="138">
        <f t="shared" si="1544"/>
        <v>0</v>
      </c>
      <c r="BC1100" s="72">
        <f t="shared" si="1544"/>
        <v>251.57</v>
      </c>
      <c r="BD1100" s="73">
        <v>480</v>
      </c>
      <c r="BE1100" s="73">
        <f>BE1101+BE1104+BE1105+BE1106</f>
        <v>277.87700000000001</v>
      </c>
      <c r="BF1100" s="138">
        <f>BF1101+BF1104+BF1105+BF1106</f>
        <v>561.54</v>
      </c>
      <c r="BG1100" s="72">
        <f>BG1101+BG1104+BG1105+BG1106</f>
        <v>9.52</v>
      </c>
      <c r="BH1100" s="73">
        <f>BH1101+BH1104+BH1105+BH1106</f>
        <v>0</v>
      </c>
      <c r="BI1100" s="73">
        <f>BI1101+BI1104+BI1105+BI1106</f>
        <v>45.97</v>
      </c>
      <c r="BJ1100" s="138"/>
      <c r="BK1100" s="72">
        <f>BK1101+BK1104+BK1105+BK1106</f>
        <v>1036.3499999999999</v>
      </c>
      <c r="BL1100" s="73">
        <f>BL1101+BL1104+BL1105+BL1106</f>
        <v>0</v>
      </c>
      <c r="BM1100" s="73">
        <f>BM1101+BM1104+BM1105+BM1106</f>
        <v>764.24</v>
      </c>
      <c r="BN1100" s="138">
        <f t="shared" si="1523"/>
        <v>0</v>
      </c>
      <c r="BO1100" s="142">
        <f t="shared" ref="BO1100:BV1100" si="1545">SUM(BO1101:BO1110)</f>
        <v>176.32</v>
      </c>
      <c r="BP1100" s="140">
        <f t="shared" si="1545"/>
        <v>0</v>
      </c>
      <c r="BQ1100" s="140">
        <f t="shared" si="1545"/>
        <v>194.53</v>
      </c>
      <c r="BR1100" s="141">
        <f t="shared" si="1545"/>
        <v>0</v>
      </c>
      <c r="BS1100" s="142">
        <f t="shared" si="1545"/>
        <v>250.72499999999999</v>
      </c>
      <c r="BT1100" s="140">
        <f t="shared" si="1545"/>
        <v>0</v>
      </c>
      <c r="BU1100" s="140">
        <f t="shared" si="1545"/>
        <v>260.99</v>
      </c>
      <c r="BV1100" s="143">
        <f t="shared" si="1545"/>
        <v>0</v>
      </c>
      <c r="BY1100" s="125">
        <f t="shared" si="1524"/>
        <v>46224.415000000001</v>
      </c>
      <c r="BZ1100" s="126">
        <f t="shared" si="1474"/>
        <v>5726.4100000000017</v>
      </c>
      <c r="CA1100" s="126">
        <f t="shared" si="1525"/>
        <v>69030.766999999993</v>
      </c>
      <c r="CB1100" s="127">
        <f t="shared" si="1477"/>
        <v>561.54</v>
      </c>
    </row>
    <row r="1101" spans="1:82" ht="14.25" customHeight="1" outlineLevel="4" x14ac:dyDescent="0.25">
      <c r="C1101" s="10" t="s">
        <v>83</v>
      </c>
      <c r="D1101" s="10" t="s">
        <v>84</v>
      </c>
      <c r="E1101" s="10" t="s">
        <v>73</v>
      </c>
      <c r="F1101" s="10" t="s">
        <v>74</v>
      </c>
      <c r="G1101" s="10" t="s">
        <v>486</v>
      </c>
      <c r="H1101" s="10" t="s">
        <v>73</v>
      </c>
      <c r="I1101" s="10" t="s">
        <v>73</v>
      </c>
      <c r="J1101" s="10" t="s">
        <v>73</v>
      </c>
      <c r="K1101" s="12" t="s">
        <v>73</v>
      </c>
      <c r="L1101" s="10" t="s">
        <v>407</v>
      </c>
      <c r="M1101" s="5" t="str">
        <f t="array" ref="M1101">Y818</f>
        <v>1ХВС::1.1</v>
      </c>
      <c r="Y1101" s="10">
        <v>1</v>
      </c>
      <c r="AB1101" s="29" t="str">
        <f>AB$360&amp;"."&amp;Y1101</f>
        <v>3.1.3.4.1</v>
      </c>
      <c r="AC1101" s="294" t="s">
        <v>486</v>
      </c>
      <c r="AD1101" s="51" t="s">
        <v>111</v>
      </c>
      <c r="AE1101" s="72">
        <f>AE1102+AE1103</f>
        <v>0</v>
      </c>
      <c r="AF1101" s="73">
        <f t="shared" ref="AF1101:AK1101" si="1546">AF1102+AF1103</f>
        <v>0</v>
      </c>
      <c r="AG1101" s="73">
        <f t="shared" si="1546"/>
        <v>0</v>
      </c>
      <c r="AH1101" s="138">
        <f t="shared" si="1546"/>
        <v>0</v>
      </c>
      <c r="AI1101" s="72">
        <f t="shared" si="1546"/>
        <v>0</v>
      </c>
      <c r="AJ1101" s="73">
        <f t="shared" si="1546"/>
        <v>0</v>
      </c>
      <c r="AK1101" s="73">
        <f t="shared" si="1546"/>
        <v>0</v>
      </c>
      <c r="AL1101" s="138">
        <f t="shared" ref="AL1101" si="1547">AL1102+AL1103</f>
        <v>0</v>
      </c>
      <c r="AM1101" s="72">
        <f t="shared" ref="AM1101:BI1101" si="1548">AM1102+AM1103</f>
        <v>0</v>
      </c>
      <c r="AN1101" s="73">
        <f t="shared" si="1548"/>
        <v>0</v>
      </c>
      <c r="AO1101" s="73">
        <f t="shared" si="1548"/>
        <v>0</v>
      </c>
      <c r="AP1101" s="138">
        <f t="shared" si="1548"/>
        <v>0</v>
      </c>
      <c r="AQ1101" s="72">
        <f t="shared" si="1548"/>
        <v>0</v>
      </c>
      <c r="AR1101" s="73">
        <f t="shared" si="1548"/>
        <v>0</v>
      </c>
      <c r="AS1101" s="73">
        <f t="shared" si="1548"/>
        <v>0</v>
      </c>
      <c r="AT1101" s="138">
        <f t="shared" si="1548"/>
        <v>0</v>
      </c>
      <c r="AU1101" s="72">
        <f t="shared" si="1548"/>
        <v>0</v>
      </c>
      <c r="AV1101" s="73">
        <f t="shared" si="1548"/>
        <v>0</v>
      </c>
      <c r="AW1101" s="73">
        <f t="shared" si="1548"/>
        <v>0</v>
      </c>
      <c r="AX1101" s="138">
        <f t="shared" si="1548"/>
        <v>0</v>
      </c>
      <c r="AY1101" s="72">
        <f t="shared" si="1548"/>
        <v>0</v>
      </c>
      <c r="AZ1101" s="73">
        <f t="shared" si="1548"/>
        <v>0</v>
      </c>
      <c r="BA1101" s="73">
        <f t="shared" si="1548"/>
        <v>0</v>
      </c>
      <c r="BB1101" s="138">
        <f t="shared" si="1548"/>
        <v>0</v>
      </c>
      <c r="BC1101" s="72">
        <f t="shared" si="1548"/>
        <v>0</v>
      </c>
      <c r="BD1101" s="73">
        <f t="shared" si="1548"/>
        <v>0</v>
      </c>
      <c r="BE1101" s="73">
        <f t="shared" si="1548"/>
        <v>0</v>
      </c>
      <c r="BF1101" s="138">
        <f t="shared" si="1548"/>
        <v>561.54</v>
      </c>
      <c r="BG1101" s="72">
        <f t="shared" si="1548"/>
        <v>0</v>
      </c>
      <c r="BH1101" s="73">
        <f t="shared" si="1548"/>
        <v>0</v>
      </c>
      <c r="BI1101" s="73">
        <f t="shared" si="1548"/>
        <v>0</v>
      </c>
      <c r="BJ1101" s="138"/>
      <c r="BK1101" s="72">
        <f>BK1102+BK1103</f>
        <v>0</v>
      </c>
      <c r="BL1101" s="73">
        <f>BL1102+BL1103</f>
        <v>0</v>
      </c>
      <c r="BM1101" s="73">
        <f>BM1102+BM1103</f>
        <v>0</v>
      </c>
      <c r="BN1101" s="138">
        <f t="shared" si="1523"/>
        <v>0</v>
      </c>
      <c r="BO1101" s="72">
        <f t="shared" ref="BO1101:BV1101" si="1549">BO1102+BO1103</f>
        <v>0</v>
      </c>
      <c r="BP1101" s="73">
        <f t="shared" si="1549"/>
        <v>0</v>
      </c>
      <c r="BQ1101" s="73">
        <f t="shared" si="1549"/>
        <v>0</v>
      </c>
      <c r="BR1101" s="138">
        <f t="shared" si="1549"/>
        <v>0</v>
      </c>
      <c r="BS1101" s="72">
        <f t="shared" si="1549"/>
        <v>0</v>
      </c>
      <c r="BT1101" s="73">
        <f t="shared" si="1549"/>
        <v>0</v>
      </c>
      <c r="BU1101" s="73">
        <f t="shared" si="1549"/>
        <v>0</v>
      </c>
      <c r="BV1101" s="74">
        <f t="shared" si="1549"/>
        <v>0</v>
      </c>
      <c r="BY1101" s="125">
        <f t="shared" si="1524"/>
        <v>0</v>
      </c>
      <c r="BZ1101" s="126">
        <f t="shared" si="1474"/>
        <v>0</v>
      </c>
      <c r="CA1101" s="126">
        <f t="shared" si="1525"/>
        <v>0</v>
      </c>
      <c r="CB1101" s="127">
        <f t="shared" si="1477"/>
        <v>561.54</v>
      </c>
    </row>
    <row r="1102" spans="1:82" s="211" customFormat="1" ht="28.5" customHeight="1" outlineLevel="4" x14ac:dyDescent="0.25">
      <c r="A1102" s="6"/>
      <c r="B1102" s="6"/>
      <c r="C1102" s="116" t="s">
        <v>83</v>
      </c>
      <c r="D1102" s="116" t="s">
        <v>84</v>
      </c>
      <c r="E1102" s="116" t="s">
        <v>73</v>
      </c>
      <c r="F1102" s="116" t="s">
        <v>74</v>
      </c>
      <c r="G1102" s="116" t="s">
        <v>487</v>
      </c>
      <c r="H1102" s="116" t="s">
        <v>73</v>
      </c>
      <c r="I1102" s="116" t="s">
        <v>73</v>
      </c>
      <c r="J1102" s="116" t="s">
        <v>73</v>
      </c>
      <c r="K1102" s="209" t="s">
        <v>73</v>
      </c>
      <c r="L1102" s="116" t="s">
        <v>73</v>
      </c>
      <c r="M1102" s="6" t="str">
        <f t="array" ref="M1102">Y818</f>
        <v>1ХВС::1.1</v>
      </c>
      <c r="N1102" s="6"/>
      <c r="O1102" s="6"/>
      <c r="P1102" s="6"/>
      <c r="Q1102" s="6"/>
      <c r="R1102" s="6"/>
      <c r="S1102" s="6"/>
      <c r="T1102" s="6"/>
      <c r="U1102" s="6"/>
      <c r="V1102" s="6"/>
      <c r="W1102" s="6"/>
      <c r="X1102" s="6"/>
      <c r="Y1102" s="6"/>
      <c r="Z1102" s="6"/>
      <c r="AA1102" s="6"/>
      <c r="AB1102" s="29" t="str">
        <f>AB1101&amp;".1"</f>
        <v>3.1.3.4.1.1</v>
      </c>
      <c r="AC1102" s="231" t="s">
        <v>487</v>
      </c>
      <c r="AD1102" s="51" t="s">
        <v>111</v>
      </c>
      <c r="AE1102" s="72">
        <f>AE697+AE362</f>
        <v>0</v>
      </c>
      <c r="AF1102" s="73">
        <f t="shared" ref="AF1102:AI1102" si="1550">AF697+AF362</f>
        <v>0</v>
      </c>
      <c r="AG1102" s="73">
        <f t="shared" si="1550"/>
        <v>0</v>
      </c>
      <c r="AH1102" s="138">
        <f t="shared" si="1550"/>
        <v>0</v>
      </c>
      <c r="AI1102" s="72">
        <f t="shared" si="1550"/>
        <v>0</v>
      </c>
      <c r="AJ1102" s="73">
        <f t="shared" ref="AJ1102:BJ1102" si="1551">AJ697+AJ362</f>
        <v>0</v>
      </c>
      <c r="AK1102" s="73">
        <f t="shared" si="1551"/>
        <v>0</v>
      </c>
      <c r="AL1102" s="138">
        <f t="shared" si="1551"/>
        <v>0</v>
      </c>
      <c r="AM1102" s="72">
        <f t="shared" si="1551"/>
        <v>0</v>
      </c>
      <c r="AN1102" s="73">
        <f t="shared" si="1551"/>
        <v>0</v>
      </c>
      <c r="AO1102" s="73">
        <f t="shared" si="1551"/>
        <v>0</v>
      </c>
      <c r="AP1102" s="138">
        <f t="shared" si="1551"/>
        <v>0</v>
      </c>
      <c r="AQ1102" s="72">
        <f t="shared" si="1551"/>
        <v>0</v>
      </c>
      <c r="AR1102" s="73">
        <f t="shared" si="1551"/>
        <v>0</v>
      </c>
      <c r="AS1102" s="73">
        <f t="shared" si="1551"/>
        <v>0</v>
      </c>
      <c r="AT1102" s="138">
        <f t="shared" si="1551"/>
        <v>0</v>
      </c>
      <c r="AU1102" s="72">
        <f t="shared" si="1551"/>
        <v>0</v>
      </c>
      <c r="AV1102" s="73">
        <f t="shared" si="1551"/>
        <v>0</v>
      </c>
      <c r="AW1102" s="73">
        <f t="shared" si="1551"/>
        <v>0</v>
      </c>
      <c r="AX1102" s="138">
        <f t="shared" si="1551"/>
        <v>0</v>
      </c>
      <c r="AY1102" s="72">
        <f t="shared" si="1551"/>
        <v>0</v>
      </c>
      <c r="AZ1102" s="73">
        <f t="shared" si="1551"/>
        <v>0</v>
      </c>
      <c r="BA1102" s="73">
        <f t="shared" si="1551"/>
        <v>0</v>
      </c>
      <c r="BB1102" s="138">
        <f t="shared" si="1551"/>
        <v>0</v>
      </c>
      <c r="BC1102" s="72">
        <f t="shared" si="1551"/>
        <v>0</v>
      </c>
      <c r="BD1102" s="73">
        <f t="shared" si="1551"/>
        <v>0</v>
      </c>
      <c r="BE1102" s="73">
        <f t="shared" si="1551"/>
        <v>0</v>
      </c>
      <c r="BF1102" s="138">
        <f t="shared" si="1551"/>
        <v>0</v>
      </c>
      <c r="BG1102" s="72">
        <f t="shared" si="1551"/>
        <v>0</v>
      </c>
      <c r="BH1102" s="73">
        <f t="shared" si="1551"/>
        <v>0</v>
      </c>
      <c r="BI1102" s="73">
        <f t="shared" si="1551"/>
        <v>0</v>
      </c>
      <c r="BJ1102" s="138">
        <f t="shared" si="1551"/>
        <v>0</v>
      </c>
      <c r="BK1102" s="72">
        <f>BK697+BK362</f>
        <v>0</v>
      </c>
      <c r="BL1102" s="73">
        <f t="shared" ref="BL1102:BV1102" si="1552">BL697+BL362</f>
        <v>0</v>
      </c>
      <c r="BM1102" s="73">
        <f t="shared" si="1552"/>
        <v>0</v>
      </c>
      <c r="BN1102" s="138">
        <f t="shared" si="1552"/>
        <v>0</v>
      </c>
      <c r="BO1102" s="72">
        <f t="shared" si="1552"/>
        <v>0</v>
      </c>
      <c r="BP1102" s="73">
        <f t="shared" si="1552"/>
        <v>0</v>
      </c>
      <c r="BQ1102" s="73">
        <f t="shared" si="1552"/>
        <v>0</v>
      </c>
      <c r="BR1102" s="138">
        <f t="shared" si="1552"/>
        <v>0</v>
      </c>
      <c r="BS1102" s="72">
        <f t="shared" si="1552"/>
        <v>0</v>
      </c>
      <c r="BT1102" s="73">
        <f t="shared" si="1552"/>
        <v>0</v>
      </c>
      <c r="BU1102" s="73">
        <f t="shared" si="1552"/>
        <v>0</v>
      </c>
      <c r="BV1102" s="74">
        <f t="shared" si="1552"/>
        <v>0</v>
      </c>
      <c r="BW1102" s="391"/>
      <c r="BX1102" s="391"/>
      <c r="BY1102" s="72">
        <f t="shared" ref="BY1102" si="1553">BY697+BY362</f>
        <v>0</v>
      </c>
      <c r="BZ1102" s="73">
        <f t="shared" ref="BZ1102:CB1102" si="1554">BZ697+BZ362</f>
        <v>0</v>
      </c>
      <c r="CA1102" s="73">
        <f t="shared" si="1554"/>
        <v>0</v>
      </c>
      <c r="CB1102" s="74">
        <f t="shared" si="1554"/>
        <v>0</v>
      </c>
      <c r="CC1102" s="766"/>
    </row>
    <row r="1103" spans="1:82" s="211" customFormat="1" ht="21.75" customHeight="1" outlineLevel="4" x14ac:dyDescent="0.25">
      <c r="A1103" s="6"/>
      <c r="B1103" s="6"/>
      <c r="C1103" s="116" t="s">
        <v>83</v>
      </c>
      <c r="D1103" s="116" t="s">
        <v>84</v>
      </c>
      <c r="E1103" s="116" t="s">
        <v>73</v>
      </c>
      <c r="F1103" s="116" t="s">
        <v>74</v>
      </c>
      <c r="G1103" s="116" t="s">
        <v>488</v>
      </c>
      <c r="H1103" s="116" t="s">
        <v>73</v>
      </c>
      <c r="I1103" s="116" t="s">
        <v>73</v>
      </c>
      <c r="J1103" s="116" t="s">
        <v>73</v>
      </c>
      <c r="K1103" s="209" t="s">
        <v>73</v>
      </c>
      <c r="L1103" s="116" t="s">
        <v>73</v>
      </c>
      <c r="M1103" s="6" t="str">
        <f t="array" ref="M1103">Y818</f>
        <v>1ХВС::1.1</v>
      </c>
      <c r="N1103" s="6"/>
      <c r="O1103" s="6"/>
      <c r="P1103" s="6"/>
      <c r="Q1103" s="6"/>
      <c r="R1103" s="6"/>
      <c r="S1103" s="6"/>
      <c r="T1103" s="6"/>
      <c r="U1103" s="6"/>
      <c r="V1103" s="6"/>
      <c r="W1103" s="6"/>
      <c r="X1103" s="6"/>
      <c r="Y1103" s="6"/>
      <c r="Z1103" s="6"/>
      <c r="AA1103" s="6"/>
      <c r="AB1103" s="29" t="str">
        <f>AB1101&amp;".2"</f>
        <v>3.1.3.4.1.2</v>
      </c>
      <c r="AC1103" s="231" t="s">
        <v>488</v>
      </c>
      <c r="AD1103" s="51" t="s">
        <v>111</v>
      </c>
      <c r="AE1103" s="72">
        <f>AE698+AE363</f>
        <v>0</v>
      </c>
      <c r="AF1103" s="73">
        <f t="shared" ref="AF1103:AI1103" si="1555">AF698+AF363</f>
        <v>0</v>
      </c>
      <c r="AG1103" s="73">
        <f t="shared" si="1555"/>
        <v>0</v>
      </c>
      <c r="AH1103" s="138">
        <f t="shared" si="1555"/>
        <v>0</v>
      </c>
      <c r="AI1103" s="72">
        <f t="shared" si="1555"/>
        <v>0</v>
      </c>
      <c r="AJ1103" s="73">
        <f t="shared" ref="AJ1103:BJ1103" si="1556">AJ698+AJ363</f>
        <v>0</v>
      </c>
      <c r="AK1103" s="73">
        <f t="shared" si="1556"/>
        <v>0</v>
      </c>
      <c r="AL1103" s="138">
        <f t="shared" si="1556"/>
        <v>0</v>
      </c>
      <c r="AM1103" s="72">
        <f t="shared" si="1556"/>
        <v>0</v>
      </c>
      <c r="AN1103" s="73">
        <f t="shared" si="1556"/>
        <v>0</v>
      </c>
      <c r="AO1103" s="73">
        <f t="shared" si="1556"/>
        <v>0</v>
      </c>
      <c r="AP1103" s="138">
        <f t="shared" si="1556"/>
        <v>0</v>
      </c>
      <c r="AQ1103" s="72">
        <f t="shared" si="1556"/>
        <v>0</v>
      </c>
      <c r="AR1103" s="73">
        <f t="shared" si="1556"/>
        <v>0</v>
      </c>
      <c r="AS1103" s="73">
        <f t="shared" si="1556"/>
        <v>0</v>
      </c>
      <c r="AT1103" s="138">
        <f t="shared" si="1556"/>
        <v>0</v>
      </c>
      <c r="AU1103" s="72">
        <f t="shared" si="1556"/>
        <v>0</v>
      </c>
      <c r="AV1103" s="73">
        <f t="shared" si="1556"/>
        <v>0</v>
      </c>
      <c r="AW1103" s="73">
        <f t="shared" si="1556"/>
        <v>0</v>
      </c>
      <c r="AX1103" s="138">
        <f t="shared" si="1556"/>
        <v>0</v>
      </c>
      <c r="AY1103" s="72">
        <f t="shared" si="1556"/>
        <v>0</v>
      </c>
      <c r="AZ1103" s="73">
        <f t="shared" si="1556"/>
        <v>0</v>
      </c>
      <c r="BA1103" s="73">
        <f t="shared" si="1556"/>
        <v>0</v>
      </c>
      <c r="BB1103" s="138">
        <f t="shared" si="1556"/>
        <v>0</v>
      </c>
      <c r="BC1103" s="72">
        <f t="shared" si="1556"/>
        <v>0</v>
      </c>
      <c r="BD1103" s="73">
        <f t="shared" si="1556"/>
        <v>0</v>
      </c>
      <c r="BE1103" s="73">
        <f t="shared" si="1556"/>
        <v>0</v>
      </c>
      <c r="BF1103" s="138">
        <f t="shared" si="1556"/>
        <v>561.54</v>
      </c>
      <c r="BG1103" s="72">
        <f t="shared" si="1556"/>
        <v>0</v>
      </c>
      <c r="BH1103" s="73">
        <f t="shared" si="1556"/>
        <v>0</v>
      </c>
      <c r="BI1103" s="73">
        <f t="shared" si="1556"/>
        <v>0</v>
      </c>
      <c r="BJ1103" s="138">
        <f t="shared" si="1556"/>
        <v>0</v>
      </c>
      <c r="BK1103" s="72">
        <f>BK698+BK363</f>
        <v>0</v>
      </c>
      <c r="BL1103" s="73">
        <f t="shared" ref="BL1103:BV1103" si="1557">BL698+BL363</f>
        <v>0</v>
      </c>
      <c r="BM1103" s="73">
        <f t="shared" si="1557"/>
        <v>0</v>
      </c>
      <c r="BN1103" s="138">
        <f t="shared" si="1557"/>
        <v>0</v>
      </c>
      <c r="BO1103" s="72">
        <f t="shared" si="1557"/>
        <v>0</v>
      </c>
      <c r="BP1103" s="73">
        <f t="shared" si="1557"/>
        <v>0</v>
      </c>
      <c r="BQ1103" s="73">
        <f t="shared" si="1557"/>
        <v>0</v>
      </c>
      <c r="BR1103" s="138">
        <f t="shared" si="1557"/>
        <v>0</v>
      </c>
      <c r="BS1103" s="72">
        <f t="shared" si="1557"/>
        <v>0</v>
      </c>
      <c r="BT1103" s="73">
        <f t="shared" si="1557"/>
        <v>0</v>
      </c>
      <c r="BU1103" s="73">
        <f t="shared" si="1557"/>
        <v>0</v>
      </c>
      <c r="BV1103" s="74">
        <f t="shared" si="1557"/>
        <v>0</v>
      </c>
      <c r="BW1103" s="391"/>
      <c r="BX1103" s="391"/>
      <c r="BY1103" s="72">
        <f t="shared" ref="BY1103" si="1558">BY698+BY363</f>
        <v>0</v>
      </c>
      <c r="BZ1103" s="73">
        <f t="shared" ref="BZ1103:CB1103" si="1559">BZ698+BZ363</f>
        <v>0</v>
      </c>
      <c r="CA1103" s="73">
        <f t="shared" si="1559"/>
        <v>0</v>
      </c>
      <c r="CB1103" s="74">
        <f t="shared" si="1559"/>
        <v>561.54</v>
      </c>
      <c r="CC1103" s="766"/>
    </row>
    <row r="1104" spans="1:82" s="211" customFormat="1" ht="14.25" customHeight="1" outlineLevel="4" x14ac:dyDescent="0.25">
      <c r="A1104" s="6"/>
      <c r="B1104" s="6"/>
      <c r="C1104" s="116" t="s">
        <v>83</v>
      </c>
      <c r="D1104" s="116" t="s">
        <v>84</v>
      </c>
      <c r="E1104" s="116" t="s">
        <v>73</v>
      </c>
      <c r="F1104" s="116" t="s">
        <v>74</v>
      </c>
      <c r="G1104" s="116" t="s">
        <v>489</v>
      </c>
      <c r="H1104" s="116" t="s">
        <v>73</v>
      </c>
      <c r="I1104" s="116" t="s">
        <v>73</v>
      </c>
      <c r="J1104" s="116" t="s">
        <v>73</v>
      </c>
      <c r="K1104" s="209" t="s">
        <v>73</v>
      </c>
      <c r="L1104" s="116" t="s">
        <v>407</v>
      </c>
      <c r="M1104" s="6" t="str">
        <f t="array" ref="M1104">Y818</f>
        <v>1ХВС::1.1</v>
      </c>
      <c r="N1104" s="6"/>
      <c r="O1104" s="6"/>
      <c r="P1104" s="6"/>
      <c r="Q1104" s="6"/>
      <c r="R1104" s="6"/>
      <c r="S1104" s="6"/>
      <c r="T1104" s="6"/>
      <c r="U1104" s="6"/>
      <c r="V1104" s="6"/>
      <c r="W1104" s="6"/>
      <c r="X1104" s="6"/>
      <c r="Y1104" s="116">
        <f>COUNT($Y1101:Y1101)+1</f>
        <v>2</v>
      </c>
      <c r="Z1104" s="6"/>
      <c r="AA1104" s="6"/>
      <c r="AB1104" s="29" t="str">
        <f>AB$360&amp;"."&amp;Y1104</f>
        <v>3.1.3.4.2</v>
      </c>
      <c r="AC1104" s="294" t="s">
        <v>489</v>
      </c>
      <c r="AD1104" s="51" t="s">
        <v>111</v>
      </c>
      <c r="AE1104" s="72"/>
      <c r="AF1104" s="73"/>
      <c r="AG1104" s="73"/>
      <c r="AH1104" s="138"/>
      <c r="AI1104" s="72"/>
      <c r="AJ1104" s="178"/>
      <c r="AK1104" s="73"/>
      <c r="AL1104" s="138"/>
      <c r="AM1104" s="72"/>
      <c r="AN1104" s="178"/>
      <c r="AO1104" s="73"/>
      <c r="AP1104" s="138"/>
      <c r="AQ1104" s="72"/>
      <c r="AR1104" s="178"/>
      <c r="AS1104" s="73"/>
      <c r="AT1104" s="138"/>
      <c r="AU1104" s="72"/>
      <c r="AV1104" s="178"/>
      <c r="AW1104" s="73"/>
      <c r="AX1104" s="138"/>
      <c r="AY1104" s="72"/>
      <c r="AZ1104" s="178"/>
      <c r="BA1104" s="73"/>
      <c r="BB1104" s="138"/>
      <c r="BC1104" s="72"/>
      <c r="BD1104" s="178"/>
      <c r="BE1104" s="73"/>
      <c r="BF1104" s="138"/>
      <c r="BG1104" s="72"/>
      <c r="BH1104" s="178"/>
      <c r="BI1104" s="73"/>
      <c r="BJ1104" s="138"/>
      <c r="BK1104" s="72"/>
      <c r="BL1104" s="178"/>
      <c r="BM1104" s="73"/>
      <c r="BN1104" s="138">
        <f t="shared" si="1523"/>
        <v>0</v>
      </c>
      <c r="BO1104" s="142"/>
      <c r="BP1104" s="183"/>
      <c r="BQ1104" s="140"/>
      <c r="BR1104" s="141"/>
      <c r="BS1104" s="142"/>
      <c r="BT1104" s="183"/>
      <c r="BU1104" s="140"/>
      <c r="BV1104" s="143"/>
      <c r="BW1104" s="6"/>
      <c r="BX1104" s="6"/>
      <c r="BY1104" s="125">
        <f t="shared" si="1524"/>
        <v>0</v>
      </c>
      <c r="BZ1104" s="126">
        <f t="shared" ref="BZ1104:BZ1110" si="1560">AF1104+AJ1104+AN1104+AR1104+AV1104+AZ1104+BD1104+BH1104+BL1104+BP1104+BT1104</f>
        <v>0</v>
      </c>
      <c r="CA1104" s="126">
        <f t="shared" ref="CA1104:CA1110" si="1561">AG1104+AK1104+AO1104+AS1104+AW1104+BA1104+BE1104+BI1104+BM1104+BQ1104+BU1104</f>
        <v>0</v>
      </c>
      <c r="CB1104" s="127">
        <f t="shared" ref="CB1104:CB1110" si="1562">AH1104+AL1104+AP1104+AT1104+AX1104+BB1104+BF1104+BJ1104+BN1104+BR1104+BV1104</f>
        <v>0</v>
      </c>
      <c r="CC1104" s="766"/>
    </row>
    <row r="1105" spans="1:81" ht="21" customHeight="1" outlineLevel="4" x14ac:dyDescent="0.25">
      <c r="C1105" s="10" t="s">
        <v>83</v>
      </c>
      <c r="D1105" s="10" t="s">
        <v>84</v>
      </c>
      <c r="E1105" s="10" t="s">
        <v>73</v>
      </c>
      <c r="F1105" s="10" t="s">
        <v>74</v>
      </c>
      <c r="G1105" s="10" t="s">
        <v>490</v>
      </c>
      <c r="H1105" s="10" t="s">
        <v>73</v>
      </c>
      <c r="I1105" s="10" t="s">
        <v>73</v>
      </c>
      <c r="J1105" s="10" t="s">
        <v>73</v>
      </c>
      <c r="K1105" s="12" t="s">
        <v>73</v>
      </c>
      <c r="L1105" s="10" t="s">
        <v>407</v>
      </c>
      <c r="M1105" s="5" t="str">
        <f t="array" ref="M1105">Y818</f>
        <v>1ХВС::1.1</v>
      </c>
      <c r="Y1105" s="10">
        <f>COUNT($Y1101:Y1104)+1</f>
        <v>3</v>
      </c>
      <c r="AB1105" s="501" t="s">
        <v>643</v>
      </c>
      <c r="AC1105" s="294" t="s">
        <v>490</v>
      </c>
      <c r="AD1105" s="51" t="s">
        <v>111</v>
      </c>
      <c r="AE1105" s="72">
        <f t="shared" ref="AE1105:AK1107" si="1563">AE365+AE700</f>
        <v>39850.18</v>
      </c>
      <c r="AF1105" s="73">
        <f t="shared" si="1563"/>
        <v>2557.8300000000017</v>
      </c>
      <c r="AG1105" s="73">
        <f t="shared" si="1563"/>
        <v>62626.45</v>
      </c>
      <c r="AH1105" s="138">
        <f t="shared" si="1563"/>
        <v>0</v>
      </c>
      <c r="AI1105" s="72">
        <f t="shared" si="1563"/>
        <v>0</v>
      </c>
      <c r="AJ1105" s="73">
        <f t="shared" si="1563"/>
        <v>0</v>
      </c>
      <c r="AK1105" s="73">
        <f t="shared" si="1563"/>
        <v>0</v>
      </c>
      <c r="AL1105" s="138">
        <f t="shared" ref="AL1105" si="1564">AL365+AL700</f>
        <v>0</v>
      </c>
      <c r="AM1105" s="72">
        <f t="shared" ref="AM1105:BE1105" si="1565">AM365+AM700</f>
        <v>0</v>
      </c>
      <c r="AN1105" s="73">
        <f t="shared" si="1565"/>
        <v>0</v>
      </c>
      <c r="AO1105" s="73">
        <f t="shared" si="1565"/>
        <v>0</v>
      </c>
      <c r="AP1105" s="138">
        <f t="shared" si="1565"/>
        <v>0</v>
      </c>
      <c r="AQ1105" s="72">
        <f t="shared" si="1565"/>
        <v>0</v>
      </c>
      <c r="AR1105" s="73">
        <f t="shared" si="1565"/>
        <v>0</v>
      </c>
      <c r="AS1105" s="73">
        <f t="shared" si="1565"/>
        <v>0</v>
      </c>
      <c r="AT1105" s="138">
        <f t="shared" si="1565"/>
        <v>0</v>
      </c>
      <c r="AU1105" s="72">
        <f t="shared" si="1565"/>
        <v>0</v>
      </c>
      <c r="AV1105" s="73">
        <f t="shared" si="1565"/>
        <v>0</v>
      </c>
      <c r="AW1105" s="73">
        <f t="shared" si="1565"/>
        <v>0</v>
      </c>
      <c r="AX1105" s="138">
        <f t="shared" si="1565"/>
        <v>0</v>
      </c>
      <c r="AY1105" s="72">
        <f t="shared" si="1565"/>
        <v>0</v>
      </c>
      <c r="AZ1105" s="73">
        <f t="shared" si="1565"/>
        <v>0</v>
      </c>
      <c r="BA1105" s="73">
        <f t="shared" si="1565"/>
        <v>0</v>
      </c>
      <c r="BB1105" s="138">
        <f t="shared" si="1565"/>
        <v>0</v>
      </c>
      <c r="BC1105" s="72">
        <f t="shared" si="1565"/>
        <v>0</v>
      </c>
      <c r="BD1105" s="73">
        <f t="shared" si="1565"/>
        <v>0</v>
      </c>
      <c r="BE1105" s="73">
        <f t="shared" si="1565"/>
        <v>0</v>
      </c>
      <c r="BF1105" s="138"/>
      <c r="BG1105" s="72">
        <f t="shared" ref="BG1105:BJ1107" si="1566">BG365+BG700</f>
        <v>0</v>
      </c>
      <c r="BH1105" s="73">
        <f t="shared" si="1566"/>
        <v>0</v>
      </c>
      <c r="BI1105" s="73">
        <f t="shared" si="1566"/>
        <v>0</v>
      </c>
      <c r="BJ1105" s="138"/>
      <c r="BK1105" s="72">
        <f t="shared" ref="BK1105:BM1107" si="1567">BK365+BK700</f>
        <v>0</v>
      </c>
      <c r="BL1105" s="73">
        <f t="shared" si="1567"/>
        <v>0</v>
      </c>
      <c r="BM1105" s="73">
        <f t="shared" si="1567"/>
        <v>0</v>
      </c>
      <c r="BN1105" s="138">
        <f t="shared" si="1523"/>
        <v>0</v>
      </c>
      <c r="BO1105" s="72">
        <f t="shared" ref="BO1105:BV1107" si="1568">BO365+BO700</f>
        <v>0</v>
      </c>
      <c r="BP1105" s="73">
        <f t="shared" si="1568"/>
        <v>0</v>
      </c>
      <c r="BQ1105" s="73">
        <f t="shared" si="1568"/>
        <v>0</v>
      </c>
      <c r="BR1105" s="138">
        <f t="shared" si="1568"/>
        <v>0</v>
      </c>
      <c r="BS1105" s="72">
        <f t="shared" si="1568"/>
        <v>0</v>
      </c>
      <c r="BT1105" s="73">
        <f t="shared" si="1568"/>
        <v>0</v>
      </c>
      <c r="BU1105" s="73">
        <f t="shared" si="1568"/>
        <v>0</v>
      </c>
      <c r="BV1105" s="74">
        <f t="shared" si="1568"/>
        <v>0</v>
      </c>
      <c r="BY1105" s="125">
        <f t="shared" si="1524"/>
        <v>39850.18</v>
      </c>
      <c r="BZ1105" s="126">
        <f t="shared" si="1560"/>
        <v>2557.8300000000017</v>
      </c>
      <c r="CA1105" s="126">
        <f t="shared" si="1561"/>
        <v>62626.45</v>
      </c>
      <c r="CB1105" s="127">
        <f t="shared" si="1562"/>
        <v>0</v>
      </c>
    </row>
    <row r="1106" spans="1:81" ht="21" customHeight="1" outlineLevel="4" x14ac:dyDescent="0.25">
      <c r="C1106" s="10" t="s">
        <v>83</v>
      </c>
      <c r="D1106" s="10" t="s">
        <v>84</v>
      </c>
      <c r="E1106" s="10" t="s">
        <v>73</v>
      </c>
      <c r="F1106" s="10" t="s">
        <v>74</v>
      </c>
      <c r="G1106" s="10" t="s">
        <v>491</v>
      </c>
      <c r="H1106" s="10" t="s">
        <v>73</v>
      </c>
      <c r="I1106" s="10" t="s">
        <v>73</v>
      </c>
      <c r="J1106" s="10" t="s">
        <v>73</v>
      </c>
      <c r="K1106" s="12" t="s">
        <v>73</v>
      </c>
      <c r="L1106" s="10" t="s">
        <v>407</v>
      </c>
      <c r="M1106" s="5" t="str">
        <f t="array" ref="M1106">Y818</f>
        <v>1ХВС::1.1</v>
      </c>
      <c r="Y1106" s="10">
        <f>COUNT($Y1101:Y1105)+1</f>
        <v>4</v>
      </c>
      <c r="AB1106" s="501" t="s">
        <v>644</v>
      </c>
      <c r="AC1106" s="294" t="s">
        <v>491</v>
      </c>
      <c r="AD1106" s="51" t="s">
        <v>111</v>
      </c>
      <c r="AE1106" s="72">
        <f t="shared" si="1563"/>
        <v>3794.3999999999996</v>
      </c>
      <c r="AF1106" s="73">
        <f t="shared" si="1563"/>
        <v>2508.58</v>
      </c>
      <c r="AG1106" s="73">
        <f t="shared" si="1563"/>
        <v>3794.3999999999996</v>
      </c>
      <c r="AH1106" s="138">
        <f t="shared" si="1563"/>
        <v>0</v>
      </c>
      <c r="AI1106" s="72">
        <f t="shared" si="1563"/>
        <v>207.4</v>
      </c>
      <c r="AJ1106" s="73">
        <f t="shared" si="1563"/>
        <v>0</v>
      </c>
      <c r="AK1106" s="73">
        <f t="shared" si="1563"/>
        <v>207.4</v>
      </c>
      <c r="AL1106" s="138">
        <f t="shared" ref="AL1106" si="1569">AL366+AL701</f>
        <v>0</v>
      </c>
      <c r="AM1106" s="72">
        <f t="shared" ref="AM1106:BE1106" si="1570">AM366+AM701</f>
        <v>416.76</v>
      </c>
      <c r="AN1106" s="73">
        <f t="shared" si="1570"/>
        <v>0</v>
      </c>
      <c r="AO1106" s="73">
        <f t="shared" si="1570"/>
        <v>563.11</v>
      </c>
      <c r="AP1106" s="138">
        <f t="shared" si="1570"/>
        <v>0</v>
      </c>
      <c r="AQ1106" s="72">
        <f t="shared" si="1570"/>
        <v>184.82</v>
      </c>
      <c r="AR1106" s="73">
        <f t="shared" si="1570"/>
        <v>0</v>
      </c>
      <c r="AS1106" s="73">
        <f t="shared" si="1570"/>
        <v>237.81</v>
      </c>
      <c r="AT1106" s="138">
        <f t="shared" si="1570"/>
        <v>0</v>
      </c>
      <c r="AU1106" s="72">
        <f t="shared" si="1570"/>
        <v>46.37</v>
      </c>
      <c r="AV1106" s="73">
        <f t="shared" si="1570"/>
        <v>0</v>
      </c>
      <c r="AW1106" s="73">
        <f t="shared" si="1570"/>
        <v>57.99</v>
      </c>
      <c r="AX1106" s="138">
        <f t="shared" si="1570"/>
        <v>0</v>
      </c>
      <c r="AY1106" s="72">
        <f t="shared" si="1570"/>
        <v>0</v>
      </c>
      <c r="AZ1106" s="73">
        <f t="shared" si="1570"/>
        <v>0</v>
      </c>
      <c r="BA1106" s="73">
        <f t="shared" si="1570"/>
        <v>0</v>
      </c>
      <c r="BB1106" s="138">
        <f t="shared" si="1570"/>
        <v>0</v>
      </c>
      <c r="BC1106" s="72">
        <f t="shared" si="1570"/>
        <v>251.57</v>
      </c>
      <c r="BD1106" s="73">
        <f t="shared" si="1570"/>
        <v>0</v>
      </c>
      <c r="BE1106" s="73">
        <f t="shared" si="1570"/>
        <v>277.87700000000001</v>
      </c>
      <c r="BF1106" s="138"/>
      <c r="BG1106" s="72">
        <f t="shared" si="1566"/>
        <v>9.52</v>
      </c>
      <c r="BH1106" s="73">
        <f t="shared" si="1566"/>
        <v>0</v>
      </c>
      <c r="BI1106" s="73">
        <f t="shared" si="1566"/>
        <v>45.97</v>
      </c>
      <c r="BJ1106" s="138">
        <f>BJ701</f>
        <v>16.61</v>
      </c>
      <c r="BK1106" s="72">
        <f t="shared" si="1567"/>
        <v>1036.3499999999999</v>
      </c>
      <c r="BL1106" s="73">
        <f t="shared" si="1567"/>
        <v>0</v>
      </c>
      <c r="BM1106" s="73">
        <f t="shared" si="1567"/>
        <v>764.24</v>
      </c>
      <c r="BN1106" s="138">
        <f t="shared" si="1523"/>
        <v>0</v>
      </c>
      <c r="BO1106" s="72">
        <f t="shared" si="1568"/>
        <v>176.32</v>
      </c>
      <c r="BP1106" s="73">
        <f t="shared" si="1568"/>
        <v>0</v>
      </c>
      <c r="BQ1106" s="73">
        <f t="shared" si="1568"/>
        <v>194.53</v>
      </c>
      <c r="BR1106" s="138">
        <f t="shared" si="1568"/>
        <v>0</v>
      </c>
      <c r="BS1106" s="72">
        <f t="shared" si="1568"/>
        <v>250.72499999999999</v>
      </c>
      <c r="BT1106" s="73">
        <f t="shared" si="1568"/>
        <v>0</v>
      </c>
      <c r="BU1106" s="73">
        <f t="shared" si="1568"/>
        <v>260.99</v>
      </c>
      <c r="BV1106" s="74">
        <f t="shared" si="1568"/>
        <v>0</v>
      </c>
      <c r="BY1106" s="125">
        <f t="shared" si="1524"/>
        <v>6374.2349999999988</v>
      </c>
      <c r="BZ1106" s="126">
        <f t="shared" si="1560"/>
        <v>2508.58</v>
      </c>
      <c r="CA1106" s="126">
        <f t="shared" si="1561"/>
        <v>6404.317</v>
      </c>
      <c r="CB1106" s="127">
        <f t="shared" si="1562"/>
        <v>16.61</v>
      </c>
    </row>
    <row r="1107" spans="1:81" ht="21" customHeight="1" outlineLevel="3" x14ac:dyDescent="0.25">
      <c r="C1107" s="10" t="s">
        <v>83</v>
      </c>
      <c r="D1107" s="10" t="s">
        <v>84</v>
      </c>
      <c r="E1107" s="10" t="s">
        <v>73</v>
      </c>
      <c r="F1107" s="10" t="s">
        <v>74</v>
      </c>
      <c r="G1107" s="10" t="s">
        <v>492</v>
      </c>
      <c r="H1107" s="10" t="s">
        <v>73</v>
      </c>
      <c r="I1107" s="10" t="s">
        <v>73</v>
      </c>
      <c r="J1107" s="10" t="s">
        <v>73</v>
      </c>
      <c r="K1107" s="12" t="s">
        <v>73</v>
      </c>
      <c r="L1107" s="10" t="s">
        <v>452</v>
      </c>
      <c r="M1107" s="5" t="str">
        <f t="array" ref="M1107">Y818</f>
        <v>1ХВС::1.1</v>
      </c>
      <c r="Y1107" s="10">
        <f>COUNT($Y1101:Y1106)+1</f>
        <v>5</v>
      </c>
      <c r="AB1107" s="65" t="str">
        <f>AB1075&amp;".5"</f>
        <v>3.1.3.5</v>
      </c>
      <c r="AC1107" s="92" t="s">
        <v>493</v>
      </c>
      <c r="AD1107" s="51" t="s">
        <v>111</v>
      </c>
      <c r="AE1107" s="95">
        <f t="shared" si="1563"/>
        <v>1019.5309999999999</v>
      </c>
      <c r="AF1107" s="178">
        <f t="shared" si="1563"/>
        <v>617.52599999999995</v>
      </c>
      <c r="AG1107" s="178">
        <f t="shared" si="1563"/>
        <v>1019.5309999999999</v>
      </c>
      <c r="AH1107" s="181">
        <f t="shared" si="1563"/>
        <v>949.33999999999992</v>
      </c>
      <c r="AI1107" s="95">
        <f t="shared" si="1563"/>
        <v>0</v>
      </c>
      <c r="AJ1107" s="178">
        <f t="shared" si="1563"/>
        <v>0</v>
      </c>
      <c r="AK1107" s="178">
        <f t="shared" si="1563"/>
        <v>0</v>
      </c>
      <c r="AL1107" s="181">
        <f t="shared" ref="AL1107" si="1571">AL367+AL702</f>
        <v>0</v>
      </c>
      <c r="AM1107" s="95">
        <f t="shared" ref="AM1107:BE1107" si="1572">AM367+AM702</f>
        <v>0</v>
      </c>
      <c r="AN1107" s="178">
        <f t="shared" si="1572"/>
        <v>0</v>
      </c>
      <c r="AO1107" s="178">
        <f t="shared" si="1572"/>
        <v>0</v>
      </c>
      <c r="AP1107" s="181">
        <f t="shared" si="1572"/>
        <v>0</v>
      </c>
      <c r="AQ1107" s="95">
        <f t="shared" si="1572"/>
        <v>3.09</v>
      </c>
      <c r="AR1107" s="178">
        <f t="shared" si="1572"/>
        <v>0</v>
      </c>
      <c r="AS1107" s="178">
        <f t="shared" si="1572"/>
        <v>3.09</v>
      </c>
      <c r="AT1107" s="181">
        <f t="shared" si="1572"/>
        <v>0</v>
      </c>
      <c r="AU1107" s="95">
        <f t="shared" si="1572"/>
        <v>18.450000000000003</v>
      </c>
      <c r="AV1107" s="178">
        <f t="shared" si="1572"/>
        <v>0</v>
      </c>
      <c r="AW1107" s="178">
        <f t="shared" si="1572"/>
        <v>18.450000000000003</v>
      </c>
      <c r="AX1107" s="181">
        <f t="shared" si="1572"/>
        <v>0</v>
      </c>
      <c r="AY1107" s="95">
        <f t="shared" si="1572"/>
        <v>0</v>
      </c>
      <c r="AZ1107" s="178">
        <f t="shared" si="1572"/>
        <v>0</v>
      </c>
      <c r="BA1107" s="178">
        <f t="shared" si="1572"/>
        <v>0</v>
      </c>
      <c r="BB1107" s="181">
        <f t="shared" si="1572"/>
        <v>0</v>
      </c>
      <c r="BC1107" s="95">
        <f t="shared" si="1572"/>
        <v>0</v>
      </c>
      <c r="BD1107" s="178">
        <f t="shared" si="1572"/>
        <v>0</v>
      </c>
      <c r="BE1107" s="178">
        <f t="shared" si="1572"/>
        <v>0</v>
      </c>
      <c r="BF1107" s="181"/>
      <c r="BG1107" s="95">
        <f t="shared" si="1566"/>
        <v>0</v>
      </c>
      <c r="BH1107" s="178">
        <f t="shared" si="1566"/>
        <v>0</v>
      </c>
      <c r="BI1107" s="178">
        <f t="shared" si="1566"/>
        <v>0</v>
      </c>
      <c r="BJ1107" s="181">
        <f t="shared" si="1566"/>
        <v>0</v>
      </c>
      <c r="BK1107" s="95">
        <f t="shared" si="1567"/>
        <v>0</v>
      </c>
      <c r="BL1107" s="178">
        <f t="shared" si="1567"/>
        <v>0</v>
      </c>
      <c r="BM1107" s="178">
        <f t="shared" si="1567"/>
        <v>0</v>
      </c>
      <c r="BN1107" s="138">
        <f t="shared" si="1523"/>
        <v>0</v>
      </c>
      <c r="BO1107" s="95">
        <f t="shared" si="1568"/>
        <v>0</v>
      </c>
      <c r="BP1107" s="178">
        <f t="shared" si="1568"/>
        <v>0</v>
      </c>
      <c r="BQ1107" s="178">
        <f t="shared" si="1568"/>
        <v>0</v>
      </c>
      <c r="BR1107" s="181">
        <f t="shared" si="1568"/>
        <v>0</v>
      </c>
      <c r="BS1107" s="95">
        <f t="shared" si="1568"/>
        <v>0</v>
      </c>
      <c r="BT1107" s="178">
        <f t="shared" si="1568"/>
        <v>0</v>
      </c>
      <c r="BU1107" s="178">
        <f t="shared" si="1568"/>
        <v>0</v>
      </c>
      <c r="BV1107" s="96">
        <f t="shared" si="1568"/>
        <v>0</v>
      </c>
      <c r="BY1107" s="125">
        <f t="shared" si="1524"/>
        <v>1041.0709999999999</v>
      </c>
      <c r="BZ1107" s="126">
        <f t="shared" si="1560"/>
        <v>617.52599999999995</v>
      </c>
      <c r="CA1107" s="126">
        <f t="shared" si="1561"/>
        <v>1041.0709999999999</v>
      </c>
      <c r="CB1107" s="127">
        <f t="shared" si="1562"/>
        <v>949.33999999999992</v>
      </c>
    </row>
    <row r="1108" spans="1:81" ht="18.75" customHeight="1" outlineLevel="3" x14ac:dyDescent="0.25">
      <c r="A1108" s="10" t="b">
        <f>AND(PREVIOUS_REGULATION_METHODS="Метод индексации",REGULATION_METHODS="Метод индексации")</f>
        <v>1</v>
      </c>
      <c r="B1108" s="5" t="b">
        <f t="array" ref="B1108">A1108</f>
        <v>1</v>
      </c>
      <c r="C1108" s="10" t="s">
        <v>83</v>
      </c>
      <c r="D1108" s="10" t="s">
        <v>84</v>
      </c>
      <c r="E1108" s="10" t="s">
        <v>73</v>
      </c>
      <c r="F1108" s="10" t="s">
        <v>74</v>
      </c>
      <c r="G1108" s="10" t="s">
        <v>494</v>
      </c>
      <c r="H1108" s="10" t="s">
        <v>73</v>
      </c>
      <c r="I1108" s="10" t="s">
        <v>73</v>
      </c>
      <c r="J1108" s="10" t="s">
        <v>73</v>
      </c>
      <c r="K1108" s="12" t="s">
        <v>73</v>
      </c>
      <c r="L1108" s="10" t="s">
        <v>452</v>
      </c>
      <c r="M1108" s="5" t="str">
        <f t="array" ref="M1108">Y818</f>
        <v>1ХВС::1.1</v>
      </c>
      <c r="Y1108" s="10">
        <f>COUNT($Y1101:Y1107)+1</f>
        <v>6</v>
      </c>
      <c r="AB1108" s="65" t="str">
        <f>AB1075&amp;"."&amp;Y1108</f>
        <v>3.1.3.6</v>
      </c>
      <c r="AC1108" s="92" t="s">
        <v>494</v>
      </c>
      <c r="AD1108" s="51" t="s">
        <v>111</v>
      </c>
      <c r="AE1108" s="95"/>
      <c r="AF1108" s="178"/>
      <c r="AG1108" s="178"/>
      <c r="AH1108" s="181"/>
      <c r="AI1108" s="95"/>
      <c r="AJ1108" s="178"/>
      <c r="AK1108" s="178"/>
      <c r="AL1108" s="181"/>
      <c r="AM1108" s="95"/>
      <c r="AN1108" s="178"/>
      <c r="AO1108" s="178"/>
      <c r="AP1108" s="181"/>
      <c r="AQ1108" s="95"/>
      <c r="AR1108" s="178"/>
      <c r="AS1108" s="178"/>
      <c r="AT1108" s="181"/>
      <c r="AU1108" s="95"/>
      <c r="AV1108" s="178"/>
      <c r="AW1108" s="178"/>
      <c r="AX1108" s="181"/>
      <c r="AY1108" s="95"/>
      <c r="AZ1108" s="178"/>
      <c r="BA1108" s="178"/>
      <c r="BB1108" s="181"/>
      <c r="BC1108" s="95"/>
      <c r="BD1108" s="178"/>
      <c r="BE1108" s="178"/>
      <c r="BF1108" s="181"/>
      <c r="BG1108" s="95"/>
      <c r="BH1108" s="178"/>
      <c r="BI1108" s="178"/>
      <c r="BJ1108" s="181"/>
      <c r="BK1108" s="95"/>
      <c r="BL1108" s="178"/>
      <c r="BM1108" s="178"/>
      <c r="BN1108" s="138">
        <f t="shared" si="1523"/>
        <v>0</v>
      </c>
      <c r="BO1108" s="185"/>
      <c r="BP1108" s="183"/>
      <c r="BQ1108" s="183"/>
      <c r="BR1108" s="184"/>
      <c r="BS1108" s="185"/>
      <c r="BT1108" s="183"/>
      <c r="BU1108" s="183"/>
      <c r="BV1108" s="186"/>
      <c r="BY1108" s="125">
        <f t="shared" si="1524"/>
        <v>0</v>
      </c>
      <c r="BZ1108" s="126">
        <f t="shared" si="1560"/>
        <v>0</v>
      </c>
      <c r="CA1108" s="126">
        <f t="shared" si="1561"/>
        <v>0</v>
      </c>
      <c r="CB1108" s="127">
        <f t="shared" si="1562"/>
        <v>0</v>
      </c>
    </row>
    <row r="1109" spans="1:81" ht="21.75" customHeight="1" outlineLevel="3" x14ac:dyDescent="0.25">
      <c r="A1109" s="10" t="b">
        <f>REGULATION_METHODS="Метод индексации"</f>
        <v>1</v>
      </c>
      <c r="B1109" s="5" t="b">
        <f t="array" ref="B1109">A1109</f>
        <v>1</v>
      </c>
      <c r="C1109" s="10" t="s">
        <v>83</v>
      </c>
      <c r="D1109" s="10" t="s">
        <v>84</v>
      </c>
      <c r="E1109" s="10" t="s">
        <v>73</v>
      </c>
      <c r="F1109" s="10" t="s">
        <v>74</v>
      </c>
      <c r="G1109" s="10" t="s">
        <v>495</v>
      </c>
      <c r="H1109" s="10" t="s">
        <v>73</v>
      </c>
      <c r="I1109" s="10" t="s">
        <v>73</v>
      </c>
      <c r="J1109" s="10" t="s">
        <v>73</v>
      </c>
      <c r="K1109" s="12" t="s">
        <v>73</v>
      </c>
      <c r="L1109" s="10" t="s">
        <v>452</v>
      </c>
      <c r="M1109" s="5" t="str">
        <f t="array" ref="M1109">Y818</f>
        <v>1ХВС::1.1</v>
      </c>
      <c r="Y1109" s="10">
        <f>COUNT($Y1101:Y1108)+1</f>
        <v>7</v>
      </c>
      <c r="AB1109" s="65" t="str">
        <f>AB1075&amp;"."&amp;Y1109</f>
        <v>3.1.3.7</v>
      </c>
      <c r="AC1109" s="92" t="s">
        <v>495</v>
      </c>
      <c r="AD1109" s="51" t="s">
        <v>111</v>
      </c>
      <c r="AE1109" s="95"/>
      <c r="AF1109" s="178"/>
      <c r="AG1109" s="178"/>
      <c r="AH1109" s="181"/>
      <c r="AI1109" s="95"/>
      <c r="AJ1109" s="178"/>
      <c r="AK1109" s="178"/>
      <c r="AL1109" s="181"/>
      <c r="AM1109" s="95"/>
      <c r="AN1109" s="178"/>
      <c r="AO1109" s="178"/>
      <c r="AP1109" s="181"/>
      <c r="AQ1109" s="95"/>
      <c r="AR1109" s="178"/>
      <c r="AS1109" s="178"/>
      <c r="AT1109" s="181"/>
      <c r="AU1109" s="95"/>
      <c r="AV1109" s="178"/>
      <c r="AW1109" s="178"/>
      <c r="AX1109" s="181"/>
      <c r="AY1109" s="95"/>
      <c r="AZ1109" s="178"/>
      <c r="BA1109" s="178"/>
      <c r="BB1109" s="181"/>
      <c r="BC1109" s="95"/>
      <c r="BD1109" s="178"/>
      <c r="BE1109" s="178"/>
      <c r="BF1109" s="181"/>
      <c r="BG1109" s="95"/>
      <c r="BH1109" s="178"/>
      <c r="BI1109" s="178"/>
      <c r="BJ1109" s="181"/>
      <c r="BK1109" s="95"/>
      <c r="BL1109" s="178"/>
      <c r="BM1109" s="178"/>
      <c r="BN1109" s="138">
        <f t="shared" si="1523"/>
        <v>0</v>
      </c>
      <c r="BO1109" s="185"/>
      <c r="BP1109" s="183"/>
      <c r="BQ1109" s="183"/>
      <c r="BR1109" s="184"/>
      <c r="BS1109" s="185"/>
      <c r="BT1109" s="183"/>
      <c r="BU1109" s="183"/>
      <c r="BV1109" s="186"/>
      <c r="BY1109" s="125">
        <f t="shared" si="1524"/>
        <v>0</v>
      </c>
      <c r="BZ1109" s="126">
        <f t="shared" si="1560"/>
        <v>0</v>
      </c>
      <c r="CA1109" s="126">
        <f t="shared" si="1561"/>
        <v>0</v>
      </c>
      <c r="CB1109" s="127">
        <f t="shared" si="1562"/>
        <v>0</v>
      </c>
    </row>
    <row r="1110" spans="1:81" ht="32.25" customHeight="1" outlineLevel="3" x14ac:dyDescent="0.25">
      <c r="A1110" s="5" t="b">
        <f>REGULATION_METHODS&lt;&gt;"МЭОР"</f>
        <v>1</v>
      </c>
      <c r="C1110" s="10" t="s">
        <v>83</v>
      </c>
      <c r="D1110" s="10" t="s">
        <v>84</v>
      </c>
      <c r="E1110" s="10" t="s">
        <v>73</v>
      </c>
      <c r="F1110" s="10" t="s">
        <v>74</v>
      </c>
      <c r="G1110" s="10" t="s">
        <v>496</v>
      </c>
      <c r="H1110" s="10" t="s">
        <v>73</v>
      </c>
      <c r="I1110" s="10" t="s">
        <v>73</v>
      </c>
      <c r="J1110" s="10" t="s">
        <v>73</v>
      </c>
      <c r="K1110" s="12" t="s">
        <v>73</v>
      </c>
      <c r="L1110" s="10" t="s">
        <v>452</v>
      </c>
      <c r="M1110" s="5" t="str">
        <f t="array" ref="M1110">Y818</f>
        <v>1ХВС::1.1</v>
      </c>
      <c r="Y1110" s="10">
        <f>COUNT($Y1101:Y1109)+1</f>
        <v>8</v>
      </c>
      <c r="AB1110" s="65" t="str">
        <f>AB1075&amp;"."&amp;Y1110</f>
        <v>3.1.3.8</v>
      </c>
      <c r="AC1110" s="92" t="s">
        <v>496</v>
      </c>
      <c r="AD1110" s="51" t="s">
        <v>111</v>
      </c>
      <c r="AE1110" s="95"/>
      <c r="AF1110" s="178"/>
      <c r="AG1110" s="178"/>
      <c r="AH1110" s="181"/>
      <c r="AI1110" s="95"/>
      <c r="AJ1110" s="178"/>
      <c r="AK1110" s="178"/>
      <c r="AL1110" s="181"/>
      <c r="AM1110" s="95"/>
      <c r="AN1110" s="178"/>
      <c r="AO1110" s="178"/>
      <c r="AP1110" s="181"/>
      <c r="AQ1110" s="95"/>
      <c r="AR1110" s="178"/>
      <c r="AS1110" s="178"/>
      <c r="AT1110" s="181"/>
      <c r="AU1110" s="95"/>
      <c r="AV1110" s="178"/>
      <c r="AW1110" s="178"/>
      <c r="AX1110" s="181"/>
      <c r="AY1110" s="95"/>
      <c r="AZ1110" s="178"/>
      <c r="BA1110" s="178"/>
      <c r="BB1110" s="181"/>
      <c r="BC1110" s="95"/>
      <c r="BD1110" s="178"/>
      <c r="BE1110" s="178"/>
      <c r="BF1110" s="181"/>
      <c r="BG1110" s="95"/>
      <c r="BH1110" s="178"/>
      <c r="BI1110" s="178"/>
      <c r="BJ1110" s="181"/>
      <c r="BK1110" s="95"/>
      <c r="BL1110" s="178"/>
      <c r="BM1110" s="178"/>
      <c r="BN1110" s="138">
        <f t="shared" si="1523"/>
        <v>0</v>
      </c>
      <c r="BO1110" s="142"/>
      <c r="BP1110" s="140"/>
      <c r="BQ1110" s="140"/>
      <c r="BR1110" s="141"/>
      <c r="BS1110" s="142"/>
      <c r="BT1110" s="140"/>
      <c r="BU1110" s="140"/>
      <c r="BV1110" s="143"/>
      <c r="BY1110" s="125">
        <f t="shared" si="1524"/>
        <v>0</v>
      </c>
      <c r="BZ1110" s="126">
        <f t="shared" si="1560"/>
        <v>0</v>
      </c>
      <c r="CA1110" s="126">
        <f t="shared" si="1561"/>
        <v>0</v>
      </c>
      <c r="CB1110" s="127">
        <f t="shared" si="1562"/>
        <v>0</v>
      </c>
    </row>
    <row r="1111" spans="1:81" s="171" customFormat="1" ht="22.5" customHeight="1" outlineLevel="1" x14ac:dyDescent="0.25">
      <c r="A1111" s="166"/>
      <c r="B1111" s="166"/>
      <c r="C1111" s="167" t="s">
        <v>83</v>
      </c>
      <c r="D1111" s="167" t="s">
        <v>84</v>
      </c>
      <c r="E1111" s="167" t="s">
        <v>73</v>
      </c>
      <c r="F1111" s="167" t="s">
        <v>74</v>
      </c>
      <c r="G1111" s="167" t="s">
        <v>497</v>
      </c>
      <c r="H1111" s="167" t="s">
        <v>73</v>
      </c>
      <c r="I1111" s="167" t="s">
        <v>73</v>
      </c>
      <c r="J1111" s="167" t="s">
        <v>73</v>
      </c>
      <c r="K1111" s="168" t="s">
        <v>73</v>
      </c>
      <c r="L1111" s="167" t="s">
        <v>133</v>
      </c>
      <c r="M1111" s="166" t="str">
        <f t="array" ref="M1111">Y818</f>
        <v>1ХВС::1.1</v>
      </c>
      <c r="N1111" s="166"/>
      <c r="O1111" s="166"/>
      <c r="P1111" s="166"/>
      <c r="Q1111" s="166"/>
      <c r="R1111" s="166"/>
      <c r="S1111" s="166"/>
      <c r="T1111" s="166"/>
      <c r="U1111" s="166"/>
      <c r="V1111" s="166"/>
      <c r="W1111" s="166"/>
      <c r="X1111" s="166"/>
      <c r="Y1111" s="166"/>
      <c r="Z1111" s="166"/>
      <c r="AA1111" s="166"/>
      <c r="AB1111" s="623" t="str">
        <f>AB867&amp;".2"</f>
        <v>3.2</v>
      </c>
      <c r="AC1111" s="672" t="s">
        <v>497</v>
      </c>
      <c r="AD1111" s="931" t="s">
        <v>111</v>
      </c>
      <c r="AE1111" s="655">
        <f t="shared" ref="AE1111:AK1111" si="1573">AE371+AE714</f>
        <v>437971.24</v>
      </c>
      <c r="AF1111" s="627">
        <f t="shared" si="1573"/>
        <v>49053.55</v>
      </c>
      <c r="AG1111" s="627">
        <f t="shared" si="1573"/>
        <v>399828.51</v>
      </c>
      <c r="AH1111" s="932">
        <f t="shared" si="1573"/>
        <v>230651.55</v>
      </c>
      <c r="AI1111" s="655">
        <f t="shared" si="1573"/>
        <v>31022.489999999998</v>
      </c>
      <c r="AJ1111" s="627">
        <f t="shared" si="1573"/>
        <v>0</v>
      </c>
      <c r="AK1111" s="627">
        <f t="shared" si="1573"/>
        <v>17050.580000000002</v>
      </c>
      <c r="AL1111" s="932">
        <v>0</v>
      </c>
      <c r="AM1111" s="655">
        <f t="shared" ref="AM1111:BD1111" si="1574">AM371+AM714</f>
        <v>14011.64</v>
      </c>
      <c r="AN1111" s="627">
        <f t="shared" si="1574"/>
        <v>2580</v>
      </c>
      <c r="AO1111" s="627">
        <f t="shared" si="1574"/>
        <v>13884.48</v>
      </c>
      <c r="AP1111" s="932">
        <f t="shared" si="1574"/>
        <v>0</v>
      </c>
      <c r="AQ1111" s="655">
        <f t="shared" si="1574"/>
        <v>5176.96</v>
      </c>
      <c r="AR1111" s="627">
        <f t="shared" si="1574"/>
        <v>1145.5999999999999</v>
      </c>
      <c r="AS1111" s="627">
        <f t="shared" si="1574"/>
        <v>8422.86</v>
      </c>
      <c r="AT1111" s="932">
        <f t="shared" si="1574"/>
        <v>8038</v>
      </c>
      <c r="AU1111" s="655">
        <f t="shared" si="1574"/>
        <v>2170.06</v>
      </c>
      <c r="AV1111" s="627">
        <f t="shared" si="1574"/>
        <v>799.9</v>
      </c>
      <c r="AW1111" s="627">
        <f t="shared" si="1574"/>
        <v>2369.8100000000004</v>
      </c>
      <c r="AX1111" s="932">
        <f t="shared" si="1574"/>
        <v>2629.19</v>
      </c>
      <c r="AY1111" s="655">
        <f t="shared" si="1574"/>
        <v>2197.33</v>
      </c>
      <c r="AZ1111" s="627">
        <f t="shared" si="1574"/>
        <v>0</v>
      </c>
      <c r="BA1111" s="627">
        <f t="shared" si="1574"/>
        <v>2565.9299999999998</v>
      </c>
      <c r="BB1111" s="932">
        <f t="shared" si="1574"/>
        <v>1596</v>
      </c>
      <c r="BC1111" s="655">
        <f t="shared" si="1574"/>
        <v>4681.5999999999995</v>
      </c>
      <c r="BD1111" s="627">
        <f t="shared" si="1574"/>
        <v>1009.5</v>
      </c>
      <c r="BE1111" s="627">
        <f t="shared" ref="BE1111:BF1111" si="1575">BE371+BE714</f>
        <v>3313.15</v>
      </c>
      <c r="BF1111" s="932">
        <f t="shared" si="1575"/>
        <v>1047.8399999999999</v>
      </c>
      <c r="BG1111" s="655">
        <f>BG371+BG714</f>
        <v>20200.45</v>
      </c>
      <c r="BH1111" s="627">
        <f>BH371+BH714</f>
        <v>0</v>
      </c>
      <c r="BI1111" s="627">
        <f>BI371+BI714</f>
        <v>19266.964</v>
      </c>
      <c r="BJ1111" s="932">
        <f>BJ714+BJ371</f>
        <v>15539</v>
      </c>
      <c r="BK1111" s="655">
        <f>BK371+BK714</f>
        <v>64776.729999999996</v>
      </c>
      <c r="BL1111" s="627">
        <f>BL371+BL714</f>
        <v>0</v>
      </c>
      <c r="BM1111" s="627">
        <f>BM371+BM714</f>
        <v>68306.33</v>
      </c>
      <c r="BN1111" s="932">
        <f>BN371+BN714</f>
        <v>0</v>
      </c>
      <c r="BO1111" s="655">
        <f t="shared" ref="BO1111:BV1111" si="1576">BO371+BO714</f>
        <v>1063.6600000000001</v>
      </c>
      <c r="BP1111" s="627">
        <f t="shared" si="1576"/>
        <v>0</v>
      </c>
      <c r="BQ1111" s="627">
        <f t="shared" si="1576"/>
        <v>1063.664</v>
      </c>
      <c r="BR1111" s="932">
        <f t="shared" si="1576"/>
        <v>0</v>
      </c>
      <c r="BS1111" s="655">
        <f t="shared" si="1576"/>
        <v>15881.745000000001</v>
      </c>
      <c r="BT1111" s="627">
        <f t="shared" si="1576"/>
        <v>0</v>
      </c>
      <c r="BU1111" s="627">
        <f t="shared" si="1576"/>
        <v>15873.665000000001</v>
      </c>
      <c r="BV1111" s="650">
        <f t="shared" si="1576"/>
        <v>0</v>
      </c>
      <c r="BW1111" s="170"/>
      <c r="BX1111" s="166"/>
      <c r="BY1111" s="630">
        <f t="shared" si="1524"/>
        <v>599153.90500000003</v>
      </c>
      <c r="BZ1111" s="631">
        <f t="shared" ref="BZ1111:BZ1117" si="1577">AF1111+AJ1111+AN1111+AR1111+AV1111+AZ1111+BD1111+BH1111+BL1111+BP1111+BT1111</f>
        <v>54588.55</v>
      </c>
      <c r="CA1111" s="631">
        <f t="shared" ref="CA1111:CA1117" si="1578">AG1111+AK1111+AO1111+AS1111+AW1111+BA1111+BE1111+BI1111+BM1111+BQ1111+BU1111</f>
        <v>551945.94299999997</v>
      </c>
      <c r="CB1111" s="632">
        <f t="shared" ref="CB1111:CB1117" si="1579">AH1111+AL1111+AP1111+AT1111+AX1111+BB1111+BF1111+BJ1111+BN1111+BR1111+BV1111</f>
        <v>259501.58</v>
      </c>
      <c r="CC1111" s="760"/>
    </row>
    <row r="1112" spans="1:81" s="171" customFormat="1" ht="22.5" customHeight="1" outlineLevel="1" x14ac:dyDescent="0.25">
      <c r="A1112" s="166"/>
      <c r="B1112" s="166"/>
      <c r="C1112" s="167" t="s">
        <v>83</v>
      </c>
      <c r="D1112" s="167" t="s">
        <v>84</v>
      </c>
      <c r="E1112" s="167" t="s">
        <v>73</v>
      </c>
      <c r="F1112" s="167" t="s">
        <v>74</v>
      </c>
      <c r="G1112" s="167" t="s">
        <v>498</v>
      </c>
      <c r="H1112" s="167" t="s">
        <v>73</v>
      </c>
      <c r="I1112" s="167" t="s">
        <v>73</v>
      </c>
      <c r="J1112" s="167" t="s">
        <v>73</v>
      </c>
      <c r="K1112" s="168" t="s">
        <v>73</v>
      </c>
      <c r="L1112" s="167" t="s">
        <v>133</v>
      </c>
      <c r="M1112" s="166" t="str">
        <f t="array" ref="M1112">Y818</f>
        <v>1ХВС::1.1</v>
      </c>
      <c r="N1112" s="166"/>
      <c r="O1112" s="166"/>
      <c r="P1112" s="166"/>
      <c r="Q1112" s="166"/>
      <c r="R1112" s="166"/>
      <c r="S1112" s="166"/>
      <c r="T1112" s="166"/>
      <c r="U1112" s="166"/>
      <c r="V1112" s="166"/>
      <c r="W1112" s="166"/>
      <c r="X1112" s="166"/>
      <c r="Y1112" s="166"/>
      <c r="Z1112" s="166"/>
      <c r="AA1112" s="166"/>
      <c r="AB1112" s="623" t="str">
        <f>AB867&amp;".3"</f>
        <v>3.3</v>
      </c>
      <c r="AC1112" s="633" t="s">
        <v>498</v>
      </c>
      <c r="AD1112" s="931" t="s">
        <v>111</v>
      </c>
      <c r="AE1112" s="655">
        <f t="shared" ref="AE1112:AL1112" si="1580">AE1113</f>
        <v>10241.716</v>
      </c>
      <c r="AF1112" s="627">
        <f t="shared" si="1580"/>
        <v>24068.734</v>
      </c>
      <c r="AG1112" s="627">
        <f t="shared" si="1580"/>
        <v>27512.010000000002</v>
      </c>
      <c r="AH1112" s="932">
        <f t="shared" si="1580"/>
        <v>35342.29</v>
      </c>
      <c r="AI1112" s="655">
        <f t="shared" si="1580"/>
        <v>6.15</v>
      </c>
      <c r="AJ1112" s="627">
        <f t="shared" si="1580"/>
        <v>0</v>
      </c>
      <c r="AK1112" s="627">
        <f t="shared" si="1580"/>
        <v>60.35</v>
      </c>
      <c r="AL1112" s="932">
        <f t="shared" si="1580"/>
        <v>41.92</v>
      </c>
      <c r="AM1112" s="655">
        <f t="shared" ref="AM1112:AS1112" si="1581">AM1113</f>
        <v>0</v>
      </c>
      <c r="AN1112" s="627">
        <f t="shared" si="1581"/>
        <v>0</v>
      </c>
      <c r="AO1112" s="627">
        <f t="shared" si="1581"/>
        <v>664.46</v>
      </c>
      <c r="AP1112" s="932">
        <f t="shared" si="1581"/>
        <v>478.41</v>
      </c>
      <c r="AQ1112" s="655">
        <f t="shared" si="1581"/>
        <v>0</v>
      </c>
      <c r="AR1112" s="627">
        <f t="shared" si="1581"/>
        <v>0</v>
      </c>
      <c r="AS1112" s="627">
        <f t="shared" si="1581"/>
        <v>971.71</v>
      </c>
      <c r="AT1112" s="932">
        <f>AT372+AT721</f>
        <v>739.18000000000006</v>
      </c>
      <c r="AU1112" s="655">
        <f>AU1113</f>
        <v>0</v>
      </c>
      <c r="AV1112" s="627">
        <f>AV1113</f>
        <v>0</v>
      </c>
      <c r="AW1112" s="627">
        <f>AW1113</f>
        <v>357.4</v>
      </c>
      <c r="AX1112" s="932">
        <f>AX721+AX372</f>
        <v>236.42000000000002</v>
      </c>
      <c r="AY1112" s="655">
        <f>AY1113</f>
        <v>0</v>
      </c>
      <c r="AZ1112" s="627">
        <f>AZ1113</f>
        <v>234.28000000000003</v>
      </c>
      <c r="BA1112" s="627">
        <f>BA1113</f>
        <v>753.71</v>
      </c>
      <c r="BB1112" s="932">
        <f>BB1113</f>
        <v>0</v>
      </c>
      <c r="BC1112" s="655">
        <f t="shared" ref="BC1112:BI1112" si="1582">BC1113</f>
        <v>369.39</v>
      </c>
      <c r="BD1112" s="627">
        <f t="shared" si="1582"/>
        <v>0</v>
      </c>
      <c r="BE1112" s="627">
        <f t="shared" si="1582"/>
        <v>711.83999999999992</v>
      </c>
      <c r="BF1112" s="932">
        <f t="shared" si="1582"/>
        <v>643.78</v>
      </c>
      <c r="BG1112" s="655">
        <f t="shared" si="1582"/>
        <v>1480.2850000000001</v>
      </c>
      <c r="BH1112" s="627">
        <f t="shared" si="1582"/>
        <v>0</v>
      </c>
      <c r="BI1112" s="627">
        <f t="shared" si="1582"/>
        <v>2321.5039999999999</v>
      </c>
      <c r="BJ1112" s="932">
        <v>0</v>
      </c>
      <c r="BK1112" s="655">
        <f>BK1113</f>
        <v>0</v>
      </c>
      <c r="BL1112" s="627">
        <f>BL1113</f>
        <v>0</v>
      </c>
      <c r="BM1112" s="627">
        <f>BM1113</f>
        <v>0</v>
      </c>
      <c r="BN1112" s="932">
        <f>BN372+BN715</f>
        <v>0</v>
      </c>
      <c r="BO1112" s="654">
        <f t="shared" ref="BO1112:BV1112" si="1583">BO1113</f>
        <v>38.983999999999995</v>
      </c>
      <c r="BP1112" s="652">
        <f t="shared" si="1583"/>
        <v>0</v>
      </c>
      <c r="BQ1112" s="652">
        <f t="shared" si="1583"/>
        <v>75.244</v>
      </c>
      <c r="BR1112" s="934">
        <f t="shared" si="1583"/>
        <v>0</v>
      </c>
      <c r="BS1112" s="654">
        <f t="shared" si="1583"/>
        <v>280.10899999999998</v>
      </c>
      <c r="BT1112" s="652">
        <f t="shared" si="1583"/>
        <v>0</v>
      </c>
      <c r="BU1112" s="652">
        <f t="shared" si="1583"/>
        <v>599.52</v>
      </c>
      <c r="BV1112" s="653">
        <f t="shared" si="1583"/>
        <v>438.26</v>
      </c>
      <c r="BW1112" s="170"/>
      <c r="BX1112" s="166"/>
      <c r="BY1112" s="630">
        <f t="shared" si="1524"/>
        <v>12416.634</v>
      </c>
      <c r="BZ1112" s="631">
        <f t="shared" si="1577"/>
        <v>24303.013999999999</v>
      </c>
      <c r="CA1112" s="631">
        <f t="shared" si="1578"/>
        <v>34027.747999999992</v>
      </c>
      <c r="CB1112" s="632">
        <f t="shared" si="1579"/>
        <v>37920.26</v>
      </c>
      <c r="CC1112" s="760"/>
    </row>
    <row r="1113" spans="1:81" ht="30.6" customHeight="1" outlineLevel="3" x14ac:dyDescent="0.25">
      <c r="C1113" s="10" t="s">
        <v>83</v>
      </c>
      <c r="D1113" s="10" t="s">
        <v>84</v>
      </c>
      <c r="E1113" s="10" t="s">
        <v>73</v>
      </c>
      <c r="F1113" s="10" t="s">
        <v>74</v>
      </c>
      <c r="G1113" s="10" t="s">
        <v>499</v>
      </c>
      <c r="H1113" s="10" t="s">
        <v>73</v>
      </c>
      <c r="I1113" s="10" t="s">
        <v>73</v>
      </c>
      <c r="J1113" s="10" t="s">
        <v>73</v>
      </c>
      <c r="K1113" s="12" t="s">
        <v>73</v>
      </c>
      <c r="L1113" s="10" t="s">
        <v>133</v>
      </c>
      <c r="M1113" s="5" t="str">
        <f t="array" ref="M1113">Y818</f>
        <v>1ХВС::1.1</v>
      </c>
      <c r="AB1113" s="65" t="str">
        <f>AB1112&amp;".3"</f>
        <v>3.3.3</v>
      </c>
      <c r="AC1113" s="87" t="s">
        <v>500</v>
      </c>
      <c r="AD1113" s="51" t="s">
        <v>111</v>
      </c>
      <c r="AE1113" s="95">
        <f t="shared" ref="AE1113:AK1113" si="1584">AE726+AE373</f>
        <v>10241.716</v>
      </c>
      <c r="AF1113" s="178">
        <f t="shared" si="1584"/>
        <v>24068.734</v>
      </c>
      <c r="AG1113" s="178">
        <f t="shared" si="1584"/>
        <v>27512.010000000002</v>
      </c>
      <c r="AH1113" s="181">
        <f t="shared" si="1584"/>
        <v>35342.29</v>
      </c>
      <c r="AI1113" s="95">
        <f t="shared" si="1584"/>
        <v>6.15</v>
      </c>
      <c r="AJ1113" s="178">
        <f t="shared" si="1584"/>
        <v>0</v>
      </c>
      <c r="AK1113" s="178">
        <f t="shared" si="1584"/>
        <v>60.35</v>
      </c>
      <c r="AL1113" s="181">
        <f>AL372+AL721</f>
        <v>41.92</v>
      </c>
      <c r="AM1113" s="95">
        <f t="shared" ref="AM1113:BI1113" si="1585">AM726+AM373</f>
        <v>0</v>
      </c>
      <c r="AN1113" s="178">
        <f t="shared" si="1585"/>
        <v>0</v>
      </c>
      <c r="AO1113" s="178">
        <f t="shared" si="1585"/>
        <v>664.46</v>
      </c>
      <c r="AP1113" s="181">
        <f t="shared" si="1585"/>
        <v>478.41</v>
      </c>
      <c r="AQ1113" s="95">
        <f t="shared" si="1585"/>
        <v>0</v>
      </c>
      <c r="AR1113" s="178">
        <f t="shared" si="1585"/>
        <v>0</v>
      </c>
      <c r="AS1113" s="178">
        <f t="shared" si="1585"/>
        <v>971.71</v>
      </c>
      <c r="AT1113" s="181">
        <f t="shared" si="1585"/>
        <v>739.18000000000006</v>
      </c>
      <c r="AU1113" s="95">
        <f t="shared" si="1585"/>
        <v>0</v>
      </c>
      <c r="AV1113" s="178">
        <f t="shared" si="1585"/>
        <v>0</v>
      </c>
      <c r="AW1113" s="178">
        <f t="shared" si="1585"/>
        <v>357.4</v>
      </c>
      <c r="AX1113" s="178">
        <f>AX721+AX373</f>
        <v>236.42000000000002</v>
      </c>
      <c r="AY1113" s="95">
        <f t="shared" si="1585"/>
        <v>0</v>
      </c>
      <c r="AZ1113" s="178">
        <f t="shared" si="1585"/>
        <v>234.28000000000003</v>
      </c>
      <c r="BA1113" s="178">
        <f t="shared" si="1585"/>
        <v>753.71</v>
      </c>
      <c r="BB1113" s="181">
        <f t="shared" ref="BB1113" si="1586">BB726+BB373</f>
        <v>0</v>
      </c>
      <c r="BC1113" s="95">
        <f t="shared" si="1585"/>
        <v>369.39</v>
      </c>
      <c r="BD1113" s="178">
        <f t="shared" si="1585"/>
        <v>0</v>
      </c>
      <c r="BE1113" s="178">
        <f t="shared" ref="BE1113:BF1113" si="1587">BE726+BE373</f>
        <v>711.83999999999992</v>
      </c>
      <c r="BF1113" s="181">
        <f t="shared" si="1587"/>
        <v>643.78</v>
      </c>
      <c r="BG1113" s="95">
        <f t="shared" si="1585"/>
        <v>1480.2850000000001</v>
      </c>
      <c r="BH1113" s="178">
        <f t="shared" si="1585"/>
        <v>0</v>
      </c>
      <c r="BI1113" s="178">
        <f t="shared" si="1585"/>
        <v>2321.5039999999999</v>
      </c>
      <c r="BJ1113" s="181">
        <v>0</v>
      </c>
      <c r="BK1113" s="95">
        <f>BK726+BK373</f>
        <v>0</v>
      </c>
      <c r="BL1113" s="178">
        <f>BL726+BL373</f>
        <v>0</v>
      </c>
      <c r="BM1113" s="178">
        <f>BM726+BM373</f>
        <v>0</v>
      </c>
      <c r="BN1113" s="178">
        <f>BN726+BN373</f>
        <v>0</v>
      </c>
      <c r="BO1113" s="95">
        <f t="shared" ref="BO1113:BV1113" si="1588">BO726+BO373</f>
        <v>38.983999999999995</v>
      </c>
      <c r="BP1113" s="178">
        <f t="shared" si="1588"/>
        <v>0</v>
      </c>
      <c r="BQ1113" s="178">
        <f t="shared" si="1588"/>
        <v>75.244</v>
      </c>
      <c r="BR1113" s="181">
        <f t="shared" si="1588"/>
        <v>0</v>
      </c>
      <c r="BS1113" s="95">
        <f t="shared" si="1588"/>
        <v>280.10899999999998</v>
      </c>
      <c r="BT1113" s="178">
        <f t="shared" si="1588"/>
        <v>0</v>
      </c>
      <c r="BU1113" s="178">
        <f t="shared" si="1588"/>
        <v>599.52</v>
      </c>
      <c r="BV1113" s="96">
        <f t="shared" si="1588"/>
        <v>438.26</v>
      </c>
      <c r="BY1113" s="125">
        <f t="shared" si="1524"/>
        <v>12416.634</v>
      </c>
      <c r="BZ1113" s="126">
        <f t="shared" si="1577"/>
        <v>24303.013999999999</v>
      </c>
      <c r="CA1113" s="126">
        <f t="shared" si="1578"/>
        <v>34027.747999999992</v>
      </c>
      <c r="CB1113" s="127">
        <f t="shared" si="1579"/>
        <v>37920.26</v>
      </c>
    </row>
    <row r="1114" spans="1:81" ht="22.35" customHeight="1" outlineLevel="3" x14ac:dyDescent="0.25">
      <c r="C1114" s="10" t="s">
        <v>83</v>
      </c>
      <c r="D1114" s="297" t="s">
        <v>84</v>
      </c>
      <c r="E1114" s="297" t="s">
        <v>73</v>
      </c>
      <c r="F1114" s="10" t="s">
        <v>74</v>
      </c>
      <c r="G1114" s="297" t="s">
        <v>501</v>
      </c>
      <c r="H1114" s="297" t="s">
        <v>73</v>
      </c>
      <c r="I1114" s="297" t="s">
        <v>73</v>
      </c>
      <c r="J1114" s="297" t="s">
        <v>73</v>
      </c>
      <c r="K1114" s="298" t="s">
        <v>73</v>
      </c>
      <c r="L1114" s="10" t="s">
        <v>133</v>
      </c>
      <c r="M1114" s="5" t="str">
        <f t="array" ref="M1114">Y818</f>
        <v>1ХВС::1.1</v>
      </c>
      <c r="AB1114" s="299" t="s">
        <v>502</v>
      </c>
      <c r="AC1114" s="281" t="s">
        <v>503</v>
      </c>
      <c r="AD1114" s="51" t="s">
        <v>119</v>
      </c>
      <c r="AE1114" s="175">
        <f>AE1113*100/(AE1128-AE1115-AE1122-AE1123-AE1126-AE1127)</f>
        <v>0.35044547466833453</v>
      </c>
      <c r="AF1114" s="73">
        <f t="shared" ref="AF1114:AG1114" si="1589">AF1113*100/(AF1128-AF1115-AF1122-AF1123-AF1126-AF1127)</f>
        <v>0.92097488370137026</v>
      </c>
      <c r="AG1114" s="73">
        <f t="shared" si="1589"/>
        <v>0.75097415978962412</v>
      </c>
      <c r="AH1114" s="179">
        <f>AH1113*100/(AH1128-AH1115-AH1122-AH1123-AH1126-AH1127)</f>
        <v>1.2293725289903752</v>
      </c>
      <c r="AI1114" s="175">
        <f>AI1113*100/(AI1128-AI1115-AI1122-AI1123-AI1126-AI1127)</f>
        <v>1.0427507289187591E-2</v>
      </c>
      <c r="AJ1114" s="73">
        <f t="shared" ref="AJ1114" si="1590">AJ1113*100/(AJ1128-AJ1115-AJ1122-AJ1123-AJ1126-AJ1127)</f>
        <v>0</v>
      </c>
      <c r="AK1114" s="73">
        <f t="shared" ref="AK1114" si="1591">AK1113*100/(AK1128-AK1115-AK1122-AK1123-AK1126-AK1127)</f>
        <v>0.10204894207280032</v>
      </c>
      <c r="AL1114" s="179">
        <f>AL1113*100/(AL1128-AL1115-AL1122-AL1123-AL1126-AL1127)</f>
        <v>0.14855723779397664</v>
      </c>
      <c r="AM1114" s="175">
        <f>AM1113*100/(AM1128-AM1115-AM1122-AM1123-AM1126-AM1127)</f>
        <v>0</v>
      </c>
      <c r="AN1114" s="73">
        <f t="shared" ref="AN1114" si="1592">AN1113*100/(AN1128-AN1115-AN1122-AN1123-AN1126-AN1127)</f>
        <v>0</v>
      </c>
      <c r="AO1114" s="73">
        <f t="shared" ref="AO1114" si="1593">AO1113*100/(AO1128-AO1115-AO1122-AO1123-AO1126-AO1127)</f>
        <v>0.82392684863588217</v>
      </c>
      <c r="AP1114" s="179">
        <f>AP1113*100/(AP1128-AP1115-AP1122-AP1123-AP1126-AP1127)</f>
        <v>2.1671872115491335</v>
      </c>
      <c r="AQ1114" s="175">
        <f>AQ1113*100/(AQ1128-AQ1115-AQ1122-AQ1123-AQ1126-AQ1127)</f>
        <v>0</v>
      </c>
      <c r="AR1114" s="73">
        <f t="shared" ref="AR1114" si="1594">AR1113*100/(AR1128-AR1115-AR1122-AR1123-AR1126-AR1127)</f>
        <v>0</v>
      </c>
      <c r="AS1114" s="73">
        <f t="shared" ref="AS1114" si="1595">AS1113*100/(AS1128-AS1115-AS1122-AS1123-AS1126-AS1127)</f>
        <v>0.82041488464839674</v>
      </c>
      <c r="AT1114" s="179">
        <f>AT1113*100/(AT1128-AT1115-AT1122-AT1123-AT1126-AT1127)</f>
        <v>1.7982885343883828</v>
      </c>
      <c r="AU1114" s="175">
        <f>AU1113*100/(AU1128-AU1115-AU1122-AU1123-AU1126-AU1127)</f>
        <v>0</v>
      </c>
      <c r="AV1114" s="73">
        <f t="shared" ref="AV1114" si="1596">AV1113*100/(AV1128-AV1115-AV1122-AV1123-AV1126-AV1127)</f>
        <v>0</v>
      </c>
      <c r="AW1114" s="73">
        <f t="shared" ref="AW1114" si="1597">AW1113*100/(AW1128-AW1115-AW1122-AW1123-AW1126-AW1127)</f>
        <v>0.51650901403514871</v>
      </c>
      <c r="AX1114" s="179">
        <f>AX1113*100/(AX1128-AX1115-AX1122-AX1123-AX1126-AX1127)</f>
        <v>-1.4624867601463316</v>
      </c>
      <c r="AY1114" s="175">
        <f>AY1113*100/(AY1128-AY1115-AY1122-AY1123-AY1126-AY1127)</f>
        <v>0</v>
      </c>
      <c r="AZ1114" s="73">
        <f t="shared" ref="AZ1114" si="1598">AZ1113*100/(AZ1128-AZ1115-AZ1122-AZ1123-AZ1126-AZ1127)</f>
        <v>0.2105951519330001</v>
      </c>
      <c r="BA1114" s="73">
        <f t="shared" ref="BA1114" si="1599">BA1113*100/(BA1128-BA1115-BA1122-BA1123-BA1126-BA1127)</f>
        <v>0.49595539682783635</v>
      </c>
      <c r="BB1114" s="179">
        <f>BB1113*100/(BB1128-BB1115-BB1122-BB1123-BB1126-BB1127)</f>
        <v>0</v>
      </c>
      <c r="BC1114" s="175">
        <f>BC1113*100/(BC1128-BC1115-BC1122-BC1123-BC1126-BC1127)</f>
        <v>0.39686961622913552</v>
      </c>
      <c r="BD1114" s="73">
        <f t="shared" ref="BD1114" si="1600">BD1113*100/(BD1128-BD1115-BD1122-BD1123-BD1126-BD1127)</f>
        <v>0</v>
      </c>
      <c r="BE1114" s="73">
        <f t="shared" ref="BE1114" si="1601">BE1113*100/(BE1128-BE1115-BE1122-BE1123-BE1126-BE1127)</f>
        <v>0.62414604361263315</v>
      </c>
      <c r="BF1114" s="179">
        <f>BF1113*100/(BF1128-BF1115-BF1122-BF1123-BF1126-BF1127)</f>
        <v>-2.0351053589943522</v>
      </c>
      <c r="BG1114" s="175">
        <f>BG1113*100/(BG1128-BG1115-BG1122-BG1123-BG1126-BG1127)</f>
        <v>0.63935371649326478</v>
      </c>
      <c r="BH1114" s="73">
        <f t="shared" ref="BH1114" si="1602">BH1113*100/(BH1128-BH1115-BH1122-BH1123-BH1126-BH1127)</f>
        <v>0</v>
      </c>
      <c r="BI1114" s="73">
        <f t="shared" ref="BI1114" si="1603">BI1113*100/(BI1128-BI1115-BI1122-BI1123-BI1126-BI1127)</f>
        <v>0.66982400232146566</v>
      </c>
      <c r="BJ1114" s="179">
        <f>BJ1113*100/(BJ1128-BJ1115-BJ1122-BJ1123-BJ1126-BJ1127)</f>
        <v>0</v>
      </c>
      <c r="BK1114" s="175">
        <f>BK1113*100/(BK1128-BK1115-BK1122-BK1123-BK1126-BK1127)</f>
        <v>0</v>
      </c>
      <c r="BL1114" s="73">
        <f t="shared" ref="BL1114" si="1604">BL1113*100/(BL1128-BL1115-BL1122-BL1123-BL1126-BL1127)</f>
        <v>0</v>
      </c>
      <c r="BM1114" s="73">
        <f t="shared" ref="BM1114" si="1605">BM1113*100/(BM1128-BM1115-BM1122-BM1123-BM1126-BM1127)</f>
        <v>0</v>
      </c>
      <c r="BN1114" s="179">
        <f>BN1113*100/(BN1128-BN1115-BN1122-BN1123-BN1126-BN1127)</f>
        <v>0</v>
      </c>
      <c r="BO1114" s="175">
        <f>BO1113*100/(BO1128-BO1115-BO1122-BO1123-BO1126-BO1127)</f>
        <v>9.3526092457987597E-2</v>
      </c>
      <c r="BP1114" s="73">
        <f t="shared" ref="BP1114" si="1606">BP1113*100/(BP1128-BP1115-BP1122-BP1123-BP1126-BP1127)</f>
        <v>0</v>
      </c>
      <c r="BQ1114" s="73">
        <f t="shared" ref="BQ1114" si="1607">BQ1113*100/(BQ1128-BQ1115-BQ1122-BQ1123-BQ1126-BQ1127)</f>
        <v>0.15678582753488693</v>
      </c>
      <c r="BR1114" s="443">
        <f>BR1113*100/(BR1128-BR1115-BR1122-BR1123-BR1126-BR1127)</f>
        <v>0</v>
      </c>
      <c r="BS1114" s="72">
        <f>BS1113*100/(BS1128-BS1115-BS1122-BS1123-BS1126-BS1127)</f>
        <v>0.38138982721118092</v>
      </c>
      <c r="BT1114" s="73">
        <f t="shared" ref="BT1114" si="1608">BT1113*100/(BT1128-BT1115-BT1122-BT1123-BT1126-BT1127)</f>
        <v>0</v>
      </c>
      <c r="BU1114" s="73">
        <f t="shared" ref="BU1114" si="1609">BU1113*100/(BU1128-BU1115-BU1122-BU1123-BU1126-BU1127)</f>
        <v>0.59396309240079326</v>
      </c>
      <c r="BV1114" s="74">
        <f>BV1113*100/(BV1128-BV1115-BV1122-BV1123-BV1126-BV1127)</f>
        <v>0.65725255219147349</v>
      </c>
      <c r="BY1114" s="175">
        <f>BY1113*100/(BY1128-BY1115-BY1122-BY1123-BY1126-BY1127)</f>
        <v>0.30794593047896512</v>
      </c>
      <c r="BZ1114" s="73">
        <f t="shared" ref="BZ1114" si="1610">BZ1113*100/(BZ1128-BZ1115-BZ1122-BZ1123-BZ1126-BZ1127)</f>
        <v>0.75723830831354044</v>
      </c>
      <c r="CA1114" s="73">
        <f t="shared" ref="CA1114" si="1611">CA1113*100/(CA1128-CA1115-CA1122-CA1123-CA1126-CA1127)</f>
        <v>0.66457249755614534</v>
      </c>
      <c r="CB1114" s="176">
        <f>CB1113*100/(CB1128-CB1115-CB1122-CB1123-CB1126-CB1127)</f>
        <v>1.1310511091278466</v>
      </c>
    </row>
    <row r="1115" spans="1:81" s="171" customFormat="1" ht="21.6" customHeight="1" x14ac:dyDescent="0.25">
      <c r="A1115" s="167" t="b">
        <f>REGULATION_METHODS="Метод индексации"</f>
        <v>1</v>
      </c>
      <c r="B1115" s="166" t="b">
        <f t="array" ref="B1115">A1115</f>
        <v>1</v>
      </c>
      <c r="C1115" s="167" t="s">
        <v>83</v>
      </c>
      <c r="D1115" s="167" t="s">
        <v>84</v>
      </c>
      <c r="E1115" s="167" t="s">
        <v>73</v>
      </c>
      <c r="F1115" s="167" t="s">
        <v>74</v>
      </c>
      <c r="G1115" s="167" t="s">
        <v>504</v>
      </c>
      <c r="H1115" s="167" t="s">
        <v>73</v>
      </c>
      <c r="I1115" s="167" t="s">
        <v>73</v>
      </c>
      <c r="J1115" s="167" t="s">
        <v>73</v>
      </c>
      <c r="K1115" s="168" t="s">
        <v>73</v>
      </c>
      <c r="L1115" s="167" t="s">
        <v>133</v>
      </c>
      <c r="M1115" s="166" t="str">
        <f t="array" ref="M1115">Y818</f>
        <v>1ХВС::1.1</v>
      </c>
      <c r="N1115" s="166"/>
      <c r="O1115" s="166"/>
      <c r="P1115" s="166"/>
      <c r="Q1115" s="166"/>
      <c r="R1115" s="166"/>
      <c r="S1115" s="166"/>
      <c r="T1115" s="166"/>
      <c r="U1115" s="166"/>
      <c r="V1115" s="166"/>
      <c r="W1115" s="166"/>
      <c r="X1115" s="166"/>
      <c r="Y1115" s="166"/>
      <c r="Z1115" s="166"/>
      <c r="AA1115" s="166"/>
      <c r="AB1115" s="623">
        <f>AB867+1</f>
        <v>4</v>
      </c>
      <c r="AC1115" s="624" t="s">
        <v>504</v>
      </c>
      <c r="AD1115" s="931" t="s">
        <v>111</v>
      </c>
      <c r="AE1115" s="655">
        <f>SUM(AE1116:AE1117)</f>
        <v>0</v>
      </c>
      <c r="AF1115" s="627">
        <f>AF732+AF375</f>
        <v>-322802.05199999997</v>
      </c>
      <c r="AG1115" s="627">
        <f>SUM(AG1116:AG1117)</f>
        <v>550381.09</v>
      </c>
      <c r="AH1115" s="932">
        <f>SUM(AH1116:AH1117)</f>
        <v>-421566.18</v>
      </c>
      <c r="AI1115" s="655">
        <f>SUM(AI1116:AI1117)</f>
        <v>0</v>
      </c>
      <c r="AJ1115" s="627">
        <f>AJ732+AJ375</f>
        <v>-335.56999999999994</v>
      </c>
      <c r="AK1115" s="627">
        <f>SUM(AK1116:AK1117)</f>
        <v>11620.4</v>
      </c>
      <c r="AL1115" s="932">
        <f>AL732+AL375</f>
        <v>-7759.34</v>
      </c>
      <c r="AM1115" s="655">
        <f>SUM(AM1116:AM1117)</f>
        <v>0</v>
      </c>
      <c r="AN1115" s="627">
        <f>AN732+AN375</f>
        <v>4405.3509999999997</v>
      </c>
      <c r="AO1115" s="627">
        <f>SUM(AO1116:AO1117)</f>
        <v>24652.343000000001</v>
      </c>
      <c r="AP1115" s="932">
        <f>SUM(AP1116:AP1117)</f>
        <v>-3267.02</v>
      </c>
      <c r="AQ1115" s="655">
        <f>SUM(AQ1116:AQ1117)</f>
        <v>0</v>
      </c>
      <c r="AR1115" s="627">
        <f>AR732+AR375</f>
        <v>-1633.1499999999992</v>
      </c>
      <c r="AS1115" s="627">
        <f>SUM(AS1116:AS1117)</f>
        <v>29888.239999999998</v>
      </c>
      <c r="AT1115" s="932">
        <f>SUM(AT1116:AT1117)</f>
        <v>-11062.369999999999</v>
      </c>
      <c r="AU1115" s="655">
        <f>SUM(AU1116:AU1117)</f>
        <v>0</v>
      </c>
      <c r="AV1115" s="627">
        <f>AV732+AV375</f>
        <v>961.74</v>
      </c>
      <c r="AW1115" s="627">
        <f>SUM(AW1116:AW1117)</f>
        <v>32776.695</v>
      </c>
      <c r="AX1115" s="932">
        <f>AX732+AX375</f>
        <v>-9819.35</v>
      </c>
      <c r="AY1115" s="655">
        <f>SUM(AY1116:AY1117)</f>
        <v>0</v>
      </c>
      <c r="AZ1115" s="627">
        <f>SUM(AZ1116:AZ1117)</f>
        <v>0</v>
      </c>
      <c r="BA1115" s="627">
        <f>SUM(BA1116:BA1117)</f>
        <v>27003.41</v>
      </c>
      <c r="BB1115" s="932">
        <f>SUM(BB1116:BB1117)</f>
        <v>497.46000000000004</v>
      </c>
      <c r="BC1115" s="655">
        <f>SUM(BC1116:BC1117)</f>
        <v>0</v>
      </c>
      <c r="BD1115" s="627">
        <f>BD732+BD375</f>
        <v>-2061.79</v>
      </c>
      <c r="BE1115" s="627">
        <f t="shared" ref="BE1115:BF1115" si="1612">BE732+BE375</f>
        <v>0</v>
      </c>
      <c r="BF1115" s="932">
        <f t="shared" si="1612"/>
        <v>-9597.51</v>
      </c>
      <c r="BG1115" s="655">
        <f>SUM(BG1116:BG1117)</f>
        <v>0</v>
      </c>
      <c r="BH1115" s="627">
        <f>SUM(BH1116:BH1117)</f>
        <v>0</v>
      </c>
      <c r="BI1115" s="627">
        <f>BI732+BI375</f>
        <v>0</v>
      </c>
      <c r="BJ1115" s="932">
        <f>BJ732+BJ375</f>
        <v>-3714.9299999999994</v>
      </c>
      <c r="BK1115" s="655">
        <f>SUM(BK1116:BK1117)</f>
        <v>125387.70000000001</v>
      </c>
      <c r="BL1115" s="627">
        <f>BL732+BL375</f>
        <v>18030.660000000003</v>
      </c>
      <c r="BM1115" s="627">
        <f>SUM(BM1116:BM1117)</f>
        <v>0</v>
      </c>
      <c r="BN1115" s="932">
        <f>BN375+BN732</f>
        <v>-14298.101999999999</v>
      </c>
      <c r="BO1115" s="655">
        <f>SUM(BO1116:BO1117)</f>
        <v>0</v>
      </c>
      <c r="BP1115" s="627">
        <f>BP732+BP375</f>
        <v>2102.61</v>
      </c>
      <c r="BQ1115" s="627">
        <f>SUM(BQ1116:BQ1117)</f>
        <v>3861.8040000000001</v>
      </c>
      <c r="BR1115" s="932">
        <f>SUM(BR1116:BR1117)</f>
        <v>-1052.3499999999999</v>
      </c>
      <c r="BS1115" s="655">
        <f>SUM(BS1116:BS1117)</f>
        <v>0</v>
      </c>
      <c r="BT1115" s="627">
        <f>BT732+BT375</f>
        <v>3368.25</v>
      </c>
      <c r="BU1115" s="627">
        <f>SUM(BU1116:BU1117)</f>
        <v>0</v>
      </c>
      <c r="BV1115" s="650">
        <f>SUM(BV1116:BV1117)</f>
        <v>-3231.62</v>
      </c>
      <c r="BW1115" s="170"/>
      <c r="BX1115" s="166"/>
      <c r="BY1115" s="630">
        <f t="shared" si="1524"/>
        <v>125387.70000000001</v>
      </c>
      <c r="BZ1115" s="631">
        <f t="shared" si="1577"/>
        <v>-297963.951</v>
      </c>
      <c r="CA1115" s="631">
        <f t="shared" si="1578"/>
        <v>680183.98199999996</v>
      </c>
      <c r="CB1115" s="632">
        <f t="shared" si="1579"/>
        <v>-484871.31199999998</v>
      </c>
      <c r="CC1115" s="760"/>
    </row>
    <row r="1116" spans="1:81" ht="49.5" hidden="1" customHeight="1" outlineLevel="1" x14ac:dyDescent="0.25">
      <c r="A1116" s="10" t="e">
        <f t="array" ref="A1116">#REF!</f>
        <v>#REF!</v>
      </c>
      <c r="B1116" s="5" t="e">
        <f t="array" ref="B1116">A1116</f>
        <v>#REF!</v>
      </c>
      <c r="C1116" s="10" t="s">
        <v>83</v>
      </c>
      <c r="D1116" s="10" t="s">
        <v>84</v>
      </c>
      <c r="E1116" s="10" t="s">
        <v>73</v>
      </c>
      <c r="F1116" s="10" t="s">
        <v>74</v>
      </c>
      <c r="G1116" s="10" t="s">
        <v>505</v>
      </c>
      <c r="H1116" s="10" t="s">
        <v>73</v>
      </c>
      <c r="I1116" s="10" t="s">
        <v>73</v>
      </c>
      <c r="J1116" s="10" t="s">
        <v>73</v>
      </c>
      <c r="K1116" s="12" t="s">
        <v>73</v>
      </c>
      <c r="L1116" s="10" t="s">
        <v>133</v>
      </c>
      <c r="M1116" s="5" t="str">
        <f t="array" ref="M1116">Y818</f>
        <v>1ХВС::1.1</v>
      </c>
      <c r="AB1116" s="65" t="str">
        <f>AB1115&amp;".4"</f>
        <v>4.4</v>
      </c>
      <c r="AC1116" s="80" t="s">
        <v>505</v>
      </c>
      <c r="AD1116" s="51" t="s">
        <v>111</v>
      </c>
      <c r="AE1116" s="95">
        <f t="shared" ref="AE1116:AK1116" si="1613">AE376</f>
        <v>0</v>
      </c>
      <c r="AF1116" s="178">
        <f t="shared" si="1613"/>
        <v>0</v>
      </c>
      <c r="AG1116" s="178">
        <f t="shared" si="1613"/>
        <v>0</v>
      </c>
      <c r="AH1116" s="181">
        <f t="shared" si="1613"/>
        <v>0</v>
      </c>
      <c r="AI1116" s="95">
        <f t="shared" si="1613"/>
        <v>0</v>
      </c>
      <c r="AJ1116" s="178">
        <f t="shared" si="1613"/>
        <v>0</v>
      </c>
      <c r="AK1116" s="178">
        <f t="shared" si="1613"/>
        <v>0</v>
      </c>
      <c r="AL1116" s="181"/>
      <c r="AM1116" s="95">
        <f>AM376</f>
        <v>0</v>
      </c>
      <c r="AN1116" s="178">
        <f>AN376</f>
        <v>0</v>
      </c>
      <c r="AO1116" s="178">
        <f>AO376</f>
        <v>0</v>
      </c>
      <c r="AP1116" s="181"/>
      <c r="AQ1116" s="95">
        <f>AQ376</f>
        <v>0</v>
      </c>
      <c r="AR1116" s="178">
        <f>AR376</f>
        <v>0</v>
      </c>
      <c r="AS1116" s="178">
        <f>AS376</f>
        <v>0</v>
      </c>
      <c r="AT1116" s="181"/>
      <c r="AU1116" s="95">
        <f t="shared" ref="AU1116:BD1116" si="1614">AU376</f>
        <v>0</v>
      </c>
      <c r="AV1116" s="178">
        <f t="shared" si="1614"/>
        <v>0</v>
      </c>
      <c r="AW1116" s="178">
        <f t="shared" si="1614"/>
        <v>0</v>
      </c>
      <c r="AX1116" s="181">
        <f t="shared" si="1614"/>
        <v>0</v>
      </c>
      <c r="AY1116" s="95">
        <f t="shared" si="1614"/>
        <v>0</v>
      </c>
      <c r="AZ1116" s="178">
        <f t="shared" si="1614"/>
        <v>0</v>
      </c>
      <c r="BA1116" s="178">
        <f t="shared" si="1614"/>
        <v>0</v>
      </c>
      <c r="BB1116" s="181">
        <f t="shared" si="1614"/>
        <v>0</v>
      </c>
      <c r="BC1116" s="95">
        <f t="shared" si="1614"/>
        <v>0</v>
      </c>
      <c r="BD1116" s="178">
        <f t="shared" si="1614"/>
        <v>0</v>
      </c>
      <c r="BE1116" s="178">
        <f t="shared" ref="BE1116:BF1116" si="1615">BE376</f>
        <v>0</v>
      </c>
      <c r="BF1116" s="181">
        <f t="shared" si="1615"/>
        <v>0</v>
      </c>
      <c r="BG1116" s="95">
        <f>BG376</f>
        <v>0</v>
      </c>
      <c r="BH1116" s="178">
        <f>BH376</f>
        <v>0</v>
      </c>
      <c r="BI1116" s="178">
        <f>BI376</f>
        <v>0</v>
      </c>
      <c r="BJ1116" s="181"/>
      <c r="BK1116" s="95">
        <f>BK376</f>
        <v>0</v>
      </c>
      <c r="BL1116" s="178">
        <f>BL376</f>
        <v>0</v>
      </c>
      <c r="BM1116" s="178">
        <f>BM376</f>
        <v>0</v>
      </c>
      <c r="BN1116" s="181"/>
      <c r="BO1116" s="95">
        <f t="shared" ref="BO1116:BV1116" si="1616">BO376</f>
        <v>0</v>
      </c>
      <c r="BP1116" s="178">
        <f t="shared" si="1616"/>
        <v>0</v>
      </c>
      <c r="BQ1116" s="178">
        <f t="shared" si="1616"/>
        <v>0</v>
      </c>
      <c r="BR1116" s="181">
        <f t="shared" si="1616"/>
        <v>0</v>
      </c>
      <c r="BS1116" s="95">
        <f t="shared" si="1616"/>
        <v>0</v>
      </c>
      <c r="BT1116" s="178">
        <f t="shared" si="1616"/>
        <v>0</v>
      </c>
      <c r="BU1116" s="178">
        <f t="shared" si="1616"/>
        <v>0</v>
      </c>
      <c r="BV1116" s="96">
        <f t="shared" si="1616"/>
        <v>0</v>
      </c>
      <c r="BY1116" s="125">
        <f t="shared" si="1524"/>
        <v>0</v>
      </c>
      <c r="BZ1116" s="126">
        <f t="shared" si="1577"/>
        <v>0</v>
      </c>
      <c r="CA1116" s="126">
        <f t="shared" si="1578"/>
        <v>0</v>
      </c>
      <c r="CB1116" s="127">
        <f t="shared" si="1579"/>
        <v>0</v>
      </c>
    </row>
    <row r="1117" spans="1:81" ht="49.7" hidden="1" customHeight="1" outlineLevel="1" x14ac:dyDescent="0.25">
      <c r="A1117" s="10" t="e">
        <f t="array" ref="A1117">#REF!</f>
        <v>#REF!</v>
      </c>
      <c r="B1117" s="5" t="e">
        <f t="array" ref="B1117">A1117</f>
        <v>#REF!</v>
      </c>
      <c r="C1117" s="10" t="s">
        <v>83</v>
      </c>
      <c r="D1117" s="10" t="s">
        <v>84</v>
      </c>
      <c r="E1117" s="10" t="s">
        <v>73</v>
      </c>
      <c r="F1117" s="10" t="s">
        <v>74</v>
      </c>
      <c r="G1117" s="10" t="s">
        <v>513</v>
      </c>
      <c r="H1117" s="10" t="s">
        <v>73</v>
      </c>
      <c r="I1117" s="10" t="s">
        <v>73</v>
      </c>
      <c r="J1117" s="10" t="s">
        <v>73</v>
      </c>
      <c r="K1117" s="12" t="s">
        <v>73</v>
      </c>
      <c r="L1117" s="10" t="s">
        <v>133</v>
      </c>
      <c r="M1117" s="5" t="str">
        <f t="array" ref="M1117">Y818</f>
        <v>1ХВС::1.1</v>
      </c>
      <c r="AB1117" s="65" t="str">
        <f>AB1115&amp;".6"</f>
        <v>4.6</v>
      </c>
      <c r="AC1117" s="80" t="s">
        <v>513</v>
      </c>
      <c r="AD1117" s="51" t="s">
        <v>111</v>
      </c>
      <c r="AE1117" s="95">
        <f t="shared" ref="AE1117:AK1117" si="1617">AE740+AE384</f>
        <v>0</v>
      </c>
      <c r="AF1117" s="178">
        <f t="shared" si="1617"/>
        <v>0</v>
      </c>
      <c r="AG1117" s="178">
        <f t="shared" si="1617"/>
        <v>550381.09</v>
      </c>
      <c r="AH1117" s="181">
        <f>AH375+AH732</f>
        <v>-421566.18</v>
      </c>
      <c r="AI1117" s="95">
        <f t="shared" si="1617"/>
        <v>0</v>
      </c>
      <c r="AJ1117" s="178">
        <f t="shared" si="1617"/>
        <v>0</v>
      </c>
      <c r="AK1117" s="178">
        <f t="shared" si="1617"/>
        <v>11620.4</v>
      </c>
      <c r="AL1117" s="181"/>
      <c r="AM1117" s="95">
        <f t="shared" ref="AM1117:AS1117" si="1618">AM740+AM384</f>
        <v>0</v>
      </c>
      <c r="AN1117" s="178">
        <f t="shared" si="1618"/>
        <v>0</v>
      </c>
      <c r="AO1117" s="178">
        <f t="shared" si="1618"/>
        <v>24652.343000000001</v>
      </c>
      <c r="AP1117" s="181">
        <f t="shared" si="1618"/>
        <v>-3267.02</v>
      </c>
      <c r="AQ1117" s="95">
        <f t="shared" si="1618"/>
        <v>0</v>
      </c>
      <c r="AR1117" s="178">
        <f t="shared" si="1618"/>
        <v>0</v>
      </c>
      <c r="AS1117" s="178">
        <f t="shared" si="1618"/>
        <v>29888.239999999998</v>
      </c>
      <c r="AT1117" s="181">
        <f>AT732+AT375</f>
        <v>-11062.369999999999</v>
      </c>
      <c r="AU1117" s="95">
        <f>AU740+AU384</f>
        <v>0</v>
      </c>
      <c r="AV1117" s="178">
        <f>AV740+AV384</f>
        <v>0</v>
      </c>
      <c r="AW1117" s="178">
        <f>AW740+AW384</f>
        <v>32776.695</v>
      </c>
      <c r="AX1117" s="181"/>
      <c r="AY1117" s="95">
        <f t="shared" ref="AY1117:BD1117" si="1619">AY740+AY384</f>
        <v>0</v>
      </c>
      <c r="AZ1117" s="178">
        <f t="shared" si="1619"/>
        <v>0</v>
      </c>
      <c r="BA1117" s="178">
        <f t="shared" si="1619"/>
        <v>27003.41</v>
      </c>
      <c r="BB1117" s="181">
        <f t="shared" si="1619"/>
        <v>497.46000000000004</v>
      </c>
      <c r="BC1117" s="95">
        <f t="shared" si="1619"/>
        <v>0</v>
      </c>
      <c r="BD1117" s="178">
        <f t="shared" si="1619"/>
        <v>0</v>
      </c>
      <c r="BE1117" s="178">
        <f t="shared" ref="BE1117:BF1117" si="1620">BE740+BE384</f>
        <v>0</v>
      </c>
      <c r="BF1117" s="181">
        <f t="shared" si="1620"/>
        <v>-4633.09</v>
      </c>
      <c r="BG1117" s="95">
        <f>BG740+BG384</f>
        <v>0</v>
      </c>
      <c r="BH1117" s="178">
        <f>BH740+BH384</f>
        <v>0</v>
      </c>
      <c r="BI1117" s="178">
        <f>BI740+BI384</f>
        <v>0</v>
      </c>
      <c r="BJ1117" s="181"/>
      <c r="BK1117" s="95">
        <f>BK740+BK384</f>
        <v>125387.70000000001</v>
      </c>
      <c r="BL1117" s="178">
        <f>BL740+BL384</f>
        <v>0</v>
      </c>
      <c r="BM1117" s="178">
        <f>BM740+BM384</f>
        <v>0</v>
      </c>
      <c r="BN1117" s="181"/>
      <c r="BO1117" s="95">
        <f t="shared" ref="BO1117:BV1117" si="1621">BO740+BO384</f>
        <v>0</v>
      </c>
      <c r="BP1117" s="178">
        <f t="shared" si="1621"/>
        <v>0</v>
      </c>
      <c r="BQ1117" s="178">
        <f t="shared" si="1621"/>
        <v>3861.8040000000001</v>
      </c>
      <c r="BR1117" s="181">
        <f t="shared" si="1621"/>
        <v>-1052.3499999999999</v>
      </c>
      <c r="BS1117" s="95">
        <f t="shared" si="1621"/>
        <v>0</v>
      </c>
      <c r="BT1117" s="178">
        <f t="shared" si="1621"/>
        <v>2443.16</v>
      </c>
      <c r="BU1117" s="178">
        <f t="shared" si="1621"/>
        <v>0</v>
      </c>
      <c r="BV1117" s="96">
        <f t="shared" si="1621"/>
        <v>-3231.62</v>
      </c>
      <c r="BY1117" s="125">
        <f t="shared" si="1524"/>
        <v>125387.70000000001</v>
      </c>
      <c r="BZ1117" s="126">
        <f t="shared" si="1577"/>
        <v>2443.16</v>
      </c>
      <c r="CA1117" s="126">
        <f t="shared" si="1578"/>
        <v>680183.98199999996</v>
      </c>
      <c r="CB1117" s="127">
        <f t="shared" si="1579"/>
        <v>-444315.17</v>
      </c>
    </row>
    <row r="1118" spans="1:81" ht="59.25" hidden="1" customHeight="1" outlineLevel="1" x14ac:dyDescent="0.25">
      <c r="A1118" s="10"/>
      <c r="C1118" s="10"/>
      <c r="D1118" s="10"/>
      <c r="E1118" s="10"/>
      <c r="F1118" s="10"/>
      <c r="G1118" s="10"/>
      <c r="H1118" s="10"/>
      <c r="I1118" s="10"/>
      <c r="J1118" s="10"/>
      <c r="K1118" s="12"/>
      <c r="L1118" s="10"/>
      <c r="AB1118" s="65"/>
      <c r="AC1118" s="71"/>
      <c r="AD1118" s="51"/>
      <c r="AE1118" s="95"/>
      <c r="AF1118" s="178"/>
      <c r="AG1118" s="178"/>
      <c r="AH1118" s="181"/>
      <c r="AI1118" s="95"/>
      <c r="AJ1118" s="178"/>
      <c r="AK1118" s="178"/>
      <c r="AL1118" s="181"/>
      <c r="AM1118" s="95"/>
      <c r="AN1118" s="178"/>
      <c r="AO1118" s="178"/>
      <c r="AP1118" s="181"/>
      <c r="AQ1118" s="95"/>
      <c r="AR1118" s="178"/>
      <c r="AS1118" s="178"/>
      <c r="AT1118" s="181"/>
      <c r="AU1118" s="95"/>
      <c r="AV1118" s="178"/>
      <c r="AW1118" s="178"/>
      <c r="AX1118" s="181"/>
      <c r="AY1118" s="95"/>
      <c r="AZ1118" s="178"/>
      <c r="BA1118" s="178"/>
      <c r="BB1118" s="181"/>
      <c r="BC1118" s="95"/>
      <c r="BD1118" s="178"/>
      <c r="BE1118" s="178"/>
      <c r="BF1118" s="181"/>
      <c r="BG1118" s="95"/>
      <c r="BH1118" s="178"/>
      <c r="BI1118" s="178"/>
      <c r="BJ1118" s="181"/>
      <c r="BK1118" s="95"/>
      <c r="BL1118" s="178"/>
      <c r="BM1118" s="178"/>
      <c r="BN1118" s="181"/>
      <c r="BO1118" s="95"/>
      <c r="BP1118" s="178"/>
      <c r="BQ1118" s="178"/>
      <c r="BR1118" s="181"/>
      <c r="BS1118" s="95"/>
      <c r="BT1118" s="178"/>
      <c r="BU1118" s="178"/>
      <c r="BV1118" s="96"/>
      <c r="BY1118" s="125"/>
      <c r="BZ1118" s="126"/>
      <c r="CA1118" s="126"/>
      <c r="CB1118" s="127"/>
    </row>
    <row r="1119" spans="1:81" ht="59.25" hidden="1" customHeight="1" outlineLevel="1" x14ac:dyDescent="0.25">
      <c r="A1119" s="10"/>
      <c r="C1119" s="10"/>
      <c r="D1119" s="10"/>
      <c r="E1119" s="10"/>
      <c r="F1119" s="10"/>
      <c r="G1119" s="10"/>
      <c r="H1119" s="10"/>
      <c r="I1119" s="10"/>
      <c r="J1119" s="10"/>
      <c r="K1119" s="12"/>
      <c r="L1119" s="10"/>
      <c r="AB1119" s="65"/>
      <c r="AC1119" s="71"/>
      <c r="AD1119" s="51"/>
      <c r="AE1119" s="95"/>
      <c r="AF1119" s="178"/>
      <c r="AG1119" s="178"/>
      <c r="AH1119" s="181"/>
      <c r="AI1119" s="95"/>
      <c r="AJ1119" s="178"/>
      <c r="AK1119" s="178"/>
      <c r="AL1119" s="181"/>
      <c r="AM1119" s="95"/>
      <c r="AN1119" s="178"/>
      <c r="AO1119" s="178"/>
      <c r="AP1119" s="181"/>
      <c r="AQ1119" s="95"/>
      <c r="AR1119" s="178"/>
      <c r="AS1119" s="178"/>
      <c r="AT1119" s="181"/>
      <c r="AU1119" s="95"/>
      <c r="AV1119" s="178"/>
      <c r="AW1119" s="178"/>
      <c r="AX1119" s="181"/>
      <c r="AY1119" s="95"/>
      <c r="AZ1119" s="178"/>
      <c r="BA1119" s="178"/>
      <c r="BB1119" s="181"/>
      <c r="BC1119" s="95"/>
      <c r="BD1119" s="178"/>
      <c r="BE1119" s="178"/>
      <c r="BF1119" s="181"/>
      <c r="BG1119" s="95"/>
      <c r="BH1119" s="178"/>
      <c r="BI1119" s="178"/>
      <c r="BJ1119" s="181"/>
      <c r="BK1119" s="95"/>
      <c r="BL1119" s="178"/>
      <c r="BM1119" s="178"/>
      <c r="BN1119" s="181"/>
      <c r="BO1119" s="95"/>
      <c r="BP1119" s="178"/>
      <c r="BQ1119" s="178"/>
      <c r="BR1119" s="181"/>
      <c r="BS1119" s="95"/>
      <c r="BT1119" s="178"/>
      <c r="BU1119" s="178"/>
      <c r="BV1119" s="96"/>
      <c r="BY1119" s="125"/>
      <c r="BZ1119" s="126"/>
      <c r="CA1119" s="126"/>
      <c r="CB1119" s="127"/>
    </row>
    <row r="1120" spans="1:81" ht="59.25" hidden="1" customHeight="1" outlineLevel="1" x14ac:dyDescent="0.25">
      <c r="A1120" s="10"/>
      <c r="C1120" s="10"/>
      <c r="D1120" s="10"/>
      <c r="E1120" s="10"/>
      <c r="F1120" s="10"/>
      <c r="G1120" s="10"/>
      <c r="H1120" s="10"/>
      <c r="I1120" s="10"/>
      <c r="J1120" s="10"/>
      <c r="K1120" s="12"/>
      <c r="L1120" s="10"/>
      <c r="AB1120" s="65"/>
      <c r="AC1120" s="71"/>
      <c r="AD1120" s="51"/>
      <c r="AE1120" s="95"/>
      <c r="AF1120" s="178"/>
      <c r="AG1120" s="178"/>
      <c r="AH1120" s="181"/>
      <c r="AI1120" s="95"/>
      <c r="AJ1120" s="178"/>
      <c r="AK1120" s="178"/>
      <c r="AL1120" s="181"/>
      <c r="AM1120" s="95"/>
      <c r="AN1120" s="178"/>
      <c r="AO1120" s="178"/>
      <c r="AP1120" s="181"/>
      <c r="AQ1120" s="95"/>
      <c r="AR1120" s="178"/>
      <c r="AS1120" s="178"/>
      <c r="AT1120" s="181"/>
      <c r="AU1120" s="95"/>
      <c r="AV1120" s="178"/>
      <c r="AW1120" s="178"/>
      <c r="AX1120" s="181"/>
      <c r="AY1120" s="95"/>
      <c r="AZ1120" s="178"/>
      <c r="BA1120" s="178"/>
      <c r="BB1120" s="181"/>
      <c r="BC1120" s="95"/>
      <c r="BD1120" s="178"/>
      <c r="BE1120" s="178"/>
      <c r="BF1120" s="181"/>
      <c r="BG1120" s="95"/>
      <c r="BH1120" s="178"/>
      <c r="BI1120" s="178"/>
      <c r="BJ1120" s="181"/>
      <c r="BK1120" s="95"/>
      <c r="BL1120" s="178"/>
      <c r="BM1120" s="178"/>
      <c r="BN1120" s="181"/>
      <c r="BO1120" s="95"/>
      <c r="BP1120" s="178"/>
      <c r="BQ1120" s="178"/>
      <c r="BR1120" s="181"/>
      <c r="BS1120" s="95"/>
      <c r="BT1120" s="178"/>
      <c r="BU1120" s="178"/>
      <c r="BV1120" s="96"/>
      <c r="BY1120" s="125"/>
      <c r="BZ1120" s="126"/>
      <c r="CA1120" s="126"/>
      <c r="CB1120" s="127"/>
    </row>
    <row r="1121" spans="1:82" ht="59.25" hidden="1" customHeight="1" outlineLevel="1" x14ac:dyDescent="0.25">
      <c r="A1121" s="10"/>
      <c r="C1121" s="10"/>
      <c r="D1121" s="10"/>
      <c r="E1121" s="10"/>
      <c r="F1121" s="10"/>
      <c r="G1121" s="10"/>
      <c r="H1121" s="10"/>
      <c r="I1121" s="10"/>
      <c r="J1121" s="10"/>
      <c r="K1121" s="12"/>
      <c r="L1121" s="10"/>
      <c r="AB1121" s="65"/>
      <c r="AC1121" s="71"/>
      <c r="AD1121" s="51"/>
      <c r="AE1121" s="95"/>
      <c r="AF1121" s="178"/>
      <c r="AG1121" s="178"/>
      <c r="AH1121" s="181"/>
      <c r="AI1121" s="95"/>
      <c r="AJ1121" s="178"/>
      <c r="AK1121" s="178"/>
      <c r="AL1121" s="181"/>
      <c r="AM1121" s="95"/>
      <c r="AN1121" s="178"/>
      <c r="AO1121" s="178"/>
      <c r="AP1121" s="181"/>
      <c r="AQ1121" s="95"/>
      <c r="AR1121" s="178"/>
      <c r="AS1121" s="178"/>
      <c r="AT1121" s="181"/>
      <c r="AU1121" s="95"/>
      <c r="AV1121" s="178"/>
      <c r="AW1121" s="178"/>
      <c r="AX1121" s="181"/>
      <c r="AY1121" s="95"/>
      <c r="AZ1121" s="178"/>
      <c r="BA1121" s="178"/>
      <c r="BB1121" s="181"/>
      <c r="BC1121" s="95"/>
      <c r="BD1121" s="178"/>
      <c r="BE1121" s="178"/>
      <c r="BF1121" s="181"/>
      <c r="BG1121" s="95"/>
      <c r="BH1121" s="178"/>
      <c r="BI1121" s="178"/>
      <c r="BJ1121" s="181"/>
      <c r="BK1121" s="95"/>
      <c r="BL1121" s="178"/>
      <c r="BM1121" s="178"/>
      <c r="BN1121" s="181"/>
      <c r="BO1121" s="95"/>
      <c r="BP1121" s="178"/>
      <c r="BQ1121" s="178"/>
      <c r="BR1121" s="181"/>
      <c r="BS1121" s="95"/>
      <c r="BT1121" s="178"/>
      <c r="BU1121" s="178"/>
      <c r="BV1121" s="96"/>
      <c r="BY1121" s="125"/>
      <c r="BZ1121" s="126"/>
      <c r="CA1121" s="126"/>
      <c r="CB1121" s="127"/>
    </row>
    <row r="1122" spans="1:82" s="171" customFormat="1" ht="23.25" customHeight="1" collapsed="1" x14ac:dyDescent="0.25">
      <c r="A1122" s="167" t="b">
        <f>REGULATION_METHODS="Метод индексации"</f>
        <v>1</v>
      </c>
      <c r="B1122" s="166" t="b">
        <f t="array" ref="B1122">A1122</f>
        <v>1</v>
      </c>
      <c r="C1122" s="167" t="s">
        <v>83</v>
      </c>
      <c r="D1122" s="167" t="s">
        <v>84</v>
      </c>
      <c r="E1122" s="167" t="s">
        <v>73</v>
      </c>
      <c r="F1122" s="167" t="s">
        <v>74</v>
      </c>
      <c r="G1122" s="167" t="s">
        <v>514</v>
      </c>
      <c r="H1122" s="167" t="s">
        <v>73</v>
      </c>
      <c r="I1122" s="167" t="s">
        <v>73</v>
      </c>
      <c r="J1122" s="167" t="s">
        <v>73</v>
      </c>
      <c r="K1122" s="168" t="s">
        <v>73</v>
      </c>
      <c r="L1122" s="167" t="s">
        <v>133</v>
      </c>
      <c r="M1122" s="166" t="str">
        <f t="array" ref="M1122">Y818</f>
        <v>1ХВС::1.1</v>
      </c>
      <c r="N1122" s="166"/>
      <c r="O1122" s="166"/>
      <c r="P1122" s="166"/>
      <c r="Q1122" s="166"/>
      <c r="R1122" s="166"/>
      <c r="S1122" s="166"/>
      <c r="T1122" s="166"/>
      <c r="U1122" s="166"/>
      <c r="V1122" s="166"/>
      <c r="W1122" s="166"/>
      <c r="X1122" s="166"/>
      <c r="Y1122" s="166"/>
      <c r="Z1122" s="166"/>
      <c r="AA1122" s="166"/>
      <c r="AB1122" s="623">
        <f>COUNT(AB1115,AB867,AB821)+2</f>
        <v>5</v>
      </c>
      <c r="AC1122" s="624" t="s">
        <v>515</v>
      </c>
      <c r="AD1122" s="931" t="s">
        <v>111</v>
      </c>
      <c r="AE1122" s="679">
        <f t="shared" ref="AE1122:AK1122" si="1622">AE385+AE756</f>
        <v>0</v>
      </c>
      <c r="AF1122" s="674">
        <f t="shared" si="1622"/>
        <v>-7490</v>
      </c>
      <c r="AG1122" s="674">
        <f t="shared" si="1622"/>
        <v>0</v>
      </c>
      <c r="AH1122" s="938">
        <f t="shared" si="1622"/>
        <v>-4500</v>
      </c>
      <c r="AI1122" s="679">
        <f t="shared" si="1622"/>
        <v>0</v>
      </c>
      <c r="AJ1122" s="674">
        <f t="shared" si="1622"/>
        <v>0</v>
      </c>
      <c r="AK1122" s="674">
        <f t="shared" si="1622"/>
        <v>0</v>
      </c>
      <c r="AL1122" s="938">
        <f>AL385+AL756</f>
        <v>-410</v>
      </c>
      <c r="AM1122" s="679">
        <f t="shared" ref="AM1122:AS1122" si="1623">AM385+AM756</f>
        <v>0</v>
      </c>
      <c r="AN1122" s="674">
        <f t="shared" si="1623"/>
        <v>245</v>
      </c>
      <c r="AO1122" s="674">
        <f t="shared" si="1623"/>
        <v>0</v>
      </c>
      <c r="AP1122" s="938">
        <f t="shared" si="1623"/>
        <v>0</v>
      </c>
      <c r="AQ1122" s="679">
        <f t="shared" si="1623"/>
        <v>0</v>
      </c>
      <c r="AR1122" s="674">
        <f t="shared" si="1623"/>
        <v>0</v>
      </c>
      <c r="AS1122" s="674">
        <f t="shared" si="1623"/>
        <v>0</v>
      </c>
      <c r="AT1122" s="938"/>
      <c r="AU1122" s="679">
        <f t="shared" ref="AU1122:BD1122" si="1624">AU385+AU756</f>
        <v>0</v>
      </c>
      <c r="AV1122" s="674">
        <f t="shared" si="1624"/>
        <v>1350</v>
      </c>
      <c r="AW1122" s="674">
        <f t="shared" si="1624"/>
        <v>0</v>
      </c>
      <c r="AX1122" s="938">
        <f t="shared" si="1624"/>
        <v>0</v>
      </c>
      <c r="AY1122" s="679">
        <f t="shared" si="1624"/>
        <v>0</v>
      </c>
      <c r="AZ1122" s="674">
        <f t="shared" si="1624"/>
        <v>0</v>
      </c>
      <c r="BA1122" s="674">
        <f t="shared" si="1624"/>
        <v>0</v>
      </c>
      <c r="BB1122" s="938">
        <f t="shared" si="1624"/>
        <v>0</v>
      </c>
      <c r="BC1122" s="679">
        <f t="shared" si="1624"/>
        <v>0</v>
      </c>
      <c r="BD1122" s="674">
        <f t="shared" si="1624"/>
        <v>1400</v>
      </c>
      <c r="BE1122" s="674">
        <f t="shared" ref="BE1122:BF1122" si="1625">BE385+BE756</f>
        <v>0</v>
      </c>
      <c r="BF1122" s="938">
        <f t="shared" si="1625"/>
        <v>0</v>
      </c>
      <c r="BG1122" s="679">
        <f>BG385+BG756</f>
        <v>0</v>
      </c>
      <c r="BH1122" s="674">
        <f>BH385+BH756</f>
        <v>0</v>
      </c>
      <c r="BI1122" s="674">
        <f>BI385+BI756</f>
        <v>0</v>
      </c>
      <c r="BJ1122" s="938">
        <v>0</v>
      </c>
      <c r="BK1122" s="679">
        <f>BK385+BK756</f>
        <v>0</v>
      </c>
      <c r="BL1122" s="674">
        <f>BL385+BL756</f>
        <v>-49000</v>
      </c>
      <c r="BM1122" s="674">
        <f>BM385+BM756</f>
        <v>0</v>
      </c>
      <c r="BN1122" s="938">
        <f>BN385+BN756</f>
        <v>49000</v>
      </c>
      <c r="BO1122" s="679">
        <f t="shared" ref="BO1122:BV1122" si="1626">BO385+BO756</f>
        <v>0</v>
      </c>
      <c r="BP1122" s="674">
        <f t="shared" si="1626"/>
        <v>-10500</v>
      </c>
      <c r="BQ1122" s="674">
        <f t="shared" si="1626"/>
        <v>0</v>
      </c>
      <c r="BR1122" s="938">
        <f t="shared" si="1626"/>
        <v>10500</v>
      </c>
      <c r="BS1122" s="679">
        <f t="shared" si="1626"/>
        <v>0</v>
      </c>
      <c r="BT1122" s="674">
        <f t="shared" si="1626"/>
        <v>-11000</v>
      </c>
      <c r="BU1122" s="674">
        <f t="shared" si="1626"/>
        <v>0</v>
      </c>
      <c r="BV1122" s="678">
        <f t="shared" si="1626"/>
        <v>11000</v>
      </c>
      <c r="BW1122" s="170"/>
      <c r="BX1122" s="166"/>
      <c r="BY1122" s="630">
        <f t="shared" ref="BY1122:BY1158" si="1627">AE1122+AI1122+AM1122+AQ1122+AU1122+AY1122+BC1122+BG1122+BK1122+BO1122+BS1122</f>
        <v>0</v>
      </c>
      <c r="BZ1122" s="631">
        <f t="shared" ref="BZ1122:BZ1158" si="1628">AF1122+AJ1122+AN1122+AR1122+AV1122+AZ1122+BD1122+BH1122+BL1122+BP1122+BT1122</f>
        <v>-74995</v>
      </c>
      <c r="CA1122" s="631">
        <f t="shared" ref="CA1122:CA1158" si="1629">AG1122+AK1122+AO1122+AS1122+AW1122+BA1122+BE1122+BI1122+BM1122+BQ1122+BU1122</f>
        <v>0</v>
      </c>
      <c r="CB1122" s="632">
        <f t="shared" ref="CB1122:CB1158" si="1630">AH1122+AL1122+AP1122+AT1122+AX1122+BB1122+BF1122+BJ1122+BN1122+BR1122+BV1122</f>
        <v>65590</v>
      </c>
      <c r="CC1122" s="760"/>
    </row>
    <row r="1123" spans="1:82" s="171" customFormat="1" ht="42" customHeight="1" x14ac:dyDescent="0.25">
      <c r="A1123" s="166"/>
      <c r="B1123" s="166"/>
      <c r="C1123" s="167" t="s">
        <v>83</v>
      </c>
      <c r="D1123" s="167" t="s">
        <v>84</v>
      </c>
      <c r="E1123" s="167" t="s">
        <v>73</v>
      </c>
      <c r="F1123" s="167" t="s">
        <v>74</v>
      </c>
      <c r="G1123" s="314" t="s">
        <v>516</v>
      </c>
      <c r="H1123" s="167" t="s">
        <v>73</v>
      </c>
      <c r="I1123" s="167" t="s">
        <v>73</v>
      </c>
      <c r="J1123" s="167" t="s">
        <v>73</v>
      </c>
      <c r="K1123" s="168" t="s">
        <v>73</v>
      </c>
      <c r="L1123" s="315" t="s">
        <v>73</v>
      </c>
      <c r="M1123" s="166" t="str">
        <f t="array" ref="M1123">Y818</f>
        <v>1ХВС::1.1</v>
      </c>
      <c r="N1123" s="166"/>
      <c r="O1123" s="166"/>
      <c r="P1123" s="166"/>
      <c r="Q1123" s="166"/>
      <c r="R1123" s="166"/>
      <c r="S1123" s="166"/>
      <c r="T1123" s="166"/>
      <c r="U1123" s="166"/>
      <c r="V1123" s="166"/>
      <c r="W1123" s="166"/>
      <c r="X1123" s="166"/>
      <c r="Y1123" s="166"/>
      <c r="Z1123" s="166"/>
      <c r="AA1123" s="166"/>
      <c r="AB1123" s="623">
        <f>COUNT(AB1115,AB867,AB821,AB1122,#REF!)+2</f>
        <v>6</v>
      </c>
      <c r="AC1123" s="624" t="s">
        <v>517</v>
      </c>
      <c r="AD1123" s="931" t="s">
        <v>111</v>
      </c>
      <c r="AE1123" s="679">
        <f t="shared" ref="AE1123:AK1123" si="1631">AE1125</f>
        <v>0</v>
      </c>
      <c r="AF1123" s="674">
        <f t="shared" si="1631"/>
        <v>0</v>
      </c>
      <c r="AG1123" s="674">
        <f t="shared" si="1631"/>
        <v>0</v>
      </c>
      <c r="AH1123" s="938">
        <f t="shared" si="1631"/>
        <v>37350</v>
      </c>
      <c r="AI1123" s="679">
        <f t="shared" si="1631"/>
        <v>0</v>
      </c>
      <c r="AJ1123" s="674">
        <f t="shared" si="1631"/>
        <v>0</v>
      </c>
      <c r="AK1123" s="674">
        <f t="shared" si="1631"/>
        <v>0</v>
      </c>
      <c r="AL1123" s="938">
        <f>AL1125</f>
        <v>0</v>
      </c>
      <c r="AM1123" s="679">
        <f t="shared" ref="AM1123:BN1123" si="1632">AM1125</f>
        <v>0</v>
      </c>
      <c r="AN1123" s="674">
        <f t="shared" si="1632"/>
        <v>-1272.18</v>
      </c>
      <c r="AO1123" s="674">
        <f t="shared" si="1632"/>
        <v>0</v>
      </c>
      <c r="AP1123" s="938">
        <f t="shared" si="1632"/>
        <v>15348.26</v>
      </c>
      <c r="AQ1123" s="679">
        <f t="shared" si="1632"/>
        <v>0</v>
      </c>
      <c r="AR1123" s="674">
        <f t="shared" si="1632"/>
        <v>0</v>
      </c>
      <c r="AS1123" s="674">
        <f t="shared" si="1632"/>
        <v>0</v>
      </c>
      <c r="AT1123" s="938">
        <f t="shared" si="1632"/>
        <v>26361.309999999998</v>
      </c>
      <c r="AU1123" s="679">
        <f t="shared" si="1632"/>
        <v>0</v>
      </c>
      <c r="AV1123" s="674">
        <f t="shared" si="1632"/>
        <v>-7488.5829999999996</v>
      </c>
      <c r="AW1123" s="674">
        <f t="shared" si="1632"/>
        <v>0</v>
      </c>
      <c r="AX1123" s="938">
        <f t="shared" si="1632"/>
        <v>38555.240000000005</v>
      </c>
      <c r="AY1123" s="679">
        <f t="shared" si="1632"/>
        <v>0</v>
      </c>
      <c r="AZ1123" s="674">
        <f t="shared" si="1632"/>
        <v>-37848.1</v>
      </c>
      <c r="BA1123" s="674">
        <f t="shared" si="1632"/>
        <v>0</v>
      </c>
      <c r="BB1123" s="938">
        <f t="shared" si="1632"/>
        <v>39124.43</v>
      </c>
      <c r="BC1123" s="679">
        <f t="shared" si="1632"/>
        <v>0</v>
      </c>
      <c r="BD1123" s="674">
        <f t="shared" si="1632"/>
        <v>12391.93</v>
      </c>
      <c r="BE1123" s="674">
        <f t="shared" si="1632"/>
        <v>0</v>
      </c>
      <c r="BF1123" s="938">
        <f t="shared" si="1632"/>
        <v>61288</v>
      </c>
      <c r="BG1123" s="679">
        <f t="shared" si="1632"/>
        <v>0</v>
      </c>
      <c r="BH1123" s="674">
        <f t="shared" si="1632"/>
        <v>91827.945000000007</v>
      </c>
      <c r="BI1123" s="674">
        <f t="shared" si="1632"/>
        <v>0</v>
      </c>
      <c r="BJ1123" s="938">
        <f t="shared" si="1632"/>
        <v>109589.3</v>
      </c>
      <c r="BK1123" s="679">
        <f t="shared" si="1632"/>
        <v>0</v>
      </c>
      <c r="BL1123" s="674">
        <f t="shared" si="1632"/>
        <v>-49505.69</v>
      </c>
      <c r="BM1123" s="674">
        <f t="shared" si="1632"/>
        <v>0</v>
      </c>
      <c r="BN1123" s="938">
        <f t="shared" si="1632"/>
        <v>-116225.41</v>
      </c>
      <c r="BO1123" s="679">
        <f t="shared" ref="BO1123:BV1123" si="1633">BO1125</f>
        <v>0</v>
      </c>
      <c r="BP1123" s="674">
        <f t="shared" si="1633"/>
        <v>-19508.84</v>
      </c>
      <c r="BQ1123" s="674">
        <f t="shared" si="1633"/>
        <v>0</v>
      </c>
      <c r="BR1123" s="938">
        <f t="shared" si="1633"/>
        <v>-51928.28</v>
      </c>
      <c r="BS1123" s="679">
        <f t="shared" si="1633"/>
        <v>0</v>
      </c>
      <c r="BT1123" s="674">
        <f t="shared" si="1633"/>
        <v>-41330.589999999997</v>
      </c>
      <c r="BU1123" s="674">
        <f t="shared" si="1633"/>
        <v>0</v>
      </c>
      <c r="BV1123" s="678">
        <f t="shared" si="1633"/>
        <v>-58255.070000000007</v>
      </c>
      <c r="BW1123" s="170"/>
      <c r="BX1123" s="166"/>
      <c r="BY1123" s="630">
        <f t="shared" si="1627"/>
        <v>0</v>
      </c>
      <c r="BZ1123" s="631">
        <f t="shared" si="1628"/>
        <v>-52734.107999999993</v>
      </c>
      <c r="CA1123" s="631">
        <f t="shared" si="1629"/>
        <v>0</v>
      </c>
      <c r="CB1123" s="632">
        <f t="shared" si="1630"/>
        <v>101207.78000000003</v>
      </c>
      <c r="CC1123" s="760"/>
    </row>
    <row r="1124" spans="1:82" ht="36.75" customHeight="1" x14ac:dyDescent="0.25">
      <c r="C1124" s="316" t="s">
        <v>83</v>
      </c>
      <c r="D1124" s="316" t="s">
        <v>84</v>
      </c>
      <c r="E1124" s="316" t="s">
        <v>73</v>
      </c>
      <c r="F1124" s="316" t="s">
        <v>74</v>
      </c>
      <c r="G1124" s="316" t="s">
        <v>518</v>
      </c>
      <c r="H1124" s="316" t="s">
        <v>73</v>
      </c>
      <c r="I1124" s="316" t="s">
        <v>73</v>
      </c>
      <c r="J1124" s="316" t="s">
        <v>73</v>
      </c>
      <c r="K1124" s="317" t="s">
        <v>73</v>
      </c>
      <c r="L1124" s="316" t="s">
        <v>73</v>
      </c>
      <c r="M1124" s="5" t="str">
        <f t="array" ref="M1124">Y818</f>
        <v>1ХВС::1.1</v>
      </c>
      <c r="AB1124" s="29" t="str">
        <f>AB1123&amp;".1"</f>
        <v>6.1</v>
      </c>
      <c r="AC1124" s="80" t="s">
        <v>518</v>
      </c>
      <c r="AD1124" s="51" t="s">
        <v>111</v>
      </c>
      <c r="AE1124" s="95"/>
      <c r="AF1124" s="178"/>
      <c r="AG1124" s="178"/>
      <c r="AH1124" s="181"/>
      <c r="AI1124" s="95"/>
      <c r="AJ1124" s="178"/>
      <c r="AK1124" s="178"/>
      <c r="AL1124" s="181"/>
      <c r="AM1124" s="95"/>
      <c r="AN1124" s="178"/>
      <c r="AO1124" s="178"/>
      <c r="AP1124" s="181"/>
      <c r="AQ1124" s="95"/>
      <c r="AR1124" s="178"/>
      <c r="AS1124" s="178"/>
      <c r="AT1124" s="181"/>
      <c r="AU1124" s="95"/>
      <c r="AV1124" s="178"/>
      <c r="AW1124" s="178"/>
      <c r="AX1124" s="181"/>
      <c r="AY1124" s="95"/>
      <c r="AZ1124" s="178"/>
      <c r="BA1124" s="178"/>
      <c r="BB1124" s="181"/>
      <c r="BC1124" s="95"/>
      <c r="BD1124" s="178"/>
      <c r="BE1124" s="178"/>
      <c r="BF1124" s="181"/>
      <c r="BG1124" s="95"/>
      <c r="BH1124" s="178"/>
      <c r="BI1124" s="178"/>
      <c r="BJ1124" s="181"/>
      <c r="BK1124" s="95"/>
      <c r="BL1124" s="178"/>
      <c r="BM1124" s="178"/>
      <c r="BN1124" s="181"/>
      <c r="BO1124" s="185"/>
      <c r="BP1124" s="183"/>
      <c r="BQ1124" s="183"/>
      <c r="BR1124" s="184"/>
      <c r="BS1124" s="185"/>
      <c r="BT1124" s="183"/>
      <c r="BU1124" s="183"/>
      <c r="BV1124" s="186"/>
      <c r="BY1124" s="125">
        <f t="shared" si="1627"/>
        <v>0</v>
      </c>
      <c r="BZ1124" s="126">
        <f t="shared" si="1628"/>
        <v>0</v>
      </c>
      <c r="CA1124" s="126">
        <f t="shared" si="1629"/>
        <v>0</v>
      </c>
      <c r="CB1124" s="127">
        <f t="shared" si="1630"/>
        <v>0</v>
      </c>
    </row>
    <row r="1125" spans="1:82" ht="36.75" customHeight="1" x14ac:dyDescent="0.25">
      <c r="C1125" s="316" t="s">
        <v>83</v>
      </c>
      <c r="D1125" s="316" t="s">
        <v>84</v>
      </c>
      <c r="E1125" s="316" t="s">
        <v>73</v>
      </c>
      <c r="F1125" s="316" t="s">
        <v>74</v>
      </c>
      <c r="G1125" s="316" t="s">
        <v>519</v>
      </c>
      <c r="H1125" s="316" t="s">
        <v>73</v>
      </c>
      <c r="I1125" s="316" t="s">
        <v>73</v>
      </c>
      <c r="J1125" s="316" t="s">
        <v>73</v>
      </c>
      <c r="K1125" s="317" t="s">
        <v>73</v>
      </c>
      <c r="L1125" s="316" t="s">
        <v>73</v>
      </c>
      <c r="M1125" s="5" t="str">
        <f t="array" ref="M1125">Y818</f>
        <v>1ХВС::1.1</v>
      </c>
      <c r="AB1125" s="29" t="str">
        <f>AB1123&amp;".2"</f>
        <v>6.2</v>
      </c>
      <c r="AC1125" s="80" t="s">
        <v>519</v>
      </c>
      <c r="AD1125" s="51" t="s">
        <v>111</v>
      </c>
      <c r="AE1125" s="95">
        <f t="shared" ref="AE1125:AL1125" si="1634">AE388+AE763</f>
        <v>0</v>
      </c>
      <c r="AF1125" s="178">
        <f t="shared" si="1634"/>
        <v>0</v>
      </c>
      <c r="AG1125" s="178">
        <f t="shared" si="1634"/>
        <v>0</v>
      </c>
      <c r="AH1125" s="181">
        <f t="shared" si="1634"/>
        <v>37350</v>
      </c>
      <c r="AI1125" s="95">
        <f t="shared" si="1634"/>
        <v>0</v>
      </c>
      <c r="AJ1125" s="178">
        <f t="shared" si="1634"/>
        <v>0</v>
      </c>
      <c r="AK1125" s="178">
        <f t="shared" si="1634"/>
        <v>0</v>
      </c>
      <c r="AL1125" s="181">
        <f t="shared" si="1634"/>
        <v>0</v>
      </c>
      <c r="AM1125" s="95">
        <f t="shared" ref="AM1125:BE1125" si="1635">AM388+AM763</f>
        <v>0</v>
      </c>
      <c r="AN1125" s="178">
        <f t="shared" si="1635"/>
        <v>-1272.18</v>
      </c>
      <c r="AO1125" s="178">
        <f t="shared" si="1635"/>
        <v>0</v>
      </c>
      <c r="AP1125" s="181">
        <f t="shared" si="1635"/>
        <v>15348.26</v>
      </c>
      <c r="AQ1125" s="95">
        <f t="shared" si="1635"/>
        <v>0</v>
      </c>
      <c r="AR1125" s="178">
        <f t="shared" si="1635"/>
        <v>0</v>
      </c>
      <c r="AS1125" s="178">
        <f t="shared" si="1635"/>
        <v>0</v>
      </c>
      <c r="AT1125" s="181">
        <f t="shared" si="1635"/>
        <v>26361.309999999998</v>
      </c>
      <c r="AU1125" s="95">
        <f t="shared" si="1635"/>
        <v>0</v>
      </c>
      <c r="AV1125" s="178">
        <f t="shared" si="1635"/>
        <v>-7488.5829999999996</v>
      </c>
      <c r="AW1125" s="178">
        <f t="shared" si="1635"/>
        <v>0</v>
      </c>
      <c r="AX1125" s="181">
        <f t="shared" si="1635"/>
        <v>38555.240000000005</v>
      </c>
      <c r="AY1125" s="95">
        <f t="shared" si="1635"/>
        <v>0</v>
      </c>
      <c r="AZ1125" s="178">
        <f t="shared" si="1635"/>
        <v>-37848.1</v>
      </c>
      <c r="BA1125" s="178">
        <f t="shared" si="1635"/>
        <v>0</v>
      </c>
      <c r="BB1125" s="181">
        <f t="shared" si="1635"/>
        <v>39124.43</v>
      </c>
      <c r="BC1125" s="95">
        <f t="shared" si="1635"/>
        <v>0</v>
      </c>
      <c r="BD1125" s="178">
        <f t="shared" si="1635"/>
        <v>12391.93</v>
      </c>
      <c r="BE1125" s="178">
        <f t="shared" si="1635"/>
        <v>0</v>
      </c>
      <c r="BF1125" s="181">
        <f>BF763+BF388</f>
        <v>61288</v>
      </c>
      <c r="BG1125" s="95">
        <f>BG388+BG763</f>
        <v>0</v>
      </c>
      <c r="BH1125" s="178">
        <f>BH388+BH763</f>
        <v>91827.945000000007</v>
      </c>
      <c r="BI1125" s="178">
        <f>BI388+BI763</f>
        <v>0</v>
      </c>
      <c r="BJ1125" s="181">
        <f>BJ763+BJ388</f>
        <v>109589.3</v>
      </c>
      <c r="BK1125" s="95">
        <f>BK388+BK763</f>
        <v>0</v>
      </c>
      <c r="BL1125" s="178">
        <f>BL388+BL763</f>
        <v>-49505.69</v>
      </c>
      <c r="BM1125" s="178">
        <f>BM388+BM763</f>
        <v>0</v>
      </c>
      <c r="BN1125" s="181">
        <f>BN386+BN761</f>
        <v>-116225.41</v>
      </c>
      <c r="BO1125" s="95">
        <f t="shared" ref="BO1125:BV1125" si="1636">BO388+BO763</f>
        <v>0</v>
      </c>
      <c r="BP1125" s="178">
        <f t="shared" si="1636"/>
        <v>-19508.84</v>
      </c>
      <c r="BQ1125" s="178">
        <f t="shared" si="1636"/>
        <v>0</v>
      </c>
      <c r="BR1125" s="181">
        <f t="shared" si="1636"/>
        <v>-51928.28</v>
      </c>
      <c r="BS1125" s="95">
        <f t="shared" si="1636"/>
        <v>0</v>
      </c>
      <c r="BT1125" s="178">
        <f t="shared" si="1636"/>
        <v>-41330.589999999997</v>
      </c>
      <c r="BU1125" s="178">
        <f t="shared" si="1636"/>
        <v>0</v>
      </c>
      <c r="BV1125" s="96">
        <f t="shared" si="1636"/>
        <v>-58255.070000000007</v>
      </c>
      <c r="BY1125" s="125">
        <f t="shared" si="1627"/>
        <v>0</v>
      </c>
      <c r="BZ1125" s="126">
        <f t="shared" si="1628"/>
        <v>-52734.107999999993</v>
      </c>
      <c r="CA1125" s="126">
        <f t="shared" si="1629"/>
        <v>0</v>
      </c>
      <c r="CB1125" s="127">
        <f t="shared" si="1630"/>
        <v>101207.78000000003</v>
      </c>
    </row>
    <row r="1126" spans="1:82" s="171" customFormat="1" ht="36.75" customHeight="1" x14ac:dyDescent="0.25">
      <c r="A1126" s="166"/>
      <c r="B1126" s="166"/>
      <c r="C1126" s="321" t="s">
        <v>83</v>
      </c>
      <c r="D1126" s="315" t="s">
        <v>84</v>
      </c>
      <c r="E1126" s="315" t="s">
        <v>73</v>
      </c>
      <c r="F1126" s="315" t="s">
        <v>74</v>
      </c>
      <c r="G1126" s="315" t="s">
        <v>520</v>
      </c>
      <c r="H1126" s="315" t="s">
        <v>73</v>
      </c>
      <c r="I1126" s="315" t="s">
        <v>73</v>
      </c>
      <c r="J1126" s="315" t="s">
        <v>73</v>
      </c>
      <c r="K1126" s="322" t="s">
        <v>73</v>
      </c>
      <c r="L1126" s="315" t="s">
        <v>73</v>
      </c>
      <c r="M1126" s="166" t="str">
        <f t="array" ref="M1126">Y818</f>
        <v>1ХВС::1.1</v>
      </c>
      <c r="N1126" s="166"/>
      <c r="O1126" s="166"/>
      <c r="P1126" s="166"/>
      <c r="Q1126" s="166"/>
      <c r="R1126" s="166"/>
      <c r="S1126" s="166"/>
      <c r="T1126" s="166"/>
      <c r="U1126" s="166"/>
      <c r="V1126" s="166"/>
      <c r="W1126" s="166"/>
      <c r="X1126" s="166"/>
      <c r="Y1126" s="166"/>
      <c r="Z1126" s="166"/>
      <c r="AA1126" s="166"/>
      <c r="AB1126" s="323">
        <f>COUNT(AB1115,AB867,AB821,AB1122,#REF!,AB1123,#REF!)+2</f>
        <v>7</v>
      </c>
      <c r="AC1126" s="324" t="s">
        <v>520</v>
      </c>
      <c r="AD1126" s="777" t="s">
        <v>111</v>
      </c>
      <c r="AE1126" s="329"/>
      <c r="AF1126" s="330"/>
      <c r="AG1126" s="330"/>
      <c r="AH1126" s="332"/>
      <c r="AI1126" s="329"/>
      <c r="AJ1126" s="330"/>
      <c r="AK1126" s="330"/>
      <c r="AL1126" s="332"/>
      <c r="AM1126" s="329"/>
      <c r="AN1126" s="330"/>
      <c r="AO1126" s="330"/>
      <c r="AP1126" s="332"/>
      <c r="AQ1126" s="329"/>
      <c r="AR1126" s="330"/>
      <c r="AS1126" s="330"/>
      <c r="AT1126" s="332"/>
      <c r="AU1126" s="329"/>
      <c r="AV1126" s="330"/>
      <c r="AW1126" s="330"/>
      <c r="AX1126" s="332"/>
      <c r="AY1126" s="329"/>
      <c r="AZ1126" s="330"/>
      <c r="BA1126" s="330"/>
      <c r="BB1126" s="332"/>
      <c r="BC1126" s="329"/>
      <c r="BD1126" s="330"/>
      <c r="BE1126" s="330"/>
      <c r="BF1126" s="332"/>
      <c r="BG1126" s="329"/>
      <c r="BH1126" s="330"/>
      <c r="BI1126" s="330"/>
      <c r="BJ1126" s="332"/>
      <c r="BK1126" s="329"/>
      <c r="BL1126" s="330"/>
      <c r="BM1126" s="330"/>
      <c r="BN1126" s="332"/>
      <c r="BO1126" s="336"/>
      <c r="BP1126" s="334"/>
      <c r="BQ1126" s="334"/>
      <c r="BR1126" s="335"/>
      <c r="BS1126" s="336"/>
      <c r="BT1126" s="334"/>
      <c r="BU1126" s="334"/>
      <c r="BV1126" s="337"/>
      <c r="BW1126" s="170"/>
      <c r="BX1126" s="166"/>
      <c r="BY1126" s="125">
        <f t="shared" si="1627"/>
        <v>0</v>
      </c>
      <c r="BZ1126" s="126">
        <f t="shared" si="1628"/>
        <v>0</v>
      </c>
      <c r="CA1126" s="126">
        <f t="shared" si="1629"/>
        <v>0</v>
      </c>
      <c r="CB1126" s="127">
        <f t="shared" si="1630"/>
        <v>0</v>
      </c>
      <c r="CC1126" s="760"/>
    </row>
    <row r="1127" spans="1:82" s="171" customFormat="1" ht="36.75" customHeight="1" thickBot="1" x14ac:dyDescent="0.3">
      <c r="A1127" s="166"/>
      <c r="B1127" s="166"/>
      <c r="C1127" s="321" t="s">
        <v>83</v>
      </c>
      <c r="D1127" s="315" t="s">
        <v>84</v>
      </c>
      <c r="E1127" s="315" t="s">
        <v>73</v>
      </c>
      <c r="F1127" s="315" t="s">
        <v>74</v>
      </c>
      <c r="G1127" s="315" t="s">
        <v>521</v>
      </c>
      <c r="H1127" s="315" t="s">
        <v>73</v>
      </c>
      <c r="I1127" s="315" t="s">
        <v>73</v>
      </c>
      <c r="J1127" s="315" t="s">
        <v>73</v>
      </c>
      <c r="K1127" s="322" t="s">
        <v>73</v>
      </c>
      <c r="L1127" s="315" t="s">
        <v>73</v>
      </c>
      <c r="M1127" s="166" t="str">
        <f t="array" ref="M1127">Y818</f>
        <v>1ХВС::1.1</v>
      </c>
      <c r="N1127" s="166"/>
      <c r="O1127" s="166"/>
      <c r="P1127" s="166"/>
      <c r="Q1127" s="166"/>
      <c r="R1127" s="166"/>
      <c r="S1127" s="166"/>
      <c r="T1127" s="166"/>
      <c r="U1127" s="166"/>
      <c r="V1127" s="166"/>
      <c r="W1127" s="166"/>
      <c r="X1127" s="166"/>
      <c r="Y1127" s="166"/>
      <c r="Z1127" s="166"/>
      <c r="AA1127" s="166"/>
      <c r="AB1127" s="338">
        <f>COUNT(AB1115,AB867,AB821,AB1122,#REF!,AB1123,AB1126,#REF!)+2</f>
        <v>8</v>
      </c>
      <c r="AC1127" s="339" t="s">
        <v>521</v>
      </c>
      <c r="AD1127" s="778" t="s">
        <v>111</v>
      </c>
      <c r="AE1127" s="879"/>
      <c r="AF1127" s="880"/>
      <c r="AG1127" s="880"/>
      <c r="AH1127" s="881"/>
      <c r="AI1127" s="879"/>
      <c r="AJ1127" s="880"/>
      <c r="AK1127" s="880"/>
      <c r="AL1127" s="881"/>
      <c r="AM1127" s="879"/>
      <c r="AN1127" s="880"/>
      <c r="AO1127" s="880"/>
      <c r="AP1127" s="881"/>
      <c r="AQ1127" s="879"/>
      <c r="AR1127" s="880"/>
      <c r="AS1127" s="880"/>
      <c r="AT1127" s="881"/>
      <c r="AU1127" s="879"/>
      <c r="AV1127" s="880"/>
      <c r="AW1127" s="880"/>
      <c r="AX1127" s="881"/>
      <c r="AY1127" s="879"/>
      <c r="AZ1127" s="880"/>
      <c r="BA1127" s="880"/>
      <c r="BB1127" s="881"/>
      <c r="BC1127" s="879"/>
      <c r="BD1127" s="880"/>
      <c r="BE1127" s="880"/>
      <c r="BF1127" s="881"/>
      <c r="BG1127" s="879"/>
      <c r="BH1127" s="880"/>
      <c r="BI1127" s="880"/>
      <c r="BJ1127" s="881"/>
      <c r="BK1127" s="879"/>
      <c r="BL1127" s="880"/>
      <c r="BM1127" s="880"/>
      <c r="BN1127" s="881"/>
      <c r="BO1127" s="882"/>
      <c r="BP1127" s="883"/>
      <c r="BQ1127" s="883"/>
      <c r="BR1127" s="884"/>
      <c r="BS1127" s="882"/>
      <c r="BT1127" s="883"/>
      <c r="BU1127" s="883"/>
      <c r="BV1127" s="885"/>
      <c r="BW1127" s="170"/>
      <c r="BX1127" s="166"/>
      <c r="BY1127" s="779">
        <f t="shared" si="1627"/>
        <v>0</v>
      </c>
      <c r="BZ1127" s="780">
        <f t="shared" si="1628"/>
        <v>0</v>
      </c>
      <c r="CA1127" s="780">
        <f t="shared" si="1629"/>
        <v>0</v>
      </c>
      <c r="CB1127" s="781">
        <f t="shared" si="1630"/>
        <v>0</v>
      </c>
      <c r="CC1127" s="760"/>
    </row>
    <row r="1128" spans="1:82" s="171" customFormat="1" ht="26.25" customHeight="1" thickBot="1" x14ac:dyDescent="0.3">
      <c r="A1128" s="166"/>
      <c r="B1128" s="166"/>
      <c r="C1128" s="167" t="s">
        <v>83</v>
      </c>
      <c r="D1128" s="167" t="s">
        <v>84</v>
      </c>
      <c r="E1128" s="167" t="s">
        <v>73</v>
      </c>
      <c r="F1128" s="167" t="s">
        <v>74</v>
      </c>
      <c r="G1128" s="167" t="s">
        <v>85</v>
      </c>
      <c r="H1128" s="167" t="s">
        <v>73</v>
      </c>
      <c r="I1128" s="167" t="s">
        <v>73</v>
      </c>
      <c r="J1128" s="167" t="s">
        <v>73</v>
      </c>
      <c r="K1128" s="168" t="s">
        <v>73</v>
      </c>
      <c r="L1128" s="167" t="s">
        <v>133</v>
      </c>
      <c r="M1128" s="166" t="str">
        <f t="array" ref="M1128">Y818</f>
        <v>1ХВС::1.1</v>
      </c>
      <c r="N1128" s="166"/>
      <c r="O1128" s="166"/>
      <c r="P1128" s="166"/>
      <c r="Q1128" s="166"/>
      <c r="R1128" s="166"/>
      <c r="S1128" s="166"/>
      <c r="T1128" s="166"/>
      <c r="U1128" s="166"/>
      <c r="V1128" s="166"/>
      <c r="W1128" s="166"/>
      <c r="X1128" s="166"/>
      <c r="Y1128" s="166"/>
      <c r="Z1128" s="166"/>
      <c r="AA1128" s="166"/>
      <c r="AB1128" s="941">
        <f>COUNT(AB1115,AB867,AB821,AB1122,#REF!,AB1123,AB1126,AB1127,#REF!)+2</f>
        <v>9</v>
      </c>
      <c r="AC1128" s="942" t="s">
        <v>522</v>
      </c>
      <c r="AD1128" s="943" t="s">
        <v>111</v>
      </c>
      <c r="AE1128" s="944">
        <f t="shared" ref="AE1128:AO1128" si="1637">AE868+AE1111+AE1112+AE1115+AE1122+AE1123</f>
        <v>2922484.877196053</v>
      </c>
      <c r="AF1128" s="945">
        <f t="shared" si="1637"/>
        <v>2283105.3843414215</v>
      </c>
      <c r="AG1128" s="946">
        <f t="shared" si="1637"/>
        <v>4213890.6317540249</v>
      </c>
      <c r="AH1128" s="946">
        <f>AH868+AH1111+AH1112+AH1115+AH1122-AH1123</f>
        <v>2486107.2902319995</v>
      </c>
      <c r="AI1128" s="944">
        <f t="shared" si="1637"/>
        <v>58978.620963199995</v>
      </c>
      <c r="AJ1128" s="945">
        <f t="shared" si="1637"/>
        <v>18686.665000000001</v>
      </c>
      <c r="AK1128" s="945">
        <f t="shared" si="1637"/>
        <v>70758.690681099994</v>
      </c>
      <c r="AL1128" s="945">
        <f t="shared" si="1637"/>
        <v>20048.739860999998</v>
      </c>
      <c r="AM1128" s="944">
        <f t="shared" si="1637"/>
        <v>64126.689430819984</v>
      </c>
      <c r="AN1128" s="945">
        <f t="shared" si="1637"/>
        <v>34845.466098839999</v>
      </c>
      <c r="AO1128" s="945">
        <f t="shared" si="1637"/>
        <v>105297.8518944</v>
      </c>
      <c r="AP1128" s="947">
        <f>AP868+AP1111+AP1112+AP1115+AP1122-AP1123</f>
        <v>34156.397949000006</v>
      </c>
      <c r="AQ1128" s="944">
        <f>AQ868+AQ1111+AQ1112+AQ1115+AQ1122+AQ1123</f>
        <v>88047.562562079998</v>
      </c>
      <c r="AR1128" s="945">
        <f>AR868+AR1111+AR1112+AR1115+AR1122+AR1123</f>
        <v>51335.267376971999</v>
      </c>
      <c r="AS1128" s="945">
        <f>AS868+AS1111+AS1112+AS1115+AS1122+AS1123</f>
        <v>148329.53332398002</v>
      </c>
      <c r="AT1128" s="948">
        <f>AT868+AT1111+AT1112+AT1115+AT1122-AT1123</f>
        <v>56403.578430640002</v>
      </c>
      <c r="AU1128" s="949">
        <f>AU868+AU1111+AU1112+AU1115+AU1122+AU1123</f>
        <v>49632.441276199999</v>
      </c>
      <c r="AV1128" s="945">
        <f>AV868+AV1111+AV1112+AV1115+AV1122+AV1123</f>
        <v>10905.668725200001</v>
      </c>
      <c r="AW1128" s="945">
        <f>AW868+AW1111+AW1112+AW1115+AW1122+AW1123</f>
        <v>101972.00239799998</v>
      </c>
      <c r="AX1128" s="947">
        <f>AX868+AX1111+AX1112+AX1115+AX1122-AX1123</f>
        <v>12570.273568960001</v>
      </c>
      <c r="AY1128" s="944">
        <f>AY868+AY1111+AY1112+AY1115+AY1122+AY1123</f>
        <v>100132.90446989999</v>
      </c>
      <c r="AZ1128" s="945">
        <f>AZ868+AZ1111+AZ1112+AZ1115+AZ1122+AZ1123</f>
        <v>73398.525503769983</v>
      </c>
      <c r="BA1128" s="945">
        <f>BA868+BA1111+BA1112+BA1115+BA1122+BA1123</f>
        <v>178974.73742597</v>
      </c>
      <c r="BB1128" s="948">
        <f>BB868+BB1111+BB1112+BB1115+BB1122-BB1123</f>
        <v>76549.920166436583</v>
      </c>
      <c r="BC1128" s="949">
        <f>BC868+BC1111+BC1112+BC1115+BC1122+BC1123</f>
        <v>93075.908281860015</v>
      </c>
      <c r="BD1128" s="945">
        <f>BD868+BD1111+BD1112+BD1115+BD1122-BD1123</f>
        <v>17864.366825799996</v>
      </c>
      <c r="BE1128" s="945">
        <f>BE868+BE1111+BE1112+BE1115+BE1122+BE1123</f>
        <v>114050.2302762</v>
      </c>
      <c r="BF1128" s="948">
        <f>BF868+BF1111+BF1112+BF1115-BF1123</f>
        <v>20056.746953000009</v>
      </c>
      <c r="BG1128" s="949">
        <f>BG868+BG1111+BG1112+BG1115+BG1122+BG1123</f>
        <v>231528.33272309505</v>
      </c>
      <c r="BH1128" s="945">
        <f>BH868+BH1111+BH1112+BH1115+BH1122-BH1123</f>
        <v>140135.30452299997</v>
      </c>
      <c r="BI1128" s="945">
        <f>BI868+BI1111+BI1112+BI1115+BI1122</f>
        <v>346584.17613494996</v>
      </c>
      <c r="BJ1128" s="948">
        <f>BJ868+BJ1111+BJ1112+BJ1115+BJ1122-BJ1123</f>
        <v>155650.36227521102</v>
      </c>
      <c r="BK1128" s="949">
        <f t="shared" ref="BK1128:BV1128" si="1638">BK868+BK1111+BK1112+BK1115+BK1122+BK1123</f>
        <v>434336.10981360002</v>
      </c>
      <c r="BL1128" s="945">
        <f t="shared" si="1638"/>
        <v>133440.07832740003</v>
      </c>
      <c r="BM1128" s="945">
        <f t="shared" si="1638"/>
        <v>367783.36912500003</v>
      </c>
      <c r="BN1128" s="945">
        <f t="shared" si="1638"/>
        <v>150378.73954000001</v>
      </c>
      <c r="BO1128" s="944">
        <f t="shared" si="1638"/>
        <v>41682.485577500003</v>
      </c>
      <c r="BP1128" s="945">
        <f t="shared" si="1638"/>
        <v>5685.3196759999955</v>
      </c>
      <c r="BQ1128" s="945">
        <f t="shared" si="1638"/>
        <v>51853.386646879997</v>
      </c>
      <c r="BR1128" s="947">
        <f t="shared" si="1638"/>
        <v>6467.1308042544042</v>
      </c>
      <c r="BS1128" s="944">
        <f t="shared" si="1638"/>
        <v>73444.276699309994</v>
      </c>
      <c r="BT1128" s="945">
        <f t="shared" si="1638"/>
        <v>14332.327575200005</v>
      </c>
      <c r="BU1128" s="945">
        <f t="shared" si="1638"/>
        <v>100935.56446020001</v>
      </c>
      <c r="BV1128" s="948">
        <f t="shared" si="1638"/>
        <v>16193.918319999997</v>
      </c>
      <c r="BW1128" s="170"/>
      <c r="BX1128" s="166"/>
      <c r="BY1128" s="950">
        <f t="shared" si="1627"/>
        <v>4157470.2089936179</v>
      </c>
      <c r="BZ1128" s="951">
        <f t="shared" si="1628"/>
        <v>2783734.3739736034</v>
      </c>
      <c r="CA1128" s="951">
        <f t="shared" si="1629"/>
        <v>5800430.1741207046</v>
      </c>
      <c r="CB1128" s="952">
        <f t="shared" si="1630"/>
        <v>3034583.0981005011</v>
      </c>
      <c r="CC1128" s="760"/>
      <c r="CD1128" s="1027"/>
    </row>
    <row r="1129" spans="1:82" ht="14.25" hidden="1" customHeight="1" x14ac:dyDescent="0.25">
      <c r="A1129" s="10" t="b">
        <f>$W818&lt;&gt;"одноставочный"</f>
        <v>0</v>
      </c>
      <c r="B1129" s="5" t="b">
        <f t="array" ref="B1129">A1129</f>
        <v>0</v>
      </c>
      <c r="C1129" s="75" t="s">
        <v>527</v>
      </c>
      <c r="D1129" s="5" t="s">
        <v>528</v>
      </c>
      <c r="E1129" s="10" t="s">
        <v>73</v>
      </c>
      <c r="F1129" s="10" t="s">
        <v>74</v>
      </c>
      <c r="G1129" s="10" t="s">
        <v>73</v>
      </c>
      <c r="H1129" s="10" t="s">
        <v>73</v>
      </c>
      <c r="I1129" s="10" t="s">
        <v>73</v>
      </c>
      <c r="J1129" s="10" t="s">
        <v>73</v>
      </c>
      <c r="K1129" s="12" t="s">
        <v>73</v>
      </c>
      <c r="M1129" s="5" t="str">
        <f t="array" ref="M1129">Y818</f>
        <v>1ХВС::1.1</v>
      </c>
      <c r="Z1129" s="6"/>
      <c r="AA1129" s="6"/>
      <c r="AB1129" s="380"/>
      <c r="AC1129" s="381"/>
      <c r="AD1129" s="380"/>
      <c r="AE1129" s="382"/>
      <c r="AF1129" s="382"/>
      <c r="AG1129" s="382"/>
      <c r="AH1129" s="391"/>
      <c r="AY1129" s="257"/>
      <c r="BB1129" s="258"/>
      <c r="BY1129" s="383">
        <f t="shared" si="1627"/>
        <v>0</v>
      </c>
      <c r="BZ1129" s="383">
        <f t="shared" si="1628"/>
        <v>0</v>
      </c>
      <c r="CA1129" s="383">
        <f t="shared" si="1629"/>
        <v>0</v>
      </c>
      <c r="CB1129" s="383">
        <f t="shared" si="1630"/>
        <v>0</v>
      </c>
    </row>
    <row r="1130" spans="1:82" ht="14.25" hidden="1" customHeight="1" outlineLevel="1" x14ac:dyDescent="0.25">
      <c r="A1130" s="10" t="b">
        <f>AND($AD$56="нет",$W818&lt;&gt;"одноставочный")</f>
        <v>0</v>
      </c>
      <c r="B1130" s="5" t="b">
        <f t="array" ref="B1130">A1130</f>
        <v>0</v>
      </c>
      <c r="C1130" s="75" t="s">
        <v>529</v>
      </c>
      <c r="D1130" s="5" t="s">
        <v>530</v>
      </c>
      <c r="E1130" s="10" t="s">
        <v>73</v>
      </c>
      <c r="F1130" s="10" t="s">
        <v>74</v>
      </c>
      <c r="G1130" s="10" t="s">
        <v>73</v>
      </c>
      <c r="H1130" s="10" t="s">
        <v>73</v>
      </c>
      <c r="I1130" s="10" t="s">
        <v>73</v>
      </c>
      <c r="J1130" s="10" t="s">
        <v>73</v>
      </c>
      <c r="K1130" s="12" t="s">
        <v>73</v>
      </c>
      <c r="M1130" s="5" t="str">
        <f t="array" ref="M1130">Y818</f>
        <v>1ХВС::1.1</v>
      </c>
      <c r="Z1130" s="6"/>
      <c r="AA1130" s="6"/>
      <c r="AB1130" s="384"/>
      <c r="AC1130" s="385"/>
      <c r="AD1130" s="384"/>
      <c r="AE1130" s="386"/>
      <c r="AF1130" s="386"/>
      <c r="AG1130" s="386"/>
      <c r="AH1130" s="391"/>
      <c r="AY1130" s="257"/>
      <c r="BB1130" s="258"/>
      <c r="BY1130" s="125">
        <f t="shared" si="1627"/>
        <v>0</v>
      </c>
      <c r="BZ1130" s="125">
        <f t="shared" si="1628"/>
        <v>0</v>
      </c>
      <c r="CA1130" s="125">
        <f t="shared" si="1629"/>
        <v>0</v>
      </c>
      <c r="CB1130" s="125">
        <f t="shared" si="1630"/>
        <v>0</v>
      </c>
    </row>
    <row r="1131" spans="1:82" ht="14.25" hidden="1" customHeight="1" outlineLevel="1" x14ac:dyDescent="0.25">
      <c r="A1131" s="10" t="b">
        <f>AND($AD$56="нет",$W818&lt;&gt;"одноставочный")</f>
        <v>0</v>
      </c>
      <c r="B1131" s="5" t="b">
        <f t="array" ref="B1131">A1131</f>
        <v>0</v>
      </c>
      <c r="C1131" s="75" t="s">
        <v>531</v>
      </c>
      <c r="D1131" s="5" t="s">
        <v>532</v>
      </c>
      <c r="E1131" s="10" t="s">
        <v>73</v>
      </c>
      <c r="F1131" s="10" t="s">
        <v>74</v>
      </c>
      <c r="G1131" s="10" t="s">
        <v>73</v>
      </c>
      <c r="H1131" s="10" t="s">
        <v>73</v>
      </c>
      <c r="I1131" s="10" t="s">
        <v>73</v>
      </c>
      <c r="J1131" s="10" t="s">
        <v>73</v>
      </c>
      <c r="K1131" s="12" t="s">
        <v>73</v>
      </c>
      <c r="M1131" s="5" t="str">
        <f t="array" ref="M1131">Y818</f>
        <v>1ХВС::1.1</v>
      </c>
      <c r="Z1131" s="6"/>
      <c r="AA1131" s="6"/>
      <c r="AB1131" s="384"/>
      <c r="AC1131" s="385"/>
      <c r="AD1131" s="384"/>
      <c r="AE1131" s="386"/>
      <c r="AF1131" s="386"/>
      <c r="AG1131" s="386"/>
      <c r="AH1131" s="391"/>
      <c r="AY1131" s="257"/>
      <c r="BB1131" s="258"/>
      <c r="BY1131" s="125">
        <f t="shared" si="1627"/>
        <v>0</v>
      </c>
      <c r="BZ1131" s="125">
        <f t="shared" si="1628"/>
        <v>0</v>
      </c>
      <c r="CA1131" s="125">
        <f t="shared" si="1629"/>
        <v>0</v>
      </c>
      <c r="CB1131" s="125">
        <f t="shared" si="1630"/>
        <v>0</v>
      </c>
    </row>
    <row r="1132" spans="1:82" ht="14.25" hidden="1" customHeight="1" outlineLevel="1" x14ac:dyDescent="0.25">
      <c r="A1132" s="10" t="b">
        <f>$W818&lt;&gt;"одноставочный"</f>
        <v>0</v>
      </c>
      <c r="B1132" s="5" t="b">
        <f t="array" ref="B1132">A1132</f>
        <v>0</v>
      </c>
      <c r="C1132" s="75" t="s">
        <v>533</v>
      </c>
      <c r="D1132" s="5" t="s">
        <v>534</v>
      </c>
      <c r="E1132" s="10" t="s">
        <v>73</v>
      </c>
      <c r="F1132" s="10" t="s">
        <v>74</v>
      </c>
      <c r="G1132" s="10" t="s">
        <v>73</v>
      </c>
      <c r="H1132" s="10" t="s">
        <v>73</v>
      </c>
      <c r="I1132" s="10" t="s">
        <v>73</v>
      </c>
      <c r="J1132" s="10" t="s">
        <v>73</v>
      </c>
      <c r="K1132" s="12" t="s">
        <v>73</v>
      </c>
      <c r="M1132" s="5" t="str">
        <f t="array" ref="M1132">Y818</f>
        <v>1ХВС::1.1</v>
      </c>
      <c r="Z1132" s="6"/>
      <c r="AA1132" s="6"/>
      <c r="AB1132" s="384"/>
      <c r="AC1132" s="385"/>
      <c r="AD1132" s="384"/>
      <c r="AE1132" s="386"/>
      <c r="AF1132" s="386"/>
      <c r="AG1132" s="386"/>
      <c r="AH1132" s="391"/>
      <c r="AY1132" s="257"/>
      <c r="BB1132" s="258"/>
      <c r="BY1132" s="125">
        <f t="shared" si="1627"/>
        <v>0</v>
      </c>
      <c r="BZ1132" s="125">
        <f t="shared" si="1628"/>
        <v>0</v>
      </c>
      <c r="CA1132" s="125">
        <f t="shared" si="1629"/>
        <v>0</v>
      </c>
      <c r="CB1132" s="125">
        <f t="shared" si="1630"/>
        <v>0</v>
      </c>
    </row>
    <row r="1133" spans="1:82" ht="14.25" hidden="1" customHeight="1" x14ac:dyDescent="0.25">
      <c r="A1133" s="10" t="b">
        <f>$W818&lt;&gt;"одноставочный"</f>
        <v>0</v>
      </c>
      <c r="B1133" s="76" t="b">
        <f>AND(A1133,NOT(NDS="нет"))</f>
        <v>0</v>
      </c>
      <c r="C1133" s="75" t="s">
        <v>535</v>
      </c>
      <c r="D1133" s="5" t="s">
        <v>536</v>
      </c>
      <c r="E1133" s="10" t="s">
        <v>73</v>
      </c>
      <c r="F1133" s="10" t="s">
        <v>74</v>
      </c>
      <c r="G1133" s="10" t="s">
        <v>73</v>
      </c>
      <c r="H1133" s="10" t="s">
        <v>73</v>
      </c>
      <c r="I1133" s="10" t="s">
        <v>73</v>
      </c>
      <c r="J1133" s="10" t="s">
        <v>73</v>
      </c>
      <c r="K1133" s="12" t="s">
        <v>73</v>
      </c>
      <c r="M1133" s="5" t="str">
        <f t="array" ref="M1133">Y818</f>
        <v>1ХВС::1.1</v>
      </c>
      <c r="Z1133" s="6"/>
      <c r="AA1133" s="6"/>
      <c r="AB1133" s="387"/>
      <c r="AC1133" s="388"/>
      <c r="AD1133" s="387"/>
      <c r="AE1133" s="389"/>
      <c r="AF1133" s="389"/>
      <c r="AG1133" s="389"/>
      <c r="AH1133" s="391"/>
      <c r="AY1133" s="257"/>
      <c r="BB1133" s="258"/>
      <c r="BY1133" s="125">
        <f t="shared" si="1627"/>
        <v>0</v>
      </c>
      <c r="BZ1133" s="125">
        <f t="shared" si="1628"/>
        <v>0</v>
      </c>
      <c r="CA1133" s="125">
        <f t="shared" si="1629"/>
        <v>0</v>
      </c>
      <c r="CB1133" s="125">
        <f t="shared" si="1630"/>
        <v>0</v>
      </c>
    </row>
    <row r="1134" spans="1:82" ht="14.25" hidden="1" customHeight="1" outlineLevel="1" x14ac:dyDescent="0.25">
      <c r="A1134" s="10" t="b">
        <f>AND($AD$56="нет",$W818&lt;&gt;"одноставочный")</f>
        <v>0</v>
      </c>
      <c r="B1134" s="76" t="b">
        <f>AND(A1134,NOT(NDS="нет"))</f>
        <v>0</v>
      </c>
      <c r="C1134" s="75" t="s">
        <v>537</v>
      </c>
      <c r="D1134" s="5" t="s">
        <v>538</v>
      </c>
      <c r="E1134" s="10" t="s">
        <v>73</v>
      </c>
      <c r="F1134" s="10" t="s">
        <v>74</v>
      </c>
      <c r="G1134" s="10" t="s">
        <v>73</v>
      </c>
      <c r="H1134" s="10" t="s">
        <v>73</v>
      </c>
      <c r="I1134" s="10" t="s">
        <v>73</v>
      </c>
      <c r="J1134" s="10" t="s">
        <v>73</v>
      </c>
      <c r="K1134" s="12" t="s">
        <v>73</v>
      </c>
      <c r="M1134" s="5" t="str">
        <f t="array" ref="M1134">Y818</f>
        <v>1ХВС::1.1</v>
      </c>
      <c r="Z1134" s="6"/>
      <c r="AA1134" s="6"/>
      <c r="AB1134" s="384"/>
      <c r="AC1134" s="385"/>
      <c r="AD1134" s="384"/>
      <c r="AE1134" s="389"/>
      <c r="AF1134" s="389"/>
      <c r="AG1134" s="389"/>
      <c r="AH1134" s="391"/>
      <c r="AY1134" s="257"/>
      <c r="BB1134" s="258"/>
      <c r="BY1134" s="125">
        <f t="shared" si="1627"/>
        <v>0</v>
      </c>
      <c r="BZ1134" s="125">
        <f t="shared" si="1628"/>
        <v>0</v>
      </c>
      <c r="CA1134" s="125">
        <f t="shared" si="1629"/>
        <v>0</v>
      </c>
      <c r="CB1134" s="125">
        <f t="shared" si="1630"/>
        <v>0</v>
      </c>
    </row>
    <row r="1135" spans="1:82" ht="14.25" hidden="1" customHeight="1" outlineLevel="1" x14ac:dyDescent="0.25">
      <c r="A1135" s="10" t="b">
        <f>AND($AD$56="нет",$W818&lt;&gt;"одноставочный")</f>
        <v>0</v>
      </c>
      <c r="B1135" s="76" t="b">
        <f>AND(A1135,NOT(NDS="нет"))</f>
        <v>0</v>
      </c>
      <c r="C1135" s="75" t="s">
        <v>539</v>
      </c>
      <c r="D1135" s="5" t="s">
        <v>540</v>
      </c>
      <c r="E1135" s="10" t="s">
        <v>73</v>
      </c>
      <c r="F1135" s="10" t="s">
        <v>74</v>
      </c>
      <c r="G1135" s="10" t="s">
        <v>73</v>
      </c>
      <c r="H1135" s="10" t="s">
        <v>73</v>
      </c>
      <c r="I1135" s="10" t="s">
        <v>73</v>
      </c>
      <c r="J1135" s="10" t="s">
        <v>73</v>
      </c>
      <c r="K1135" s="12" t="s">
        <v>73</v>
      </c>
      <c r="M1135" s="5" t="str">
        <f t="array" ref="M1135">Y818</f>
        <v>1ХВС::1.1</v>
      </c>
      <c r="Z1135" s="6"/>
      <c r="AA1135" s="6"/>
      <c r="AB1135" s="384"/>
      <c r="AC1135" s="385"/>
      <c r="AD1135" s="384"/>
      <c r="AE1135" s="390"/>
      <c r="AF1135" s="390"/>
      <c r="AG1135" s="390"/>
      <c r="AH1135" s="391"/>
      <c r="AY1135" s="257"/>
      <c r="BB1135" s="258"/>
      <c r="BY1135" s="125">
        <f t="shared" si="1627"/>
        <v>0</v>
      </c>
      <c r="BZ1135" s="125">
        <f t="shared" si="1628"/>
        <v>0</v>
      </c>
      <c r="CA1135" s="125">
        <f t="shared" si="1629"/>
        <v>0</v>
      </c>
      <c r="CB1135" s="125">
        <f t="shared" si="1630"/>
        <v>0</v>
      </c>
    </row>
    <row r="1136" spans="1:82" ht="14.25" hidden="1" customHeight="1" outlineLevel="1" x14ac:dyDescent="0.25">
      <c r="A1136" s="10" t="b">
        <f>$W818&lt;&gt;"одноставочный"</f>
        <v>0</v>
      </c>
      <c r="B1136" s="76" t="b">
        <f>AND(A1136,NOT(NDS="нет"))</f>
        <v>0</v>
      </c>
      <c r="C1136" s="75" t="s">
        <v>541</v>
      </c>
      <c r="D1136" s="5" t="s">
        <v>542</v>
      </c>
      <c r="E1136" s="10" t="s">
        <v>73</v>
      </c>
      <c r="F1136" s="10" t="s">
        <v>74</v>
      </c>
      <c r="G1136" s="10" t="s">
        <v>73</v>
      </c>
      <c r="H1136" s="10" t="s">
        <v>73</v>
      </c>
      <c r="I1136" s="10" t="s">
        <v>73</v>
      </c>
      <c r="J1136" s="10" t="s">
        <v>73</v>
      </c>
      <c r="K1136" s="12" t="s">
        <v>73</v>
      </c>
      <c r="M1136" s="5" t="str">
        <f t="array" ref="M1136">Y818</f>
        <v>1ХВС::1.1</v>
      </c>
      <c r="Z1136" s="6"/>
      <c r="AA1136" s="6"/>
      <c r="AB1136" s="384"/>
      <c r="AC1136" s="385"/>
      <c r="AD1136" s="384"/>
      <c r="AE1136" s="389"/>
      <c r="AF1136" s="389"/>
      <c r="AG1136" s="389"/>
      <c r="AH1136" s="391"/>
      <c r="AY1136" s="257"/>
      <c r="BB1136" s="258"/>
      <c r="BY1136" s="125">
        <f t="shared" si="1627"/>
        <v>0</v>
      </c>
      <c r="BZ1136" s="125">
        <f t="shared" si="1628"/>
        <v>0</v>
      </c>
      <c r="CA1136" s="125">
        <f t="shared" si="1629"/>
        <v>0</v>
      </c>
      <c r="CB1136" s="125">
        <f t="shared" si="1630"/>
        <v>0</v>
      </c>
    </row>
    <row r="1137" spans="1:80" ht="14.25" hidden="1" customHeight="1" x14ac:dyDescent="0.25">
      <c r="A1137" s="10" t="b">
        <f>$W818&lt;&gt;"одноставочный"</f>
        <v>0</v>
      </c>
      <c r="B1137" s="5" t="b">
        <f t="array" ref="B1137">A1137</f>
        <v>0</v>
      </c>
      <c r="C1137" s="75" t="s">
        <v>543</v>
      </c>
      <c r="D1137" s="5" t="s">
        <v>544</v>
      </c>
      <c r="E1137" s="10" t="s">
        <v>73</v>
      </c>
      <c r="F1137" s="10" t="s">
        <v>74</v>
      </c>
      <c r="G1137" s="10" t="s">
        <v>73</v>
      </c>
      <c r="H1137" s="10" t="s">
        <v>73</v>
      </c>
      <c r="I1137" s="10" t="s">
        <v>73</v>
      </c>
      <c r="J1137" s="10" t="s">
        <v>73</v>
      </c>
      <c r="K1137" s="12" t="s">
        <v>73</v>
      </c>
      <c r="M1137" s="5" t="str">
        <f t="array" ref="M1137">Y818</f>
        <v>1ХВС::1.1</v>
      </c>
      <c r="Z1137" s="6"/>
      <c r="AA1137" s="6"/>
      <c r="AB1137" s="387"/>
      <c r="AC1137" s="388"/>
      <c r="AD1137" s="387"/>
      <c r="AE1137" s="386"/>
      <c r="AF1137" s="386"/>
      <c r="AG1137" s="386"/>
      <c r="AH1137" s="391"/>
      <c r="AY1137" s="257"/>
      <c r="BB1137" s="258"/>
      <c r="BY1137" s="125">
        <f t="shared" si="1627"/>
        <v>0</v>
      </c>
      <c r="BZ1137" s="125">
        <f t="shared" si="1628"/>
        <v>0</v>
      </c>
      <c r="CA1137" s="125">
        <f t="shared" si="1629"/>
        <v>0</v>
      </c>
      <c r="CB1137" s="125">
        <f t="shared" si="1630"/>
        <v>0</v>
      </c>
    </row>
    <row r="1138" spans="1:80" ht="14.25" hidden="1" customHeight="1" outlineLevel="1" x14ac:dyDescent="0.25">
      <c r="A1138" s="10" t="b">
        <f>AND($AD$56="нет",$W818&lt;&gt;"одноставочный")</f>
        <v>0</v>
      </c>
      <c r="B1138" s="5" t="b">
        <f t="array" ref="B1138">A1138</f>
        <v>0</v>
      </c>
      <c r="C1138" s="75" t="s">
        <v>545</v>
      </c>
      <c r="D1138" s="5" t="s">
        <v>546</v>
      </c>
      <c r="E1138" s="10" t="s">
        <v>73</v>
      </c>
      <c r="F1138" s="10" t="s">
        <v>74</v>
      </c>
      <c r="G1138" s="10" t="s">
        <v>73</v>
      </c>
      <c r="H1138" s="10" t="s">
        <v>73</v>
      </c>
      <c r="I1138" s="10" t="s">
        <v>73</v>
      </c>
      <c r="J1138" s="10" t="s">
        <v>73</v>
      </c>
      <c r="K1138" s="12" t="s">
        <v>73</v>
      </c>
      <c r="M1138" s="5" t="str">
        <f t="array" ref="M1138">Y818</f>
        <v>1ХВС::1.1</v>
      </c>
      <c r="Z1138" s="6"/>
      <c r="AA1138" s="6"/>
      <c r="AB1138" s="384"/>
      <c r="AC1138" s="385"/>
      <c r="AD1138" s="384"/>
      <c r="AE1138" s="386"/>
      <c r="AF1138" s="386"/>
      <c r="AG1138" s="386"/>
      <c r="AH1138" s="391"/>
      <c r="AY1138" s="257"/>
      <c r="BB1138" s="258"/>
      <c r="BY1138" s="125">
        <f t="shared" si="1627"/>
        <v>0</v>
      </c>
      <c r="BZ1138" s="125">
        <f t="shared" si="1628"/>
        <v>0</v>
      </c>
      <c r="CA1138" s="125">
        <f t="shared" si="1629"/>
        <v>0</v>
      </c>
      <c r="CB1138" s="125">
        <f t="shared" si="1630"/>
        <v>0</v>
      </c>
    </row>
    <row r="1139" spans="1:80" ht="14.25" hidden="1" customHeight="1" outlineLevel="1" x14ac:dyDescent="0.25">
      <c r="A1139" s="10" t="b">
        <f>AND($AD$56="нет",$W818&lt;&gt;"одноставочный")</f>
        <v>0</v>
      </c>
      <c r="B1139" s="5" t="b">
        <f t="array" ref="B1139">A1139</f>
        <v>0</v>
      </c>
      <c r="C1139" s="75" t="s">
        <v>547</v>
      </c>
      <c r="D1139" s="5" t="s">
        <v>548</v>
      </c>
      <c r="E1139" s="10" t="s">
        <v>73</v>
      </c>
      <c r="F1139" s="10" t="s">
        <v>74</v>
      </c>
      <c r="G1139" s="10" t="s">
        <v>73</v>
      </c>
      <c r="H1139" s="10" t="s">
        <v>73</v>
      </c>
      <c r="I1139" s="10" t="s">
        <v>73</v>
      </c>
      <c r="J1139" s="10" t="s">
        <v>73</v>
      </c>
      <c r="K1139" s="12" t="s">
        <v>73</v>
      </c>
      <c r="M1139" s="5" t="str">
        <f t="array" ref="M1139">Y818</f>
        <v>1ХВС::1.1</v>
      </c>
      <c r="Z1139" s="6"/>
      <c r="AA1139" s="6"/>
      <c r="AB1139" s="384"/>
      <c r="AC1139" s="385"/>
      <c r="AD1139" s="384"/>
      <c r="AE1139" s="386"/>
      <c r="AF1139" s="386"/>
      <c r="AG1139" s="386"/>
      <c r="AH1139" s="391"/>
      <c r="AY1139" s="257"/>
      <c r="BB1139" s="258"/>
      <c r="BY1139" s="125">
        <f t="shared" si="1627"/>
        <v>0</v>
      </c>
      <c r="BZ1139" s="125">
        <f t="shared" si="1628"/>
        <v>0</v>
      </c>
      <c r="CA1139" s="125">
        <f t="shared" si="1629"/>
        <v>0</v>
      </c>
      <c r="CB1139" s="125">
        <f t="shared" si="1630"/>
        <v>0</v>
      </c>
    </row>
    <row r="1140" spans="1:80" ht="14.25" hidden="1" customHeight="1" outlineLevel="1" x14ac:dyDescent="0.25">
      <c r="A1140" s="10" t="b">
        <f>$W818&lt;&gt;"одноставочный"</f>
        <v>0</v>
      </c>
      <c r="B1140" s="5" t="b">
        <f t="array" ref="B1140">A1140</f>
        <v>0</v>
      </c>
      <c r="C1140" s="75" t="s">
        <v>549</v>
      </c>
      <c r="D1140" s="5" t="s">
        <v>550</v>
      </c>
      <c r="E1140" s="10" t="s">
        <v>73</v>
      </c>
      <c r="F1140" s="10" t="s">
        <v>74</v>
      </c>
      <c r="G1140" s="10" t="s">
        <v>73</v>
      </c>
      <c r="H1140" s="10" t="s">
        <v>73</v>
      </c>
      <c r="I1140" s="10" t="s">
        <v>73</v>
      </c>
      <c r="J1140" s="10" t="s">
        <v>73</v>
      </c>
      <c r="K1140" s="12" t="s">
        <v>73</v>
      </c>
      <c r="M1140" s="5" t="str">
        <f t="array" ref="M1140">Y818</f>
        <v>1ХВС::1.1</v>
      </c>
      <c r="Z1140" s="6"/>
      <c r="AA1140" s="6"/>
      <c r="AB1140" s="384"/>
      <c r="AC1140" s="385"/>
      <c r="AD1140" s="384"/>
      <c r="AE1140" s="386"/>
      <c r="AF1140" s="386"/>
      <c r="AG1140" s="386"/>
      <c r="AH1140" s="391"/>
      <c r="AY1140" s="257"/>
      <c r="BB1140" s="258"/>
      <c r="BY1140" s="125">
        <f t="shared" si="1627"/>
        <v>0</v>
      </c>
      <c r="BZ1140" s="125">
        <f t="shared" si="1628"/>
        <v>0</v>
      </c>
      <c r="CA1140" s="125">
        <f t="shared" si="1629"/>
        <v>0</v>
      </c>
      <c r="CB1140" s="125">
        <f t="shared" si="1630"/>
        <v>0</v>
      </c>
    </row>
    <row r="1141" spans="1:80" ht="14.25" hidden="1" customHeight="1" x14ac:dyDescent="0.25">
      <c r="A1141" s="10" t="b">
        <f>$W818&lt;&gt;"одноставочный"</f>
        <v>0</v>
      </c>
      <c r="B1141" s="76" t="b">
        <f>AND(A1141,NOT(NDS="нет"))</f>
        <v>0</v>
      </c>
      <c r="C1141" s="75" t="s">
        <v>551</v>
      </c>
      <c r="D1141" s="5" t="s">
        <v>552</v>
      </c>
      <c r="E1141" s="10" t="s">
        <v>73</v>
      </c>
      <c r="F1141" s="10" t="s">
        <v>74</v>
      </c>
      <c r="G1141" s="10" t="s">
        <v>73</v>
      </c>
      <c r="H1141" s="10" t="s">
        <v>73</v>
      </c>
      <c r="I1141" s="10" t="s">
        <v>73</v>
      </c>
      <c r="J1141" s="10" t="s">
        <v>73</v>
      </c>
      <c r="K1141" s="12" t="s">
        <v>73</v>
      </c>
      <c r="M1141" s="5" t="str">
        <f t="array" ref="M1141">Y818</f>
        <v>1ХВС::1.1</v>
      </c>
      <c r="Z1141" s="6"/>
      <c r="AA1141" s="6"/>
      <c r="AB1141" s="387"/>
      <c r="AC1141" s="388"/>
      <c r="AD1141" s="387"/>
      <c r="AE1141" s="389"/>
      <c r="AF1141" s="389"/>
      <c r="AG1141" s="389"/>
      <c r="AH1141" s="391"/>
      <c r="AY1141" s="257"/>
      <c r="BB1141" s="258"/>
      <c r="BY1141" s="125">
        <f t="shared" si="1627"/>
        <v>0</v>
      </c>
      <c r="BZ1141" s="125">
        <f t="shared" si="1628"/>
        <v>0</v>
      </c>
      <c r="CA1141" s="125">
        <f t="shared" si="1629"/>
        <v>0</v>
      </c>
      <c r="CB1141" s="125">
        <f t="shared" si="1630"/>
        <v>0</v>
      </c>
    </row>
    <row r="1142" spans="1:80" ht="14.25" hidden="1" customHeight="1" outlineLevel="1" x14ac:dyDescent="0.25">
      <c r="A1142" s="10" t="b">
        <f>AND($AD$56="нет",$W818&lt;&gt;"одноставочный")</f>
        <v>0</v>
      </c>
      <c r="B1142" s="76" t="b">
        <f>AND(A1142,NOT(NDS="нет"))</f>
        <v>0</v>
      </c>
      <c r="C1142" s="75" t="s">
        <v>553</v>
      </c>
      <c r="D1142" s="5" t="s">
        <v>554</v>
      </c>
      <c r="E1142" s="10" t="s">
        <v>73</v>
      </c>
      <c r="F1142" s="10" t="s">
        <v>74</v>
      </c>
      <c r="G1142" s="10" t="s">
        <v>73</v>
      </c>
      <c r="H1142" s="10" t="s">
        <v>73</v>
      </c>
      <c r="I1142" s="10" t="s">
        <v>73</v>
      </c>
      <c r="J1142" s="10" t="s">
        <v>73</v>
      </c>
      <c r="K1142" s="12" t="s">
        <v>73</v>
      </c>
      <c r="M1142" s="5" t="str">
        <f t="array" ref="M1142">Y818</f>
        <v>1ХВС::1.1</v>
      </c>
      <c r="Z1142" s="6"/>
      <c r="AA1142" s="6"/>
      <c r="AB1142" s="384"/>
      <c r="AC1142" s="385"/>
      <c r="AD1142" s="384"/>
      <c r="AE1142" s="389"/>
      <c r="AF1142" s="389"/>
      <c r="AG1142" s="389"/>
      <c r="AH1142" s="391"/>
      <c r="AY1142" s="257"/>
      <c r="BB1142" s="258"/>
      <c r="BY1142" s="125">
        <f t="shared" si="1627"/>
        <v>0</v>
      </c>
      <c r="BZ1142" s="125">
        <f t="shared" si="1628"/>
        <v>0</v>
      </c>
      <c r="CA1142" s="125">
        <f t="shared" si="1629"/>
        <v>0</v>
      </c>
      <c r="CB1142" s="125">
        <f t="shared" si="1630"/>
        <v>0</v>
      </c>
    </row>
    <row r="1143" spans="1:80" ht="14.25" hidden="1" customHeight="1" outlineLevel="1" x14ac:dyDescent="0.25">
      <c r="A1143" s="10" t="b">
        <f>AND($AD$56="нет",$W818&lt;&gt;"одноставочный")</f>
        <v>0</v>
      </c>
      <c r="B1143" s="76" t="b">
        <f>AND(A1143,NOT(NDS="нет"))</f>
        <v>0</v>
      </c>
      <c r="C1143" s="75" t="s">
        <v>555</v>
      </c>
      <c r="D1143" s="5" t="s">
        <v>556</v>
      </c>
      <c r="E1143" s="10" t="s">
        <v>73</v>
      </c>
      <c r="F1143" s="10" t="s">
        <v>74</v>
      </c>
      <c r="G1143" s="10" t="s">
        <v>73</v>
      </c>
      <c r="H1143" s="10" t="s">
        <v>73</v>
      </c>
      <c r="I1143" s="10" t="s">
        <v>73</v>
      </c>
      <c r="J1143" s="10" t="s">
        <v>73</v>
      </c>
      <c r="K1143" s="12" t="s">
        <v>73</v>
      </c>
      <c r="M1143" s="5" t="str">
        <f t="array" ref="M1143">Y818</f>
        <v>1ХВС::1.1</v>
      </c>
      <c r="Z1143" s="6"/>
      <c r="AA1143" s="6"/>
      <c r="AB1143" s="384"/>
      <c r="AC1143" s="385"/>
      <c r="AD1143" s="384"/>
      <c r="AE1143" s="390"/>
      <c r="AF1143" s="390"/>
      <c r="AG1143" s="390"/>
      <c r="AH1143" s="391"/>
      <c r="AY1143" s="257"/>
      <c r="BB1143" s="258"/>
      <c r="BY1143" s="125">
        <f t="shared" si="1627"/>
        <v>0</v>
      </c>
      <c r="BZ1143" s="125">
        <f t="shared" si="1628"/>
        <v>0</v>
      </c>
      <c r="CA1143" s="125">
        <f t="shared" si="1629"/>
        <v>0</v>
      </c>
      <c r="CB1143" s="125">
        <f t="shared" si="1630"/>
        <v>0</v>
      </c>
    </row>
    <row r="1144" spans="1:80" ht="14.25" hidden="1" customHeight="1" outlineLevel="1" x14ac:dyDescent="0.25">
      <c r="A1144" s="10" t="b">
        <f>$W818&lt;&gt;"одноставочный"</f>
        <v>0</v>
      </c>
      <c r="B1144" s="76" t="b">
        <f>AND(A1144,NOT(NDS="нет"))</f>
        <v>0</v>
      </c>
      <c r="C1144" s="75" t="s">
        <v>557</v>
      </c>
      <c r="D1144" s="5" t="s">
        <v>558</v>
      </c>
      <c r="E1144" s="10" t="s">
        <v>73</v>
      </c>
      <c r="F1144" s="10" t="s">
        <v>74</v>
      </c>
      <c r="G1144" s="10" t="s">
        <v>73</v>
      </c>
      <c r="H1144" s="10" t="s">
        <v>73</v>
      </c>
      <c r="I1144" s="10" t="s">
        <v>73</v>
      </c>
      <c r="J1144" s="10" t="s">
        <v>73</v>
      </c>
      <c r="K1144" s="12" t="s">
        <v>73</v>
      </c>
      <c r="M1144" s="5" t="str">
        <f t="array" ref="M1144">Y818</f>
        <v>1ХВС::1.1</v>
      </c>
      <c r="Z1144" s="6"/>
      <c r="AA1144" s="6"/>
      <c r="AB1144" s="384"/>
      <c r="AC1144" s="385"/>
      <c r="AD1144" s="384"/>
      <c r="AE1144" s="386"/>
      <c r="AF1144" s="386"/>
      <c r="AG1144" s="386"/>
      <c r="AH1144" s="391"/>
      <c r="AY1144" s="257"/>
      <c r="BB1144" s="258"/>
      <c r="BY1144" s="125">
        <f t="shared" si="1627"/>
        <v>0</v>
      </c>
      <c r="BZ1144" s="125">
        <f t="shared" si="1628"/>
        <v>0</v>
      </c>
      <c r="CA1144" s="125">
        <f t="shared" si="1629"/>
        <v>0</v>
      </c>
      <c r="CB1144" s="125">
        <f t="shared" si="1630"/>
        <v>0</v>
      </c>
    </row>
    <row r="1145" spans="1:80" ht="14.25" hidden="1" customHeight="1" outlineLevel="1" x14ac:dyDescent="0.25">
      <c r="A1145" s="10" t="b">
        <f>$V818="разделение внутри одной сметы"</f>
        <v>0</v>
      </c>
      <c r="B1145" s="10" t="b">
        <f>AND($V818="разделение внутри одной сметы",A1145)</f>
        <v>0</v>
      </c>
      <c r="C1145" s="75" t="s">
        <v>559</v>
      </c>
      <c r="D1145" s="5" t="s">
        <v>560</v>
      </c>
      <c r="E1145" s="10" t="s">
        <v>73</v>
      </c>
      <c r="F1145" s="10" t="s">
        <v>74</v>
      </c>
      <c r="G1145" s="10" t="s">
        <v>73</v>
      </c>
      <c r="H1145" s="10" t="s">
        <v>73</v>
      </c>
      <c r="I1145" s="10" t="s">
        <v>73</v>
      </c>
      <c r="J1145" s="10" t="s">
        <v>73</v>
      </c>
      <c r="K1145" s="12" t="s">
        <v>73</v>
      </c>
      <c r="M1145" s="5" t="str">
        <f t="array" ref="M1145">Y818</f>
        <v>1ХВС::1.1</v>
      </c>
      <c r="Z1145" s="6"/>
      <c r="AA1145" s="6"/>
      <c r="AB1145" s="387"/>
      <c r="AC1145" s="388"/>
      <c r="AD1145" s="387"/>
      <c r="AE1145" s="387"/>
      <c r="AF1145" s="387"/>
      <c r="AG1145" s="387"/>
      <c r="AH1145" s="152"/>
      <c r="AY1145" s="257"/>
      <c r="BB1145" s="258"/>
      <c r="BY1145" s="125">
        <f t="shared" si="1627"/>
        <v>0</v>
      </c>
      <c r="BZ1145" s="125">
        <f t="shared" si="1628"/>
        <v>0</v>
      </c>
      <c r="CA1145" s="125">
        <f t="shared" si="1629"/>
        <v>0</v>
      </c>
      <c r="CB1145" s="125">
        <f t="shared" si="1630"/>
        <v>0</v>
      </c>
    </row>
    <row r="1146" spans="1:80" hidden="1" outlineLevel="2" x14ac:dyDescent="0.25">
      <c r="B1146" s="10" t="b">
        <f>$V819="разделение внутри одной сметы"</f>
        <v>0</v>
      </c>
      <c r="C1146" s="75" t="s">
        <v>561</v>
      </c>
      <c r="E1146" s="10" t="s">
        <v>73</v>
      </c>
      <c r="F1146" s="10" t="s">
        <v>74</v>
      </c>
      <c r="G1146" s="10" t="s">
        <v>73</v>
      </c>
      <c r="H1146" s="10" t="s">
        <v>73</v>
      </c>
      <c r="I1146" s="10" t="s">
        <v>73</v>
      </c>
      <c r="J1146" s="10" t="s">
        <v>73</v>
      </c>
      <c r="K1146" s="12" t="s">
        <v>73</v>
      </c>
      <c r="M1146" s="5" t="str">
        <f t="array" ref="M1146">Y818</f>
        <v>1ХВС::1.1</v>
      </c>
      <c r="AB1146" s="384" t="str">
        <f>AB1145&amp;".0"</f>
        <v>.0</v>
      </c>
      <c r="AC1146" s="385"/>
      <c r="AD1146" s="384"/>
      <c r="AE1146" s="391"/>
      <c r="AF1146" s="391"/>
      <c r="AG1146" s="391"/>
      <c r="AH1146" s="391"/>
      <c r="AY1146" s="257"/>
      <c r="BB1146" s="258"/>
      <c r="BY1146" s="125">
        <f t="shared" si="1627"/>
        <v>0</v>
      </c>
      <c r="BZ1146" s="125">
        <f t="shared" si="1628"/>
        <v>0</v>
      </c>
      <c r="CA1146" s="125">
        <f t="shared" si="1629"/>
        <v>0</v>
      </c>
      <c r="CB1146" s="125">
        <f t="shared" si="1630"/>
        <v>0</v>
      </c>
    </row>
    <row r="1147" spans="1:80" ht="14.25" hidden="1" customHeight="1" outlineLevel="2" x14ac:dyDescent="0.25">
      <c r="A1147" s="10" t="b">
        <f t="array" ref="A1147">$B1145</f>
        <v>0</v>
      </c>
      <c r="B1147" s="10" t="b">
        <f t="array" ref="B1147">$B1145</f>
        <v>0</v>
      </c>
      <c r="C1147" s="75" t="s">
        <v>562</v>
      </c>
      <c r="D1147" s="5" t="s">
        <v>563</v>
      </c>
      <c r="E1147" s="10" t="s">
        <v>73</v>
      </c>
      <c r="F1147" s="10" t="s">
        <v>74</v>
      </c>
      <c r="G1147" s="10" t="s">
        <v>73</v>
      </c>
      <c r="H1147" s="10" t="s">
        <v>73</v>
      </c>
      <c r="I1147" s="10" t="s">
        <v>73</v>
      </c>
      <c r="J1147" s="10" t="s">
        <v>73</v>
      </c>
      <c r="K1147" s="12" t="s">
        <v>73</v>
      </c>
      <c r="M1147" s="5" t="str">
        <f t="array" ref="M1147">Y818</f>
        <v>1ХВС::1.1</v>
      </c>
      <c r="Z1147" s="6"/>
      <c r="AA1147" s="6"/>
      <c r="AB1147" s="384"/>
      <c r="AC1147" s="392"/>
      <c r="AD1147" s="384"/>
      <c r="AE1147" s="393"/>
      <c r="AF1147" s="393"/>
      <c r="AG1147" s="393"/>
      <c r="AH1147" s="391"/>
      <c r="AY1147" s="257"/>
      <c r="BB1147" s="258"/>
      <c r="BY1147" s="125">
        <f t="shared" si="1627"/>
        <v>0</v>
      </c>
      <c r="BZ1147" s="125">
        <f t="shared" si="1628"/>
        <v>0</v>
      </c>
      <c r="CA1147" s="125">
        <f t="shared" si="1629"/>
        <v>0</v>
      </c>
      <c r="CB1147" s="125">
        <f t="shared" si="1630"/>
        <v>0</v>
      </c>
    </row>
    <row r="1148" spans="1:80" ht="14.25" hidden="1" customHeight="1" outlineLevel="3" x14ac:dyDescent="0.25">
      <c r="A1148" s="10" t="b">
        <f t="array" ref="A1148">$B1145</f>
        <v>0</v>
      </c>
      <c r="B1148" s="10" t="b">
        <f t="array" ref="B1148">$B1145</f>
        <v>0</v>
      </c>
      <c r="C1148" s="75" t="s">
        <v>564</v>
      </c>
      <c r="D1148" s="5" t="s">
        <v>565</v>
      </c>
      <c r="E1148" s="10" t="s">
        <v>73</v>
      </c>
      <c r="F1148" s="10" t="s">
        <v>74</v>
      </c>
      <c r="G1148" s="10" t="s">
        <v>73</v>
      </c>
      <c r="H1148" s="10" t="s">
        <v>73</v>
      </c>
      <c r="I1148" s="10" t="s">
        <v>73</v>
      </c>
      <c r="J1148" s="10" t="s">
        <v>73</v>
      </c>
      <c r="K1148" s="12" t="s">
        <v>73</v>
      </c>
      <c r="M1148" s="5" t="str">
        <f t="array" ref="M1148">Y818</f>
        <v>1ХВС::1.1</v>
      </c>
      <c r="Z1148" s="6"/>
      <c r="AA1148" s="6"/>
      <c r="AB1148" s="384"/>
      <c r="AC1148" s="394"/>
      <c r="AD1148" s="384"/>
      <c r="AE1148" s="393"/>
      <c r="AF1148" s="393"/>
      <c r="AG1148" s="393"/>
      <c r="AH1148" s="391"/>
      <c r="AY1148" s="257"/>
      <c r="BB1148" s="258"/>
      <c r="BY1148" s="125">
        <f t="shared" si="1627"/>
        <v>0</v>
      </c>
      <c r="BZ1148" s="125">
        <f t="shared" si="1628"/>
        <v>0</v>
      </c>
      <c r="CA1148" s="125">
        <f t="shared" si="1629"/>
        <v>0</v>
      </c>
      <c r="CB1148" s="125">
        <f t="shared" si="1630"/>
        <v>0</v>
      </c>
    </row>
    <row r="1149" spans="1:80" ht="14.25" hidden="1" customHeight="1" outlineLevel="3" x14ac:dyDescent="0.25">
      <c r="A1149" s="10" t="b">
        <f t="array" ref="A1149">$B1145</f>
        <v>0</v>
      </c>
      <c r="B1149" s="10" t="b">
        <f t="array" ref="B1149">$B1145</f>
        <v>0</v>
      </c>
      <c r="C1149" s="75" t="s">
        <v>566</v>
      </c>
      <c r="D1149" s="5" t="s">
        <v>567</v>
      </c>
      <c r="E1149" s="10" t="s">
        <v>73</v>
      </c>
      <c r="F1149" s="10" t="s">
        <v>74</v>
      </c>
      <c r="G1149" s="10" t="s">
        <v>73</v>
      </c>
      <c r="H1149" s="10" t="s">
        <v>73</v>
      </c>
      <c r="I1149" s="10" t="s">
        <v>73</v>
      </c>
      <c r="J1149" s="10" t="s">
        <v>73</v>
      </c>
      <c r="K1149" s="12" t="s">
        <v>73</v>
      </c>
      <c r="M1149" s="5" t="str">
        <f t="array" ref="M1149">Y818</f>
        <v>1ХВС::1.1</v>
      </c>
      <c r="Z1149" s="6"/>
      <c r="AA1149" s="6"/>
      <c r="AB1149" s="384"/>
      <c r="AC1149" s="394"/>
      <c r="AD1149" s="384"/>
      <c r="AE1149" s="393"/>
      <c r="AF1149" s="393"/>
      <c r="AG1149" s="393"/>
      <c r="AH1149" s="391"/>
      <c r="AY1149" s="257"/>
      <c r="BB1149" s="258"/>
      <c r="BY1149" s="125">
        <f t="shared" si="1627"/>
        <v>0</v>
      </c>
      <c r="BZ1149" s="125">
        <f t="shared" si="1628"/>
        <v>0</v>
      </c>
      <c r="CA1149" s="125">
        <f t="shared" si="1629"/>
        <v>0</v>
      </c>
      <c r="CB1149" s="125">
        <f t="shared" si="1630"/>
        <v>0</v>
      </c>
    </row>
    <row r="1150" spans="1:80" ht="14.25" hidden="1" customHeight="1" outlineLevel="3" x14ac:dyDescent="0.25">
      <c r="A1150" s="10" t="b">
        <f t="array" ref="A1150">$B1145</f>
        <v>0</v>
      </c>
      <c r="B1150" s="10" t="b">
        <f t="array" ref="B1150">$B1145</f>
        <v>0</v>
      </c>
      <c r="C1150" s="75" t="s">
        <v>568</v>
      </c>
      <c r="D1150" s="5" t="s">
        <v>569</v>
      </c>
      <c r="E1150" s="10" t="s">
        <v>73</v>
      </c>
      <c r="F1150" s="10" t="s">
        <v>74</v>
      </c>
      <c r="G1150" s="10" t="s">
        <v>73</v>
      </c>
      <c r="H1150" s="10" t="s">
        <v>73</v>
      </c>
      <c r="I1150" s="10" t="s">
        <v>73</v>
      </c>
      <c r="J1150" s="10" t="s">
        <v>73</v>
      </c>
      <c r="K1150" s="12" t="s">
        <v>73</v>
      </c>
      <c r="M1150" s="5" t="str">
        <f t="array" ref="M1150">Y818</f>
        <v>1ХВС::1.1</v>
      </c>
      <c r="Z1150" s="6"/>
      <c r="AA1150" s="6"/>
      <c r="AB1150" s="384"/>
      <c r="AC1150" s="394"/>
      <c r="AD1150" s="384"/>
      <c r="AE1150" s="393"/>
      <c r="AF1150" s="393"/>
      <c r="AG1150" s="393"/>
      <c r="AH1150" s="391"/>
      <c r="AY1150" s="257"/>
      <c r="BB1150" s="258"/>
      <c r="BY1150" s="125">
        <f t="shared" si="1627"/>
        <v>0</v>
      </c>
      <c r="BZ1150" s="125">
        <f t="shared" si="1628"/>
        <v>0</v>
      </c>
      <c r="CA1150" s="125">
        <f t="shared" si="1629"/>
        <v>0</v>
      </c>
      <c r="CB1150" s="125">
        <f t="shared" si="1630"/>
        <v>0</v>
      </c>
    </row>
    <row r="1151" spans="1:80" ht="14.25" hidden="1" customHeight="1" outlineLevel="3" x14ac:dyDescent="0.25">
      <c r="A1151" s="10" t="b">
        <f t="array" ref="A1151">$B1145</f>
        <v>0</v>
      </c>
      <c r="B1151" s="10" t="b">
        <f t="array" ref="B1151">$B1145</f>
        <v>0</v>
      </c>
      <c r="C1151" s="75" t="s">
        <v>570</v>
      </c>
      <c r="D1151" s="5" t="s">
        <v>571</v>
      </c>
      <c r="E1151" s="10" t="s">
        <v>73</v>
      </c>
      <c r="F1151" s="10" t="s">
        <v>74</v>
      </c>
      <c r="G1151" s="10" t="s">
        <v>73</v>
      </c>
      <c r="H1151" s="10" t="s">
        <v>73</v>
      </c>
      <c r="I1151" s="10" t="s">
        <v>73</v>
      </c>
      <c r="J1151" s="10" t="s">
        <v>73</v>
      </c>
      <c r="K1151" s="12" t="s">
        <v>73</v>
      </c>
      <c r="M1151" s="5" t="str">
        <f t="array" ref="M1151">Y818</f>
        <v>1ХВС::1.1</v>
      </c>
      <c r="Z1151" s="6"/>
      <c r="AA1151" s="6"/>
      <c r="AB1151" s="384"/>
      <c r="AC1151" s="385"/>
      <c r="AD1151" s="384"/>
      <c r="AE1151" s="393"/>
      <c r="AF1151" s="393"/>
      <c r="AG1151" s="393"/>
      <c r="AH1151" s="391"/>
      <c r="AY1151" s="257"/>
      <c r="BB1151" s="258"/>
      <c r="BY1151" s="125">
        <f t="shared" si="1627"/>
        <v>0</v>
      </c>
      <c r="BZ1151" s="125">
        <f t="shared" si="1628"/>
        <v>0</v>
      </c>
      <c r="CA1151" s="125">
        <f t="shared" si="1629"/>
        <v>0</v>
      </c>
      <c r="CB1151" s="125">
        <f t="shared" si="1630"/>
        <v>0</v>
      </c>
    </row>
    <row r="1152" spans="1:80" ht="14.25" hidden="1" customHeight="1" outlineLevel="4" x14ac:dyDescent="0.25">
      <c r="A1152" s="10" t="b">
        <f t="array" ref="A1152">$B1145</f>
        <v>0</v>
      </c>
      <c r="B1152" s="10" t="b">
        <f t="array" ref="B1152">$B1145</f>
        <v>0</v>
      </c>
      <c r="C1152" s="75" t="s">
        <v>572</v>
      </c>
      <c r="D1152" s="5" t="s">
        <v>573</v>
      </c>
      <c r="E1152" s="10" t="s">
        <v>73</v>
      </c>
      <c r="F1152" s="10" t="s">
        <v>74</v>
      </c>
      <c r="G1152" s="10" t="s">
        <v>73</v>
      </c>
      <c r="H1152" s="10" t="s">
        <v>73</v>
      </c>
      <c r="I1152" s="10" t="s">
        <v>73</v>
      </c>
      <c r="J1152" s="10" t="s">
        <v>73</v>
      </c>
      <c r="K1152" s="12" t="s">
        <v>73</v>
      </c>
      <c r="M1152" s="5" t="str">
        <f t="array" ref="M1152">Y818</f>
        <v>1ХВС::1.1</v>
      </c>
      <c r="Z1152" s="6"/>
      <c r="AA1152" s="6"/>
      <c r="AB1152" s="384"/>
      <c r="AC1152" s="394"/>
      <c r="AD1152" s="384"/>
      <c r="AE1152" s="393"/>
      <c r="AF1152" s="393"/>
      <c r="AG1152" s="393"/>
      <c r="AH1152" s="391"/>
      <c r="AY1152" s="257"/>
      <c r="BB1152" s="258"/>
      <c r="BY1152" s="125">
        <f t="shared" si="1627"/>
        <v>0</v>
      </c>
      <c r="BZ1152" s="125">
        <f t="shared" si="1628"/>
        <v>0</v>
      </c>
      <c r="CA1152" s="125">
        <f t="shared" si="1629"/>
        <v>0</v>
      </c>
      <c r="CB1152" s="125">
        <f t="shared" si="1630"/>
        <v>0</v>
      </c>
    </row>
    <row r="1153" spans="1:81" ht="14.25" hidden="1" customHeight="1" outlineLevel="4" x14ac:dyDescent="0.25">
      <c r="A1153" s="10" t="b">
        <f t="array" ref="A1153">$B1145</f>
        <v>0</v>
      </c>
      <c r="B1153" s="10" t="b">
        <f t="array" ref="B1153">$B1145</f>
        <v>0</v>
      </c>
      <c r="C1153" s="75" t="s">
        <v>574</v>
      </c>
      <c r="D1153" s="5" t="s">
        <v>575</v>
      </c>
      <c r="E1153" s="10" t="s">
        <v>73</v>
      </c>
      <c r="F1153" s="10" t="s">
        <v>74</v>
      </c>
      <c r="G1153" s="10" t="s">
        <v>73</v>
      </c>
      <c r="H1153" s="10" t="s">
        <v>73</v>
      </c>
      <c r="I1153" s="10" t="s">
        <v>73</v>
      </c>
      <c r="J1153" s="10" t="s">
        <v>73</v>
      </c>
      <c r="K1153" s="12" t="s">
        <v>73</v>
      </c>
      <c r="M1153" s="5" t="str">
        <f t="array" ref="M1153">Y818</f>
        <v>1ХВС::1.1</v>
      </c>
      <c r="Z1153" s="6"/>
      <c r="AA1153" s="6"/>
      <c r="AB1153" s="384"/>
      <c r="AC1153" s="394"/>
      <c r="AD1153" s="384"/>
      <c r="AE1153" s="393"/>
      <c r="AF1153" s="393"/>
      <c r="AG1153" s="393"/>
      <c r="AH1153" s="391"/>
      <c r="AY1153" s="257"/>
      <c r="BB1153" s="258"/>
      <c r="BY1153" s="125">
        <f t="shared" si="1627"/>
        <v>0</v>
      </c>
      <c r="BZ1153" s="125">
        <f t="shared" si="1628"/>
        <v>0</v>
      </c>
      <c r="CA1153" s="125">
        <f t="shared" si="1629"/>
        <v>0</v>
      </c>
      <c r="CB1153" s="125">
        <f t="shared" si="1630"/>
        <v>0</v>
      </c>
    </row>
    <row r="1154" spans="1:81" ht="14.25" hidden="1" customHeight="1" outlineLevel="3" x14ac:dyDescent="0.25">
      <c r="A1154" s="10" t="b">
        <f t="array" ref="A1154">$B1145</f>
        <v>0</v>
      </c>
      <c r="B1154" s="10" t="b">
        <f t="array" ref="B1154">$B1145</f>
        <v>0</v>
      </c>
      <c r="C1154" s="75" t="s">
        <v>576</v>
      </c>
      <c r="D1154" s="5" t="s">
        <v>577</v>
      </c>
      <c r="E1154" s="10" t="s">
        <v>73</v>
      </c>
      <c r="F1154" s="10" t="s">
        <v>74</v>
      </c>
      <c r="G1154" s="10" t="s">
        <v>73</v>
      </c>
      <c r="H1154" s="10" t="s">
        <v>73</v>
      </c>
      <c r="I1154" s="10" t="s">
        <v>73</v>
      </c>
      <c r="J1154" s="10" t="s">
        <v>73</v>
      </c>
      <c r="K1154" s="12" t="s">
        <v>73</v>
      </c>
      <c r="M1154" s="5" t="str">
        <f t="array" ref="M1154">Y818</f>
        <v>1ХВС::1.1</v>
      </c>
      <c r="Z1154" s="6"/>
      <c r="AA1154" s="6"/>
      <c r="AB1154" s="384"/>
      <c r="AC1154" s="385"/>
      <c r="AD1154" s="384"/>
      <c r="AE1154" s="393"/>
      <c r="AF1154" s="393"/>
      <c r="AG1154" s="393"/>
      <c r="AH1154" s="391"/>
      <c r="AY1154" s="257"/>
      <c r="BB1154" s="258"/>
      <c r="BY1154" s="125">
        <f t="shared" si="1627"/>
        <v>0</v>
      </c>
      <c r="BZ1154" s="125">
        <f t="shared" si="1628"/>
        <v>0</v>
      </c>
      <c r="CA1154" s="125">
        <f t="shared" si="1629"/>
        <v>0</v>
      </c>
      <c r="CB1154" s="125">
        <f t="shared" si="1630"/>
        <v>0</v>
      </c>
    </row>
    <row r="1155" spans="1:81" ht="14.25" hidden="1" customHeight="1" outlineLevel="4" x14ac:dyDescent="0.25">
      <c r="A1155" s="10" t="b">
        <f t="array" ref="A1155">$B1145</f>
        <v>0</v>
      </c>
      <c r="B1155" s="10" t="b">
        <f t="array" ref="B1155">$B1145</f>
        <v>0</v>
      </c>
      <c r="C1155" s="75" t="s">
        <v>86</v>
      </c>
      <c r="D1155" s="5" t="s">
        <v>87</v>
      </c>
      <c r="E1155" s="10" t="s">
        <v>73</v>
      </c>
      <c r="F1155" s="10" t="s">
        <v>74</v>
      </c>
      <c r="G1155" s="10" t="s">
        <v>73</v>
      </c>
      <c r="H1155" s="10" t="s">
        <v>73</v>
      </c>
      <c r="I1155" s="10" t="s">
        <v>73</v>
      </c>
      <c r="J1155" s="10" t="s">
        <v>73</v>
      </c>
      <c r="K1155" s="12" t="s">
        <v>73</v>
      </c>
      <c r="M1155" s="5" t="str">
        <f t="array" ref="M1155">Y818</f>
        <v>1ХВС::1.1</v>
      </c>
      <c r="Z1155" s="6"/>
      <c r="AA1155" s="6"/>
      <c r="AB1155" s="384"/>
      <c r="AC1155" s="394"/>
      <c r="AD1155" s="384"/>
      <c r="AE1155" s="393"/>
      <c r="AF1155" s="393"/>
      <c r="AG1155" s="393"/>
      <c r="AH1155" s="391"/>
      <c r="AY1155" s="257"/>
      <c r="BB1155" s="258"/>
      <c r="BY1155" s="125">
        <f t="shared" si="1627"/>
        <v>0</v>
      </c>
      <c r="BZ1155" s="125">
        <f t="shared" si="1628"/>
        <v>0</v>
      </c>
      <c r="CA1155" s="125">
        <f t="shared" si="1629"/>
        <v>0</v>
      </c>
      <c r="CB1155" s="125">
        <f t="shared" si="1630"/>
        <v>0</v>
      </c>
    </row>
    <row r="1156" spans="1:81" ht="14.25" hidden="1" customHeight="1" outlineLevel="4" x14ac:dyDescent="0.25">
      <c r="A1156" s="10" t="b">
        <f t="array" ref="A1156">$B1145</f>
        <v>0</v>
      </c>
      <c r="B1156" s="10" t="b">
        <f t="array" ref="B1156">$B1145</f>
        <v>0</v>
      </c>
      <c r="C1156" s="75" t="s">
        <v>88</v>
      </c>
      <c r="D1156" s="5" t="s">
        <v>89</v>
      </c>
      <c r="E1156" s="10" t="s">
        <v>73</v>
      </c>
      <c r="F1156" s="10" t="s">
        <v>74</v>
      </c>
      <c r="G1156" s="10" t="s">
        <v>73</v>
      </c>
      <c r="H1156" s="10" t="s">
        <v>73</v>
      </c>
      <c r="I1156" s="10" t="s">
        <v>73</v>
      </c>
      <c r="J1156" s="10" t="s">
        <v>73</v>
      </c>
      <c r="K1156" s="12" t="s">
        <v>73</v>
      </c>
      <c r="M1156" s="5" t="str">
        <f t="array" ref="M1156">Y818</f>
        <v>1ХВС::1.1</v>
      </c>
      <c r="Z1156" s="6"/>
      <c r="AA1156" s="6"/>
      <c r="AB1156" s="384"/>
      <c r="AC1156" s="394"/>
      <c r="AD1156" s="384"/>
      <c r="AE1156" s="393"/>
      <c r="AF1156" s="393"/>
      <c r="AG1156" s="393"/>
      <c r="AH1156" s="391"/>
      <c r="AY1156" s="257"/>
      <c r="BB1156" s="258"/>
      <c r="BY1156" s="125">
        <f t="shared" si="1627"/>
        <v>0</v>
      </c>
      <c r="BZ1156" s="125">
        <f t="shared" si="1628"/>
        <v>0</v>
      </c>
      <c r="CA1156" s="125">
        <f t="shared" si="1629"/>
        <v>0</v>
      </c>
      <c r="CB1156" s="125">
        <f t="shared" si="1630"/>
        <v>0</v>
      </c>
    </row>
    <row r="1157" spans="1:81" hidden="1" outlineLevel="4" x14ac:dyDescent="0.25">
      <c r="A1157" s="10" t="b">
        <f t="array" ref="A1157">$B1145</f>
        <v>0</v>
      </c>
      <c r="B1157" s="10" t="b">
        <f t="array" ref="B1157">$B1145</f>
        <v>0</v>
      </c>
      <c r="D1157" s="5" t="s">
        <v>577</v>
      </c>
      <c r="E1157" s="10" t="s">
        <v>73</v>
      </c>
      <c r="F1157" s="10" t="s">
        <v>74</v>
      </c>
      <c r="G1157" s="10" t="s">
        <v>73</v>
      </c>
      <c r="H1157" s="10" t="s">
        <v>73</v>
      </c>
      <c r="I1157" s="10" t="s">
        <v>73</v>
      </c>
      <c r="J1157" s="10" t="s">
        <v>73</v>
      </c>
      <c r="K1157" s="12" t="s">
        <v>73</v>
      </c>
      <c r="Z1157" s="6"/>
      <c r="AA1157" s="6"/>
      <c r="AB1157" s="384"/>
      <c r="AC1157" s="394"/>
      <c r="AD1157" s="384"/>
      <c r="AE1157" s="393"/>
      <c r="AF1157" s="393"/>
      <c r="AG1157" s="393"/>
      <c r="AH1157" s="391"/>
      <c r="AY1157" s="257"/>
      <c r="BB1157" s="258"/>
      <c r="BY1157" s="125">
        <f t="shared" si="1627"/>
        <v>0</v>
      </c>
      <c r="BZ1157" s="125">
        <f t="shared" si="1628"/>
        <v>0</v>
      </c>
      <c r="CA1157" s="125">
        <f t="shared" si="1629"/>
        <v>0</v>
      </c>
      <c r="CB1157" s="125">
        <f t="shared" si="1630"/>
        <v>0</v>
      </c>
    </row>
    <row r="1158" spans="1:81" ht="14.25" hidden="1" customHeight="1" outlineLevel="2" x14ac:dyDescent="0.25">
      <c r="A1158" s="10" t="b">
        <f t="array" ref="A1158">$B1145</f>
        <v>0</v>
      </c>
      <c r="B1158" s="10" t="b">
        <f t="array" ref="B1158">$B1145</f>
        <v>0</v>
      </c>
      <c r="Y1158" s="10" t="s">
        <v>578</v>
      </c>
      <c r="Z1158" s="6"/>
      <c r="AA1158" s="6"/>
      <c r="AB1158" s="1038"/>
      <c r="AC1158" s="1039"/>
      <c r="AD1158" s="1040"/>
      <c r="AE1158" s="1040"/>
      <c r="AF1158" s="1040"/>
      <c r="AG1158" s="1040"/>
      <c r="AH1158" s="873"/>
      <c r="AY1158" s="257"/>
      <c r="BB1158" s="258"/>
      <c r="BY1158" s="587">
        <f t="shared" si="1627"/>
        <v>0</v>
      </c>
      <c r="BZ1158" s="587">
        <f t="shared" si="1628"/>
        <v>0</v>
      </c>
      <c r="CA1158" s="587">
        <f t="shared" si="1629"/>
        <v>0</v>
      </c>
      <c r="CB1158" s="587">
        <f t="shared" si="1630"/>
        <v>0</v>
      </c>
    </row>
    <row r="1159" spans="1:81" ht="24.75" customHeight="1" collapsed="1" x14ac:dyDescent="0.25">
      <c r="AD1159" s="4" t="s">
        <v>713</v>
      </c>
      <c r="AE1159" s="399">
        <f t="shared" ref="AE1159:BV1159" si="1639">AE1128-AE1160</f>
        <v>0</v>
      </c>
      <c r="AF1159" s="399">
        <f t="shared" si="1639"/>
        <v>0</v>
      </c>
      <c r="AG1159" s="399">
        <f t="shared" si="1639"/>
        <v>0</v>
      </c>
      <c r="AH1159" s="399">
        <f t="shared" si="1639"/>
        <v>0</v>
      </c>
      <c r="AI1159" s="399">
        <f t="shared" si="1639"/>
        <v>0</v>
      </c>
      <c r="AJ1159" s="399">
        <f t="shared" si="1639"/>
        <v>0</v>
      </c>
      <c r="AK1159" s="399">
        <f t="shared" si="1639"/>
        <v>0</v>
      </c>
      <c r="AL1159" s="399">
        <f t="shared" si="1639"/>
        <v>0</v>
      </c>
      <c r="AM1159" s="399">
        <f t="shared" si="1639"/>
        <v>4.9999999901046976E-3</v>
      </c>
      <c r="AN1159" s="399">
        <f t="shared" si="1639"/>
        <v>0</v>
      </c>
      <c r="AO1159" s="399">
        <f t="shared" si="1639"/>
        <v>-1.0000000183936208E-3</v>
      </c>
      <c r="AP1159" s="399">
        <f t="shared" si="1639"/>
        <v>-4.0000000008149073E-3</v>
      </c>
      <c r="AQ1159" s="399">
        <f t="shared" si="1639"/>
        <v>0</v>
      </c>
      <c r="AR1159" s="399">
        <f t="shared" si="1639"/>
        <v>0</v>
      </c>
      <c r="AS1159" s="399">
        <f t="shared" si="1639"/>
        <v>-8.7599994731135666E-4</v>
      </c>
      <c r="AT1159" s="399">
        <f t="shared" si="1639"/>
        <v>9.9999998928979039E-4</v>
      </c>
      <c r="AU1159" s="399">
        <f t="shared" si="1639"/>
        <v>0</v>
      </c>
      <c r="AV1159" s="399">
        <f t="shared" si="1639"/>
        <v>0</v>
      </c>
      <c r="AW1159" s="399">
        <f t="shared" si="1639"/>
        <v>2.8619999793590978E-3</v>
      </c>
      <c r="AX1159" s="399">
        <f t="shared" si="1639"/>
        <v>0</v>
      </c>
      <c r="AY1159" s="399">
        <f t="shared" si="1639"/>
        <v>0</v>
      </c>
      <c r="AZ1159" s="399">
        <f t="shared" si="1639"/>
        <v>0</v>
      </c>
      <c r="BA1159" s="399">
        <f t="shared" si="1639"/>
        <v>0</v>
      </c>
      <c r="BB1159" s="399">
        <f t="shared" si="1639"/>
        <v>0</v>
      </c>
      <c r="BC1159" s="399">
        <f t="shared" si="1639"/>
        <v>0</v>
      </c>
      <c r="BD1159" s="399">
        <f t="shared" si="1639"/>
        <v>0</v>
      </c>
      <c r="BE1159" s="399">
        <f t="shared" si="1639"/>
        <v>0</v>
      </c>
      <c r="BF1159" s="399">
        <f t="shared" si="1639"/>
        <v>0</v>
      </c>
      <c r="BG1159" s="399">
        <f t="shared" si="1639"/>
        <v>0</v>
      </c>
      <c r="BH1159" s="399">
        <f t="shared" si="1639"/>
        <v>0</v>
      </c>
      <c r="BI1159" s="399">
        <f t="shared" si="1639"/>
        <v>0</v>
      </c>
      <c r="BJ1159" s="399">
        <f t="shared" si="1639"/>
        <v>0</v>
      </c>
      <c r="BK1159" s="399">
        <f t="shared" si="1639"/>
        <v>2.0000000367872417E-3</v>
      </c>
      <c r="BL1159" s="399">
        <f t="shared" si="1639"/>
        <v>-1.6725999885238707E-3</v>
      </c>
      <c r="BM1159" s="399">
        <f t="shared" si="1639"/>
        <v>-3.1999999773688614E-3</v>
      </c>
      <c r="BN1159" s="399">
        <f t="shared" si="1639"/>
        <v>4.0000000153668225E-3</v>
      </c>
      <c r="BO1159" s="399">
        <f t="shared" si="1639"/>
        <v>0</v>
      </c>
      <c r="BP1159" s="399">
        <f t="shared" si="1639"/>
        <v>-9.0949470177292824E-12</v>
      </c>
      <c r="BQ1159" s="399">
        <f t="shared" si="1639"/>
        <v>0</v>
      </c>
      <c r="BR1159" s="399">
        <f t="shared" si="1639"/>
        <v>1.2732925824820995E-11</v>
      </c>
      <c r="BS1159" s="399">
        <f t="shared" si="1639"/>
        <v>0</v>
      </c>
      <c r="BT1159" s="399">
        <f t="shared" si="1639"/>
        <v>0</v>
      </c>
      <c r="BU1159" s="399">
        <f t="shared" si="1639"/>
        <v>0</v>
      </c>
      <c r="BV1159" s="399">
        <f t="shared" si="1639"/>
        <v>0</v>
      </c>
      <c r="BY1159" s="398"/>
      <c r="BZ1159" s="398"/>
      <c r="CA1159" s="398"/>
      <c r="CB1159" s="398"/>
    </row>
    <row r="1160" spans="1:81" s="400" customFormat="1" ht="22.5" customHeight="1" x14ac:dyDescent="0.25">
      <c r="A1160" s="5"/>
      <c r="B1160" s="5"/>
      <c r="C1160" s="5"/>
      <c r="D1160" s="5"/>
      <c r="E1160" s="5"/>
      <c r="F1160" s="5"/>
      <c r="G1160" s="5"/>
      <c r="H1160" s="5"/>
      <c r="I1160" s="5"/>
      <c r="J1160" s="5"/>
      <c r="K1160" s="5"/>
      <c r="L1160" s="5"/>
      <c r="M1160" s="5"/>
      <c r="N1160" s="5"/>
      <c r="O1160" s="5"/>
      <c r="P1160" s="5"/>
      <c r="Q1160" s="5"/>
      <c r="R1160" s="5"/>
      <c r="S1160" s="5"/>
      <c r="T1160" s="5"/>
      <c r="U1160" s="5"/>
      <c r="V1160" s="5"/>
      <c r="W1160" s="5"/>
      <c r="X1160" s="5"/>
      <c r="Y1160" s="5"/>
      <c r="Z1160" s="5"/>
      <c r="AA1160" s="5"/>
      <c r="AB1160" s="6"/>
      <c r="AC1160" s="6"/>
      <c r="AD1160" s="6" t="s">
        <v>580</v>
      </c>
      <c r="AE1160" s="698">
        <f t="shared" ref="AE1160:BV1160" si="1640">AE391+AE767</f>
        <v>2922484.877196053</v>
      </c>
      <c r="AF1160" s="698">
        <f t="shared" si="1640"/>
        <v>2283105.3843414215</v>
      </c>
      <c r="AG1160" s="698">
        <f t="shared" si="1640"/>
        <v>4213890.6317540258</v>
      </c>
      <c r="AH1160" s="698">
        <f t="shared" si="1640"/>
        <v>2486107.2902319999</v>
      </c>
      <c r="AI1160" s="698">
        <f t="shared" si="1640"/>
        <v>58978.620963199995</v>
      </c>
      <c r="AJ1160" s="698">
        <f t="shared" si="1640"/>
        <v>18686.665000000001</v>
      </c>
      <c r="AK1160" s="698">
        <f t="shared" si="1640"/>
        <v>70758.690681100008</v>
      </c>
      <c r="AL1160" s="698">
        <f t="shared" si="1640"/>
        <v>20048.739860999995</v>
      </c>
      <c r="AM1160" s="698">
        <f t="shared" si="1640"/>
        <v>64126.684430819994</v>
      </c>
      <c r="AN1160" s="698">
        <f t="shared" si="1640"/>
        <v>34845.466098839999</v>
      </c>
      <c r="AO1160" s="698">
        <f t="shared" si="1640"/>
        <v>105297.85289440001</v>
      </c>
      <c r="AP1160" s="698">
        <f t="shared" si="1640"/>
        <v>34156.401949000006</v>
      </c>
      <c r="AQ1160" s="698">
        <f t="shared" si="1640"/>
        <v>88047.562562080013</v>
      </c>
      <c r="AR1160" s="698">
        <f t="shared" si="1640"/>
        <v>51335.267376972006</v>
      </c>
      <c r="AS1160" s="698">
        <f t="shared" si="1640"/>
        <v>148329.53419997997</v>
      </c>
      <c r="AT1160" s="698">
        <f t="shared" si="1640"/>
        <v>56403.577430640013</v>
      </c>
      <c r="AU1160" s="698">
        <f t="shared" si="1640"/>
        <v>49632.441276199999</v>
      </c>
      <c r="AV1160" s="698">
        <f t="shared" si="1640"/>
        <v>10905.668725200001</v>
      </c>
      <c r="AW1160" s="698">
        <f t="shared" si="1640"/>
        <v>101971.999536</v>
      </c>
      <c r="AX1160" s="698">
        <f t="shared" si="1640"/>
        <v>12570.273568960009</v>
      </c>
      <c r="AY1160" s="698">
        <f t="shared" si="1640"/>
        <v>100132.90446990002</v>
      </c>
      <c r="AZ1160" s="698">
        <f t="shared" si="1640"/>
        <v>73398.525503769997</v>
      </c>
      <c r="BA1160" s="698">
        <f t="shared" si="1640"/>
        <v>178974.73742596997</v>
      </c>
      <c r="BB1160" s="698">
        <f t="shared" si="1640"/>
        <v>76549.920166436612</v>
      </c>
      <c r="BC1160" s="698">
        <f t="shared" si="1640"/>
        <v>93075.90828186</v>
      </c>
      <c r="BD1160" s="698">
        <f t="shared" si="1640"/>
        <v>17864.3668258</v>
      </c>
      <c r="BE1160" s="698">
        <f t="shared" si="1640"/>
        <v>114050.23027620002</v>
      </c>
      <c r="BF1160" s="698">
        <f t="shared" si="1640"/>
        <v>20056.746952999994</v>
      </c>
      <c r="BG1160" s="698">
        <f t="shared" si="1640"/>
        <v>231528.33272309497</v>
      </c>
      <c r="BH1160" s="698">
        <f t="shared" si="1640"/>
        <v>140135.30452299997</v>
      </c>
      <c r="BI1160" s="698">
        <f t="shared" si="1640"/>
        <v>346584.17613495002</v>
      </c>
      <c r="BJ1160" s="698">
        <f t="shared" si="1640"/>
        <v>155650.36227521108</v>
      </c>
      <c r="BK1160" s="698">
        <f t="shared" si="1640"/>
        <v>434336.10781359999</v>
      </c>
      <c r="BL1160" s="698">
        <f t="shared" si="1640"/>
        <v>133440.08000000002</v>
      </c>
      <c r="BM1160" s="698">
        <f t="shared" si="1640"/>
        <v>367783.372325</v>
      </c>
      <c r="BN1160" s="698">
        <f t="shared" si="1640"/>
        <v>150378.73553999999</v>
      </c>
      <c r="BO1160" s="698">
        <f t="shared" si="1640"/>
        <v>41682.485577499996</v>
      </c>
      <c r="BP1160" s="698">
        <f t="shared" si="1640"/>
        <v>5685.3196760000046</v>
      </c>
      <c r="BQ1160" s="698">
        <f t="shared" si="1640"/>
        <v>51853.386646880004</v>
      </c>
      <c r="BR1160" s="698">
        <f t="shared" si="1640"/>
        <v>6467.1308042543915</v>
      </c>
      <c r="BS1160" s="698">
        <f t="shared" si="1640"/>
        <v>73444.276699309994</v>
      </c>
      <c r="BT1160" s="698">
        <f t="shared" si="1640"/>
        <v>14332.327575200012</v>
      </c>
      <c r="BU1160" s="698">
        <f t="shared" si="1640"/>
        <v>100935.5644602</v>
      </c>
      <c r="BV1160" s="698">
        <f t="shared" si="1640"/>
        <v>16193.918320000002</v>
      </c>
      <c r="BW1160" s="698"/>
      <c r="BX1160" s="698"/>
      <c r="BY1160" s="398">
        <f>BY391+BY767</f>
        <v>4157470.2019936182</v>
      </c>
      <c r="BZ1160" s="398">
        <f>BZ391+BZ767</f>
        <v>2783734.3756462038</v>
      </c>
      <c r="CA1160" s="398">
        <f>CA391+CA767</f>
        <v>5800430.1763347052</v>
      </c>
      <c r="CB1160" s="398">
        <f>CB391+CB767</f>
        <v>3034583.0971005019</v>
      </c>
      <c r="CC1160" s="874"/>
    </row>
    <row r="1161" spans="1:81" s="400" customFormat="1" ht="14.25" customHeight="1" x14ac:dyDescent="0.25">
      <c r="A1161" s="5"/>
      <c r="B1161" s="5"/>
      <c r="C1161" s="5"/>
      <c r="D1161" s="5"/>
      <c r="E1161" s="5"/>
      <c r="F1161" s="5"/>
      <c r="G1161" s="5"/>
      <c r="H1161" s="5"/>
      <c r="I1161" s="5"/>
      <c r="J1161" s="5"/>
      <c r="K1161" s="5"/>
      <c r="L1161" s="5"/>
      <c r="M1161" s="5"/>
      <c r="N1161" s="5"/>
      <c r="O1161" s="5"/>
      <c r="P1161" s="5"/>
      <c r="Q1161" s="5"/>
      <c r="R1161" s="5"/>
      <c r="S1161" s="5"/>
      <c r="T1161" s="5"/>
      <c r="U1161" s="5"/>
      <c r="V1161" s="5"/>
      <c r="W1161" s="5"/>
      <c r="X1161" s="5"/>
      <c r="Y1161" s="5"/>
      <c r="Z1161" s="5"/>
      <c r="AA1161" s="5"/>
      <c r="AB1161" s="6"/>
      <c r="AC1161" s="6"/>
      <c r="AD1161" s="6"/>
      <c r="AE1161" s="6"/>
      <c r="AF1161" s="6"/>
      <c r="AG1161" s="6"/>
      <c r="AH1161" s="6"/>
      <c r="AI1161" s="6"/>
      <c r="AJ1161" s="6"/>
      <c r="AK1161" s="6"/>
      <c r="AL1161" s="6"/>
      <c r="AM1161" s="6"/>
      <c r="AN1161" s="6"/>
      <c r="AO1161" s="6"/>
      <c r="AP1161" s="6"/>
      <c r="AQ1161" s="6"/>
      <c r="AR1161" s="6"/>
      <c r="AS1161" s="6"/>
      <c r="AT1161" s="6"/>
      <c r="AU1161" s="6"/>
      <c r="AV1161" s="6"/>
      <c r="AW1161" s="6"/>
      <c r="AX1161" s="6"/>
      <c r="AY1161" s="6"/>
      <c r="AZ1161" s="6"/>
      <c r="BA1161" s="6"/>
      <c r="BB1161" s="6"/>
      <c r="BC1161" s="6"/>
      <c r="BD1161" s="6"/>
      <c r="BE1161" s="6"/>
      <c r="BF1161" s="6"/>
      <c r="BG1161" s="6"/>
      <c r="BH1161" s="6"/>
      <c r="BI1161" s="6"/>
      <c r="BJ1161" s="6"/>
      <c r="BK1161" s="6"/>
      <c r="BL1161" s="6"/>
      <c r="BM1161" s="6"/>
      <c r="BN1161" s="6"/>
      <c r="BO1161" s="6"/>
      <c r="BP1161" s="6"/>
      <c r="BQ1161" s="6"/>
      <c r="BR1161" s="6"/>
      <c r="BS1161" s="6"/>
      <c r="BT1161" s="6"/>
      <c r="BU1161" s="6"/>
      <c r="BV1161" s="6"/>
      <c r="BW1161" s="6"/>
      <c r="BX1161" s="5"/>
      <c r="BY1161" s="7"/>
      <c r="BZ1161" s="7"/>
      <c r="CA1161" s="7"/>
      <c r="CB1161" s="7"/>
      <c r="CC1161" s="874"/>
    </row>
    <row r="1162" spans="1:81" s="400" customFormat="1" ht="25.5" customHeight="1" x14ac:dyDescent="0.25">
      <c r="A1162" s="5"/>
      <c r="B1162" s="5"/>
      <c r="C1162" s="5"/>
      <c r="D1162" s="5"/>
      <c r="E1162" s="5"/>
      <c r="F1162" s="5"/>
      <c r="G1162" s="5"/>
      <c r="H1162" s="5"/>
      <c r="I1162" s="5"/>
      <c r="J1162" s="5"/>
      <c r="K1162" s="5"/>
      <c r="L1162" s="5"/>
      <c r="M1162" s="5"/>
      <c r="N1162" s="5"/>
      <c r="O1162" s="5"/>
      <c r="P1162" s="5"/>
      <c r="Q1162" s="5"/>
      <c r="R1162" s="5"/>
      <c r="S1162" s="5"/>
      <c r="T1162" s="5"/>
      <c r="U1162" s="5"/>
      <c r="V1162" s="5"/>
      <c r="W1162" s="5"/>
      <c r="X1162" s="5"/>
      <c r="Y1162" s="5"/>
      <c r="Z1162" s="5"/>
      <c r="AA1162" s="5"/>
      <c r="AB1162" s="6"/>
      <c r="AC1162" s="6"/>
      <c r="AD1162" s="6"/>
      <c r="AE1162" s="6"/>
      <c r="AF1162" s="6"/>
      <c r="AG1162" s="6"/>
      <c r="AH1162" s="1089"/>
      <c r="AI1162" s="6"/>
      <c r="AJ1162" s="6"/>
      <c r="AK1162" s="6"/>
      <c r="AL1162" s="6"/>
      <c r="AM1162" s="6"/>
      <c r="AN1162" s="6"/>
      <c r="AO1162" s="6"/>
      <c r="AP1162" s="6"/>
      <c r="AQ1162" s="6"/>
      <c r="AR1162" s="6"/>
      <c r="AS1162" s="6"/>
      <c r="AT1162" s="6"/>
      <c r="AU1162" s="6"/>
      <c r="AV1162" s="6"/>
      <c r="AW1162" s="6"/>
      <c r="AX1162" s="6"/>
      <c r="AY1162" s="6"/>
      <c r="AZ1162" s="6"/>
      <c r="BA1162" s="6"/>
      <c r="BB1162" s="6"/>
      <c r="BC1162" s="6"/>
      <c r="BD1162" s="6"/>
      <c r="BE1162" s="6"/>
      <c r="BF1162" s="6"/>
      <c r="BG1162" s="6"/>
      <c r="BH1162" s="6"/>
      <c r="BI1162" s="6"/>
      <c r="BJ1162" s="6"/>
      <c r="BK1162" s="6"/>
      <c r="BL1162" s="6"/>
      <c r="BM1162" s="6"/>
      <c r="BN1162" s="6"/>
      <c r="BO1162" s="6"/>
      <c r="BP1162" s="6"/>
      <c r="BQ1162" s="6"/>
      <c r="BR1162" s="6"/>
      <c r="BS1162" s="6"/>
      <c r="BT1162" s="6"/>
      <c r="BU1162" s="6"/>
      <c r="BV1162" s="6"/>
      <c r="BW1162" s="6"/>
      <c r="BX1162" s="5"/>
      <c r="BY1162" s="7">
        <f t="shared" ref="BY1162:CC1162" si="1641">BY1128-BY1160</f>
        <v>6.99999975040555E-3</v>
      </c>
      <c r="BZ1162" s="7">
        <f t="shared" si="1641"/>
        <v>-1.6726003959774971E-3</v>
      </c>
      <c r="CA1162" s="7">
        <f t="shared" si="1641"/>
        <v>-2.2140005603432655E-3</v>
      </c>
      <c r="CB1162" s="7">
        <f t="shared" si="1641"/>
        <v>9.9999923259019852E-4</v>
      </c>
      <c r="CC1162" s="7">
        <f t="shared" si="1641"/>
        <v>0</v>
      </c>
    </row>
    <row r="1163" spans="1:81" s="400" customFormat="1" ht="14.25" customHeight="1" x14ac:dyDescent="0.25">
      <c r="A1163" s="5"/>
      <c r="B1163" s="5"/>
      <c r="C1163" s="5"/>
      <c r="D1163" s="5"/>
      <c r="E1163" s="5"/>
      <c r="F1163" s="5"/>
      <c r="G1163" s="5"/>
      <c r="H1163" s="5"/>
      <c r="I1163" s="5"/>
      <c r="J1163" s="5"/>
      <c r="K1163" s="5"/>
      <c r="L1163" s="5"/>
      <c r="M1163" s="5"/>
      <c r="N1163" s="5"/>
      <c r="O1163" s="5"/>
      <c r="P1163" s="5"/>
      <c r="Q1163" s="5"/>
      <c r="R1163" s="5"/>
      <c r="S1163" s="5"/>
      <c r="T1163" s="5"/>
      <c r="U1163" s="5"/>
      <c r="V1163" s="5"/>
      <c r="W1163" s="5"/>
      <c r="X1163" s="5"/>
      <c r="Y1163" s="5"/>
      <c r="Z1163" s="5"/>
      <c r="AA1163" s="5"/>
      <c r="AB1163" s="6"/>
      <c r="AC1163" s="6"/>
      <c r="AD1163" s="6"/>
      <c r="AE1163" s="6"/>
      <c r="AF1163" s="6"/>
      <c r="AG1163" s="6"/>
      <c r="AH1163" s="6"/>
      <c r="AI1163" s="6"/>
      <c r="AJ1163" s="6"/>
      <c r="AK1163" s="6"/>
      <c r="AL1163" s="6"/>
      <c r="AM1163" s="6"/>
      <c r="AN1163" s="6"/>
      <c r="AO1163" s="6"/>
      <c r="AP1163" s="6"/>
      <c r="AQ1163" s="6"/>
      <c r="AR1163" s="6"/>
      <c r="AS1163" s="6"/>
      <c r="AT1163" s="6"/>
      <c r="AU1163" s="6"/>
      <c r="AV1163" s="6"/>
      <c r="AW1163" s="6"/>
      <c r="AX1163" s="6"/>
      <c r="AY1163" s="6"/>
      <c r="AZ1163" s="6"/>
      <c r="BA1163" s="6"/>
      <c r="BB1163" s="6"/>
      <c r="BC1163" s="6"/>
      <c r="BD1163" s="6"/>
      <c r="BE1163" s="6"/>
      <c r="BF1163" s="6"/>
      <c r="BG1163" s="6"/>
      <c r="BH1163" s="6"/>
      <c r="BI1163" s="6"/>
      <c r="BJ1163" s="6"/>
      <c r="BK1163" s="6"/>
      <c r="BL1163" s="6"/>
      <c r="BM1163" s="6"/>
      <c r="BN1163" s="6"/>
      <c r="BO1163" s="6"/>
      <c r="BP1163" s="6"/>
      <c r="BQ1163" s="6"/>
      <c r="BR1163" s="6"/>
      <c r="BS1163" s="6"/>
      <c r="BT1163" s="6"/>
      <c r="BU1163" s="6"/>
      <c r="BV1163" s="6"/>
      <c r="BW1163" s="6"/>
      <c r="BX1163" s="5"/>
      <c r="BY1163" s="7"/>
      <c r="BZ1163" s="7"/>
      <c r="CA1163" s="7"/>
      <c r="CB1163" s="7"/>
      <c r="CC1163" s="874"/>
    </row>
    <row r="1164" spans="1:81" s="400" customFormat="1" ht="14.25" customHeight="1" x14ac:dyDescent="0.25">
      <c r="A1164" s="5"/>
      <c r="B1164" s="5"/>
      <c r="C1164" s="5"/>
      <c r="D1164" s="5"/>
      <c r="E1164" s="5"/>
      <c r="F1164" s="5"/>
      <c r="G1164" s="5"/>
      <c r="H1164" s="5"/>
      <c r="I1164" s="5"/>
      <c r="J1164" s="5"/>
      <c r="K1164" s="5"/>
      <c r="L1164" s="5"/>
      <c r="M1164" s="5"/>
      <c r="N1164" s="5"/>
      <c r="O1164" s="5"/>
      <c r="P1164" s="5"/>
      <c r="Q1164" s="5"/>
      <c r="R1164" s="5"/>
      <c r="S1164" s="5"/>
      <c r="T1164" s="5"/>
      <c r="U1164" s="5"/>
      <c r="V1164" s="5"/>
      <c r="W1164" s="5"/>
      <c r="X1164" s="5"/>
      <c r="Y1164" s="5"/>
      <c r="Z1164" s="5"/>
      <c r="AA1164" s="5"/>
      <c r="AB1164" s="6"/>
      <c r="AC1164" s="6"/>
      <c r="AD1164" s="6"/>
      <c r="AE1164" s="6"/>
      <c r="AF1164" s="6"/>
      <c r="AG1164" s="6"/>
      <c r="AH1164" s="6"/>
      <c r="AI1164" s="6"/>
      <c r="AJ1164" s="6"/>
      <c r="AK1164" s="6"/>
      <c r="AL1164" s="6"/>
      <c r="AM1164" s="6"/>
      <c r="AN1164" s="6"/>
      <c r="AO1164" s="6"/>
      <c r="AP1164" s="6"/>
      <c r="AQ1164" s="6"/>
      <c r="AR1164" s="6"/>
      <c r="AS1164" s="6"/>
      <c r="AT1164" s="6"/>
      <c r="AU1164" s="6"/>
      <c r="AV1164" s="6"/>
      <c r="AW1164" s="6"/>
      <c r="AX1164" s="6"/>
      <c r="AY1164" s="6"/>
      <c r="AZ1164" s="6"/>
      <c r="BA1164" s="6"/>
      <c r="BB1164" s="6"/>
      <c r="BC1164" s="6"/>
      <c r="BD1164" s="6"/>
      <c r="BE1164" s="6"/>
      <c r="BF1164" s="6"/>
      <c r="BG1164" s="6"/>
      <c r="BH1164" s="6"/>
      <c r="BI1164" s="6"/>
      <c r="BJ1164" s="6"/>
      <c r="BK1164" s="6"/>
      <c r="BL1164" s="6"/>
      <c r="BM1164" s="6"/>
      <c r="BN1164" s="6"/>
      <c r="BO1164" s="6"/>
      <c r="BP1164" s="6"/>
      <c r="BQ1164" s="6"/>
      <c r="BR1164" s="6"/>
      <c r="BS1164" s="6"/>
      <c r="BT1164" s="5"/>
      <c r="BU1164" s="5"/>
      <c r="BV1164" s="5"/>
      <c r="BW1164" s="5"/>
      <c r="BX1164" s="5"/>
      <c r="BY1164" s="7"/>
      <c r="BZ1164" s="7"/>
      <c r="CA1164" s="7"/>
      <c r="CB1164" s="7"/>
      <c r="CC1164" s="874"/>
    </row>
    <row r="1165" spans="1:81" s="400" customFormat="1" ht="30" customHeight="1" thickBot="1" x14ac:dyDescent="0.3">
      <c r="A1165" s="5"/>
      <c r="B1165" s="5"/>
      <c r="C1165" s="5"/>
      <c r="D1165" s="5"/>
      <c r="E1165" s="5"/>
      <c r="F1165" s="5"/>
      <c r="G1165" s="5"/>
      <c r="H1165" s="5"/>
      <c r="I1165" s="5"/>
      <c r="J1165" s="5"/>
      <c r="K1165" s="5"/>
      <c r="L1165" s="5"/>
      <c r="M1165" s="5"/>
      <c r="N1165" s="5"/>
      <c r="O1165" s="5"/>
      <c r="P1165" s="5"/>
      <c r="Q1165" s="5"/>
      <c r="R1165" s="5"/>
      <c r="S1165" s="5"/>
      <c r="T1165" s="5"/>
      <c r="U1165" s="5"/>
      <c r="V1165" s="5"/>
      <c r="W1165" s="5"/>
      <c r="X1165" s="5"/>
      <c r="Y1165" s="5"/>
      <c r="Z1165" s="5"/>
      <c r="AA1165" s="5"/>
      <c r="AB1165" s="6"/>
      <c r="AC1165" s="699" t="s">
        <v>759</v>
      </c>
      <c r="AD1165" s="6"/>
      <c r="AE1165" s="6"/>
      <c r="AF1165" s="6"/>
      <c r="AG1165" s="6"/>
      <c r="AH1165" s="6"/>
      <c r="AI1165" s="6"/>
      <c r="AJ1165" s="6"/>
      <c r="AK1165" s="6"/>
      <c r="AL1165" s="6"/>
      <c r="AM1165" s="6"/>
      <c r="AN1165" s="6"/>
      <c r="AO1165" s="6"/>
      <c r="AP1165" s="6"/>
      <c r="AQ1165" s="6"/>
      <c r="AR1165" s="6"/>
      <c r="AS1165" s="6"/>
      <c r="AT1165" s="6"/>
      <c r="AU1165" s="6"/>
      <c r="AV1165" s="6"/>
      <c r="AW1165" s="6"/>
      <c r="AX1165" s="6"/>
      <c r="AY1165" s="6"/>
      <c r="AZ1165" s="6"/>
      <c r="BA1165" s="6"/>
      <c r="BB1165" s="6"/>
      <c r="BC1165" s="6"/>
      <c r="BD1165" s="6"/>
      <c r="BE1165" s="6"/>
      <c r="BF1165" s="6"/>
      <c r="BG1165" s="6"/>
      <c r="BH1165" s="6"/>
      <c r="BI1165" s="6"/>
      <c r="BJ1165" s="6"/>
      <c r="BK1165" s="6"/>
      <c r="BL1165" s="6"/>
      <c r="BM1165" s="6"/>
      <c r="BN1165" s="6"/>
      <c r="BO1165" s="6"/>
      <c r="BP1165" s="6"/>
      <c r="BQ1165" s="6"/>
      <c r="BR1165" s="6"/>
      <c r="BS1165" s="6"/>
      <c r="BT1165" s="5"/>
      <c r="BU1165" s="5"/>
      <c r="BV1165" s="5"/>
      <c r="BW1165" s="5"/>
      <c r="BX1165" s="5"/>
      <c r="BY1165" s="7"/>
      <c r="BZ1165" s="7"/>
      <c r="CA1165" s="7"/>
      <c r="CB1165" s="7"/>
      <c r="CC1165" s="874"/>
    </row>
    <row r="1166" spans="1:81" s="400" customFormat="1" ht="32.25" customHeight="1" thickBot="1" x14ac:dyDescent="0.3">
      <c r="A1166" s="5"/>
      <c r="B1166" s="5"/>
      <c r="C1166" s="5"/>
      <c r="D1166" s="5"/>
      <c r="E1166" s="5"/>
      <c r="F1166" s="5"/>
      <c r="G1166" s="5"/>
      <c r="H1166" s="5"/>
      <c r="I1166" s="5"/>
      <c r="J1166" s="5"/>
      <c r="K1166" s="5"/>
      <c r="L1166" s="5"/>
      <c r="M1166" s="5"/>
      <c r="N1166" s="5"/>
      <c r="O1166" s="5"/>
      <c r="P1166" s="5"/>
      <c r="Q1166" s="5"/>
      <c r="R1166" s="5"/>
      <c r="S1166" s="5"/>
      <c r="T1166" s="5"/>
      <c r="U1166" s="5"/>
      <c r="V1166" s="5"/>
      <c r="W1166" s="5"/>
      <c r="X1166" s="5"/>
      <c r="Y1166" s="5"/>
      <c r="Z1166" s="5"/>
      <c r="AA1166" s="5"/>
      <c r="AB1166" s="6"/>
      <c r="AC1166" s="1095" t="s">
        <v>715</v>
      </c>
      <c r="AD1166" s="1096" t="s">
        <v>65</v>
      </c>
      <c r="AE1166" s="1122" t="s">
        <v>51</v>
      </c>
      <c r="AF1166" s="1122"/>
      <c r="AG1166" s="1122"/>
      <c r="AH1166" s="1122"/>
      <c r="AI1166" s="1119" t="s">
        <v>52</v>
      </c>
      <c r="AJ1166" s="1119"/>
      <c r="AK1166" s="1119"/>
      <c r="AL1166" s="1119"/>
      <c r="AM1166" s="1123" t="s">
        <v>53</v>
      </c>
      <c r="AN1166" s="1123"/>
      <c r="AO1166" s="1123"/>
      <c r="AP1166" s="1123"/>
      <c r="AQ1166" s="1119" t="s">
        <v>54</v>
      </c>
      <c r="AR1166" s="1119"/>
      <c r="AS1166" s="1119"/>
      <c r="AT1166" s="1119"/>
      <c r="AU1166" s="1122" t="s">
        <v>55</v>
      </c>
      <c r="AV1166" s="1122"/>
      <c r="AW1166" s="1122"/>
      <c r="AX1166" s="1122"/>
      <c r="AY1166" s="1119" t="s">
        <v>56</v>
      </c>
      <c r="AZ1166" s="1119"/>
      <c r="BA1166" s="1119"/>
      <c r="BB1166" s="1119"/>
      <c r="BC1166" s="1121" t="s">
        <v>57</v>
      </c>
      <c r="BD1166" s="1119"/>
      <c r="BE1166" s="1119"/>
      <c r="BF1166" s="1119"/>
      <c r="BG1166" s="1119" t="s">
        <v>58</v>
      </c>
      <c r="BH1166" s="1119"/>
      <c r="BI1166" s="1119"/>
      <c r="BJ1166" s="1119"/>
      <c r="BK1166" s="1119" t="s">
        <v>59</v>
      </c>
      <c r="BL1166" s="1119"/>
      <c r="BM1166" s="1119"/>
      <c r="BN1166" s="1119"/>
      <c r="BO1166" s="1119" t="s">
        <v>60</v>
      </c>
      <c r="BP1166" s="1119"/>
      <c r="BQ1166" s="1119"/>
      <c r="BR1166" s="1119"/>
      <c r="BS1166" s="1119" t="s">
        <v>61</v>
      </c>
      <c r="BT1166" s="1119"/>
      <c r="BU1166" s="1119"/>
      <c r="BV1166" s="1119"/>
      <c r="BW1166" s="6"/>
      <c r="BX1166" s="5"/>
      <c r="BY1166" s="1124" t="s">
        <v>760</v>
      </c>
      <c r="BZ1166" s="1124"/>
      <c r="CA1166" s="1124"/>
      <c r="CB1166" s="1124"/>
      <c r="CC1166" s="874"/>
    </row>
    <row r="1167" spans="1:81" s="400" customFormat="1" ht="31.5" customHeight="1" thickBot="1" x14ac:dyDescent="0.3">
      <c r="A1167" s="5"/>
      <c r="B1167" s="5"/>
      <c r="C1167" s="5"/>
      <c r="D1167" s="5"/>
      <c r="E1167" s="5"/>
      <c r="F1167" s="5"/>
      <c r="G1167" s="5"/>
      <c r="H1167" s="5"/>
      <c r="I1167" s="5"/>
      <c r="J1167" s="5"/>
      <c r="K1167" s="5"/>
      <c r="L1167" s="5"/>
      <c r="M1167" s="5"/>
      <c r="N1167" s="5"/>
      <c r="O1167" s="5"/>
      <c r="P1167" s="5"/>
      <c r="Q1167" s="5"/>
      <c r="R1167" s="5"/>
      <c r="S1167" s="5"/>
      <c r="T1167" s="5"/>
      <c r="U1167" s="5"/>
      <c r="V1167" s="5"/>
      <c r="W1167" s="5"/>
      <c r="X1167" s="5"/>
      <c r="Y1167" s="5"/>
      <c r="Z1167" s="5"/>
      <c r="AA1167" s="5"/>
      <c r="AB1167" s="6"/>
      <c r="AC1167" s="1095"/>
      <c r="AD1167" s="1096"/>
      <c r="AE1167" s="21">
        <f>god-2</f>
        <v>2024</v>
      </c>
      <c r="AF1167" s="22">
        <v>2025</v>
      </c>
      <c r="AG1167" s="741">
        <f>god</f>
        <v>2026</v>
      </c>
      <c r="AH1167" s="742">
        <v>2026</v>
      </c>
      <c r="AI1167" s="24">
        <f>god-2</f>
        <v>2024</v>
      </c>
      <c r="AJ1167" s="25">
        <f>god-1</f>
        <v>2025</v>
      </c>
      <c r="AK1167" s="953">
        <f>god</f>
        <v>2026</v>
      </c>
      <c r="AL1167" s="1">
        <v>2026</v>
      </c>
      <c r="AM1167" s="21">
        <f>god-2</f>
        <v>2024</v>
      </c>
      <c r="AN1167" s="22">
        <f>god-1</f>
        <v>2025</v>
      </c>
      <c r="AO1167" s="741">
        <f>god</f>
        <v>2026</v>
      </c>
      <c r="AP1167" s="742">
        <v>2026</v>
      </c>
      <c r="AQ1167" s="21">
        <f>god-2</f>
        <v>2024</v>
      </c>
      <c r="AR1167" s="22">
        <f>god-1</f>
        <v>2025</v>
      </c>
      <c r="AS1167" s="741">
        <f>god</f>
        <v>2026</v>
      </c>
      <c r="AT1167" s="742">
        <v>2026</v>
      </c>
      <c r="AU1167" s="954">
        <f>god-2</f>
        <v>2024</v>
      </c>
      <c r="AV1167" s="955">
        <f>god-1</f>
        <v>2025</v>
      </c>
      <c r="AW1167" s="956">
        <f>god</f>
        <v>2026</v>
      </c>
      <c r="AX1167" s="957">
        <v>2026</v>
      </c>
      <c r="AY1167" s="954">
        <f>god-2</f>
        <v>2024</v>
      </c>
      <c r="AZ1167" s="955">
        <f>god-1</f>
        <v>2025</v>
      </c>
      <c r="BA1167" s="956">
        <f>god</f>
        <v>2026</v>
      </c>
      <c r="BB1167" s="973">
        <v>2026</v>
      </c>
      <c r="BC1167" s="974">
        <f>god-2</f>
        <v>2024</v>
      </c>
      <c r="BD1167" s="955">
        <f>god-1</f>
        <v>2025</v>
      </c>
      <c r="BE1167" s="956">
        <f>god</f>
        <v>2026</v>
      </c>
      <c r="BF1167" s="957">
        <v>2026</v>
      </c>
      <c r="BG1167" s="21">
        <f>god-2</f>
        <v>2024</v>
      </c>
      <c r="BH1167" s="22">
        <f>god-1</f>
        <v>2025</v>
      </c>
      <c r="BI1167" s="741">
        <f>god</f>
        <v>2026</v>
      </c>
      <c r="BJ1167" s="743">
        <v>2026</v>
      </c>
      <c r="BK1167" s="930">
        <f>god-2</f>
        <v>2024</v>
      </c>
      <c r="BL1167" s="22">
        <f>god-1</f>
        <v>2025</v>
      </c>
      <c r="BM1167" s="741">
        <f>god</f>
        <v>2026</v>
      </c>
      <c r="BN1167" s="742">
        <v>2026</v>
      </c>
      <c r="BO1167" s="21">
        <f>god-2</f>
        <v>2024</v>
      </c>
      <c r="BP1167" s="22">
        <f>god-1</f>
        <v>2025</v>
      </c>
      <c r="BQ1167" s="741">
        <f>god</f>
        <v>2026</v>
      </c>
      <c r="BR1167" s="743">
        <v>2026</v>
      </c>
      <c r="BS1167" s="930">
        <f>god-2</f>
        <v>2024</v>
      </c>
      <c r="BT1167" s="22">
        <f>god-1</f>
        <v>2025</v>
      </c>
      <c r="BU1167" s="741">
        <f>god</f>
        <v>2026</v>
      </c>
      <c r="BV1167" s="743">
        <v>2026</v>
      </c>
      <c r="BW1167" s="6"/>
      <c r="BX1167" s="5"/>
      <c r="BY1167" s="21">
        <f>god-2</f>
        <v>2024</v>
      </c>
      <c r="BZ1167" s="22">
        <f>god-1</f>
        <v>2025</v>
      </c>
      <c r="CA1167" s="741">
        <f>god</f>
        <v>2026</v>
      </c>
      <c r="CB1167" s="743">
        <v>2026</v>
      </c>
      <c r="CC1167" s="874"/>
    </row>
    <row r="1168" spans="1:81" s="400" customFormat="1" ht="54.75" customHeight="1" x14ac:dyDescent="0.25">
      <c r="A1168" s="5"/>
      <c r="B1168" s="5"/>
      <c r="C1168" s="5"/>
      <c r="D1168" s="5"/>
      <c r="E1168" s="5"/>
      <c r="F1168" s="5"/>
      <c r="G1168" s="5"/>
      <c r="H1168" s="5"/>
      <c r="I1168" s="5"/>
      <c r="J1168" s="5"/>
      <c r="K1168" s="5"/>
      <c r="L1168" s="5"/>
      <c r="M1168" s="5"/>
      <c r="N1168" s="5"/>
      <c r="O1168" s="5"/>
      <c r="P1168" s="5"/>
      <c r="Q1168" s="5"/>
      <c r="R1168" s="5"/>
      <c r="S1168" s="5"/>
      <c r="T1168" s="5"/>
      <c r="U1168" s="5"/>
      <c r="V1168" s="5"/>
      <c r="W1168" s="5"/>
      <c r="X1168" s="5"/>
      <c r="Y1168" s="5"/>
      <c r="Z1168" s="5"/>
      <c r="AA1168" s="5"/>
      <c r="AB1168" s="6"/>
      <c r="AC1168" s="1095"/>
      <c r="AD1168" s="1096"/>
      <c r="AE1168" s="29" t="s">
        <v>66</v>
      </c>
      <c r="AF1168" s="30" t="s">
        <v>67</v>
      </c>
      <c r="AG1168" s="1002" t="str">
        <f>"план организации"&amp;IF(TYPE="Корректировка"," (корректировка)","")</f>
        <v>план организации (корректировка)</v>
      </c>
      <c r="AH1168" s="118" t="s">
        <v>67</v>
      </c>
      <c r="AI1168" s="29" t="s">
        <v>66</v>
      </c>
      <c r="AJ1168" s="30" t="s">
        <v>67</v>
      </c>
      <c r="AK1168" s="1002" t="str">
        <f>"план организации"&amp;IF(TYPE="Корректировка"," (корректировка)","")</f>
        <v>план организации (корректировка)</v>
      </c>
      <c r="AL1168" s="118" t="s">
        <v>67</v>
      </c>
      <c r="AM1168" s="29" t="s">
        <v>66</v>
      </c>
      <c r="AN1168" s="30" t="s">
        <v>67</v>
      </c>
      <c r="AO1168" s="1002" t="str">
        <f>"план организации"&amp;IF(TYPE="Корректировка"," (корректировка)","")</f>
        <v>план организации (корректировка)</v>
      </c>
      <c r="AP1168" s="118" t="s">
        <v>67</v>
      </c>
      <c r="AQ1168" s="29" t="s">
        <v>66</v>
      </c>
      <c r="AR1168" s="30" t="s">
        <v>67</v>
      </c>
      <c r="AS1168" s="1002" t="str">
        <f>"план организации"&amp;IF(TYPE="Корректировка"," (корректировка)","")</f>
        <v>план организации (корректировка)</v>
      </c>
      <c r="AT1168" s="118" t="s">
        <v>67</v>
      </c>
      <c r="AU1168" s="3" t="s">
        <v>66</v>
      </c>
      <c r="AV1168" s="2" t="s">
        <v>67</v>
      </c>
      <c r="AW1168" s="1002" t="str">
        <f>"план организации"&amp;IF(TYPE="Корректировка"," (корректировка)","")</f>
        <v>план организации (корректировка)</v>
      </c>
      <c r="AX1168" s="1" t="s">
        <v>67</v>
      </c>
      <c r="AY1168" s="3" t="s">
        <v>66</v>
      </c>
      <c r="AZ1168" s="2" t="s">
        <v>67</v>
      </c>
      <c r="BA1168" s="1002" t="str">
        <f>"план организации"&amp;IF(TYPE="Корректировка"," (корректировка)","")</f>
        <v>план организации (корректировка)</v>
      </c>
      <c r="BB1168" s="593" t="s">
        <v>67</v>
      </c>
      <c r="BC1168" s="975" t="s">
        <v>66</v>
      </c>
      <c r="BD1168" s="2" t="s">
        <v>67</v>
      </c>
      <c r="BE1168" s="1002" t="str">
        <f>"план организации"&amp;IF(TYPE="Корректировка"," (корректировка)","")</f>
        <v>план организации (корректировка)</v>
      </c>
      <c r="BF1168" s="1" t="s">
        <v>67</v>
      </c>
      <c r="BG1168" s="29" t="s">
        <v>66</v>
      </c>
      <c r="BH1168" s="30" t="s">
        <v>67</v>
      </c>
      <c r="BI1168" s="1002" t="str">
        <f>"план организации"&amp;IF(TYPE="Корректировка"," (корректировка)","")</f>
        <v>план организации (корректировка)</v>
      </c>
      <c r="BJ1168" s="619" t="s">
        <v>67</v>
      </c>
      <c r="BK1168" s="33" t="s">
        <v>66</v>
      </c>
      <c r="BL1168" s="30" t="s">
        <v>67</v>
      </c>
      <c r="BM1168" s="1002" t="str">
        <f>"план организации"&amp;IF(TYPE="Корректировка"," (корректировка)","")</f>
        <v>план организации (корректировка)</v>
      </c>
      <c r="BN1168" s="118" t="s">
        <v>67</v>
      </c>
      <c r="BO1168" s="29" t="s">
        <v>66</v>
      </c>
      <c r="BP1168" s="30" t="s">
        <v>67</v>
      </c>
      <c r="BQ1168" s="1002" t="str">
        <f>"план организации"&amp;IF(TYPE="Корректировка"," (корректировка)","")</f>
        <v>план организации (корректировка)</v>
      </c>
      <c r="BR1168" s="619" t="s">
        <v>67</v>
      </c>
      <c r="BS1168" s="33" t="s">
        <v>66</v>
      </c>
      <c r="BT1168" s="30" t="s">
        <v>67</v>
      </c>
      <c r="BU1168" s="1002" t="str">
        <f>"план организации"&amp;IF(TYPE="Корректировка"," (корректировка)","")</f>
        <v>план организации (корректировка)</v>
      </c>
      <c r="BV1168" s="619" t="s">
        <v>67</v>
      </c>
      <c r="BW1168" s="6"/>
      <c r="BX1168" s="5"/>
      <c r="BY1168" s="34" t="s">
        <v>66</v>
      </c>
      <c r="BZ1168" s="35" t="s">
        <v>67</v>
      </c>
      <c r="CA1168" s="1002" t="str">
        <f>"план организации"&amp;IF(TYPE="Корректировка"," (корректировка)","")</f>
        <v>план организации (корректировка)</v>
      </c>
      <c r="CB1168" s="619" t="s">
        <v>67</v>
      </c>
      <c r="CC1168" s="874"/>
    </row>
    <row r="1169" spans="1:81" s="400" customFormat="1" ht="17.25" customHeight="1" x14ac:dyDescent="0.25">
      <c r="A1169" s="5"/>
      <c r="B1169" s="5"/>
      <c r="C1169" s="5"/>
      <c r="D1169" s="5"/>
      <c r="E1169" s="5"/>
      <c r="F1169" s="5"/>
      <c r="G1169" s="5"/>
      <c r="H1169" s="5"/>
      <c r="I1169" s="5"/>
      <c r="J1169" s="5"/>
      <c r="K1169" s="5"/>
      <c r="L1169" s="5"/>
      <c r="M1169" s="5"/>
      <c r="N1169" s="5"/>
      <c r="O1169" s="5"/>
      <c r="P1169" s="5"/>
      <c r="Q1169" s="5"/>
      <c r="R1169" s="5"/>
      <c r="S1169" s="5"/>
      <c r="T1169" s="5"/>
      <c r="U1169" s="5"/>
      <c r="V1169" s="5"/>
      <c r="W1169" s="5"/>
      <c r="X1169" s="5"/>
      <c r="Y1169" s="5"/>
      <c r="Z1169" s="5"/>
      <c r="AA1169" s="5"/>
      <c r="AB1169" s="6"/>
      <c r="AC1169" s="700" t="s">
        <v>716</v>
      </c>
      <c r="AD1169" s="701" t="s">
        <v>111</v>
      </c>
      <c r="AE1169" s="702">
        <f t="shared" ref="AE1169:BV1169" si="1642">AE151+AE517</f>
        <v>570417.84100000001</v>
      </c>
      <c r="AF1169" s="703">
        <f t="shared" si="1642"/>
        <v>710111.71</v>
      </c>
      <c r="AG1169" s="703">
        <f t="shared" si="1642"/>
        <v>796234.69</v>
      </c>
      <c r="AH1169" s="703">
        <f t="shared" si="1642"/>
        <v>714943.53</v>
      </c>
      <c r="AI1169" s="702">
        <f t="shared" si="1642"/>
        <v>9125.0299999999988</v>
      </c>
      <c r="AJ1169" s="703">
        <f t="shared" si="1642"/>
        <v>3540.67</v>
      </c>
      <c r="AK1169" s="703">
        <f t="shared" si="1642"/>
        <v>14820.39</v>
      </c>
      <c r="AL1169" s="958">
        <f t="shared" si="1642"/>
        <v>11498.89</v>
      </c>
      <c r="AM1169" s="702">
        <f t="shared" si="1642"/>
        <v>9641.48</v>
      </c>
      <c r="AN1169" s="703">
        <f t="shared" si="1642"/>
        <v>2083.8389999999999</v>
      </c>
      <c r="AO1169" s="703">
        <f t="shared" si="1642"/>
        <v>10228.32</v>
      </c>
      <c r="AP1169" s="958">
        <f t="shared" si="1642"/>
        <v>12150.97</v>
      </c>
      <c r="AQ1169" s="702">
        <f t="shared" si="1642"/>
        <v>15986.358</v>
      </c>
      <c r="AR1169" s="703">
        <f t="shared" si="1642"/>
        <v>11998.480000000001</v>
      </c>
      <c r="AS1169" s="703">
        <f t="shared" si="1642"/>
        <v>21593.25</v>
      </c>
      <c r="AT1169" s="958">
        <f t="shared" si="1642"/>
        <v>20023.235000000001</v>
      </c>
      <c r="AU1169" s="702">
        <f t="shared" si="1642"/>
        <v>9803.6929999999993</v>
      </c>
      <c r="AV1169" s="703">
        <f t="shared" si="1642"/>
        <v>1873.89</v>
      </c>
      <c r="AW1169" s="703">
        <f t="shared" si="1642"/>
        <v>10157.558000000001</v>
      </c>
      <c r="AX1169" s="958">
        <f t="shared" si="1642"/>
        <v>12302.276</v>
      </c>
      <c r="AY1169" s="702">
        <f t="shared" si="1642"/>
        <v>16126.09</v>
      </c>
      <c r="AZ1169" s="703">
        <f t="shared" si="1642"/>
        <v>18523.879999999997</v>
      </c>
      <c r="BA1169" s="703">
        <f t="shared" si="1642"/>
        <v>23729.63</v>
      </c>
      <c r="BB1169" s="704">
        <f t="shared" si="1642"/>
        <v>19273.911901199997</v>
      </c>
      <c r="BC1169" s="705">
        <f t="shared" si="1642"/>
        <v>16569.629999999997</v>
      </c>
      <c r="BD1169" s="703">
        <f t="shared" si="1642"/>
        <v>3925.6373000000003</v>
      </c>
      <c r="BE1169" s="703">
        <f t="shared" si="1642"/>
        <v>16555.925500000001</v>
      </c>
      <c r="BF1169" s="958">
        <f t="shared" si="1642"/>
        <v>20880.21</v>
      </c>
      <c r="BG1169" s="702">
        <f t="shared" si="1642"/>
        <v>50537.402000000002</v>
      </c>
      <c r="BH1169" s="703">
        <f t="shared" si="1642"/>
        <v>46956.228000000003</v>
      </c>
      <c r="BI1169" s="703">
        <f t="shared" si="1642"/>
        <v>52518.61</v>
      </c>
      <c r="BJ1169" s="704">
        <f t="shared" si="1642"/>
        <v>48857.016109440003</v>
      </c>
      <c r="BK1169" s="705">
        <f t="shared" si="1642"/>
        <v>43789.221000000005</v>
      </c>
      <c r="BL1169" s="703">
        <f t="shared" si="1642"/>
        <v>55310.369999999995</v>
      </c>
      <c r="BM1169" s="703">
        <f t="shared" si="1642"/>
        <v>61831.19</v>
      </c>
      <c r="BN1169" s="958">
        <f t="shared" si="1642"/>
        <v>54606.925000000003</v>
      </c>
      <c r="BO1169" s="702">
        <f t="shared" si="1642"/>
        <v>5597.93</v>
      </c>
      <c r="BP1169" s="703">
        <f t="shared" si="1642"/>
        <v>5108.7</v>
      </c>
      <c r="BQ1169" s="703">
        <f t="shared" si="1642"/>
        <v>3307.7</v>
      </c>
      <c r="BR1169" s="704">
        <f t="shared" si="1642"/>
        <v>7914.3600839999999</v>
      </c>
      <c r="BS1169" s="705">
        <f t="shared" si="1642"/>
        <v>12194.75</v>
      </c>
      <c r="BT1169" s="703">
        <f t="shared" si="1642"/>
        <v>17021.23</v>
      </c>
      <c r="BU1169" s="703">
        <f t="shared" si="1642"/>
        <v>19510.464</v>
      </c>
      <c r="BV1169" s="704">
        <f t="shared" si="1642"/>
        <v>15224.224999999999</v>
      </c>
      <c r="BW1169" s="6"/>
      <c r="BX1169" s="5"/>
      <c r="BY1169" s="706">
        <f t="shared" ref="BY1169:CB1170" si="1643">AE1169+AI1169+AM1169+AQ1169+AU1169+AY1169+BC1169+BG1169+BK1169+BO1169+BS1169</f>
        <v>759789.42500000005</v>
      </c>
      <c r="BZ1169" s="707">
        <f t="shared" si="1643"/>
        <v>876454.63429999992</v>
      </c>
      <c r="CA1169" s="707">
        <f t="shared" si="1643"/>
        <v>1030487.7274999999</v>
      </c>
      <c r="CB1169" s="708">
        <f t="shared" si="1643"/>
        <v>937675.54909463995</v>
      </c>
      <c r="CC1169" s="874"/>
    </row>
    <row r="1170" spans="1:81" s="400" customFormat="1" ht="17.25" customHeight="1" x14ac:dyDescent="0.25">
      <c r="A1170" s="5"/>
      <c r="B1170" s="5"/>
      <c r="C1170" s="5"/>
      <c r="D1170" s="5"/>
      <c r="E1170" s="5"/>
      <c r="F1170" s="5"/>
      <c r="G1170" s="5"/>
      <c r="H1170" s="5"/>
      <c r="I1170" s="5"/>
      <c r="J1170" s="5"/>
      <c r="K1170" s="5"/>
      <c r="L1170" s="5"/>
      <c r="M1170" s="5"/>
      <c r="N1170" s="5"/>
      <c r="O1170" s="5"/>
      <c r="P1170" s="5"/>
      <c r="Q1170" s="5"/>
      <c r="R1170" s="5"/>
      <c r="S1170" s="5"/>
      <c r="T1170" s="5"/>
      <c r="U1170" s="5"/>
      <c r="V1170" s="5"/>
      <c r="W1170" s="5"/>
      <c r="X1170" s="5"/>
      <c r="Y1170" s="5"/>
      <c r="Z1170" s="5"/>
      <c r="AA1170" s="5"/>
      <c r="AB1170" s="6"/>
      <c r="AC1170" s="709" t="s">
        <v>717</v>
      </c>
      <c r="AD1170" s="594" t="s">
        <v>111</v>
      </c>
      <c r="AE1170" s="710">
        <f t="shared" ref="AE1170:BV1170" si="1644">AE153+AE519</f>
        <v>988.4</v>
      </c>
      <c r="AF1170" s="711">
        <f t="shared" si="1644"/>
        <v>1157.1300000000001</v>
      </c>
      <c r="AG1170" s="711">
        <f t="shared" si="1644"/>
        <v>1239.9000000000001</v>
      </c>
      <c r="AH1170" s="711">
        <f t="shared" si="1644"/>
        <v>1080.52</v>
      </c>
      <c r="AI1170" s="710">
        <f t="shared" si="1644"/>
        <v>19.22</v>
      </c>
      <c r="AJ1170" s="711">
        <f t="shared" si="1644"/>
        <v>8.98</v>
      </c>
      <c r="AK1170" s="711">
        <f t="shared" si="1644"/>
        <v>27.7</v>
      </c>
      <c r="AL1170" s="959">
        <f t="shared" si="1644"/>
        <v>21.14</v>
      </c>
      <c r="AM1170" s="710">
        <f t="shared" si="1644"/>
        <v>17.28</v>
      </c>
      <c r="AN1170" s="711">
        <f t="shared" si="1644"/>
        <v>6.83</v>
      </c>
      <c r="AO1170" s="711">
        <f t="shared" si="1644"/>
        <v>22.6</v>
      </c>
      <c r="AP1170" s="959">
        <f t="shared" si="1644"/>
        <v>19.010000000000002</v>
      </c>
      <c r="AQ1170" s="710">
        <f t="shared" si="1644"/>
        <v>26.68</v>
      </c>
      <c r="AR1170" s="711">
        <f t="shared" si="1644"/>
        <v>29.5</v>
      </c>
      <c r="AS1170" s="711">
        <f t="shared" si="1644"/>
        <v>42.6</v>
      </c>
      <c r="AT1170" s="959">
        <f t="shared" si="1644"/>
        <v>29.19</v>
      </c>
      <c r="AU1170" s="710">
        <f t="shared" si="1644"/>
        <v>16.25</v>
      </c>
      <c r="AV1170" s="711">
        <f t="shared" si="1644"/>
        <v>4.8599999999999994</v>
      </c>
      <c r="AW1170" s="711">
        <f t="shared" si="1644"/>
        <v>18.7</v>
      </c>
      <c r="AX1170" s="959">
        <f t="shared" si="1644"/>
        <v>17.8</v>
      </c>
      <c r="AY1170" s="710">
        <f t="shared" si="1644"/>
        <v>27.59</v>
      </c>
      <c r="AZ1170" s="711">
        <f t="shared" si="1644"/>
        <v>38.5</v>
      </c>
      <c r="BA1170" s="711">
        <f t="shared" si="1644"/>
        <v>47.9</v>
      </c>
      <c r="BB1170" s="712">
        <f t="shared" si="1644"/>
        <v>38.5</v>
      </c>
      <c r="BC1170" s="713">
        <f t="shared" si="1644"/>
        <v>28.12</v>
      </c>
      <c r="BD1170" s="711">
        <f t="shared" si="1644"/>
        <v>7.5</v>
      </c>
      <c r="BE1170" s="711">
        <f t="shared" si="1644"/>
        <v>31</v>
      </c>
      <c r="BF1170" s="959">
        <f t="shared" si="1644"/>
        <v>30.939999999999998</v>
      </c>
      <c r="BG1170" s="710">
        <f t="shared" si="1644"/>
        <v>77.5</v>
      </c>
      <c r="BH1170" s="711">
        <f t="shared" si="1644"/>
        <v>92.76</v>
      </c>
      <c r="BI1170" s="711">
        <f t="shared" si="1644"/>
        <v>83.8</v>
      </c>
      <c r="BJ1170" s="712">
        <f t="shared" si="1644"/>
        <v>92.76</v>
      </c>
      <c r="BK1170" s="713">
        <f t="shared" si="1644"/>
        <v>77.69</v>
      </c>
      <c r="BL1170" s="711">
        <f t="shared" si="1644"/>
        <v>102</v>
      </c>
      <c r="BM1170" s="711">
        <f t="shared" si="1644"/>
        <v>102</v>
      </c>
      <c r="BN1170" s="959">
        <f t="shared" si="1644"/>
        <v>84.58</v>
      </c>
      <c r="BO1170" s="710">
        <f t="shared" si="1644"/>
        <v>9.1999999999999993</v>
      </c>
      <c r="BP1170" s="711">
        <f t="shared" si="1644"/>
        <v>12.5</v>
      </c>
      <c r="BQ1170" s="711">
        <f t="shared" si="1644"/>
        <v>6.5</v>
      </c>
      <c r="BR1170" s="712">
        <f t="shared" si="1644"/>
        <v>10.119999999999999</v>
      </c>
      <c r="BS1170" s="713">
        <f t="shared" si="1644"/>
        <v>21</v>
      </c>
      <c r="BT1170" s="711">
        <f t="shared" si="1644"/>
        <v>36.340000000000003</v>
      </c>
      <c r="BU1170" s="711">
        <f t="shared" si="1644"/>
        <v>37</v>
      </c>
      <c r="BV1170" s="712">
        <f t="shared" si="1644"/>
        <v>22.9</v>
      </c>
      <c r="BW1170" s="6"/>
      <c r="BX1170" s="5"/>
      <c r="BY1170" s="45">
        <f t="shared" si="1643"/>
        <v>1308.93</v>
      </c>
      <c r="BZ1170" s="46">
        <f t="shared" si="1643"/>
        <v>1496.8999999999999</v>
      </c>
      <c r="CA1170" s="46">
        <f t="shared" si="1643"/>
        <v>1659.7</v>
      </c>
      <c r="CB1170" s="47">
        <f t="shared" si="1643"/>
        <v>1447.46</v>
      </c>
      <c r="CC1170" s="874"/>
    </row>
    <row r="1171" spans="1:81" s="400" customFormat="1" ht="17.25" customHeight="1" x14ac:dyDescent="0.25">
      <c r="A1171" s="5"/>
      <c r="B1171" s="5"/>
      <c r="C1171" s="5"/>
      <c r="D1171" s="5"/>
      <c r="E1171" s="5"/>
      <c r="F1171" s="5"/>
      <c r="G1171" s="5"/>
      <c r="H1171" s="5"/>
      <c r="I1171" s="5"/>
      <c r="J1171" s="5"/>
      <c r="K1171" s="5"/>
      <c r="L1171" s="5"/>
      <c r="M1171" s="5"/>
      <c r="N1171" s="5"/>
      <c r="O1171" s="5"/>
      <c r="P1171" s="5"/>
      <c r="Q1171" s="5"/>
      <c r="R1171" s="5"/>
      <c r="S1171" s="5"/>
      <c r="T1171" s="5"/>
      <c r="U1171" s="5"/>
      <c r="V1171" s="5"/>
      <c r="W1171" s="5"/>
      <c r="X1171" s="5"/>
      <c r="Y1171" s="5"/>
      <c r="Z1171" s="5"/>
      <c r="AA1171" s="5"/>
      <c r="AB1171" s="6"/>
      <c r="AC1171" s="709" t="s">
        <v>718</v>
      </c>
      <c r="AD1171" s="594" t="s">
        <v>111</v>
      </c>
      <c r="AE1171" s="45">
        <f t="shared" ref="AE1171:BV1171" si="1645">(AE1169/AE1170)/12*1000</f>
        <v>48092.695349386217</v>
      </c>
      <c r="AF1171" s="46">
        <f t="shared" si="1645"/>
        <v>51140.300427206392</v>
      </c>
      <c r="AG1171" s="46">
        <f t="shared" si="1645"/>
        <v>53514.711535876537</v>
      </c>
      <c r="AH1171" s="46">
        <f t="shared" si="1645"/>
        <v>55138.84749935216</v>
      </c>
      <c r="AI1171" s="45">
        <f t="shared" si="1645"/>
        <v>39563.952480055501</v>
      </c>
      <c r="AJ1171" s="46">
        <f t="shared" si="1645"/>
        <v>32856.997030438011</v>
      </c>
      <c r="AK1171" s="46">
        <f t="shared" si="1645"/>
        <v>44586.010830324907</v>
      </c>
      <c r="AL1171" s="960">
        <f t="shared" si="1645"/>
        <v>45328.327026174695</v>
      </c>
      <c r="AM1171" s="45">
        <f t="shared" si="1645"/>
        <v>46496.334876543209</v>
      </c>
      <c r="AN1171" s="46">
        <f t="shared" si="1645"/>
        <v>25425.073206442165</v>
      </c>
      <c r="AO1171" s="46">
        <f t="shared" si="1645"/>
        <v>37715.044247787613</v>
      </c>
      <c r="AP1171" s="960">
        <f t="shared" si="1645"/>
        <v>53265.693494651932</v>
      </c>
      <c r="AQ1171" s="45">
        <f t="shared" si="1645"/>
        <v>49932.402548725637</v>
      </c>
      <c r="AR1171" s="46">
        <f t="shared" si="1645"/>
        <v>33894.011299435027</v>
      </c>
      <c r="AS1171" s="46">
        <f t="shared" si="1645"/>
        <v>42240.316901408449</v>
      </c>
      <c r="AT1171" s="960">
        <f t="shared" si="1645"/>
        <v>57163.512047504861</v>
      </c>
      <c r="AU1171" s="45">
        <f t="shared" si="1645"/>
        <v>50275.348717948713</v>
      </c>
      <c r="AV1171" s="46">
        <f t="shared" si="1645"/>
        <v>32131.172839506176</v>
      </c>
      <c r="AW1171" s="46">
        <f t="shared" si="1645"/>
        <v>45265.409982174693</v>
      </c>
      <c r="AX1171" s="960">
        <f t="shared" si="1645"/>
        <v>57594.925093632955</v>
      </c>
      <c r="AY1171" s="45">
        <f t="shared" si="1645"/>
        <v>48707.532922556478</v>
      </c>
      <c r="AZ1171" s="46">
        <f t="shared" si="1645"/>
        <v>40094.978354978346</v>
      </c>
      <c r="BA1171" s="46">
        <f t="shared" si="1645"/>
        <v>41283.281141266532</v>
      </c>
      <c r="BB1171" s="47">
        <f t="shared" si="1645"/>
        <v>41718.424028571426</v>
      </c>
      <c r="BC1171" s="714">
        <f t="shared" si="1645"/>
        <v>49103.929587482213</v>
      </c>
      <c r="BD1171" s="46">
        <f t="shared" si="1645"/>
        <v>43618.192222222227</v>
      </c>
      <c r="BE1171" s="46">
        <f t="shared" si="1645"/>
        <v>44505.176075268821</v>
      </c>
      <c r="BF1171" s="960">
        <f t="shared" si="1645"/>
        <v>56238.445378151264</v>
      </c>
      <c r="BG1171" s="45">
        <f t="shared" si="1645"/>
        <v>54341.292473118279</v>
      </c>
      <c r="BH1171" s="46">
        <f t="shared" si="1645"/>
        <v>42184.33592065546</v>
      </c>
      <c r="BI1171" s="46">
        <f t="shared" si="1645"/>
        <v>52226.14359586317</v>
      </c>
      <c r="BJ1171" s="47">
        <f t="shared" si="1645"/>
        <v>43891.957838723582</v>
      </c>
      <c r="BK1171" s="714">
        <f t="shared" si="1645"/>
        <v>46970.031535590177</v>
      </c>
      <c r="BL1171" s="46">
        <f t="shared" si="1645"/>
        <v>45188.210784313727</v>
      </c>
      <c r="BM1171" s="46">
        <f t="shared" si="1645"/>
        <v>50515.678104575163</v>
      </c>
      <c r="BN1171" s="960">
        <f t="shared" si="1645"/>
        <v>53802.046386064481</v>
      </c>
      <c r="BO1171" s="45">
        <f t="shared" si="1645"/>
        <v>50705.887681159424</v>
      </c>
      <c r="BP1171" s="46">
        <f t="shared" si="1645"/>
        <v>34058</v>
      </c>
      <c r="BQ1171" s="46">
        <f t="shared" si="1645"/>
        <v>42406.41025641025</v>
      </c>
      <c r="BR1171" s="47">
        <f t="shared" si="1645"/>
        <v>65170.949308300391</v>
      </c>
      <c r="BS1171" s="714">
        <f t="shared" si="1645"/>
        <v>48391.865079365081</v>
      </c>
      <c r="BT1171" s="46">
        <f t="shared" si="1645"/>
        <v>39032.356448358092</v>
      </c>
      <c r="BU1171" s="46">
        <f t="shared" si="1645"/>
        <v>43942.486486486479</v>
      </c>
      <c r="BV1171" s="47">
        <f t="shared" si="1645"/>
        <v>55401.109898107716</v>
      </c>
      <c r="BW1171" s="6"/>
      <c r="BX1171" s="5"/>
      <c r="BY1171" s="45">
        <f>(BY1169/BY1170)/12*1000</f>
        <v>48372.170717048786</v>
      </c>
      <c r="BZ1171" s="46">
        <f>(BZ1169/BZ1170)/12*1000</f>
        <v>48792.762503618585</v>
      </c>
      <c r="CA1171" s="46">
        <f>(CA1169/CA1170)/12*1000</f>
        <v>51740.662343596225</v>
      </c>
      <c r="CB1171" s="47">
        <f>(CB1169/CB1170)/12*1000</f>
        <v>53983.964386732616</v>
      </c>
      <c r="CC1171" s="874"/>
    </row>
    <row r="1172" spans="1:81" s="400" customFormat="1" ht="17.25" customHeight="1" x14ac:dyDescent="0.25">
      <c r="A1172" s="5"/>
      <c r="B1172" s="5"/>
      <c r="C1172" s="5"/>
      <c r="D1172" s="5"/>
      <c r="E1172" s="5"/>
      <c r="F1172" s="5"/>
      <c r="G1172" s="5"/>
      <c r="H1172" s="5"/>
      <c r="I1172" s="5"/>
      <c r="J1172" s="5"/>
      <c r="K1172" s="5"/>
      <c r="L1172" s="5"/>
      <c r="M1172" s="5"/>
      <c r="N1172" s="5"/>
      <c r="O1172" s="5"/>
      <c r="P1172" s="5"/>
      <c r="Q1172" s="5"/>
      <c r="R1172" s="5"/>
      <c r="S1172" s="5"/>
      <c r="T1172" s="5"/>
      <c r="U1172" s="5"/>
      <c r="V1172" s="5"/>
      <c r="W1172" s="5"/>
      <c r="X1172" s="5"/>
      <c r="Y1172" s="5"/>
      <c r="Z1172" s="5"/>
      <c r="AA1172" s="5"/>
      <c r="AB1172" s="6"/>
      <c r="AC1172" s="715" t="s">
        <v>719</v>
      </c>
      <c r="AD1172" s="701" t="s">
        <v>111</v>
      </c>
      <c r="AE1172" s="702">
        <f t="shared" ref="AE1172:BV1172" si="1646">AE249+AE597</f>
        <v>65683.740000000005</v>
      </c>
      <c r="AF1172" s="703">
        <f t="shared" si="1646"/>
        <v>81225.727000000014</v>
      </c>
      <c r="AG1172" s="703">
        <f t="shared" si="1646"/>
        <v>139707.37</v>
      </c>
      <c r="AH1172" s="703">
        <f t="shared" si="1646"/>
        <v>82771.306000000011</v>
      </c>
      <c r="AI1172" s="702">
        <f t="shared" si="1646"/>
        <v>555.15699999999993</v>
      </c>
      <c r="AJ1172" s="703">
        <f t="shared" si="1646"/>
        <v>958.19</v>
      </c>
      <c r="AK1172" s="703">
        <f t="shared" si="1646"/>
        <v>1844.1079999999999</v>
      </c>
      <c r="AL1172" s="958">
        <f t="shared" si="1646"/>
        <v>660.06549999999993</v>
      </c>
      <c r="AM1172" s="702">
        <f t="shared" si="1646"/>
        <v>4751.1350000000002</v>
      </c>
      <c r="AN1172" s="703">
        <f t="shared" si="1646"/>
        <v>7019.22</v>
      </c>
      <c r="AO1172" s="703">
        <f t="shared" si="1646"/>
        <v>8627.0789999999997</v>
      </c>
      <c r="AP1172" s="958">
        <f t="shared" si="1646"/>
        <v>5985.415</v>
      </c>
      <c r="AQ1172" s="702">
        <f t="shared" si="1646"/>
        <v>7780.1460000000006</v>
      </c>
      <c r="AR1172" s="703">
        <f t="shared" si="1646"/>
        <v>5543.23</v>
      </c>
      <c r="AS1172" s="703">
        <f t="shared" si="1646"/>
        <v>8686.3060000000005</v>
      </c>
      <c r="AT1172" s="958">
        <f t="shared" si="1646"/>
        <v>8933.58</v>
      </c>
      <c r="AU1172" s="702">
        <f t="shared" si="1646"/>
        <v>4408.241</v>
      </c>
      <c r="AV1172" s="703">
        <f t="shared" si="1646"/>
        <v>1757.1194</v>
      </c>
      <c r="AW1172" s="703">
        <f t="shared" si="1646"/>
        <v>7277.0020000000004</v>
      </c>
      <c r="AX1172" s="958">
        <f t="shared" si="1646"/>
        <v>5440.67</v>
      </c>
      <c r="AY1172" s="702">
        <f t="shared" si="1646"/>
        <v>3819.0450000000001</v>
      </c>
      <c r="AZ1172" s="703">
        <f t="shared" si="1646"/>
        <v>24174.11</v>
      </c>
      <c r="BA1172" s="703">
        <f t="shared" si="1646"/>
        <v>16785.760000000002</v>
      </c>
      <c r="BB1172" s="704">
        <f t="shared" si="1646"/>
        <v>25152.919713899999</v>
      </c>
      <c r="BC1172" s="705">
        <f t="shared" si="1646"/>
        <v>8238.5869999999995</v>
      </c>
      <c r="BD1172" s="703">
        <f t="shared" si="1646"/>
        <v>1247.7737</v>
      </c>
      <c r="BE1172" s="703">
        <f t="shared" si="1646"/>
        <v>8590.6440000000002</v>
      </c>
      <c r="BF1172" s="958">
        <f t="shared" si="1646"/>
        <v>10381.849999999999</v>
      </c>
      <c r="BG1172" s="702">
        <f t="shared" si="1646"/>
        <v>13274.263999999999</v>
      </c>
      <c r="BH1172" s="703">
        <f t="shared" si="1646"/>
        <v>44980.880000000005</v>
      </c>
      <c r="BI1172" s="703">
        <f t="shared" si="1646"/>
        <v>39391.256999999998</v>
      </c>
      <c r="BJ1172" s="704">
        <f t="shared" si="1646"/>
        <v>46801.706022400002</v>
      </c>
      <c r="BK1172" s="705">
        <f t="shared" si="1646"/>
        <v>13923.617</v>
      </c>
      <c r="BL1172" s="703">
        <f t="shared" si="1646"/>
        <v>17850.550000000003</v>
      </c>
      <c r="BM1172" s="703">
        <f t="shared" si="1646"/>
        <v>19115.32</v>
      </c>
      <c r="BN1172" s="958">
        <f t="shared" si="1646"/>
        <v>17019.264999999999</v>
      </c>
      <c r="BO1172" s="702">
        <f t="shared" si="1646"/>
        <v>2649.8739999999998</v>
      </c>
      <c r="BP1172" s="703">
        <f t="shared" si="1646"/>
        <v>1297.42</v>
      </c>
      <c r="BQ1172" s="703">
        <f t="shared" si="1646"/>
        <v>5307.88</v>
      </c>
      <c r="BR1172" s="704">
        <f t="shared" si="1646"/>
        <v>3763.4225639999995</v>
      </c>
      <c r="BS1172" s="705">
        <f t="shared" si="1646"/>
        <v>2396.88</v>
      </c>
      <c r="BT1172" s="703">
        <f t="shared" si="1646"/>
        <v>2088.2400000000002</v>
      </c>
      <c r="BU1172" s="703">
        <f t="shared" si="1646"/>
        <v>2865.16</v>
      </c>
      <c r="BV1172" s="704">
        <f t="shared" si="1646"/>
        <v>3020.4300000000003</v>
      </c>
      <c r="BW1172" s="6"/>
      <c r="BX1172" s="5"/>
      <c r="BY1172" s="706">
        <f t="shared" ref="BY1172:CB1173" si="1647">AE1172+AI1172+AM1172+AQ1172+AU1172+AY1172+BC1172+BG1172+BK1172+BO1172+BS1172</f>
        <v>127480.686</v>
      </c>
      <c r="BZ1172" s="707">
        <f t="shared" si="1647"/>
        <v>188142.4601</v>
      </c>
      <c r="CA1172" s="707">
        <f t="shared" si="1647"/>
        <v>258197.88600000003</v>
      </c>
      <c r="CB1172" s="708">
        <f t="shared" si="1647"/>
        <v>209930.6298003</v>
      </c>
      <c r="CC1172" s="874"/>
    </row>
    <row r="1173" spans="1:81" s="400" customFormat="1" ht="17.25" customHeight="1" x14ac:dyDescent="0.25">
      <c r="A1173" s="5"/>
      <c r="B1173" s="5"/>
      <c r="C1173" s="5"/>
      <c r="D1173" s="5"/>
      <c r="E1173" s="5"/>
      <c r="F1173" s="5"/>
      <c r="G1173" s="5"/>
      <c r="H1173" s="5"/>
      <c r="I1173" s="5"/>
      <c r="J1173" s="5"/>
      <c r="K1173" s="5"/>
      <c r="L1173" s="5"/>
      <c r="M1173" s="5"/>
      <c r="N1173" s="5"/>
      <c r="O1173" s="5"/>
      <c r="P1173" s="5"/>
      <c r="Q1173" s="5"/>
      <c r="R1173" s="5"/>
      <c r="S1173" s="5"/>
      <c r="T1173" s="5"/>
      <c r="U1173" s="5"/>
      <c r="V1173" s="5"/>
      <c r="W1173" s="5"/>
      <c r="X1173" s="5"/>
      <c r="Y1173" s="5"/>
      <c r="Z1173" s="5"/>
      <c r="AA1173" s="5"/>
      <c r="AB1173" s="6"/>
      <c r="AC1173" s="709" t="s">
        <v>720</v>
      </c>
      <c r="AD1173" s="594" t="s">
        <v>111</v>
      </c>
      <c r="AE1173" s="710">
        <f t="shared" ref="AE1173:BV1173" si="1648">AE251+AE599</f>
        <v>91.4</v>
      </c>
      <c r="AF1173" s="711">
        <f t="shared" si="1648"/>
        <v>104.57</v>
      </c>
      <c r="AG1173" s="711">
        <f t="shared" si="1648"/>
        <v>149.51</v>
      </c>
      <c r="AH1173" s="711">
        <f t="shared" si="1648"/>
        <v>100.53999999999999</v>
      </c>
      <c r="AI1173" s="710">
        <f t="shared" si="1648"/>
        <v>0.91999999999999993</v>
      </c>
      <c r="AJ1173" s="711">
        <f t="shared" si="1648"/>
        <v>2</v>
      </c>
      <c r="AK1173" s="711">
        <f t="shared" si="1648"/>
        <v>3.12</v>
      </c>
      <c r="AL1173" s="959">
        <f t="shared" si="1648"/>
        <v>1.33</v>
      </c>
      <c r="AM1173" s="710">
        <f t="shared" si="1648"/>
        <v>6.32</v>
      </c>
      <c r="AN1173" s="711">
        <f t="shared" si="1648"/>
        <v>14.36</v>
      </c>
      <c r="AO1173" s="711">
        <f t="shared" si="1648"/>
        <v>14.7</v>
      </c>
      <c r="AP1173" s="959">
        <f t="shared" si="1648"/>
        <v>6.95</v>
      </c>
      <c r="AQ1173" s="710">
        <f t="shared" si="1648"/>
        <v>9.1</v>
      </c>
      <c r="AR1173" s="711">
        <f t="shared" si="1648"/>
        <v>12.5</v>
      </c>
      <c r="AS1173" s="711">
        <f t="shared" si="1648"/>
        <v>15.5</v>
      </c>
      <c r="AT1173" s="959">
        <f t="shared" si="1648"/>
        <v>9.15</v>
      </c>
      <c r="AU1173" s="710">
        <f t="shared" si="1648"/>
        <v>7.1400000000000006</v>
      </c>
      <c r="AV1173" s="711">
        <f t="shared" si="1648"/>
        <v>4.25</v>
      </c>
      <c r="AW1173" s="711">
        <f t="shared" si="1648"/>
        <v>12.399999999999999</v>
      </c>
      <c r="AX1173" s="959">
        <f t="shared" si="1648"/>
        <v>7.85</v>
      </c>
      <c r="AY1173" s="710">
        <f t="shared" si="1648"/>
        <v>10.309999999999999</v>
      </c>
      <c r="AZ1173" s="711">
        <f t="shared" si="1648"/>
        <v>46.11</v>
      </c>
      <c r="BA1173" s="711">
        <f t="shared" si="1648"/>
        <v>28.799999999999997</v>
      </c>
      <c r="BB1173" s="712">
        <f t="shared" si="1648"/>
        <v>46.11</v>
      </c>
      <c r="BC1173" s="713">
        <f t="shared" si="1648"/>
        <v>11.12</v>
      </c>
      <c r="BD1173" s="711">
        <f t="shared" si="1648"/>
        <v>3</v>
      </c>
      <c r="BE1173" s="711">
        <f t="shared" si="1648"/>
        <v>15</v>
      </c>
      <c r="BF1173" s="959">
        <f t="shared" si="1648"/>
        <v>12.24</v>
      </c>
      <c r="BG1173" s="710">
        <f t="shared" si="1648"/>
        <v>28.1</v>
      </c>
      <c r="BH1173" s="711">
        <f t="shared" si="1648"/>
        <v>78.6437253</v>
      </c>
      <c r="BI1173" s="711">
        <f t="shared" si="1648"/>
        <v>62.8</v>
      </c>
      <c r="BJ1173" s="712">
        <f t="shared" si="1648"/>
        <v>78.639999999999986</v>
      </c>
      <c r="BK1173" s="713">
        <f t="shared" si="1648"/>
        <v>22.560000000000002</v>
      </c>
      <c r="BL1173" s="711">
        <f t="shared" si="1648"/>
        <v>31</v>
      </c>
      <c r="BM1173" s="711">
        <f t="shared" si="1648"/>
        <v>31</v>
      </c>
      <c r="BN1173" s="959">
        <f t="shared" si="1648"/>
        <v>24.2</v>
      </c>
      <c r="BO1173" s="710">
        <f t="shared" si="1648"/>
        <v>4.2300000000000004</v>
      </c>
      <c r="BP1173" s="711">
        <f t="shared" si="1648"/>
        <v>2.48</v>
      </c>
      <c r="BQ1173" s="711">
        <f t="shared" si="1648"/>
        <v>9.5</v>
      </c>
      <c r="BR1173" s="712">
        <f t="shared" si="1648"/>
        <v>4.6500000000000004</v>
      </c>
      <c r="BS1173" s="713">
        <f t="shared" si="1648"/>
        <v>4.4799999999999995</v>
      </c>
      <c r="BT1173" s="711">
        <f t="shared" si="1648"/>
        <v>3.98</v>
      </c>
      <c r="BU1173" s="711">
        <f t="shared" si="1648"/>
        <v>5</v>
      </c>
      <c r="BV1173" s="712">
        <f t="shared" si="1648"/>
        <v>4.92</v>
      </c>
      <c r="BW1173" s="6"/>
      <c r="BX1173" s="5"/>
      <c r="BY1173" s="45">
        <f t="shared" si="1647"/>
        <v>195.67999999999998</v>
      </c>
      <c r="BZ1173" s="46">
        <f t="shared" si="1647"/>
        <v>302.89372530000003</v>
      </c>
      <c r="CA1173" s="46">
        <f t="shared" si="1647"/>
        <v>347.33</v>
      </c>
      <c r="CB1173" s="47">
        <f t="shared" si="1647"/>
        <v>296.58</v>
      </c>
      <c r="CC1173" s="874"/>
    </row>
    <row r="1174" spans="1:81" s="400" customFormat="1" ht="17.25" customHeight="1" x14ac:dyDescent="0.25">
      <c r="A1174" s="5"/>
      <c r="B1174" s="5"/>
      <c r="C1174" s="5"/>
      <c r="D1174" s="5"/>
      <c r="E1174" s="5"/>
      <c r="F1174" s="5"/>
      <c r="G1174" s="5"/>
      <c r="H1174" s="5"/>
      <c r="I1174" s="5"/>
      <c r="J1174" s="5"/>
      <c r="K1174" s="5"/>
      <c r="L1174" s="5"/>
      <c r="M1174" s="5"/>
      <c r="N1174" s="5"/>
      <c r="O1174" s="5"/>
      <c r="P1174" s="5"/>
      <c r="Q1174" s="5"/>
      <c r="R1174" s="5"/>
      <c r="S1174" s="5"/>
      <c r="T1174" s="5"/>
      <c r="U1174" s="5"/>
      <c r="V1174" s="5"/>
      <c r="W1174" s="5"/>
      <c r="X1174" s="5"/>
      <c r="Y1174" s="5"/>
      <c r="Z1174" s="5"/>
      <c r="AA1174" s="5"/>
      <c r="AB1174" s="6"/>
      <c r="AC1174" s="709" t="s">
        <v>718</v>
      </c>
      <c r="AD1174" s="594" t="s">
        <v>111</v>
      </c>
      <c r="AE1174" s="45">
        <f t="shared" ref="AE1174:BV1174" si="1649">(AE1172/AE1173)/12*1000</f>
        <v>59886.706783369809</v>
      </c>
      <c r="AF1174" s="46">
        <f t="shared" si="1649"/>
        <v>64729.94724427021</v>
      </c>
      <c r="AG1174" s="46">
        <f t="shared" si="1649"/>
        <v>77869.579515305566</v>
      </c>
      <c r="AH1174" s="46">
        <f t="shared" si="1649"/>
        <v>68605.61799615412</v>
      </c>
      <c r="AI1174" s="45">
        <f t="shared" si="1649"/>
        <v>50285.960144927536</v>
      </c>
      <c r="AJ1174" s="46">
        <f t="shared" si="1649"/>
        <v>39924.583333333336</v>
      </c>
      <c r="AK1174" s="46">
        <f t="shared" si="1649"/>
        <v>49255.02136752136</v>
      </c>
      <c r="AL1174" s="960">
        <f t="shared" si="1649"/>
        <v>41357.487468671672</v>
      </c>
      <c r="AM1174" s="45">
        <f t="shared" si="1649"/>
        <v>62646.822257383967</v>
      </c>
      <c r="AN1174" s="46">
        <f t="shared" si="1649"/>
        <v>40733.635097493039</v>
      </c>
      <c r="AO1174" s="46">
        <f t="shared" si="1649"/>
        <v>48906.343537414963</v>
      </c>
      <c r="AP1174" s="960">
        <f t="shared" si="1649"/>
        <v>71767.565947242198</v>
      </c>
      <c r="AQ1174" s="45">
        <f t="shared" si="1649"/>
        <v>71246.75824175826</v>
      </c>
      <c r="AR1174" s="46">
        <f t="shared" si="1649"/>
        <v>36954.866666666669</v>
      </c>
      <c r="AS1174" s="46">
        <f t="shared" si="1649"/>
        <v>46700.569892473119</v>
      </c>
      <c r="AT1174" s="960">
        <f t="shared" si="1649"/>
        <v>81362.295081967211</v>
      </c>
      <c r="AU1174" s="45">
        <f t="shared" si="1649"/>
        <v>51450.058356676003</v>
      </c>
      <c r="AV1174" s="46">
        <f t="shared" si="1649"/>
        <v>34453.321568627449</v>
      </c>
      <c r="AW1174" s="46">
        <f t="shared" si="1649"/>
        <v>48904.583333333343</v>
      </c>
      <c r="AX1174" s="960">
        <f t="shared" si="1649"/>
        <v>57756.581740976646</v>
      </c>
      <c r="AY1174" s="45">
        <f t="shared" si="1649"/>
        <v>30868.452958292924</v>
      </c>
      <c r="AZ1174" s="46">
        <f t="shared" si="1649"/>
        <v>43689.203354297693</v>
      </c>
      <c r="BA1174" s="46">
        <f t="shared" si="1649"/>
        <v>48569.907407407423</v>
      </c>
      <c r="BB1174" s="47">
        <f t="shared" si="1649"/>
        <v>45458.179198113205</v>
      </c>
      <c r="BC1174" s="714">
        <f t="shared" si="1649"/>
        <v>61740.010491606721</v>
      </c>
      <c r="BD1174" s="46">
        <f t="shared" si="1649"/>
        <v>34660.380555555552</v>
      </c>
      <c r="BE1174" s="46">
        <f t="shared" si="1649"/>
        <v>47725.8</v>
      </c>
      <c r="BF1174" s="960">
        <f t="shared" si="1649"/>
        <v>70682.52995642701</v>
      </c>
      <c r="BG1174" s="45">
        <f t="shared" si="1649"/>
        <v>39366.144721233686</v>
      </c>
      <c r="BH1174" s="46">
        <f t="shared" si="1649"/>
        <v>47663.13717169076</v>
      </c>
      <c r="BI1174" s="46">
        <f t="shared" si="1649"/>
        <v>52270.776273885356</v>
      </c>
      <c r="BJ1174" s="47">
        <f t="shared" si="1649"/>
        <v>49594.890240759589</v>
      </c>
      <c r="BK1174" s="714">
        <f t="shared" si="1649"/>
        <v>51431.800384160742</v>
      </c>
      <c r="BL1174" s="46">
        <f t="shared" si="1649"/>
        <v>47985.349462365601</v>
      </c>
      <c r="BM1174" s="46">
        <f t="shared" si="1649"/>
        <v>51385.268817204298</v>
      </c>
      <c r="BN1174" s="960">
        <f t="shared" si="1649"/>
        <v>58606.284435261703</v>
      </c>
      <c r="BO1174" s="45">
        <f t="shared" si="1649"/>
        <v>52203.979511426303</v>
      </c>
      <c r="BP1174" s="46">
        <f t="shared" si="1649"/>
        <v>43596.102150537641</v>
      </c>
      <c r="BQ1174" s="46">
        <f t="shared" si="1649"/>
        <v>46560.350877192985</v>
      </c>
      <c r="BR1174" s="47">
        <f t="shared" si="1649"/>
        <v>67444.848817204285</v>
      </c>
      <c r="BS1174" s="714">
        <f t="shared" si="1649"/>
        <v>44584.821428571435</v>
      </c>
      <c r="BT1174" s="46">
        <f t="shared" si="1649"/>
        <v>43723.61809045227</v>
      </c>
      <c r="BU1174" s="46">
        <f t="shared" si="1649"/>
        <v>47752.666666666664</v>
      </c>
      <c r="BV1174" s="47">
        <f t="shared" si="1649"/>
        <v>51159.044715447162</v>
      </c>
      <c r="BW1174" s="6"/>
      <c r="BX1174" s="5"/>
      <c r="BY1174" s="45">
        <f>(BY1172/BY1173)/12*1000</f>
        <v>54289.608033524135</v>
      </c>
      <c r="BZ1174" s="46">
        <f>(BZ1172/BZ1173)/12*1000</f>
        <v>51762.506226029982</v>
      </c>
      <c r="CA1174" s="46">
        <f>(CA1172/CA1173)/12*1000</f>
        <v>61948.263898885794</v>
      </c>
      <c r="CB1174" s="47">
        <f>(CB1172/CB1173)/12*1000</f>
        <v>58986.510047963457</v>
      </c>
      <c r="CC1174" s="874"/>
    </row>
    <row r="1175" spans="1:81" s="400" customFormat="1" ht="17.25" customHeight="1" x14ac:dyDescent="0.25">
      <c r="A1175" s="5"/>
      <c r="B1175" s="5"/>
      <c r="C1175" s="5"/>
      <c r="D1175" s="5"/>
      <c r="E1175" s="5"/>
      <c r="F1175" s="5"/>
      <c r="G1175" s="5"/>
      <c r="H1175" s="5"/>
      <c r="I1175" s="5"/>
      <c r="J1175" s="5"/>
      <c r="K1175" s="5"/>
      <c r="L1175" s="5"/>
      <c r="M1175" s="5"/>
      <c r="N1175" s="5"/>
      <c r="O1175" s="5"/>
      <c r="P1175" s="5"/>
      <c r="Q1175" s="5"/>
      <c r="R1175" s="5"/>
      <c r="S1175" s="5"/>
      <c r="T1175" s="5"/>
      <c r="U1175" s="5"/>
      <c r="V1175" s="5"/>
      <c r="W1175" s="5"/>
      <c r="X1175" s="5"/>
      <c r="Y1175" s="5"/>
      <c r="Z1175" s="5"/>
      <c r="AA1175" s="5"/>
      <c r="AB1175" s="6"/>
      <c r="AC1175" s="715" t="s">
        <v>721</v>
      </c>
      <c r="AD1175" s="701" t="s">
        <v>111</v>
      </c>
      <c r="AE1175" s="702">
        <f t="shared" ref="AE1175:BV1175" si="1650">AE264+AE612</f>
        <v>133886.62</v>
      </c>
      <c r="AF1175" s="703">
        <f t="shared" si="1650"/>
        <v>91489.1</v>
      </c>
      <c r="AG1175" s="703">
        <f t="shared" si="1650"/>
        <v>141220.546</v>
      </c>
      <c r="AH1175" s="703">
        <f t="shared" si="1650"/>
        <v>164464.44</v>
      </c>
      <c r="AI1175" s="702">
        <f t="shared" si="1650"/>
        <v>0</v>
      </c>
      <c r="AJ1175" s="703">
        <f t="shared" si="1650"/>
        <v>141.01</v>
      </c>
      <c r="AK1175" s="703">
        <f t="shared" si="1650"/>
        <v>0</v>
      </c>
      <c r="AL1175" s="958">
        <f t="shared" si="1650"/>
        <v>0</v>
      </c>
      <c r="AM1175" s="702">
        <f t="shared" si="1650"/>
        <v>1897.72</v>
      </c>
      <c r="AN1175" s="703">
        <f t="shared" si="1650"/>
        <v>2304.91</v>
      </c>
      <c r="AO1175" s="703">
        <f t="shared" si="1650"/>
        <v>2257.96</v>
      </c>
      <c r="AP1175" s="958">
        <f t="shared" si="1650"/>
        <v>2392.73</v>
      </c>
      <c r="AQ1175" s="702">
        <f t="shared" si="1650"/>
        <v>5531.2000000000007</v>
      </c>
      <c r="AR1175" s="703">
        <f t="shared" si="1650"/>
        <v>3434.58</v>
      </c>
      <c r="AS1175" s="703">
        <f t="shared" si="1650"/>
        <v>5043.3099999999995</v>
      </c>
      <c r="AT1175" s="958">
        <f t="shared" si="1650"/>
        <v>6124.23</v>
      </c>
      <c r="AU1175" s="702">
        <f t="shared" si="1650"/>
        <v>4690.6400000000003</v>
      </c>
      <c r="AV1175" s="703">
        <f t="shared" si="1650"/>
        <v>816.48209999999995</v>
      </c>
      <c r="AW1175" s="703">
        <f t="shared" si="1650"/>
        <v>3811.11</v>
      </c>
      <c r="AX1175" s="958">
        <f t="shared" si="1650"/>
        <v>5807.585</v>
      </c>
      <c r="AY1175" s="702">
        <f t="shared" si="1650"/>
        <v>4386.2690000000002</v>
      </c>
      <c r="AZ1175" s="703">
        <f t="shared" si="1650"/>
        <v>9306.4599999999991</v>
      </c>
      <c r="BA1175" s="703">
        <f t="shared" si="1650"/>
        <v>6987.4148999999998</v>
      </c>
      <c r="BB1175" s="704">
        <f t="shared" si="1650"/>
        <v>9683.2785653999999</v>
      </c>
      <c r="BC1175" s="705">
        <f t="shared" si="1650"/>
        <v>0</v>
      </c>
      <c r="BD1175" s="703">
        <f t="shared" si="1650"/>
        <v>1256.2769000000001</v>
      </c>
      <c r="BE1175" s="703">
        <f t="shared" si="1650"/>
        <v>2094.1460000000002</v>
      </c>
      <c r="BF1175" s="958">
        <f t="shared" si="1650"/>
        <v>0</v>
      </c>
      <c r="BG1175" s="702">
        <f t="shared" si="1650"/>
        <v>12103.401</v>
      </c>
      <c r="BH1175" s="703">
        <f t="shared" si="1650"/>
        <v>16535.415999999997</v>
      </c>
      <c r="BI1175" s="703">
        <f t="shared" si="1650"/>
        <v>14263.2955</v>
      </c>
      <c r="BJ1175" s="704">
        <f t="shared" si="1650"/>
        <v>17204.769639680002</v>
      </c>
      <c r="BK1175" s="705">
        <f t="shared" si="1650"/>
        <v>0</v>
      </c>
      <c r="BL1175" s="703">
        <f t="shared" si="1650"/>
        <v>0</v>
      </c>
      <c r="BM1175" s="703">
        <f t="shared" si="1650"/>
        <v>0</v>
      </c>
      <c r="BN1175" s="958">
        <f t="shared" si="1650"/>
        <v>0</v>
      </c>
      <c r="BO1175" s="702">
        <f t="shared" si="1650"/>
        <v>0</v>
      </c>
      <c r="BP1175" s="703">
        <f t="shared" si="1650"/>
        <v>0</v>
      </c>
      <c r="BQ1175" s="703">
        <f t="shared" si="1650"/>
        <v>893.36</v>
      </c>
      <c r="BR1175" s="704">
        <f t="shared" si="1650"/>
        <v>0</v>
      </c>
      <c r="BS1175" s="705">
        <f t="shared" si="1650"/>
        <v>0</v>
      </c>
      <c r="BT1175" s="703">
        <f t="shared" si="1650"/>
        <v>0</v>
      </c>
      <c r="BU1175" s="703">
        <f t="shared" si="1650"/>
        <v>2066.3040000000001</v>
      </c>
      <c r="BV1175" s="704">
        <f t="shared" si="1650"/>
        <v>0</v>
      </c>
      <c r="BW1175" s="6"/>
      <c r="BX1175" s="5"/>
      <c r="BY1175" s="706">
        <f t="shared" ref="BY1175:CB1176" si="1651">AE1175+AI1175+AM1175+AQ1175+AU1175+AY1175+BC1175+BG1175+BK1175+BO1175+BS1175</f>
        <v>162495.85000000003</v>
      </c>
      <c r="BZ1175" s="707">
        <f t="shared" si="1651"/>
        <v>125284.23499999999</v>
      </c>
      <c r="CA1175" s="707">
        <f t="shared" si="1651"/>
        <v>178637.44639999999</v>
      </c>
      <c r="CB1175" s="708">
        <f t="shared" si="1651"/>
        <v>205677.03320508002</v>
      </c>
      <c r="CC1175" s="874"/>
    </row>
    <row r="1176" spans="1:81" s="400" customFormat="1" ht="17.25" customHeight="1" x14ac:dyDescent="0.25">
      <c r="A1176" s="5"/>
      <c r="B1176" s="5"/>
      <c r="C1176" s="5"/>
      <c r="D1176" s="5"/>
      <c r="E1176" s="5"/>
      <c r="F1176" s="5"/>
      <c r="G1176" s="5"/>
      <c r="H1176" s="5"/>
      <c r="I1176" s="5"/>
      <c r="J1176" s="5"/>
      <c r="K1176" s="5"/>
      <c r="L1176" s="5"/>
      <c r="M1176" s="5"/>
      <c r="N1176" s="5"/>
      <c r="O1176" s="5"/>
      <c r="P1176" s="5"/>
      <c r="Q1176" s="5"/>
      <c r="R1176" s="5"/>
      <c r="S1176" s="5"/>
      <c r="T1176" s="5"/>
      <c r="U1176" s="5"/>
      <c r="V1176" s="5"/>
      <c r="W1176" s="5"/>
      <c r="X1176" s="5"/>
      <c r="Y1176" s="5"/>
      <c r="Z1176" s="5"/>
      <c r="AA1176" s="5"/>
      <c r="AB1176" s="6"/>
      <c r="AC1176" s="709" t="s">
        <v>720</v>
      </c>
      <c r="AD1176" s="594" t="s">
        <v>111</v>
      </c>
      <c r="AE1176" s="710">
        <f t="shared" ref="AE1176:BV1176" si="1652">AE266+AE614</f>
        <v>139.96</v>
      </c>
      <c r="AF1176" s="711">
        <f t="shared" si="1652"/>
        <v>101.83</v>
      </c>
      <c r="AG1176" s="711">
        <f t="shared" si="1652"/>
        <v>125.69</v>
      </c>
      <c r="AH1176" s="711">
        <f t="shared" si="1652"/>
        <v>153.78</v>
      </c>
      <c r="AI1176" s="710">
        <f t="shared" si="1652"/>
        <v>0</v>
      </c>
      <c r="AJ1176" s="711">
        <f t="shared" si="1652"/>
        <v>0.25</v>
      </c>
      <c r="AK1176" s="711">
        <f t="shared" si="1652"/>
        <v>0</v>
      </c>
      <c r="AL1176" s="959">
        <f t="shared" si="1652"/>
        <v>0</v>
      </c>
      <c r="AM1176" s="710">
        <f t="shared" si="1652"/>
        <v>3.28</v>
      </c>
      <c r="AN1176" s="711">
        <f t="shared" si="1652"/>
        <v>3.81</v>
      </c>
      <c r="AO1176" s="711">
        <f t="shared" si="1652"/>
        <v>3.6</v>
      </c>
      <c r="AP1176" s="959">
        <f t="shared" si="1652"/>
        <v>3.61</v>
      </c>
      <c r="AQ1176" s="710">
        <f t="shared" si="1652"/>
        <v>8.2799999999999994</v>
      </c>
      <c r="AR1176" s="711">
        <f t="shared" si="1652"/>
        <v>7.0699999999999994</v>
      </c>
      <c r="AS1176" s="711">
        <f t="shared" si="1652"/>
        <v>8.1</v>
      </c>
      <c r="AT1176" s="959">
        <f t="shared" si="1652"/>
        <v>7.9499999999999993</v>
      </c>
      <c r="AU1176" s="710">
        <f t="shared" si="1652"/>
        <v>5.83</v>
      </c>
      <c r="AV1176" s="711">
        <f t="shared" si="1652"/>
        <v>1.5699999999999998</v>
      </c>
      <c r="AW1176" s="711">
        <f t="shared" si="1652"/>
        <v>6.1000000000000005</v>
      </c>
      <c r="AX1176" s="959">
        <f t="shared" si="1652"/>
        <v>6.42</v>
      </c>
      <c r="AY1176" s="710">
        <f t="shared" si="1652"/>
        <v>7.6099999999999994</v>
      </c>
      <c r="AZ1176" s="711">
        <f t="shared" si="1652"/>
        <v>15.879999999999999</v>
      </c>
      <c r="BA1176" s="711">
        <f t="shared" si="1652"/>
        <v>11.2</v>
      </c>
      <c r="BB1176" s="712">
        <f t="shared" si="1652"/>
        <v>15.879999999999999</v>
      </c>
      <c r="BC1176" s="713">
        <f t="shared" si="1652"/>
        <v>0</v>
      </c>
      <c r="BD1176" s="711">
        <f t="shared" si="1652"/>
        <v>2.41</v>
      </c>
      <c r="BE1176" s="711">
        <f t="shared" si="1652"/>
        <v>3.5</v>
      </c>
      <c r="BF1176" s="959">
        <f t="shared" si="1652"/>
        <v>0</v>
      </c>
      <c r="BG1176" s="710">
        <f t="shared" si="1652"/>
        <v>16</v>
      </c>
      <c r="BH1176" s="711">
        <f t="shared" si="1652"/>
        <v>26.7</v>
      </c>
      <c r="BI1176" s="711">
        <f t="shared" si="1652"/>
        <v>22.8</v>
      </c>
      <c r="BJ1176" s="712">
        <f t="shared" si="1652"/>
        <v>26.7</v>
      </c>
      <c r="BK1176" s="713">
        <f t="shared" si="1652"/>
        <v>0</v>
      </c>
      <c r="BL1176" s="711">
        <f t="shared" si="1652"/>
        <v>0</v>
      </c>
      <c r="BM1176" s="711">
        <f t="shared" si="1652"/>
        <v>0</v>
      </c>
      <c r="BN1176" s="959">
        <f t="shared" si="1652"/>
        <v>0</v>
      </c>
      <c r="BO1176" s="710">
        <f t="shared" si="1652"/>
        <v>0</v>
      </c>
      <c r="BP1176" s="711">
        <f t="shared" si="1652"/>
        <v>0</v>
      </c>
      <c r="BQ1176" s="711">
        <f t="shared" si="1652"/>
        <v>1</v>
      </c>
      <c r="BR1176" s="712">
        <f t="shared" si="1652"/>
        <v>0</v>
      </c>
      <c r="BS1176" s="713">
        <f t="shared" si="1652"/>
        <v>0</v>
      </c>
      <c r="BT1176" s="711">
        <f t="shared" si="1652"/>
        <v>0</v>
      </c>
      <c r="BU1176" s="711">
        <f t="shared" si="1652"/>
        <v>4</v>
      </c>
      <c r="BV1176" s="712">
        <f t="shared" si="1652"/>
        <v>0</v>
      </c>
      <c r="BW1176" s="6"/>
      <c r="BX1176" s="5"/>
      <c r="BY1176" s="45">
        <f t="shared" si="1651"/>
        <v>180.96000000000004</v>
      </c>
      <c r="BZ1176" s="46">
        <f t="shared" si="1651"/>
        <v>159.51999999999998</v>
      </c>
      <c r="CA1176" s="46">
        <f t="shared" si="1651"/>
        <v>185.98999999999998</v>
      </c>
      <c r="CB1176" s="47">
        <f t="shared" si="1651"/>
        <v>214.33999999999997</v>
      </c>
      <c r="CC1176" s="874"/>
    </row>
    <row r="1177" spans="1:81" s="400" customFormat="1" ht="17.25" customHeight="1" x14ac:dyDescent="0.25">
      <c r="A1177" s="5"/>
      <c r="B1177" s="5"/>
      <c r="C1177" s="5"/>
      <c r="D1177" s="5"/>
      <c r="E1177" s="5"/>
      <c r="F1177" s="5"/>
      <c r="G1177" s="5"/>
      <c r="H1177" s="5"/>
      <c r="I1177" s="5"/>
      <c r="J1177" s="5"/>
      <c r="K1177" s="5"/>
      <c r="L1177" s="5"/>
      <c r="M1177" s="5"/>
      <c r="N1177" s="5"/>
      <c r="O1177" s="5"/>
      <c r="P1177" s="5"/>
      <c r="Q1177" s="5"/>
      <c r="R1177" s="5"/>
      <c r="S1177" s="5"/>
      <c r="T1177" s="5"/>
      <c r="U1177" s="5"/>
      <c r="V1177" s="5"/>
      <c r="W1177" s="5"/>
      <c r="X1177" s="5"/>
      <c r="Y1177" s="5"/>
      <c r="Z1177" s="5"/>
      <c r="AA1177" s="5"/>
      <c r="AB1177" s="6"/>
      <c r="AC1177" s="716" t="s">
        <v>718</v>
      </c>
      <c r="AD1177" s="594" t="s">
        <v>111</v>
      </c>
      <c r="AE1177" s="45">
        <f t="shared" ref="AE1177:BV1177" si="1653">(AE1175/AE1176)/12*1000</f>
        <v>79717.193007525944</v>
      </c>
      <c r="AF1177" s="46">
        <f t="shared" si="1653"/>
        <v>74870.781367638891</v>
      </c>
      <c r="AG1177" s="46">
        <f t="shared" si="1653"/>
        <v>93630.192006789192</v>
      </c>
      <c r="AH1177" s="46">
        <f t="shared" si="1653"/>
        <v>89123.227988034851</v>
      </c>
      <c r="AI1177" s="45" t="e">
        <f t="shared" si="1653"/>
        <v>#DIV/0!</v>
      </c>
      <c r="AJ1177" s="46">
        <f t="shared" si="1653"/>
        <v>47003.333333333328</v>
      </c>
      <c r="AK1177" s="46" t="e">
        <f t="shared" si="1653"/>
        <v>#DIV/0!</v>
      </c>
      <c r="AL1177" s="960" t="e">
        <f t="shared" si="1653"/>
        <v>#DIV/0!</v>
      </c>
      <c r="AM1177" s="45">
        <f t="shared" si="1653"/>
        <v>48214.430894308949</v>
      </c>
      <c r="AN1177" s="46">
        <f t="shared" si="1653"/>
        <v>50413.604549431322</v>
      </c>
      <c r="AO1177" s="46">
        <f t="shared" si="1653"/>
        <v>52267.592592592591</v>
      </c>
      <c r="AP1177" s="960">
        <f t="shared" si="1653"/>
        <v>55233.841181902128</v>
      </c>
      <c r="AQ1177" s="45">
        <f t="shared" si="1653"/>
        <v>55668.276972624815</v>
      </c>
      <c r="AR1177" s="46">
        <f t="shared" si="1653"/>
        <v>40483.026874115989</v>
      </c>
      <c r="AS1177" s="46">
        <f t="shared" si="1653"/>
        <v>51885.905349794237</v>
      </c>
      <c r="AT1177" s="960">
        <f t="shared" si="1653"/>
        <v>64195.283018867929</v>
      </c>
      <c r="AU1177" s="45">
        <f t="shared" si="1653"/>
        <v>67047.455688965129</v>
      </c>
      <c r="AV1177" s="46">
        <f t="shared" si="1653"/>
        <v>43337.691082802543</v>
      </c>
      <c r="AW1177" s="46">
        <f t="shared" si="1653"/>
        <v>52064.344262295075</v>
      </c>
      <c r="AX1177" s="960">
        <f t="shared" si="1653"/>
        <v>75384.021287642783</v>
      </c>
      <c r="AY1177" s="45">
        <f t="shared" si="1653"/>
        <v>48031.855015330715</v>
      </c>
      <c r="AZ1177" s="46">
        <f t="shared" si="1653"/>
        <v>48837.426532325771</v>
      </c>
      <c r="BA1177" s="46">
        <f t="shared" si="1653"/>
        <v>51989.694196428565</v>
      </c>
      <c r="BB1177" s="47">
        <f t="shared" si="1653"/>
        <v>50814.853932619648</v>
      </c>
      <c r="BC1177" s="714" t="e">
        <f t="shared" si="1653"/>
        <v>#DIV/0!</v>
      </c>
      <c r="BD1177" s="46">
        <f t="shared" si="1653"/>
        <v>43439.726832641776</v>
      </c>
      <c r="BE1177" s="46">
        <f t="shared" si="1653"/>
        <v>49860.619047619053</v>
      </c>
      <c r="BF1177" s="960" t="e">
        <f t="shared" si="1653"/>
        <v>#DIV/0!</v>
      </c>
      <c r="BG1177" s="45">
        <f t="shared" si="1653"/>
        <v>63038.546875</v>
      </c>
      <c r="BH1177" s="46">
        <f t="shared" si="1653"/>
        <v>51608.664169787764</v>
      </c>
      <c r="BI1177" s="46">
        <f t="shared" si="1653"/>
        <v>52131.927997076018</v>
      </c>
      <c r="BJ1177" s="47">
        <f t="shared" si="1653"/>
        <v>53697.782895380784</v>
      </c>
      <c r="BK1177" s="714" t="e">
        <f t="shared" si="1653"/>
        <v>#DIV/0!</v>
      </c>
      <c r="BL1177" s="46" t="e">
        <f t="shared" si="1653"/>
        <v>#DIV/0!</v>
      </c>
      <c r="BM1177" s="46" t="e">
        <f t="shared" si="1653"/>
        <v>#DIV/0!</v>
      </c>
      <c r="BN1177" s="960" t="e">
        <f t="shared" si="1653"/>
        <v>#DIV/0!</v>
      </c>
      <c r="BO1177" s="45" t="e">
        <f t="shared" si="1653"/>
        <v>#DIV/0!</v>
      </c>
      <c r="BP1177" s="46" t="e">
        <f t="shared" si="1653"/>
        <v>#DIV/0!</v>
      </c>
      <c r="BQ1177" s="46">
        <f t="shared" si="1653"/>
        <v>74446.666666666672</v>
      </c>
      <c r="BR1177" s="47" t="e">
        <f t="shared" si="1653"/>
        <v>#DIV/0!</v>
      </c>
      <c r="BS1177" s="714" t="e">
        <f t="shared" si="1653"/>
        <v>#DIV/0!</v>
      </c>
      <c r="BT1177" s="46" t="e">
        <f t="shared" si="1653"/>
        <v>#DIV/0!</v>
      </c>
      <c r="BU1177" s="46">
        <f t="shared" si="1653"/>
        <v>43048</v>
      </c>
      <c r="BV1177" s="47" t="e">
        <f t="shared" si="1653"/>
        <v>#DIV/0!</v>
      </c>
      <c r="BW1177" s="6"/>
      <c r="BX1177" s="5"/>
      <c r="BY1177" s="45">
        <f>(BY1175/BY1176)/12*1000</f>
        <v>74830.464375184209</v>
      </c>
      <c r="BZ1177" s="46">
        <f>(BZ1175/BZ1176)/12*1000</f>
        <v>65448.551383316611</v>
      </c>
      <c r="CA1177" s="46">
        <f>(CA1175/CA1176)/12*1000</f>
        <v>80039.001380002519</v>
      </c>
      <c r="CB1177" s="47">
        <f>(CB1175/CB1176)/12*1000</f>
        <v>79965.255048474399</v>
      </c>
      <c r="CC1177" s="874"/>
    </row>
    <row r="1178" spans="1:81" s="400" customFormat="1" ht="17.25" customHeight="1" x14ac:dyDescent="0.25">
      <c r="A1178" s="5"/>
      <c r="B1178" s="5"/>
      <c r="C1178" s="5"/>
      <c r="D1178" s="5"/>
      <c r="E1178" s="5"/>
      <c r="F1178" s="5"/>
      <c r="G1178" s="5"/>
      <c r="H1178" s="5"/>
      <c r="I1178" s="5"/>
      <c r="J1178" s="5"/>
      <c r="K1178" s="5"/>
      <c r="L1178" s="5"/>
      <c r="M1178" s="5"/>
      <c r="N1178" s="5"/>
      <c r="O1178" s="5"/>
      <c r="P1178" s="5"/>
      <c r="Q1178" s="5"/>
      <c r="R1178" s="5"/>
      <c r="S1178" s="5"/>
      <c r="T1178" s="5"/>
      <c r="U1178" s="5"/>
      <c r="V1178" s="5"/>
      <c r="W1178" s="5"/>
      <c r="X1178" s="5"/>
      <c r="Y1178" s="5"/>
      <c r="Z1178" s="5"/>
      <c r="AA1178" s="5"/>
      <c r="AB1178" s="6"/>
      <c r="AC1178" s="715" t="s">
        <v>722</v>
      </c>
      <c r="AD1178" s="701" t="s">
        <v>111</v>
      </c>
      <c r="AE1178" s="702">
        <f t="shared" ref="AE1178:BV1178" si="1654">AE308+AE643</f>
        <v>93457.509000000005</v>
      </c>
      <c r="AF1178" s="703">
        <f t="shared" si="1654"/>
        <v>99540.65</v>
      </c>
      <c r="AG1178" s="703">
        <f t="shared" si="1654"/>
        <v>113763.223</v>
      </c>
      <c r="AH1178" s="703">
        <f t="shared" si="1654"/>
        <v>110660.5</v>
      </c>
      <c r="AI1178" s="702">
        <f t="shared" si="1654"/>
        <v>0</v>
      </c>
      <c r="AJ1178" s="703">
        <f t="shared" si="1654"/>
        <v>0</v>
      </c>
      <c r="AK1178" s="703">
        <f t="shared" si="1654"/>
        <v>0</v>
      </c>
      <c r="AL1178" s="958">
        <f t="shared" si="1654"/>
        <v>0</v>
      </c>
      <c r="AM1178" s="702">
        <f t="shared" si="1654"/>
        <v>1838.441</v>
      </c>
      <c r="AN1178" s="703">
        <f t="shared" si="1654"/>
        <v>0</v>
      </c>
      <c r="AO1178" s="703">
        <f t="shared" si="1654"/>
        <v>2685.1192000000001</v>
      </c>
      <c r="AP1178" s="958">
        <f t="shared" si="1654"/>
        <v>2316.71</v>
      </c>
      <c r="AQ1178" s="702">
        <f t="shared" si="1654"/>
        <v>4111.3069999999998</v>
      </c>
      <c r="AR1178" s="703">
        <f t="shared" si="1654"/>
        <v>0</v>
      </c>
      <c r="AS1178" s="703">
        <f t="shared" si="1654"/>
        <v>4801.558</v>
      </c>
      <c r="AT1178" s="958">
        <f t="shared" si="1654"/>
        <v>5180.8600000000006</v>
      </c>
      <c r="AU1178" s="702">
        <f t="shared" si="1654"/>
        <v>3034.7249999999999</v>
      </c>
      <c r="AV1178" s="703">
        <f t="shared" si="1654"/>
        <v>0</v>
      </c>
      <c r="AW1178" s="703">
        <f t="shared" si="1654"/>
        <v>3017.3589999999999</v>
      </c>
      <c r="AX1178" s="958">
        <f t="shared" si="1654"/>
        <v>3824.2040000000002</v>
      </c>
      <c r="AY1178" s="702">
        <f t="shared" si="1654"/>
        <v>3432.8059999999996</v>
      </c>
      <c r="AZ1178" s="703">
        <f t="shared" si="1654"/>
        <v>7876.7199999999993</v>
      </c>
      <c r="BA1178" s="703">
        <f t="shared" si="1654"/>
        <v>6555.3809999999994</v>
      </c>
      <c r="BB1178" s="704">
        <f t="shared" si="1654"/>
        <v>8195.648392799998</v>
      </c>
      <c r="BC1178" s="705">
        <f t="shared" si="1654"/>
        <v>2723.576</v>
      </c>
      <c r="BD1178" s="703">
        <f t="shared" si="1654"/>
        <v>0</v>
      </c>
      <c r="BE1178" s="703">
        <f t="shared" si="1654"/>
        <v>3954.3710000000001</v>
      </c>
      <c r="BF1178" s="958">
        <f t="shared" si="1654"/>
        <v>3432.1118999999999</v>
      </c>
      <c r="BG1178" s="702">
        <f t="shared" si="1654"/>
        <v>5071.6540000000005</v>
      </c>
      <c r="BH1178" s="703">
        <f t="shared" si="1654"/>
        <v>5578.5124999999998</v>
      </c>
      <c r="BI1178" s="703">
        <f t="shared" si="1654"/>
        <v>5895.04</v>
      </c>
      <c r="BJ1178" s="704">
        <f t="shared" si="1654"/>
        <v>5804.3306860000002</v>
      </c>
      <c r="BK1178" s="705">
        <f t="shared" si="1654"/>
        <v>6702.2129999999997</v>
      </c>
      <c r="BL1178" s="703">
        <f t="shared" si="1654"/>
        <v>0</v>
      </c>
      <c r="BM1178" s="703">
        <f t="shared" si="1654"/>
        <v>7374.5776000000005</v>
      </c>
      <c r="BN1178" s="958">
        <f t="shared" si="1654"/>
        <v>8332.86</v>
      </c>
      <c r="BO1178" s="702">
        <f t="shared" si="1654"/>
        <v>392.16</v>
      </c>
      <c r="BP1178" s="703">
        <f t="shared" si="1654"/>
        <v>0</v>
      </c>
      <c r="BQ1178" s="703">
        <f t="shared" si="1654"/>
        <v>463.22</v>
      </c>
      <c r="BR1178" s="704">
        <f t="shared" si="1654"/>
        <v>555.17079919999992</v>
      </c>
      <c r="BS1178" s="705">
        <f t="shared" si="1654"/>
        <v>2396.94</v>
      </c>
      <c r="BT1178" s="703">
        <f t="shared" si="1654"/>
        <v>0</v>
      </c>
      <c r="BU1178" s="703">
        <f t="shared" si="1654"/>
        <v>2833.86</v>
      </c>
      <c r="BV1178" s="704">
        <f t="shared" si="1654"/>
        <v>3020.5050000000001</v>
      </c>
      <c r="BW1178" s="6"/>
      <c r="BX1178" s="5"/>
      <c r="BY1178" s="706">
        <f t="shared" ref="BY1178:CB1179" si="1655">AE1178+AI1178+AM1178+AQ1178+AU1178+AY1178+BC1178+BG1178+BK1178+BO1178+BS1178</f>
        <v>123161.33100000002</v>
      </c>
      <c r="BZ1178" s="707">
        <f t="shared" si="1655"/>
        <v>112995.88249999999</v>
      </c>
      <c r="CA1178" s="707">
        <f t="shared" si="1655"/>
        <v>151343.70879999999</v>
      </c>
      <c r="CB1178" s="708">
        <f t="shared" si="1655"/>
        <v>151322.90077799998</v>
      </c>
      <c r="CC1178" s="874"/>
    </row>
    <row r="1179" spans="1:81" s="400" customFormat="1" ht="17.25" customHeight="1" x14ac:dyDescent="0.25">
      <c r="A1179" s="5"/>
      <c r="B1179" s="5"/>
      <c r="C1179" s="5"/>
      <c r="D1179" s="5"/>
      <c r="E1179" s="5"/>
      <c r="F1179" s="5"/>
      <c r="G1179" s="5"/>
      <c r="H1179" s="5"/>
      <c r="I1179" s="5"/>
      <c r="J1179" s="5"/>
      <c r="K1179" s="5"/>
      <c r="L1179" s="5"/>
      <c r="M1179" s="5"/>
      <c r="N1179" s="5"/>
      <c r="O1179" s="5"/>
      <c r="P1179" s="5"/>
      <c r="Q1179" s="5"/>
      <c r="R1179" s="5"/>
      <c r="S1179" s="5"/>
      <c r="T1179" s="5"/>
      <c r="U1179" s="5"/>
      <c r="V1179" s="5"/>
      <c r="W1179" s="5"/>
      <c r="X1179" s="5"/>
      <c r="Y1179" s="5"/>
      <c r="Z1179" s="5"/>
      <c r="AA1179" s="5"/>
      <c r="AB1179" s="6"/>
      <c r="AC1179" s="709" t="s">
        <v>720</v>
      </c>
      <c r="AD1179" s="594" t="s">
        <v>111</v>
      </c>
      <c r="AE1179" s="710">
        <f t="shared" ref="AE1179:BV1179" si="1656">AE310+AE645</f>
        <v>125.7</v>
      </c>
      <c r="AF1179" s="711">
        <f t="shared" si="1656"/>
        <v>132.5</v>
      </c>
      <c r="AG1179" s="711">
        <f t="shared" si="1656"/>
        <v>153</v>
      </c>
      <c r="AH1179" s="711">
        <f t="shared" si="1656"/>
        <v>130.04000000000002</v>
      </c>
      <c r="AI1179" s="710">
        <f t="shared" si="1656"/>
        <v>0</v>
      </c>
      <c r="AJ1179" s="711">
        <f t="shared" si="1656"/>
        <v>0</v>
      </c>
      <c r="AK1179" s="711">
        <f t="shared" si="1656"/>
        <v>0</v>
      </c>
      <c r="AL1179" s="959">
        <f t="shared" si="1656"/>
        <v>0</v>
      </c>
      <c r="AM1179" s="710">
        <f t="shared" si="1656"/>
        <v>2.9</v>
      </c>
      <c r="AN1179" s="711">
        <f t="shared" si="1656"/>
        <v>0</v>
      </c>
      <c r="AO1179" s="711">
        <f t="shared" si="1656"/>
        <v>4.5999999999999996</v>
      </c>
      <c r="AP1179" s="959">
        <f t="shared" si="1656"/>
        <v>3.19</v>
      </c>
      <c r="AQ1179" s="710">
        <f t="shared" si="1656"/>
        <v>6.3</v>
      </c>
      <c r="AR1179" s="711">
        <f t="shared" si="1656"/>
        <v>0</v>
      </c>
      <c r="AS1179" s="711">
        <f t="shared" si="1656"/>
        <v>8</v>
      </c>
      <c r="AT1179" s="959">
        <f t="shared" si="1656"/>
        <v>6.93</v>
      </c>
      <c r="AU1179" s="710">
        <f t="shared" si="1656"/>
        <v>4.8000000000000007</v>
      </c>
      <c r="AV1179" s="711">
        <f t="shared" si="1656"/>
        <v>0</v>
      </c>
      <c r="AW1179" s="711">
        <f t="shared" si="1656"/>
        <v>5</v>
      </c>
      <c r="AX1179" s="959">
        <f t="shared" si="1656"/>
        <v>5.2799999999999994</v>
      </c>
      <c r="AY1179" s="710">
        <f t="shared" si="1656"/>
        <v>5.3</v>
      </c>
      <c r="AZ1179" s="711">
        <f t="shared" si="1656"/>
        <v>13.690000000000001</v>
      </c>
      <c r="BA1179" s="711">
        <f t="shared" si="1656"/>
        <v>10.9</v>
      </c>
      <c r="BB1179" s="712">
        <f t="shared" si="1656"/>
        <v>13.690000000000001</v>
      </c>
      <c r="BC1179" s="713">
        <f t="shared" si="1656"/>
        <v>5</v>
      </c>
      <c r="BD1179" s="711">
        <f t="shared" si="1656"/>
        <v>0</v>
      </c>
      <c r="BE1179" s="711">
        <f t="shared" si="1656"/>
        <v>7</v>
      </c>
      <c r="BF1179" s="959">
        <f t="shared" si="1656"/>
        <v>5.5</v>
      </c>
      <c r="BG1179" s="710">
        <f t="shared" si="1656"/>
        <v>9</v>
      </c>
      <c r="BH1179" s="711">
        <f t="shared" si="1656"/>
        <v>10</v>
      </c>
      <c r="BI1179" s="711">
        <f t="shared" si="1656"/>
        <v>10</v>
      </c>
      <c r="BJ1179" s="712">
        <f t="shared" si="1656"/>
        <v>10</v>
      </c>
      <c r="BK1179" s="713">
        <f t="shared" si="1656"/>
        <v>12.738</v>
      </c>
      <c r="BL1179" s="711">
        <f t="shared" si="1656"/>
        <v>0</v>
      </c>
      <c r="BM1179" s="711">
        <f t="shared" si="1656"/>
        <v>12.74</v>
      </c>
      <c r="BN1179" s="959">
        <f t="shared" si="1656"/>
        <v>13.82</v>
      </c>
      <c r="BO1179" s="710">
        <f t="shared" si="1656"/>
        <v>0.82</v>
      </c>
      <c r="BP1179" s="711">
        <f t="shared" si="1656"/>
        <v>0</v>
      </c>
      <c r="BQ1179" s="711">
        <f t="shared" si="1656"/>
        <v>1</v>
      </c>
      <c r="BR1179" s="712">
        <f t="shared" si="1656"/>
        <v>0.9</v>
      </c>
      <c r="BS1179" s="713">
        <f t="shared" si="1656"/>
        <v>5</v>
      </c>
      <c r="BT1179" s="711">
        <f t="shared" si="1656"/>
        <v>0</v>
      </c>
      <c r="BU1179" s="711">
        <f t="shared" si="1656"/>
        <v>6</v>
      </c>
      <c r="BV1179" s="712">
        <f t="shared" si="1656"/>
        <v>5.5</v>
      </c>
      <c r="BW1179" s="6"/>
      <c r="BX1179" s="5"/>
      <c r="BY1179" s="45">
        <f t="shared" si="1655"/>
        <v>177.55800000000002</v>
      </c>
      <c r="BZ1179" s="46">
        <f t="shared" si="1655"/>
        <v>156.19</v>
      </c>
      <c r="CA1179" s="46">
        <f t="shared" si="1655"/>
        <v>218.24</v>
      </c>
      <c r="CB1179" s="47">
        <f t="shared" si="1655"/>
        <v>194.85000000000002</v>
      </c>
      <c r="CC1179" s="874"/>
    </row>
    <row r="1180" spans="1:81" s="400" customFormat="1" ht="17.25" customHeight="1" thickBot="1" x14ac:dyDescent="0.3">
      <c r="A1180" s="5"/>
      <c r="B1180" s="5"/>
      <c r="C1180" s="5"/>
      <c r="D1180" s="5"/>
      <c r="E1180" s="5"/>
      <c r="F1180" s="5"/>
      <c r="G1180" s="5"/>
      <c r="H1180" s="5"/>
      <c r="I1180" s="5"/>
      <c r="J1180" s="5"/>
      <c r="K1180" s="5"/>
      <c r="L1180" s="5"/>
      <c r="M1180" s="5"/>
      <c r="N1180" s="5"/>
      <c r="O1180" s="5"/>
      <c r="P1180" s="5"/>
      <c r="Q1180" s="5"/>
      <c r="R1180" s="5"/>
      <c r="S1180" s="5"/>
      <c r="T1180" s="5"/>
      <c r="U1180" s="5"/>
      <c r="V1180" s="5"/>
      <c r="W1180" s="5"/>
      <c r="X1180" s="5"/>
      <c r="Y1180" s="5"/>
      <c r="Z1180" s="5"/>
      <c r="AA1180" s="5"/>
      <c r="AB1180" s="6"/>
      <c r="AC1180" s="716" t="s">
        <v>718</v>
      </c>
      <c r="AD1180" s="717" t="s">
        <v>111</v>
      </c>
      <c r="AE1180" s="718">
        <f t="shared" ref="AE1180:BV1180" si="1657">(AE1178/AE1179)/12*1000</f>
        <v>61958.040970564834</v>
      </c>
      <c r="AF1180" s="719">
        <f t="shared" si="1657"/>
        <v>62604.182389937101</v>
      </c>
      <c r="AG1180" s="719">
        <f t="shared" si="1657"/>
        <v>61962.539760348584</v>
      </c>
      <c r="AH1180" s="719">
        <f t="shared" si="1657"/>
        <v>70914.398133907511</v>
      </c>
      <c r="AI1180" s="718" t="e">
        <f t="shared" si="1657"/>
        <v>#DIV/0!</v>
      </c>
      <c r="AJ1180" s="719" t="e">
        <f t="shared" si="1657"/>
        <v>#DIV/0!</v>
      </c>
      <c r="AK1180" s="719" t="e">
        <f t="shared" si="1657"/>
        <v>#DIV/0!</v>
      </c>
      <c r="AL1180" s="961" t="e">
        <f t="shared" si="1657"/>
        <v>#DIV/0!</v>
      </c>
      <c r="AM1180" s="718">
        <f t="shared" si="1657"/>
        <v>52828.764367816089</v>
      </c>
      <c r="AN1180" s="719" t="e">
        <f t="shared" si="1657"/>
        <v>#DIV/0!</v>
      </c>
      <c r="AO1180" s="719">
        <f t="shared" si="1657"/>
        <v>48643.463768115944</v>
      </c>
      <c r="AP1180" s="961">
        <f t="shared" si="1657"/>
        <v>60520.114942528744</v>
      </c>
      <c r="AQ1180" s="718">
        <f t="shared" si="1657"/>
        <v>54382.36772486772</v>
      </c>
      <c r="AR1180" s="719" t="e">
        <f t="shared" si="1657"/>
        <v>#DIV/0!</v>
      </c>
      <c r="AS1180" s="719">
        <f t="shared" si="1657"/>
        <v>50016.229166666672</v>
      </c>
      <c r="AT1180" s="961">
        <f t="shared" si="1657"/>
        <v>62299.903799903812</v>
      </c>
      <c r="AU1180" s="718">
        <f t="shared" si="1657"/>
        <v>52686.197916666657</v>
      </c>
      <c r="AV1180" s="719" t="e">
        <f t="shared" si="1657"/>
        <v>#DIV/0!</v>
      </c>
      <c r="AW1180" s="719">
        <f t="shared" si="1657"/>
        <v>50289.316666666673</v>
      </c>
      <c r="AX1180" s="961">
        <f t="shared" si="1657"/>
        <v>60356.75505050506</v>
      </c>
      <c r="AY1180" s="962">
        <f t="shared" si="1657"/>
        <v>53974.937106918238</v>
      </c>
      <c r="AZ1180" s="963">
        <f t="shared" si="1657"/>
        <v>47946.91989286583</v>
      </c>
      <c r="BA1180" s="963">
        <f t="shared" si="1657"/>
        <v>50117.591743119257</v>
      </c>
      <c r="BB1180" s="964">
        <f t="shared" si="1657"/>
        <v>49888.290679327962</v>
      </c>
      <c r="BC1180" s="721">
        <f t="shared" si="1657"/>
        <v>45392.933333333334</v>
      </c>
      <c r="BD1180" s="719" t="e">
        <f t="shared" si="1657"/>
        <v>#DIV/0!</v>
      </c>
      <c r="BE1180" s="719">
        <f t="shared" si="1657"/>
        <v>47075.845238095244</v>
      </c>
      <c r="BF1180" s="961">
        <f t="shared" si="1657"/>
        <v>52001.695454545457</v>
      </c>
      <c r="BG1180" s="718">
        <f t="shared" si="1657"/>
        <v>46959.759259259263</v>
      </c>
      <c r="BH1180" s="719">
        <f t="shared" si="1657"/>
        <v>46487.604166666664</v>
      </c>
      <c r="BI1180" s="719">
        <f t="shared" si="1657"/>
        <v>49125.333333333336</v>
      </c>
      <c r="BJ1180" s="720">
        <f t="shared" si="1657"/>
        <v>48369.422383333338</v>
      </c>
      <c r="BK1180" s="721">
        <f t="shared" si="1657"/>
        <v>43846.581095933434</v>
      </c>
      <c r="BL1180" s="719" t="e">
        <f t="shared" si="1657"/>
        <v>#DIV/0!</v>
      </c>
      <c r="BM1180" s="719">
        <f t="shared" si="1657"/>
        <v>48237.687074829926</v>
      </c>
      <c r="BN1180" s="961">
        <f t="shared" si="1657"/>
        <v>50246.38205499277</v>
      </c>
      <c r="BO1180" s="718">
        <f t="shared" si="1657"/>
        <v>39853.658536585368</v>
      </c>
      <c r="BP1180" s="719" t="e">
        <f t="shared" si="1657"/>
        <v>#DIV/0!</v>
      </c>
      <c r="BQ1180" s="719">
        <f t="shared" si="1657"/>
        <v>38601.666666666664</v>
      </c>
      <c r="BR1180" s="720">
        <f t="shared" si="1657"/>
        <v>51404.703629629614</v>
      </c>
      <c r="BS1180" s="721">
        <f t="shared" si="1657"/>
        <v>39949.000000000007</v>
      </c>
      <c r="BT1180" s="719" t="e">
        <f t="shared" si="1657"/>
        <v>#DIV/0!</v>
      </c>
      <c r="BU1180" s="719">
        <f t="shared" si="1657"/>
        <v>39359.166666666664</v>
      </c>
      <c r="BV1180" s="720">
        <f t="shared" si="1657"/>
        <v>45765.227272727279</v>
      </c>
      <c r="BW1180" s="6"/>
      <c r="BX1180" s="5"/>
      <c r="BY1180" s="962">
        <f>(BY1178/BY1179)/12*1000</f>
        <v>57803.333277013706</v>
      </c>
      <c r="BZ1180" s="963">
        <f>(BZ1178/BZ1179)/12*1000</f>
        <v>60287.621113174122</v>
      </c>
      <c r="CA1180" s="963">
        <f>(CA1178/CA1179)/12*1000</f>
        <v>57789.47825024437</v>
      </c>
      <c r="CB1180" s="964">
        <f>(CB1178/CB1179)/12*1000</f>
        <v>64717.68915319474</v>
      </c>
      <c r="CC1180" s="874"/>
    </row>
    <row r="1181" spans="1:81" s="732" customFormat="1" ht="28.5" customHeight="1" thickBot="1" x14ac:dyDescent="0.3">
      <c r="A1181" s="722"/>
      <c r="B1181" s="722"/>
      <c r="C1181" s="722"/>
      <c r="D1181" s="722"/>
      <c r="E1181" s="722"/>
      <c r="F1181" s="722"/>
      <c r="G1181" s="722"/>
      <c r="H1181" s="722"/>
      <c r="I1181" s="722"/>
      <c r="J1181" s="722"/>
      <c r="K1181" s="722"/>
      <c r="L1181" s="722"/>
      <c r="M1181" s="722"/>
      <c r="N1181" s="722"/>
      <c r="O1181" s="722"/>
      <c r="P1181" s="722"/>
      <c r="Q1181" s="722"/>
      <c r="R1181" s="722"/>
      <c r="S1181" s="722"/>
      <c r="T1181" s="722"/>
      <c r="U1181" s="722"/>
      <c r="V1181" s="722"/>
      <c r="W1181" s="722"/>
      <c r="X1181" s="722"/>
      <c r="Y1181" s="722"/>
      <c r="Z1181" s="722"/>
      <c r="AA1181" s="722"/>
      <c r="AB1181" s="723"/>
      <c r="AC1181" s="724" t="s">
        <v>723</v>
      </c>
      <c r="AD1181" s="724" t="s">
        <v>111</v>
      </c>
      <c r="AE1181" s="725">
        <f t="shared" ref="AE1181:BV1181" si="1658">AE1169+AE1172+AE1175+AE1178</f>
        <v>863445.71</v>
      </c>
      <c r="AF1181" s="726">
        <f t="shared" si="1658"/>
        <v>982367.18699999992</v>
      </c>
      <c r="AG1181" s="726">
        <f t="shared" si="1658"/>
        <v>1190925.8289999999</v>
      </c>
      <c r="AH1181" s="726">
        <f t="shared" si="1658"/>
        <v>1072839.7760000001</v>
      </c>
      <c r="AI1181" s="725">
        <f t="shared" si="1658"/>
        <v>9680.1869999999981</v>
      </c>
      <c r="AJ1181" s="726">
        <f t="shared" si="1658"/>
        <v>4639.8700000000008</v>
      </c>
      <c r="AK1181" s="726">
        <f t="shared" si="1658"/>
        <v>16664.498</v>
      </c>
      <c r="AL1181" s="965">
        <f t="shared" si="1658"/>
        <v>12158.9555</v>
      </c>
      <c r="AM1181" s="725">
        <f t="shared" si="1658"/>
        <v>18128.775999999998</v>
      </c>
      <c r="AN1181" s="726">
        <f t="shared" si="1658"/>
        <v>11407.969000000001</v>
      </c>
      <c r="AO1181" s="965">
        <f t="shared" si="1658"/>
        <v>23798.478199999998</v>
      </c>
      <c r="AP1181" s="966">
        <f t="shared" si="1658"/>
        <v>22845.824999999997</v>
      </c>
      <c r="AQ1181" s="725">
        <f t="shared" si="1658"/>
        <v>33409.010999999999</v>
      </c>
      <c r="AR1181" s="726">
        <f t="shared" si="1658"/>
        <v>20976.29</v>
      </c>
      <c r="AS1181" s="726">
        <f t="shared" si="1658"/>
        <v>40124.423999999999</v>
      </c>
      <c r="AT1181" s="965">
        <f t="shared" si="1658"/>
        <v>40261.904999999999</v>
      </c>
      <c r="AU1181" s="725">
        <f t="shared" si="1658"/>
        <v>21937.298999999999</v>
      </c>
      <c r="AV1181" s="726">
        <f t="shared" si="1658"/>
        <v>4447.4915000000001</v>
      </c>
      <c r="AW1181" s="726">
        <f t="shared" si="1658"/>
        <v>24263.029000000002</v>
      </c>
      <c r="AX1181" s="965">
        <f t="shared" si="1658"/>
        <v>27374.735000000001</v>
      </c>
      <c r="AY1181" s="725">
        <f t="shared" si="1658"/>
        <v>27764.210000000003</v>
      </c>
      <c r="AZ1181" s="726">
        <f t="shared" si="1658"/>
        <v>59881.17</v>
      </c>
      <c r="BA1181" s="726">
        <f t="shared" si="1658"/>
        <v>54058.185900000004</v>
      </c>
      <c r="BB1181" s="965">
        <f t="shared" si="1658"/>
        <v>62305.758573299987</v>
      </c>
      <c r="BC1181" s="725">
        <f t="shared" si="1658"/>
        <v>27531.792999999998</v>
      </c>
      <c r="BD1181" s="726">
        <f t="shared" si="1658"/>
        <v>6429.6878999999999</v>
      </c>
      <c r="BE1181" s="726">
        <f t="shared" si="1658"/>
        <v>31195.086500000001</v>
      </c>
      <c r="BF1181" s="965">
        <f t="shared" si="1658"/>
        <v>34694.171900000001</v>
      </c>
      <c r="BG1181" s="725">
        <f t="shared" si="1658"/>
        <v>80986.72099999999</v>
      </c>
      <c r="BH1181" s="726">
        <f t="shared" si="1658"/>
        <v>114051.0365</v>
      </c>
      <c r="BI1181" s="726">
        <f t="shared" si="1658"/>
        <v>112068.2025</v>
      </c>
      <c r="BJ1181" s="727">
        <f t="shared" si="1658"/>
        <v>118667.82245752001</v>
      </c>
      <c r="BK1181" s="728">
        <f t="shared" si="1658"/>
        <v>64415.051000000007</v>
      </c>
      <c r="BL1181" s="726">
        <f t="shared" si="1658"/>
        <v>73160.92</v>
      </c>
      <c r="BM1181" s="726">
        <f t="shared" si="1658"/>
        <v>88321.087600000013</v>
      </c>
      <c r="BN1181" s="965">
        <f t="shared" si="1658"/>
        <v>79959.05</v>
      </c>
      <c r="BO1181" s="725">
        <f t="shared" si="1658"/>
        <v>8639.9639999999999</v>
      </c>
      <c r="BP1181" s="726">
        <f t="shared" si="1658"/>
        <v>6406.12</v>
      </c>
      <c r="BQ1181" s="726">
        <f t="shared" si="1658"/>
        <v>9972.16</v>
      </c>
      <c r="BR1181" s="727">
        <f t="shared" si="1658"/>
        <v>12232.9534472</v>
      </c>
      <c r="BS1181" s="728">
        <f t="shared" si="1658"/>
        <v>16988.57</v>
      </c>
      <c r="BT1181" s="726">
        <f t="shared" si="1658"/>
        <v>19109.47</v>
      </c>
      <c r="BU1181" s="726">
        <f t="shared" si="1658"/>
        <v>27275.788</v>
      </c>
      <c r="BV1181" s="727">
        <f t="shared" si="1658"/>
        <v>21265.16</v>
      </c>
      <c r="BW1181" s="723"/>
      <c r="BX1181" s="722"/>
      <c r="BY1181" s="967">
        <f>AE1181+AI1181+AM1181+AQ1181+AU1181+AY1181+BC1181+BG1181+BK1181+BO1181+BS1181</f>
        <v>1172927.2919999997</v>
      </c>
      <c r="BZ1181" s="968">
        <f>AF1181+AJ1181+AN1181+AR1181+AV1181+AZ1181+BD1181+BH1181+BL1181+BP1181+BT1181</f>
        <v>1302877.2119</v>
      </c>
      <c r="CA1181" s="969">
        <f>AG1181+AK1181+AO1181+AS1181+AW1181+BA1181+BE1181+BI1181+BM1181+BQ1181+BU1181</f>
        <v>1618666.7686999997</v>
      </c>
      <c r="CB1181" s="969">
        <f>AH1181+AL1181+AP1181+AT1181+AX1181+BB1181+BF1181+BJ1181+BN1181+BR1181+BV1181</f>
        <v>1504606.1128780199</v>
      </c>
      <c r="CC1181" s="970"/>
    </row>
    <row r="1182" spans="1:81" s="738" customFormat="1" ht="27" customHeight="1" x14ac:dyDescent="0.25">
      <c r="A1182" s="733"/>
      <c r="B1182" s="733"/>
      <c r="C1182" s="733"/>
      <c r="D1182" s="733"/>
      <c r="E1182" s="733"/>
      <c r="F1182" s="733"/>
      <c r="G1182" s="733"/>
      <c r="H1182" s="733"/>
      <c r="I1182" s="733"/>
      <c r="J1182" s="733"/>
      <c r="K1182" s="733"/>
      <c r="L1182" s="733"/>
      <c r="M1182" s="733"/>
      <c r="N1182" s="733"/>
      <c r="O1182" s="733"/>
      <c r="P1182" s="733"/>
      <c r="Q1182" s="733"/>
      <c r="R1182" s="733"/>
      <c r="S1182" s="733"/>
      <c r="T1182" s="733"/>
      <c r="U1182" s="733"/>
      <c r="V1182" s="733"/>
      <c r="W1182" s="733"/>
      <c r="X1182" s="733"/>
      <c r="Y1182" s="733"/>
      <c r="Z1182" s="733"/>
      <c r="AA1182" s="733"/>
      <c r="AB1182" s="734"/>
      <c r="AC1182" s="734"/>
      <c r="AD1182" s="735" t="s">
        <v>713</v>
      </c>
      <c r="AE1182" s="736">
        <f t="shared" ref="AE1182:BV1182" si="1659">AE1181-AE1184</f>
        <v>0</v>
      </c>
      <c r="AF1182" s="736">
        <f t="shared" si="1659"/>
        <v>0</v>
      </c>
      <c r="AG1182" s="736">
        <f t="shared" si="1659"/>
        <v>0</v>
      </c>
      <c r="AH1182" s="736">
        <f t="shared" si="1659"/>
        <v>0</v>
      </c>
      <c r="AI1182" s="736">
        <f t="shared" si="1659"/>
        <v>0</v>
      </c>
      <c r="AJ1182" s="736">
        <f t="shared" si="1659"/>
        <v>0</v>
      </c>
      <c r="AK1182" s="736">
        <f t="shared" si="1659"/>
        <v>0</v>
      </c>
      <c r="AL1182" s="736">
        <f t="shared" si="1659"/>
        <v>0</v>
      </c>
      <c r="AM1182" s="736">
        <f t="shared" si="1659"/>
        <v>0</v>
      </c>
      <c r="AN1182" s="736">
        <f t="shared" si="1659"/>
        <v>0</v>
      </c>
      <c r="AO1182" s="736">
        <f t="shared" si="1659"/>
        <v>0</v>
      </c>
      <c r="AP1182" s="736">
        <f t="shared" si="1659"/>
        <v>0</v>
      </c>
      <c r="AQ1182" s="736">
        <f t="shared" si="1659"/>
        <v>0</v>
      </c>
      <c r="AR1182" s="736">
        <f t="shared" si="1659"/>
        <v>0</v>
      </c>
      <c r="AS1182" s="736">
        <f t="shared" si="1659"/>
        <v>0</v>
      </c>
      <c r="AT1182" s="736">
        <f t="shared" si="1659"/>
        <v>0</v>
      </c>
      <c r="AU1182" s="736">
        <f t="shared" si="1659"/>
        <v>0</v>
      </c>
      <c r="AV1182" s="736">
        <f t="shared" si="1659"/>
        <v>0</v>
      </c>
      <c r="AW1182" s="736">
        <f t="shared" si="1659"/>
        <v>0</v>
      </c>
      <c r="AX1182" s="736">
        <f t="shared" si="1659"/>
        <v>0</v>
      </c>
      <c r="AY1182" s="736">
        <f t="shared" si="1659"/>
        <v>0</v>
      </c>
      <c r="AZ1182" s="736">
        <f t="shared" si="1659"/>
        <v>0</v>
      </c>
      <c r="BA1182" s="736">
        <f t="shared" si="1659"/>
        <v>0</v>
      </c>
      <c r="BB1182" s="736">
        <f t="shared" si="1659"/>
        <v>0</v>
      </c>
      <c r="BC1182" s="736">
        <f t="shared" si="1659"/>
        <v>0</v>
      </c>
      <c r="BD1182" s="736">
        <f t="shared" si="1659"/>
        <v>0</v>
      </c>
      <c r="BE1182" s="736">
        <f t="shared" si="1659"/>
        <v>0</v>
      </c>
      <c r="BF1182" s="736">
        <f t="shared" si="1659"/>
        <v>0</v>
      </c>
      <c r="BG1182" s="736">
        <f t="shared" si="1659"/>
        <v>0</v>
      </c>
      <c r="BH1182" s="736">
        <f t="shared" si="1659"/>
        <v>0</v>
      </c>
      <c r="BI1182" s="736">
        <f t="shared" si="1659"/>
        <v>0</v>
      </c>
      <c r="BJ1182" s="736">
        <f t="shared" si="1659"/>
        <v>0</v>
      </c>
      <c r="BK1182" s="736">
        <f t="shared" si="1659"/>
        <v>0</v>
      </c>
      <c r="BL1182" s="736">
        <f t="shared" si="1659"/>
        <v>0</v>
      </c>
      <c r="BM1182" s="736">
        <f t="shared" si="1659"/>
        <v>0</v>
      </c>
      <c r="BN1182" s="736">
        <f t="shared" si="1659"/>
        <v>0</v>
      </c>
      <c r="BO1182" s="736">
        <f t="shared" si="1659"/>
        <v>0</v>
      </c>
      <c r="BP1182" s="736">
        <f t="shared" si="1659"/>
        <v>0</v>
      </c>
      <c r="BQ1182" s="736">
        <f t="shared" si="1659"/>
        <v>0</v>
      </c>
      <c r="BR1182" s="736">
        <f t="shared" si="1659"/>
        <v>0</v>
      </c>
      <c r="BS1182" s="736">
        <f t="shared" si="1659"/>
        <v>0</v>
      </c>
      <c r="BT1182" s="736">
        <f t="shared" si="1659"/>
        <v>0</v>
      </c>
      <c r="BU1182" s="736">
        <f t="shared" si="1659"/>
        <v>0</v>
      </c>
      <c r="BV1182" s="736">
        <f t="shared" si="1659"/>
        <v>0</v>
      </c>
      <c r="BW1182" s="736"/>
      <c r="BX1182" s="736"/>
      <c r="BY1182" s="737">
        <f>BY1181-BY1184</f>
        <v>0</v>
      </c>
      <c r="BZ1182" s="737">
        <f>BZ1181-BZ1184</f>
        <v>0</v>
      </c>
      <c r="CA1182" s="737">
        <f>CA1181-CA1184</f>
        <v>0</v>
      </c>
      <c r="CB1182" s="737">
        <f>CB1181-CB1184</f>
        <v>0</v>
      </c>
      <c r="CC1182" s="971"/>
    </row>
    <row r="1183" spans="1:81" s="400" customFormat="1" ht="20.25" customHeight="1" x14ac:dyDescent="0.25">
      <c r="A1183" s="5"/>
      <c r="B1183" s="5"/>
      <c r="C1183" s="5"/>
      <c r="D1183" s="5"/>
      <c r="E1183" s="5"/>
      <c r="F1183" s="5"/>
      <c r="G1183" s="5"/>
      <c r="H1183" s="5"/>
      <c r="I1183" s="5"/>
      <c r="J1183" s="5"/>
      <c r="K1183" s="5"/>
      <c r="L1183" s="5"/>
      <c r="M1183" s="5"/>
      <c r="N1183" s="5"/>
      <c r="O1183" s="5"/>
      <c r="P1183" s="5"/>
      <c r="Q1183" s="5"/>
      <c r="R1183" s="5"/>
      <c r="S1183" s="5"/>
      <c r="T1183" s="5"/>
      <c r="U1183" s="5"/>
      <c r="V1183" s="5"/>
      <c r="W1183" s="5"/>
      <c r="X1183" s="5"/>
      <c r="Y1183" s="5"/>
      <c r="Z1183" s="5"/>
      <c r="AA1183" s="5"/>
      <c r="AB1183" s="6"/>
      <c r="AC1183" s="6"/>
      <c r="AD1183" s="6"/>
      <c r="AE1183" s="6"/>
      <c r="AF1183" s="6"/>
      <c r="AG1183" s="6"/>
      <c r="AH1183" s="6"/>
      <c r="AI1183" s="6"/>
      <c r="AJ1183" s="6"/>
      <c r="AK1183" s="6"/>
      <c r="AL1183" s="6"/>
      <c r="AM1183" s="6"/>
      <c r="AN1183" s="6"/>
      <c r="AO1183" s="6"/>
      <c r="AP1183" s="6"/>
      <c r="AQ1183" s="6"/>
      <c r="AR1183" s="6"/>
      <c r="AS1183" s="6"/>
      <c r="AT1183" s="6"/>
      <c r="AU1183" s="6"/>
      <c r="AV1183" s="6"/>
      <c r="AW1183" s="6"/>
      <c r="AX1183" s="6"/>
      <c r="AY1183" s="6"/>
      <c r="AZ1183" s="6"/>
      <c r="BA1183" s="6"/>
      <c r="BB1183" s="6"/>
      <c r="BC1183" s="6"/>
      <c r="BD1183" s="6"/>
      <c r="BE1183" s="6"/>
      <c r="BF1183" s="6"/>
      <c r="BG1183" s="6"/>
      <c r="BH1183" s="6"/>
      <c r="BI1183" s="6"/>
      <c r="BJ1183" s="6"/>
      <c r="BK1183" s="6"/>
      <c r="BL1183" s="6"/>
      <c r="BM1183" s="6"/>
      <c r="BN1183" s="6"/>
      <c r="BO1183" s="6"/>
      <c r="BP1183" s="6"/>
      <c r="BQ1183" s="6"/>
      <c r="BR1183" s="6"/>
      <c r="BS1183" s="6"/>
      <c r="BT1183" s="6"/>
      <c r="BU1183" s="6"/>
      <c r="BV1183" s="6"/>
      <c r="BW1183" s="6"/>
      <c r="BX1183" s="5" t="s">
        <v>580</v>
      </c>
      <c r="BY1183" s="7">
        <f>AE1181+AI1181+AM1181+AQ1181+AU1181+AY1181+BC1181+BG1181+BK1181+BO1181+BS1181</f>
        <v>1172927.2919999997</v>
      </c>
      <c r="BZ1183" s="7">
        <f>AF1181+AJ1181+AN1181+AR1181+AV1181+AZ1181+BD1181+BH1181+BL1181+BP1181+BT1181</f>
        <v>1302877.2119</v>
      </c>
      <c r="CA1183" s="7">
        <f>AG1181+AK1181+AO1181+AS1181+AW1181+BA1181+BE1181+BI1181+BM1181+BQ1181+BU1181</f>
        <v>1618666.7686999997</v>
      </c>
      <c r="CB1183" s="7">
        <f>AH1181+AL1181+AP1181+AT1181+AX1181+BB1181+BF1181+BJ1181+BN1181+BR1181+BV1181</f>
        <v>1504606.1128780199</v>
      </c>
      <c r="CC1183" s="874"/>
    </row>
    <row r="1184" spans="1:81" s="400" customFormat="1" ht="20.25" customHeight="1" x14ac:dyDescent="0.25">
      <c r="A1184" s="5"/>
      <c r="B1184" s="5"/>
      <c r="C1184" s="5"/>
      <c r="D1184" s="5"/>
      <c r="E1184" s="5"/>
      <c r="F1184" s="5"/>
      <c r="G1184" s="5"/>
      <c r="H1184" s="5"/>
      <c r="I1184" s="5"/>
      <c r="J1184" s="5"/>
      <c r="K1184" s="5"/>
      <c r="L1184" s="5"/>
      <c r="M1184" s="5"/>
      <c r="N1184" s="5"/>
      <c r="O1184" s="5"/>
      <c r="P1184" s="5"/>
      <c r="Q1184" s="5"/>
      <c r="R1184" s="5"/>
      <c r="S1184" s="5"/>
      <c r="T1184" s="5"/>
      <c r="U1184" s="5"/>
      <c r="V1184" s="5"/>
      <c r="W1184" s="5"/>
      <c r="X1184" s="5"/>
      <c r="Y1184" s="5"/>
      <c r="Z1184" s="5"/>
      <c r="AA1184" s="5"/>
      <c r="AB1184" s="6"/>
      <c r="AC1184" s="6"/>
      <c r="AD1184" s="6" t="s">
        <v>580</v>
      </c>
      <c r="AE1184" s="698">
        <f t="shared" ref="AE1184:BV1184" si="1660">AE877+AE989+AE1004+AE1048</f>
        <v>863445.71</v>
      </c>
      <c r="AF1184" s="698">
        <f t="shared" si="1660"/>
        <v>982367.18699999992</v>
      </c>
      <c r="AG1184" s="698">
        <f t="shared" si="1660"/>
        <v>1190925.8289999999</v>
      </c>
      <c r="AH1184" s="698">
        <f t="shared" si="1660"/>
        <v>1072839.7760000001</v>
      </c>
      <c r="AI1184" s="698">
        <f t="shared" si="1660"/>
        <v>9680.1869999999981</v>
      </c>
      <c r="AJ1184" s="698">
        <f t="shared" si="1660"/>
        <v>4639.8700000000008</v>
      </c>
      <c r="AK1184" s="698">
        <f t="shared" si="1660"/>
        <v>16664.498</v>
      </c>
      <c r="AL1184" s="698">
        <f t="shared" si="1660"/>
        <v>12158.9555</v>
      </c>
      <c r="AM1184" s="698">
        <f t="shared" si="1660"/>
        <v>18128.775999999998</v>
      </c>
      <c r="AN1184" s="698">
        <f t="shared" si="1660"/>
        <v>11407.969000000001</v>
      </c>
      <c r="AO1184" s="698">
        <f t="shared" si="1660"/>
        <v>23798.478199999998</v>
      </c>
      <c r="AP1184" s="698">
        <f t="shared" si="1660"/>
        <v>22845.824999999997</v>
      </c>
      <c r="AQ1184" s="698">
        <f t="shared" si="1660"/>
        <v>33409.010999999999</v>
      </c>
      <c r="AR1184" s="698">
        <f t="shared" si="1660"/>
        <v>20976.29</v>
      </c>
      <c r="AS1184" s="698">
        <f t="shared" si="1660"/>
        <v>40124.423999999999</v>
      </c>
      <c r="AT1184" s="698">
        <f t="shared" si="1660"/>
        <v>40261.904999999999</v>
      </c>
      <c r="AU1184" s="698">
        <f t="shared" si="1660"/>
        <v>21937.298999999999</v>
      </c>
      <c r="AV1184" s="698">
        <f t="shared" si="1660"/>
        <v>4447.4915000000001</v>
      </c>
      <c r="AW1184" s="698">
        <f t="shared" si="1660"/>
        <v>24263.029000000002</v>
      </c>
      <c r="AX1184" s="698">
        <f t="shared" si="1660"/>
        <v>27374.735000000001</v>
      </c>
      <c r="AY1184" s="698">
        <f t="shared" si="1660"/>
        <v>27764.210000000003</v>
      </c>
      <c r="AZ1184" s="698">
        <f t="shared" si="1660"/>
        <v>59881.17</v>
      </c>
      <c r="BA1184" s="698">
        <f t="shared" si="1660"/>
        <v>54058.185900000004</v>
      </c>
      <c r="BB1184" s="698">
        <f t="shared" si="1660"/>
        <v>62305.758573299987</v>
      </c>
      <c r="BC1184" s="698">
        <f t="shared" si="1660"/>
        <v>27531.792999999998</v>
      </c>
      <c r="BD1184" s="698">
        <f t="shared" si="1660"/>
        <v>6429.6878999999999</v>
      </c>
      <c r="BE1184" s="698">
        <f t="shared" si="1660"/>
        <v>31195.086500000001</v>
      </c>
      <c r="BF1184" s="698">
        <f t="shared" si="1660"/>
        <v>34694.171900000001</v>
      </c>
      <c r="BG1184" s="698">
        <f t="shared" si="1660"/>
        <v>80986.72099999999</v>
      </c>
      <c r="BH1184" s="698">
        <f t="shared" si="1660"/>
        <v>114051.0365</v>
      </c>
      <c r="BI1184" s="698">
        <f t="shared" si="1660"/>
        <v>112068.2025</v>
      </c>
      <c r="BJ1184" s="698">
        <f t="shared" si="1660"/>
        <v>118667.82245752001</v>
      </c>
      <c r="BK1184" s="698">
        <f t="shared" si="1660"/>
        <v>64415.051000000007</v>
      </c>
      <c r="BL1184" s="698">
        <f t="shared" si="1660"/>
        <v>73160.92</v>
      </c>
      <c r="BM1184" s="698">
        <f t="shared" si="1660"/>
        <v>88321.087600000013</v>
      </c>
      <c r="BN1184" s="698">
        <f t="shared" si="1660"/>
        <v>79959.05</v>
      </c>
      <c r="BO1184" s="698">
        <f t="shared" si="1660"/>
        <v>8639.9639999999999</v>
      </c>
      <c r="BP1184" s="698">
        <f t="shared" si="1660"/>
        <v>6406.12</v>
      </c>
      <c r="BQ1184" s="698">
        <f t="shared" si="1660"/>
        <v>9972.16</v>
      </c>
      <c r="BR1184" s="698">
        <f t="shared" si="1660"/>
        <v>12232.9534472</v>
      </c>
      <c r="BS1184" s="698">
        <f t="shared" si="1660"/>
        <v>16988.57</v>
      </c>
      <c r="BT1184" s="698">
        <f t="shared" si="1660"/>
        <v>19109.47</v>
      </c>
      <c r="BU1184" s="698">
        <f t="shared" si="1660"/>
        <v>27275.788</v>
      </c>
      <c r="BV1184" s="698">
        <f t="shared" si="1660"/>
        <v>21265.16</v>
      </c>
      <c r="BW1184" s="698"/>
      <c r="BX1184" s="698"/>
      <c r="BY1184" s="398">
        <f>BY877+BY989+BY1004+BY1048</f>
        <v>1172927.2920000001</v>
      </c>
      <c r="BZ1184" s="398">
        <f>BZ877+BZ989+BZ1004+BZ1048</f>
        <v>1302877.2118999998</v>
      </c>
      <c r="CA1184" s="398">
        <f>CA877+CA989+CA1004+CA1048</f>
        <v>1618666.7686999999</v>
      </c>
      <c r="CB1184" s="398">
        <f>CB877+CB989+CB1004+CB1048</f>
        <v>1504606.1128780199</v>
      </c>
      <c r="CC1184" s="874"/>
    </row>
    <row r="1185" spans="1:81" s="400" customFormat="1" ht="14.25" customHeight="1" x14ac:dyDescent="0.25">
      <c r="A1185" s="5"/>
      <c r="B1185" s="5"/>
      <c r="C1185" s="5"/>
      <c r="D1185" s="5"/>
      <c r="E1185" s="5"/>
      <c r="F1185" s="5"/>
      <c r="G1185" s="5"/>
      <c r="H1185" s="5"/>
      <c r="I1185" s="5"/>
      <c r="J1185" s="5"/>
      <c r="K1185" s="5"/>
      <c r="L1185" s="5"/>
      <c r="M1185" s="5"/>
      <c r="N1185" s="5"/>
      <c r="O1185" s="5"/>
      <c r="P1185" s="5"/>
      <c r="Q1185" s="5"/>
      <c r="R1185" s="5"/>
      <c r="S1185" s="5"/>
      <c r="T1185" s="5"/>
      <c r="U1185" s="5"/>
      <c r="V1185" s="5"/>
      <c r="W1185" s="5"/>
      <c r="X1185" s="5"/>
      <c r="Y1185" s="5"/>
      <c r="Z1185" s="5"/>
      <c r="AA1185" s="5"/>
      <c r="AB1185" s="6"/>
      <c r="AC1185" s="6"/>
      <c r="AD1185" s="6"/>
      <c r="AE1185" s="698"/>
      <c r="AF1185" s="698"/>
      <c r="AG1185" s="698"/>
      <c r="AH1185" s="698"/>
      <c r="AI1185" s="698"/>
      <c r="AJ1185" s="698"/>
      <c r="AK1185" s="698"/>
      <c r="AL1185" s="698"/>
      <c r="AM1185" s="698"/>
      <c r="AN1185" s="698"/>
      <c r="AO1185" s="698"/>
      <c r="AP1185" s="698"/>
      <c r="AQ1185" s="698"/>
      <c r="AR1185" s="698"/>
      <c r="AS1185" s="698"/>
      <c r="AT1185" s="698"/>
      <c r="AU1185" s="698"/>
      <c r="AV1185" s="698"/>
      <c r="AW1185" s="698"/>
      <c r="AX1185" s="698"/>
      <c r="AY1185" s="698"/>
      <c r="AZ1185" s="698"/>
      <c r="BA1185" s="698"/>
      <c r="BB1185" s="698"/>
      <c r="BC1185" s="698"/>
      <c r="BD1185" s="698"/>
      <c r="BE1185" s="698"/>
      <c r="BF1185" s="698"/>
      <c r="BG1185" s="698"/>
      <c r="BH1185" s="698"/>
      <c r="BI1185" s="698"/>
      <c r="BJ1185" s="698"/>
      <c r="BK1185" s="698"/>
      <c r="BL1185" s="698"/>
      <c r="BM1185" s="698"/>
      <c r="BN1185" s="698"/>
      <c r="BO1185" s="698"/>
      <c r="BP1185" s="698"/>
      <c r="BQ1185" s="698"/>
      <c r="BR1185" s="698"/>
      <c r="BS1185" s="698"/>
      <c r="BT1185" s="698"/>
      <c r="BU1185" s="698"/>
      <c r="BV1185" s="698"/>
      <c r="BW1185" s="698"/>
      <c r="BX1185" s="698"/>
      <c r="BY1185" s="698"/>
      <c r="BZ1185" s="698"/>
      <c r="CA1185" s="698"/>
      <c r="CB1185" s="698"/>
      <c r="CC1185" s="874"/>
    </row>
    <row r="1186" spans="1:81" s="400" customFormat="1" ht="14.25" customHeight="1" x14ac:dyDescent="0.25">
      <c r="A1186" s="5"/>
      <c r="B1186" s="5"/>
      <c r="C1186" s="5"/>
      <c r="D1186" s="5"/>
      <c r="E1186" s="5"/>
      <c r="F1186" s="5"/>
      <c r="G1186" s="5"/>
      <c r="H1186" s="5"/>
      <c r="I1186" s="5"/>
      <c r="J1186" s="5"/>
      <c r="K1186" s="5"/>
      <c r="L1186" s="5"/>
      <c r="M1186" s="5"/>
      <c r="N1186" s="5"/>
      <c r="O1186" s="5"/>
      <c r="P1186" s="5"/>
      <c r="Q1186" s="5"/>
      <c r="R1186" s="5"/>
      <c r="S1186" s="5"/>
      <c r="T1186" s="5"/>
      <c r="U1186" s="5"/>
      <c r="V1186" s="5"/>
      <c r="W1186" s="5"/>
      <c r="X1186" s="5"/>
      <c r="Y1186" s="5"/>
      <c r="Z1186" s="5"/>
      <c r="AA1186" s="5"/>
      <c r="AB1186" s="6"/>
      <c r="AC1186" s="6" t="s">
        <v>761</v>
      </c>
      <c r="AD1186" s="6"/>
      <c r="AE1186" s="698"/>
      <c r="AF1186" s="698"/>
      <c r="AG1186" s="698"/>
      <c r="AH1186" s="698"/>
      <c r="AI1186" s="698"/>
      <c r="AJ1186" s="698"/>
      <c r="AK1186" s="698"/>
      <c r="AL1186" s="698"/>
      <c r="AM1186" s="698"/>
      <c r="AN1186" s="698"/>
      <c r="AO1186" s="698"/>
      <c r="AP1186" s="698"/>
      <c r="AQ1186" s="698"/>
      <c r="AR1186" s="698"/>
      <c r="AS1186" s="698"/>
      <c r="AT1186" s="698"/>
      <c r="AU1186" s="698"/>
      <c r="AV1186" s="698"/>
      <c r="AW1186" s="698"/>
      <c r="AX1186" s="698"/>
      <c r="AY1186" s="698"/>
      <c r="AZ1186" s="698"/>
      <c r="BA1186" s="698"/>
      <c r="BB1186" s="698"/>
      <c r="BC1186" s="698"/>
      <c r="BD1186" s="698"/>
      <c r="BE1186" s="698"/>
      <c r="BF1186" s="698"/>
      <c r="BG1186" s="698"/>
      <c r="BH1186" s="698"/>
      <c r="BI1186" s="698"/>
      <c r="BJ1186" s="698"/>
      <c r="BK1186" s="698"/>
      <c r="BL1186" s="698"/>
      <c r="BM1186" s="698"/>
      <c r="BN1186" s="698"/>
      <c r="BO1186" s="698"/>
      <c r="BP1186" s="698"/>
      <c r="BQ1186" s="698"/>
      <c r="BR1186" s="698"/>
      <c r="BS1186" s="698"/>
      <c r="BT1186" s="698"/>
      <c r="BU1186" s="698"/>
      <c r="BV1186" s="698"/>
      <c r="BW1186" s="698"/>
      <c r="BX1186" s="698"/>
      <c r="BY1186" s="698"/>
      <c r="BZ1186" s="698"/>
      <c r="CA1186" s="698"/>
      <c r="CB1186" s="698"/>
      <c r="CC1186" s="698">
        <f>CC1184-CC1185</f>
        <v>0</v>
      </c>
    </row>
    <row r="1187" spans="1:81" s="400" customFormat="1" ht="14.25" customHeight="1" x14ac:dyDescent="0.25">
      <c r="A1187" s="5"/>
      <c r="B1187" s="5"/>
      <c r="C1187" s="5"/>
      <c r="D1187" s="5"/>
      <c r="E1187" s="5"/>
      <c r="F1187" s="5"/>
      <c r="G1187" s="5"/>
      <c r="H1187" s="5"/>
      <c r="I1187" s="5"/>
      <c r="J1187" s="5"/>
      <c r="K1187" s="5"/>
      <c r="L1187" s="5"/>
      <c r="M1187" s="5"/>
      <c r="N1187" s="5"/>
      <c r="O1187" s="5"/>
      <c r="P1187" s="5"/>
      <c r="Q1187" s="5"/>
      <c r="R1187" s="5"/>
      <c r="S1187" s="5"/>
      <c r="T1187" s="5"/>
      <c r="U1187" s="5"/>
      <c r="V1187" s="5"/>
      <c r="W1187" s="5"/>
      <c r="X1187" s="5"/>
      <c r="Y1187" s="5"/>
      <c r="Z1187" s="5"/>
      <c r="AA1187" s="5"/>
      <c r="AB1187" s="6"/>
      <c r="AC1187" s="6"/>
      <c r="AD1187" s="6"/>
      <c r="AE1187" s="6"/>
      <c r="AF1187" s="6"/>
      <c r="AG1187" s="6"/>
      <c r="AH1187" s="6"/>
      <c r="AI1187" s="6"/>
      <c r="AJ1187" s="6"/>
      <c r="AK1187" s="6"/>
      <c r="AL1187" s="6"/>
      <c r="AM1187" s="6"/>
      <c r="AN1187" s="6"/>
      <c r="AO1187" s="6"/>
      <c r="AP1187" s="6"/>
      <c r="AQ1187" s="6"/>
      <c r="AR1187" s="6"/>
      <c r="AS1187" s="6"/>
      <c r="AT1187" s="6"/>
      <c r="AU1187" s="6"/>
      <c r="AV1187" s="6"/>
      <c r="AW1187" s="6"/>
      <c r="AX1187" s="6"/>
      <c r="AY1187" s="6"/>
      <c r="AZ1187" s="6"/>
      <c r="BA1187" s="6"/>
      <c r="BB1187" s="6"/>
      <c r="BC1187" s="6"/>
      <c r="BD1187" s="6"/>
      <c r="BE1187" s="6"/>
      <c r="BF1187" s="6"/>
      <c r="BG1187" s="6"/>
      <c r="BH1187" s="6"/>
      <c r="BI1187" s="6"/>
      <c r="BJ1187" s="6"/>
      <c r="BK1187" s="6"/>
      <c r="BL1187" s="6"/>
      <c r="BM1187" s="6"/>
      <c r="BN1187" s="6"/>
      <c r="BO1187" s="6"/>
      <c r="BP1187" s="6"/>
      <c r="BQ1187" s="6"/>
      <c r="BR1187" s="6"/>
      <c r="BS1187" s="6"/>
      <c r="BT1187" s="6"/>
      <c r="BU1187" s="6"/>
      <c r="BV1187" s="6"/>
      <c r="BW1187" s="6"/>
      <c r="BX1187" s="5"/>
      <c r="BY1187" s="7"/>
      <c r="BZ1187" s="7"/>
      <c r="CA1187" s="7"/>
      <c r="CB1187" s="7"/>
      <c r="CC1187" s="874"/>
    </row>
    <row r="1188" spans="1:81" s="400" customFormat="1" ht="14.25" customHeight="1" x14ac:dyDescent="0.25">
      <c r="A1188" s="5"/>
      <c r="B1188" s="5"/>
      <c r="C1188" s="5"/>
      <c r="D1188" s="5"/>
      <c r="E1188" s="5"/>
      <c r="F1188" s="5"/>
      <c r="G1188" s="5"/>
      <c r="H1188" s="5"/>
      <c r="I1188" s="5"/>
      <c r="J1188" s="5"/>
      <c r="K1188" s="5"/>
      <c r="L1188" s="5"/>
      <c r="M1188" s="5"/>
      <c r="N1188" s="5"/>
      <c r="O1188" s="5"/>
      <c r="P1188" s="5"/>
      <c r="Q1188" s="5"/>
      <c r="R1188" s="5"/>
      <c r="S1188" s="5"/>
      <c r="T1188" s="5"/>
      <c r="U1188" s="5"/>
      <c r="V1188" s="5"/>
      <c r="W1188" s="5"/>
      <c r="X1188" s="5"/>
      <c r="Y1188" s="5"/>
      <c r="Z1188" s="5"/>
      <c r="AA1188" s="5"/>
      <c r="AB1188" s="6"/>
      <c r="AC1188" s="6"/>
      <c r="AD1188" s="6"/>
      <c r="AE1188" s="6"/>
      <c r="AF1188" s="6"/>
      <c r="AG1188" s="6"/>
      <c r="AH1188" s="6"/>
      <c r="AI1188" s="6"/>
      <c r="AJ1188" s="6"/>
      <c r="AK1188" s="6"/>
      <c r="AL1188" s="6"/>
      <c r="AM1188" s="6"/>
      <c r="AN1188" s="6"/>
      <c r="AO1188" s="6"/>
      <c r="AP1188" s="6"/>
      <c r="AQ1188" s="6"/>
      <c r="AR1188" s="6"/>
      <c r="AS1188" s="6"/>
      <c r="AT1188" s="6"/>
      <c r="AU1188" s="6"/>
      <c r="AV1188" s="6"/>
      <c r="AW1188" s="6"/>
      <c r="AX1188" s="6"/>
      <c r="AY1188" s="6"/>
      <c r="AZ1188" s="6"/>
      <c r="BA1188" s="6"/>
      <c r="BB1188" s="6"/>
      <c r="BC1188" s="6"/>
      <c r="BD1188" s="6"/>
      <c r="BE1188" s="6"/>
      <c r="BF1188" s="6"/>
      <c r="BG1188" s="6"/>
      <c r="BH1188" s="6"/>
      <c r="BI1188" s="6"/>
      <c r="BJ1188" s="6"/>
      <c r="BK1188" s="6"/>
      <c r="BL1188" s="6"/>
      <c r="BM1188" s="6"/>
      <c r="BN1188" s="6"/>
      <c r="BO1188" s="6"/>
      <c r="BP1188" s="6"/>
      <c r="BQ1188" s="6"/>
      <c r="BR1188" s="6"/>
      <c r="BS1188" s="6"/>
      <c r="BT1188" s="5"/>
      <c r="BU1188" s="5"/>
      <c r="BV1188" s="5"/>
      <c r="BW1188" s="5"/>
      <c r="BX1188" s="5"/>
      <c r="BY1188" s="7"/>
      <c r="BZ1188" s="7"/>
      <c r="CA1188" s="7"/>
      <c r="CB1188" s="7"/>
      <c r="CC1188" s="874"/>
    </row>
    <row r="1189" spans="1:81" s="400" customFormat="1" ht="14.25" customHeight="1" x14ac:dyDescent="0.25">
      <c r="A1189" s="5"/>
      <c r="B1189" s="5"/>
      <c r="C1189" s="5"/>
      <c r="D1189" s="5"/>
      <c r="E1189" s="5"/>
      <c r="F1189" s="5"/>
      <c r="G1189" s="5"/>
      <c r="H1189" s="5"/>
      <c r="I1189" s="5"/>
      <c r="J1189" s="5"/>
      <c r="K1189" s="5"/>
      <c r="L1189" s="5"/>
      <c r="M1189" s="5"/>
      <c r="N1189" s="5"/>
      <c r="O1189" s="5"/>
      <c r="P1189" s="5"/>
      <c r="Q1189" s="5"/>
      <c r="R1189" s="5"/>
      <c r="S1189" s="5"/>
      <c r="T1189" s="5"/>
      <c r="U1189" s="5"/>
      <c r="V1189" s="5"/>
      <c r="W1189" s="5"/>
      <c r="X1189" s="5"/>
      <c r="Y1189" s="5"/>
      <c r="Z1189" s="5"/>
      <c r="AA1189" s="5"/>
      <c r="AB1189" s="6"/>
      <c r="AC1189" s="699" t="s">
        <v>762</v>
      </c>
      <c r="AD1189" s="6"/>
      <c r="AE1189" s="6"/>
      <c r="AF1189" s="6"/>
      <c r="AG1189" s="6"/>
      <c r="AH1189" s="6"/>
      <c r="AI1189" s="6"/>
      <c r="AJ1189" s="6"/>
      <c r="AK1189" s="6"/>
      <c r="AL1189" s="6"/>
      <c r="AM1189" s="6"/>
      <c r="AN1189" s="6"/>
      <c r="AO1189" s="6"/>
      <c r="AP1189" s="6"/>
      <c r="AQ1189" s="6"/>
      <c r="AR1189" s="6"/>
      <c r="AS1189" s="6"/>
      <c r="AT1189" s="6"/>
      <c r="AU1189" s="6"/>
      <c r="AV1189" s="6"/>
      <c r="AW1189" s="6"/>
      <c r="AX1189" s="6"/>
      <c r="AY1189" s="6"/>
      <c r="AZ1189" s="6"/>
      <c r="BA1189" s="6"/>
      <c r="BB1189" s="6"/>
      <c r="BC1189" s="6"/>
      <c r="BD1189" s="6"/>
      <c r="BE1189" s="6"/>
      <c r="BF1189" s="6"/>
      <c r="BG1189" s="6"/>
      <c r="BH1189" s="6"/>
      <c r="BI1189" s="6"/>
      <c r="BJ1189" s="6"/>
      <c r="BK1189" s="6"/>
      <c r="BL1189" s="6"/>
      <c r="BM1189" s="6"/>
      <c r="BN1189" s="6"/>
      <c r="BO1189" s="6"/>
      <c r="BP1189" s="6"/>
      <c r="BQ1189" s="6"/>
      <c r="BR1189" s="6"/>
      <c r="BS1189" s="6"/>
      <c r="BT1189" s="5"/>
      <c r="BU1189" s="5"/>
      <c r="BV1189" s="5"/>
      <c r="BW1189" s="5"/>
      <c r="BX1189" s="5"/>
      <c r="BY1189" s="7"/>
      <c r="BZ1189" s="7"/>
      <c r="CA1189" s="7"/>
      <c r="CB1189" s="7"/>
      <c r="CC1189" s="874"/>
    </row>
    <row r="1190" spans="1:81" s="400" customFormat="1" ht="31.5" customHeight="1" x14ac:dyDescent="0.25">
      <c r="A1190" s="5"/>
      <c r="B1190" s="5"/>
      <c r="C1190" s="5"/>
      <c r="D1190" s="5"/>
      <c r="E1190" s="5"/>
      <c r="F1190" s="5"/>
      <c r="G1190" s="5"/>
      <c r="H1190" s="5"/>
      <c r="I1190" s="5"/>
      <c r="J1190" s="5"/>
      <c r="K1190" s="5"/>
      <c r="L1190" s="5"/>
      <c r="M1190" s="5"/>
      <c r="N1190" s="5"/>
      <c r="O1190" s="5"/>
      <c r="P1190" s="5"/>
      <c r="Q1190" s="5"/>
      <c r="R1190" s="5"/>
      <c r="S1190" s="5"/>
      <c r="T1190" s="5"/>
      <c r="U1190" s="5"/>
      <c r="V1190" s="5"/>
      <c r="W1190" s="5"/>
      <c r="X1190" s="5"/>
      <c r="Y1190" s="5"/>
      <c r="Z1190" s="5"/>
      <c r="AA1190" s="5"/>
      <c r="AB1190" s="6"/>
      <c r="AC1190" s="1095" t="s">
        <v>715</v>
      </c>
      <c r="AD1190" s="1096" t="s">
        <v>65</v>
      </c>
      <c r="AE1190" s="1117" t="s">
        <v>51</v>
      </c>
      <c r="AF1190" s="1117"/>
      <c r="AG1190" s="1117"/>
      <c r="AH1190" s="1117"/>
      <c r="AI1190" s="1119" t="s">
        <v>52</v>
      </c>
      <c r="AJ1190" s="1119"/>
      <c r="AK1190" s="1119"/>
      <c r="AL1190" s="1119"/>
      <c r="AM1190" s="1120" t="s">
        <v>53</v>
      </c>
      <c r="AN1190" s="1120"/>
      <c r="AO1190" s="1120"/>
      <c r="AP1190" s="1120"/>
      <c r="AQ1190" s="1117" t="s">
        <v>54</v>
      </c>
      <c r="AR1190" s="1117"/>
      <c r="AS1190" s="1117"/>
      <c r="AT1190" s="1117"/>
      <c r="AU1190" s="1119" t="s">
        <v>55</v>
      </c>
      <c r="AV1190" s="1119"/>
      <c r="AW1190" s="1119"/>
      <c r="AX1190" s="1119"/>
      <c r="AY1190" s="1119" t="s">
        <v>56</v>
      </c>
      <c r="AZ1190" s="1119"/>
      <c r="BA1190" s="1119"/>
      <c r="BB1190" s="1119"/>
      <c r="BC1190" s="1117" t="s">
        <v>57</v>
      </c>
      <c r="BD1190" s="1117"/>
      <c r="BE1190" s="1117"/>
      <c r="BF1190" s="1117"/>
      <c r="BG1190" s="1117" t="s">
        <v>58</v>
      </c>
      <c r="BH1190" s="1117"/>
      <c r="BI1190" s="1117"/>
      <c r="BJ1190" s="1117"/>
      <c r="BK1190" s="1117" t="s">
        <v>59</v>
      </c>
      <c r="BL1190" s="1117"/>
      <c r="BM1190" s="1117"/>
      <c r="BN1190" s="1117"/>
      <c r="BO1190" s="1117" t="s">
        <v>60</v>
      </c>
      <c r="BP1190" s="1117"/>
      <c r="BQ1190" s="1117"/>
      <c r="BR1190" s="1117"/>
      <c r="BS1190" s="1117" t="s">
        <v>61</v>
      </c>
      <c r="BT1190" s="1117"/>
      <c r="BU1190" s="1117"/>
      <c r="BV1190" s="1117"/>
      <c r="BW1190" s="6"/>
      <c r="BX1190" s="5"/>
      <c r="BY1190" s="1118" t="s">
        <v>763</v>
      </c>
      <c r="BZ1190" s="1118"/>
      <c r="CA1190" s="1118"/>
      <c r="CB1190" s="1118"/>
      <c r="CC1190" s="874"/>
    </row>
    <row r="1191" spans="1:81" s="400" customFormat="1" ht="30" customHeight="1" x14ac:dyDescent="0.25">
      <c r="A1191" s="5"/>
      <c r="B1191" s="5"/>
      <c r="C1191" s="5"/>
      <c r="D1191" s="5"/>
      <c r="E1191" s="5"/>
      <c r="F1191" s="5"/>
      <c r="G1191" s="5"/>
      <c r="H1191" s="5"/>
      <c r="I1191" s="5"/>
      <c r="J1191" s="5"/>
      <c r="K1191" s="5"/>
      <c r="L1191" s="5"/>
      <c r="M1191" s="5"/>
      <c r="N1191" s="5"/>
      <c r="O1191" s="5"/>
      <c r="P1191" s="5"/>
      <c r="Q1191" s="5"/>
      <c r="R1191" s="5"/>
      <c r="S1191" s="5"/>
      <c r="T1191" s="5"/>
      <c r="U1191" s="5"/>
      <c r="V1191" s="5"/>
      <c r="W1191" s="5"/>
      <c r="X1191" s="5"/>
      <c r="Y1191" s="5"/>
      <c r="Z1191" s="5"/>
      <c r="AA1191" s="5"/>
      <c r="AB1191" s="6"/>
      <c r="AC1191" s="1095"/>
      <c r="AD1191" s="1096"/>
      <c r="AE1191" s="21">
        <f>god-2</f>
        <v>2024</v>
      </c>
      <c r="AF1191" s="22">
        <v>2025</v>
      </c>
      <c r="AG1191" s="741">
        <f>god</f>
        <v>2026</v>
      </c>
      <c r="AH1191" s="743">
        <v>2026</v>
      </c>
      <c r="AI1191" s="3">
        <f>god-2</f>
        <v>2024</v>
      </c>
      <c r="AJ1191" s="2">
        <f>god-1</f>
        <v>2025</v>
      </c>
      <c r="AK1191" s="953">
        <f>god</f>
        <v>2026</v>
      </c>
      <c r="AL1191" s="972">
        <v>2026</v>
      </c>
      <c r="AM1191" s="21">
        <f>god-2</f>
        <v>2024</v>
      </c>
      <c r="AN1191" s="22">
        <f>god-1</f>
        <v>2025</v>
      </c>
      <c r="AO1191" s="741">
        <f>god</f>
        <v>2026</v>
      </c>
      <c r="AP1191" s="743">
        <v>2026</v>
      </c>
      <c r="AQ1191" s="21">
        <f>god-2</f>
        <v>2024</v>
      </c>
      <c r="AR1191" s="22">
        <f>god-1</f>
        <v>2025</v>
      </c>
      <c r="AS1191" s="741">
        <f>god</f>
        <v>2026</v>
      </c>
      <c r="AT1191" s="743">
        <v>2026</v>
      </c>
      <c r="AU1191" s="954">
        <f>god-2</f>
        <v>2024</v>
      </c>
      <c r="AV1191" s="955">
        <f>god-1</f>
        <v>2025</v>
      </c>
      <c r="AW1191" s="956">
        <f>god</f>
        <v>2026</v>
      </c>
      <c r="AX1191" s="973">
        <v>2026</v>
      </c>
      <c r="AY1191" s="954">
        <f>god-2</f>
        <v>2024</v>
      </c>
      <c r="AZ1191" s="955">
        <f>god-1</f>
        <v>2025</v>
      </c>
      <c r="BA1191" s="956">
        <f>god</f>
        <v>2026</v>
      </c>
      <c r="BB1191" s="973">
        <v>2026</v>
      </c>
      <c r="BC1191" s="954">
        <f>god-2</f>
        <v>2024</v>
      </c>
      <c r="BD1191" s="955">
        <f>god-1</f>
        <v>2025</v>
      </c>
      <c r="BE1191" s="956">
        <f>god</f>
        <v>2026</v>
      </c>
      <c r="BF1191" s="973">
        <v>2026</v>
      </c>
      <c r="BG1191" s="21">
        <f>god-2</f>
        <v>2024</v>
      </c>
      <c r="BH1191" s="22">
        <f>god-1</f>
        <v>2025</v>
      </c>
      <c r="BI1191" s="741">
        <f>god</f>
        <v>2026</v>
      </c>
      <c r="BJ1191" s="743">
        <v>2026</v>
      </c>
      <c r="BK1191" s="21">
        <f>god-2</f>
        <v>2024</v>
      </c>
      <c r="BL1191" s="22">
        <f>god-1</f>
        <v>2025</v>
      </c>
      <c r="BM1191" s="741">
        <f>god</f>
        <v>2026</v>
      </c>
      <c r="BN1191" s="743">
        <v>2026</v>
      </c>
      <c r="BO1191" s="21">
        <f>god-2</f>
        <v>2024</v>
      </c>
      <c r="BP1191" s="22">
        <f>god-1</f>
        <v>2025</v>
      </c>
      <c r="BQ1191" s="741">
        <f>god</f>
        <v>2026</v>
      </c>
      <c r="BR1191" s="743">
        <v>2026</v>
      </c>
      <c r="BS1191" s="21">
        <f>god-2</f>
        <v>2024</v>
      </c>
      <c r="BT1191" s="22">
        <f>god-1</f>
        <v>2025</v>
      </c>
      <c r="BU1191" s="741">
        <f>god</f>
        <v>2026</v>
      </c>
      <c r="BV1191" s="743">
        <v>2026</v>
      </c>
      <c r="BW1191" s="6"/>
      <c r="BX1191" s="5"/>
      <c r="BY1191" s="21">
        <f>god-2</f>
        <v>2024</v>
      </c>
      <c r="BZ1191" s="22">
        <f>god-1</f>
        <v>2025</v>
      </c>
      <c r="CA1191" s="741">
        <f>god</f>
        <v>2026</v>
      </c>
      <c r="CB1191" s="743">
        <v>2026</v>
      </c>
      <c r="CC1191" s="874"/>
    </row>
    <row r="1192" spans="1:81" s="400" customFormat="1" ht="33.75" customHeight="1" x14ac:dyDescent="0.25">
      <c r="A1192" s="5"/>
      <c r="B1192" s="5"/>
      <c r="C1192" s="5"/>
      <c r="D1192" s="5"/>
      <c r="E1192" s="5"/>
      <c r="F1192" s="5"/>
      <c r="G1192" s="5"/>
      <c r="H1192" s="5"/>
      <c r="I1192" s="5"/>
      <c r="J1192" s="5"/>
      <c r="K1192" s="5"/>
      <c r="L1192" s="5"/>
      <c r="M1192" s="5"/>
      <c r="N1192" s="5"/>
      <c r="O1192" s="5"/>
      <c r="P1192" s="5"/>
      <c r="Q1192" s="5"/>
      <c r="R1192" s="5"/>
      <c r="S1192" s="5"/>
      <c r="T1192" s="5"/>
      <c r="U1192" s="5"/>
      <c r="V1192" s="5"/>
      <c r="W1192" s="5"/>
      <c r="X1192" s="5"/>
      <c r="Y1192" s="5"/>
      <c r="Z1192" s="5"/>
      <c r="AA1192" s="5"/>
      <c r="AB1192" s="6"/>
      <c r="AC1192" s="1095"/>
      <c r="AD1192" s="1096"/>
      <c r="AE1192" s="29" t="s">
        <v>66</v>
      </c>
      <c r="AF1192" s="30" t="s">
        <v>67</v>
      </c>
      <c r="AG1192" s="1002" t="str">
        <f>"план организации"&amp;IF(TYPE="Корректировка"," (корректировка)","")</f>
        <v>план организации (корректировка)</v>
      </c>
      <c r="AH1192" s="619" t="s">
        <v>67</v>
      </c>
      <c r="AI1192" s="29" t="s">
        <v>66</v>
      </c>
      <c r="AJ1192" s="30" t="s">
        <v>67</v>
      </c>
      <c r="AK1192" s="1002" t="str">
        <f>"план организации"&amp;IF(TYPE="Корректировка"," (корректировка)","")</f>
        <v>план организации (корректировка)</v>
      </c>
      <c r="AL1192" s="619" t="s">
        <v>67</v>
      </c>
      <c r="AM1192" s="29" t="s">
        <v>66</v>
      </c>
      <c r="AN1192" s="30" t="s">
        <v>67</v>
      </c>
      <c r="AO1192" s="1002" t="str">
        <f>"план организации"&amp;IF(TYPE="Корректировка"," (корректировка)","")</f>
        <v>план организации (корректировка)</v>
      </c>
      <c r="AP1192" s="619" t="s">
        <v>67</v>
      </c>
      <c r="AQ1192" s="29" t="s">
        <v>66</v>
      </c>
      <c r="AR1192" s="30" t="s">
        <v>67</v>
      </c>
      <c r="AS1192" s="1002" t="str">
        <f>"план организации"&amp;IF(TYPE="Корректировка"," (корректировка)","")</f>
        <v>план организации (корректировка)</v>
      </c>
      <c r="AT1192" s="619" t="s">
        <v>67</v>
      </c>
      <c r="AU1192" s="3" t="s">
        <v>66</v>
      </c>
      <c r="AV1192" s="2" t="s">
        <v>67</v>
      </c>
      <c r="AW1192" s="1002" t="str">
        <f>"план организации"&amp;IF(TYPE="Корректировка"," (корректировка)","")</f>
        <v>план организации (корректировка)</v>
      </c>
      <c r="AX1192" s="593" t="s">
        <v>67</v>
      </c>
      <c r="AY1192" s="3" t="s">
        <v>66</v>
      </c>
      <c r="AZ1192" s="2" t="s">
        <v>67</v>
      </c>
      <c r="BA1192" s="1002" t="str">
        <f>"план организации"&amp;IF(TYPE="Корректировка"," (корректировка)","")</f>
        <v>план организации (корректировка)</v>
      </c>
      <c r="BB1192" s="593" t="s">
        <v>67</v>
      </c>
      <c r="BC1192" s="3" t="s">
        <v>66</v>
      </c>
      <c r="BD1192" s="2" t="s">
        <v>67</v>
      </c>
      <c r="BE1192" s="1002" t="str">
        <f>"план организации"&amp;IF(TYPE="Корректировка"," (корректировка)","")</f>
        <v>план организации (корректировка)</v>
      </c>
      <c r="BF1192" s="593" t="s">
        <v>67</v>
      </c>
      <c r="BG1192" s="29" t="s">
        <v>66</v>
      </c>
      <c r="BH1192" s="30" t="s">
        <v>67</v>
      </c>
      <c r="BI1192" s="1002" t="str">
        <f>"план организации"&amp;IF(TYPE="Корректировка"," (корректировка)","")</f>
        <v>план организации (корректировка)</v>
      </c>
      <c r="BJ1192" s="619" t="s">
        <v>67</v>
      </c>
      <c r="BK1192" s="29" t="s">
        <v>66</v>
      </c>
      <c r="BL1192" s="30" t="s">
        <v>67</v>
      </c>
      <c r="BM1192" s="1002" t="str">
        <f>"план организации"&amp;IF(TYPE="Корректировка"," (корректировка)","")</f>
        <v>план организации (корректировка)</v>
      </c>
      <c r="BN1192" s="619" t="s">
        <v>67</v>
      </c>
      <c r="BO1192" s="29" t="s">
        <v>66</v>
      </c>
      <c r="BP1192" s="30" t="s">
        <v>67</v>
      </c>
      <c r="BQ1192" s="1002" t="str">
        <f>"план организации"&amp;IF(TYPE="Корректировка"," (корректировка)","")</f>
        <v>план организации (корректировка)</v>
      </c>
      <c r="BR1192" s="619" t="s">
        <v>67</v>
      </c>
      <c r="BS1192" s="29" t="s">
        <v>66</v>
      </c>
      <c r="BT1192" s="30" t="s">
        <v>67</v>
      </c>
      <c r="BU1192" s="1002" t="str">
        <f>"план организации"&amp;IF(TYPE="Корректировка"," (корректировка)","")</f>
        <v>план организации (корректировка)</v>
      </c>
      <c r="BV1192" s="619" t="s">
        <v>67</v>
      </c>
      <c r="BW1192" s="6"/>
      <c r="BX1192" s="5"/>
      <c r="BY1192" s="34" t="s">
        <v>66</v>
      </c>
      <c r="BZ1192" s="35" t="s">
        <v>67</v>
      </c>
      <c r="CA1192" s="1002" t="str">
        <f>"план организации"&amp;IF(TYPE="Корректировка"," (корректировка)","")</f>
        <v>план организации (корректировка)</v>
      </c>
      <c r="CB1192" s="619" t="s">
        <v>67</v>
      </c>
      <c r="CC1192" s="874"/>
    </row>
    <row r="1193" spans="1:81" s="400" customFormat="1" ht="18.75" customHeight="1" x14ac:dyDescent="0.25">
      <c r="A1193" s="5"/>
      <c r="B1193" s="5"/>
      <c r="C1193" s="5"/>
      <c r="D1193" s="5"/>
      <c r="E1193" s="5"/>
      <c r="F1193" s="5"/>
      <c r="G1193" s="5"/>
      <c r="H1193" s="5"/>
      <c r="I1193" s="5"/>
      <c r="J1193" s="5"/>
      <c r="K1193" s="5"/>
      <c r="L1193" s="5"/>
      <c r="M1193" s="5"/>
      <c r="N1193" s="5"/>
      <c r="O1193" s="5"/>
      <c r="P1193" s="5"/>
      <c r="Q1193" s="5"/>
      <c r="R1193" s="5"/>
      <c r="S1193" s="5"/>
      <c r="T1193" s="5"/>
      <c r="U1193" s="5"/>
      <c r="V1193" s="5"/>
      <c r="W1193" s="5"/>
      <c r="X1193" s="5"/>
      <c r="Y1193" s="5"/>
      <c r="Z1193" s="5"/>
      <c r="AA1193" s="5"/>
      <c r="AB1193" s="6"/>
      <c r="AC1193" s="700" t="s">
        <v>716</v>
      </c>
      <c r="AD1193" s="701" t="s">
        <v>111</v>
      </c>
      <c r="AE1193" s="702">
        <f t="shared" ref="AE1193:BV1193" si="1661">AE151</f>
        <v>322113.48100000003</v>
      </c>
      <c r="AF1193" s="703">
        <f t="shared" si="1661"/>
        <v>388135.97</v>
      </c>
      <c r="AG1193" s="703">
        <f t="shared" si="1661"/>
        <v>449894.75</v>
      </c>
      <c r="AH1193" s="704">
        <f t="shared" si="1661"/>
        <v>405910.98</v>
      </c>
      <c r="AI1193" s="702">
        <f t="shared" si="1661"/>
        <v>2073.71</v>
      </c>
      <c r="AJ1193" s="703">
        <f t="shared" si="1661"/>
        <v>1410.1</v>
      </c>
      <c r="AK1193" s="703">
        <f t="shared" si="1661"/>
        <v>7193.69</v>
      </c>
      <c r="AL1193" s="704">
        <f t="shared" si="1661"/>
        <v>2613.1799999999998</v>
      </c>
      <c r="AM1193" s="702">
        <f t="shared" si="1661"/>
        <v>9641.48</v>
      </c>
      <c r="AN1193" s="703">
        <f t="shared" si="1661"/>
        <v>2083.8389999999999</v>
      </c>
      <c r="AO1193" s="703">
        <f t="shared" si="1661"/>
        <v>10228.32</v>
      </c>
      <c r="AP1193" s="704">
        <f t="shared" si="1661"/>
        <v>12150.97</v>
      </c>
      <c r="AQ1193" s="702">
        <f t="shared" si="1661"/>
        <v>11975.758</v>
      </c>
      <c r="AR1193" s="703">
        <f t="shared" si="1661"/>
        <v>10681.060000000001</v>
      </c>
      <c r="AS1193" s="703">
        <f t="shared" si="1661"/>
        <v>16002.66</v>
      </c>
      <c r="AT1193" s="704">
        <f t="shared" si="1661"/>
        <v>14969.285</v>
      </c>
      <c r="AU1193" s="702">
        <f t="shared" si="1661"/>
        <v>5453.3130000000001</v>
      </c>
      <c r="AV1193" s="703">
        <f t="shared" si="1661"/>
        <v>885.45</v>
      </c>
      <c r="AW1193" s="703">
        <f t="shared" si="1661"/>
        <v>3378.2280000000001</v>
      </c>
      <c r="AX1193" s="704">
        <f t="shared" si="1661"/>
        <v>6834.67</v>
      </c>
      <c r="AY1193" s="702">
        <f t="shared" si="1661"/>
        <v>12488.44</v>
      </c>
      <c r="AZ1193" s="703">
        <f t="shared" si="1661"/>
        <v>14315.96</v>
      </c>
      <c r="BA1193" s="703">
        <f t="shared" si="1661"/>
        <v>16499.810000000001</v>
      </c>
      <c r="BB1193" s="704">
        <f t="shared" si="1661"/>
        <v>14895.613220399999</v>
      </c>
      <c r="BC1193" s="702">
        <f t="shared" si="1661"/>
        <v>8270.25</v>
      </c>
      <c r="BD1193" s="703">
        <f t="shared" si="1661"/>
        <v>1684.271</v>
      </c>
      <c r="BE1193" s="703">
        <f t="shared" si="1661"/>
        <v>7647.96</v>
      </c>
      <c r="BF1193" s="704">
        <f t="shared" si="1661"/>
        <v>10421.75</v>
      </c>
      <c r="BG1193" s="702">
        <f t="shared" si="1661"/>
        <v>20013.57</v>
      </c>
      <c r="BH1193" s="703">
        <f t="shared" si="1661"/>
        <v>26155.858</v>
      </c>
      <c r="BI1193" s="703">
        <f t="shared" si="1661"/>
        <v>23475.42</v>
      </c>
      <c r="BJ1193" s="704">
        <f t="shared" si="1661"/>
        <v>27214.647131840004</v>
      </c>
      <c r="BK1193" s="702">
        <f t="shared" si="1661"/>
        <v>20167.631000000001</v>
      </c>
      <c r="BL1193" s="703">
        <f t="shared" si="1661"/>
        <v>33279.99</v>
      </c>
      <c r="BM1193" s="703">
        <f t="shared" si="1661"/>
        <v>35839.879999999997</v>
      </c>
      <c r="BN1193" s="704">
        <f t="shared" si="1661"/>
        <v>25414.22</v>
      </c>
      <c r="BO1193" s="702">
        <f t="shared" si="1661"/>
        <v>2765.65</v>
      </c>
      <c r="BP1193" s="703">
        <f t="shared" si="1661"/>
        <v>2902.22</v>
      </c>
      <c r="BQ1193" s="703">
        <f t="shared" si="1661"/>
        <v>2040.93</v>
      </c>
      <c r="BR1193" s="704">
        <f t="shared" si="1661"/>
        <v>4345.2600839999996</v>
      </c>
      <c r="BS1193" s="702">
        <f t="shared" si="1661"/>
        <v>5491.1</v>
      </c>
      <c r="BT1193" s="703">
        <f t="shared" si="1661"/>
        <v>7946.7</v>
      </c>
      <c r="BU1193" s="703">
        <f t="shared" si="1661"/>
        <v>9004.49</v>
      </c>
      <c r="BV1193" s="704">
        <f t="shared" si="1661"/>
        <v>6776.63</v>
      </c>
      <c r="BW1193" s="6"/>
      <c r="BX1193" s="5"/>
      <c r="BY1193" s="706">
        <f t="shared" ref="BY1193:CB1194" si="1662">AE1193+AI1193+AM1193+AQ1193+AU1193+AY1193+BC1193+BG1193+BK1193+BO1193+BS1193</f>
        <v>420454.38300000003</v>
      </c>
      <c r="BZ1193" s="707">
        <f t="shared" si="1662"/>
        <v>489481.41799999995</v>
      </c>
      <c r="CA1193" s="707">
        <f t="shared" si="1662"/>
        <v>581206.13800000004</v>
      </c>
      <c r="CB1193" s="708">
        <f t="shared" si="1662"/>
        <v>531547.20543623983</v>
      </c>
      <c r="CC1193" s="874"/>
    </row>
    <row r="1194" spans="1:81" s="400" customFormat="1" ht="18.75" customHeight="1" x14ac:dyDescent="0.25">
      <c r="A1194" s="5"/>
      <c r="B1194" s="5"/>
      <c r="C1194" s="5"/>
      <c r="D1194" s="5"/>
      <c r="E1194" s="5"/>
      <c r="F1194" s="5"/>
      <c r="G1194" s="5"/>
      <c r="H1194" s="5"/>
      <c r="I1194" s="5"/>
      <c r="J1194" s="5"/>
      <c r="K1194" s="5"/>
      <c r="L1194" s="5"/>
      <c r="M1194" s="5"/>
      <c r="N1194" s="5"/>
      <c r="O1194" s="5"/>
      <c r="P1194" s="5"/>
      <c r="Q1194" s="5"/>
      <c r="R1194" s="5"/>
      <c r="S1194" s="5"/>
      <c r="T1194" s="5"/>
      <c r="U1194" s="5"/>
      <c r="V1194" s="5"/>
      <c r="W1194" s="5"/>
      <c r="X1194" s="5"/>
      <c r="Y1194" s="5"/>
      <c r="Z1194" s="5"/>
      <c r="AA1194" s="5"/>
      <c r="AB1194" s="6"/>
      <c r="AC1194" s="709" t="s">
        <v>717</v>
      </c>
      <c r="AD1194" s="594" t="s">
        <v>111</v>
      </c>
      <c r="AE1194" s="710">
        <f t="shared" ref="AE1194:BV1194" si="1663">AE153</f>
        <v>494.2</v>
      </c>
      <c r="AF1194" s="711">
        <f t="shared" si="1663"/>
        <v>624.04999999999995</v>
      </c>
      <c r="AG1194" s="711">
        <f t="shared" si="1663"/>
        <v>703</v>
      </c>
      <c r="AH1194" s="712">
        <f t="shared" si="1663"/>
        <v>543.62</v>
      </c>
      <c r="AI1194" s="710">
        <f t="shared" si="1663"/>
        <v>4.9000000000000004</v>
      </c>
      <c r="AJ1194" s="711">
        <f t="shared" si="1663"/>
        <v>3.04</v>
      </c>
      <c r="AK1194" s="711">
        <f t="shared" si="1663"/>
        <v>13.5</v>
      </c>
      <c r="AL1194" s="712">
        <f t="shared" si="1663"/>
        <v>5.39</v>
      </c>
      <c r="AM1194" s="710">
        <f t="shared" si="1663"/>
        <v>17.28</v>
      </c>
      <c r="AN1194" s="711">
        <f t="shared" si="1663"/>
        <v>6.83</v>
      </c>
      <c r="AO1194" s="711">
        <f t="shared" si="1663"/>
        <v>22.6</v>
      </c>
      <c r="AP1194" s="712">
        <f t="shared" si="1663"/>
        <v>19.010000000000002</v>
      </c>
      <c r="AQ1194" s="710">
        <f t="shared" si="1663"/>
        <v>18</v>
      </c>
      <c r="AR1194" s="711">
        <f t="shared" si="1663"/>
        <v>25.5</v>
      </c>
      <c r="AS1194" s="711">
        <f t="shared" si="1663"/>
        <v>31</v>
      </c>
      <c r="AT1194" s="712">
        <f t="shared" si="1663"/>
        <v>19.64</v>
      </c>
      <c r="AU1194" s="710">
        <f t="shared" si="1663"/>
        <v>9.0399999999999991</v>
      </c>
      <c r="AV1194" s="711">
        <f t="shared" si="1663"/>
        <v>2.36</v>
      </c>
      <c r="AW1194" s="711">
        <f t="shared" si="1663"/>
        <v>6.2</v>
      </c>
      <c r="AX1194" s="712">
        <f t="shared" si="1663"/>
        <v>9.89</v>
      </c>
      <c r="AY1194" s="710">
        <f t="shared" si="1663"/>
        <v>21.38</v>
      </c>
      <c r="AZ1194" s="711">
        <f t="shared" si="1663"/>
        <v>30.25</v>
      </c>
      <c r="BA1194" s="711">
        <f t="shared" si="1663"/>
        <v>34.5</v>
      </c>
      <c r="BB1194" s="712">
        <f t="shared" si="1663"/>
        <v>30.25</v>
      </c>
      <c r="BC1194" s="710">
        <f t="shared" si="1663"/>
        <v>14.66</v>
      </c>
      <c r="BD1194" s="711">
        <f t="shared" si="1663"/>
        <v>3.25</v>
      </c>
      <c r="BE1194" s="711">
        <f t="shared" si="1663"/>
        <v>14.5</v>
      </c>
      <c r="BF1194" s="712">
        <f t="shared" si="1663"/>
        <v>16.13</v>
      </c>
      <c r="BG1194" s="710">
        <f t="shared" si="1663"/>
        <v>30.3</v>
      </c>
      <c r="BH1194" s="711">
        <f t="shared" si="1663"/>
        <v>53.63</v>
      </c>
      <c r="BI1194" s="711">
        <f t="shared" si="1663"/>
        <v>40</v>
      </c>
      <c r="BJ1194" s="712">
        <f t="shared" si="1663"/>
        <v>53.63</v>
      </c>
      <c r="BK1194" s="710">
        <f t="shared" si="1663"/>
        <v>36.44</v>
      </c>
      <c r="BL1194" s="711">
        <f t="shared" si="1663"/>
        <v>62</v>
      </c>
      <c r="BM1194" s="711">
        <f t="shared" si="1663"/>
        <v>62</v>
      </c>
      <c r="BN1194" s="712">
        <f t="shared" si="1663"/>
        <v>40.08</v>
      </c>
      <c r="BO1194" s="710">
        <f t="shared" si="1663"/>
        <v>4.5999999999999996</v>
      </c>
      <c r="BP1194" s="711">
        <f t="shared" si="1663"/>
        <v>7.5</v>
      </c>
      <c r="BQ1194" s="711">
        <f t="shared" si="1663"/>
        <v>4.25</v>
      </c>
      <c r="BR1194" s="712">
        <f t="shared" si="1663"/>
        <v>5.0599999999999996</v>
      </c>
      <c r="BS1194" s="710">
        <f t="shared" si="1663"/>
        <v>8.8000000000000007</v>
      </c>
      <c r="BT1194" s="711">
        <f t="shared" si="1663"/>
        <v>15.59</v>
      </c>
      <c r="BU1194" s="711">
        <f t="shared" si="1663"/>
        <v>16.25</v>
      </c>
      <c r="BV1194" s="712">
        <f t="shared" si="1663"/>
        <v>9.48</v>
      </c>
      <c r="BW1194" s="6"/>
      <c r="BX1194" s="5"/>
      <c r="BY1194" s="45">
        <f t="shared" si="1662"/>
        <v>659.5999999999998</v>
      </c>
      <c r="BZ1194" s="46">
        <f t="shared" si="1662"/>
        <v>834</v>
      </c>
      <c r="CA1194" s="46">
        <f t="shared" si="1662"/>
        <v>947.80000000000007</v>
      </c>
      <c r="CB1194" s="47">
        <f t="shared" si="1662"/>
        <v>752.18</v>
      </c>
      <c r="CC1194" s="874"/>
    </row>
    <row r="1195" spans="1:81" s="400" customFormat="1" ht="18.75" customHeight="1" x14ac:dyDescent="0.25">
      <c r="A1195" s="5"/>
      <c r="B1195" s="5"/>
      <c r="C1195" s="5"/>
      <c r="D1195" s="5"/>
      <c r="E1195" s="5"/>
      <c r="F1195" s="5"/>
      <c r="G1195" s="5"/>
      <c r="H1195" s="5"/>
      <c r="I1195" s="5"/>
      <c r="J1195" s="5"/>
      <c r="K1195" s="5"/>
      <c r="L1195" s="5"/>
      <c r="M1195" s="5"/>
      <c r="N1195" s="5"/>
      <c r="O1195" s="5"/>
      <c r="P1195" s="5"/>
      <c r="Q1195" s="5"/>
      <c r="R1195" s="5"/>
      <c r="S1195" s="5"/>
      <c r="T1195" s="5"/>
      <c r="U1195" s="5"/>
      <c r="V1195" s="5"/>
      <c r="W1195" s="5"/>
      <c r="X1195" s="5"/>
      <c r="Y1195" s="5"/>
      <c r="Z1195" s="5"/>
      <c r="AA1195" s="5"/>
      <c r="AB1195" s="6"/>
      <c r="AC1195" s="709" t="s">
        <v>718</v>
      </c>
      <c r="AD1195" s="594" t="s">
        <v>111</v>
      </c>
      <c r="AE1195" s="45">
        <f t="shared" ref="AE1195:BV1195" si="1664">(AE1193/AE1194)/12*1000</f>
        <v>54315.641609334962</v>
      </c>
      <c r="AF1195" s="46">
        <f t="shared" si="1664"/>
        <v>51830.244638517208</v>
      </c>
      <c r="AG1195" s="46">
        <f t="shared" si="1664"/>
        <v>53330.340208629677</v>
      </c>
      <c r="AH1195" s="47">
        <f t="shared" si="1664"/>
        <v>62223.455722747502</v>
      </c>
      <c r="AI1195" s="45">
        <f t="shared" si="1664"/>
        <v>35267.176870748292</v>
      </c>
      <c r="AJ1195" s="46">
        <f t="shared" si="1664"/>
        <v>38654.057017543855</v>
      </c>
      <c r="AK1195" s="46">
        <f t="shared" si="1664"/>
        <v>44405.493827160491</v>
      </c>
      <c r="AL1195" s="47">
        <f t="shared" si="1664"/>
        <v>40401.669758812619</v>
      </c>
      <c r="AM1195" s="45">
        <f t="shared" si="1664"/>
        <v>46496.334876543209</v>
      </c>
      <c r="AN1195" s="46">
        <f t="shared" si="1664"/>
        <v>25425.073206442165</v>
      </c>
      <c r="AO1195" s="46">
        <f t="shared" si="1664"/>
        <v>37715.044247787613</v>
      </c>
      <c r="AP1195" s="47">
        <f t="shared" si="1664"/>
        <v>53265.693494651932</v>
      </c>
      <c r="AQ1195" s="45">
        <f t="shared" si="1664"/>
        <v>55443.324074074073</v>
      </c>
      <c r="AR1195" s="46">
        <f t="shared" si="1664"/>
        <v>34905.424836601313</v>
      </c>
      <c r="AS1195" s="46">
        <f t="shared" si="1664"/>
        <v>43017.903225806454</v>
      </c>
      <c r="AT1195" s="47">
        <f t="shared" si="1664"/>
        <v>63515.296164290557</v>
      </c>
      <c r="AU1195" s="45">
        <f t="shared" si="1664"/>
        <v>50270.215707964613</v>
      </c>
      <c r="AV1195" s="46">
        <f t="shared" si="1664"/>
        <v>31265.88983050848</v>
      </c>
      <c r="AW1195" s="46">
        <f t="shared" si="1664"/>
        <v>45406.290322580644</v>
      </c>
      <c r="AX1195" s="47">
        <f t="shared" si="1664"/>
        <v>57589.063026626216</v>
      </c>
      <c r="AY1195" s="45">
        <f t="shared" si="1664"/>
        <v>48676.488930464613</v>
      </c>
      <c r="AZ1195" s="46">
        <f t="shared" si="1664"/>
        <v>39437.906336088156</v>
      </c>
      <c r="BA1195" s="46">
        <f t="shared" si="1664"/>
        <v>39854.613526570058</v>
      </c>
      <c r="BB1195" s="47">
        <f t="shared" si="1664"/>
        <v>41034.747163636363</v>
      </c>
      <c r="BC1195" s="45">
        <f t="shared" si="1664"/>
        <v>47011.425648021825</v>
      </c>
      <c r="BD1195" s="46">
        <f t="shared" si="1664"/>
        <v>43186.435897435898</v>
      </c>
      <c r="BE1195" s="46">
        <f t="shared" si="1664"/>
        <v>43953.793103448275</v>
      </c>
      <c r="BF1195" s="47">
        <f t="shared" si="1664"/>
        <v>53842.477784666247</v>
      </c>
      <c r="BG1195" s="45">
        <f t="shared" si="1664"/>
        <v>55042.821782178216</v>
      </c>
      <c r="BH1195" s="46">
        <f t="shared" si="1664"/>
        <v>40642.454471999503</v>
      </c>
      <c r="BI1195" s="46">
        <f t="shared" si="1664"/>
        <v>48907.125</v>
      </c>
      <c r="BJ1195" s="47">
        <f t="shared" si="1664"/>
        <v>42287.661029026051</v>
      </c>
      <c r="BK1195" s="45">
        <f t="shared" si="1664"/>
        <v>46120.63437614344</v>
      </c>
      <c r="BL1195" s="46">
        <f t="shared" si="1664"/>
        <v>44731.169354838705</v>
      </c>
      <c r="BM1195" s="46">
        <f t="shared" si="1664"/>
        <v>48171.881720430101</v>
      </c>
      <c r="BN1195" s="47">
        <f t="shared" si="1664"/>
        <v>52840.610445775121</v>
      </c>
      <c r="BO1195" s="45">
        <f t="shared" si="1664"/>
        <v>50102.355072463775</v>
      </c>
      <c r="BP1195" s="46">
        <f t="shared" si="1664"/>
        <v>32246.888888888883</v>
      </c>
      <c r="BQ1195" s="46">
        <f t="shared" si="1664"/>
        <v>40018.23529411765</v>
      </c>
      <c r="BR1195" s="47">
        <f t="shared" si="1664"/>
        <v>71562.254347826078</v>
      </c>
      <c r="BS1195" s="45">
        <f t="shared" si="1664"/>
        <v>51999.053030303032</v>
      </c>
      <c r="BT1195" s="46">
        <f t="shared" si="1664"/>
        <v>42477.549711353429</v>
      </c>
      <c r="BU1195" s="46">
        <f t="shared" si="1664"/>
        <v>46176.871794871797</v>
      </c>
      <c r="BV1195" s="47">
        <f t="shared" si="1664"/>
        <v>59569.532348804503</v>
      </c>
      <c r="BW1195" s="6"/>
      <c r="BX1195" s="5"/>
      <c r="BY1195" s="45">
        <f>(BY1193/BY1194)/12*1000</f>
        <v>53119.868480897538</v>
      </c>
      <c r="BZ1195" s="46">
        <f>(BZ1193/BZ1194)/12*1000</f>
        <v>48909.014588329337</v>
      </c>
      <c r="CA1195" s="46">
        <f>(CA1193/CA1194)/12*1000</f>
        <v>51101.33449391574</v>
      </c>
      <c r="CB1195" s="47">
        <f>(CB1193/CB1194)/12*1000</f>
        <v>58889.628085059405</v>
      </c>
      <c r="CC1195" s="874"/>
    </row>
    <row r="1196" spans="1:81" s="400" customFormat="1" ht="18.75" customHeight="1" x14ac:dyDescent="0.25">
      <c r="A1196" s="5"/>
      <c r="B1196" s="5"/>
      <c r="C1196" s="5"/>
      <c r="D1196" s="5"/>
      <c r="E1196" s="5"/>
      <c r="F1196" s="5"/>
      <c r="G1196" s="5"/>
      <c r="H1196" s="5"/>
      <c r="I1196" s="5"/>
      <c r="J1196" s="5"/>
      <c r="K1196" s="5"/>
      <c r="L1196" s="5"/>
      <c r="M1196" s="5"/>
      <c r="N1196" s="5"/>
      <c r="O1196" s="5"/>
      <c r="P1196" s="5"/>
      <c r="Q1196" s="5"/>
      <c r="R1196" s="5"/>
      <c r="S1196" s="5"/>
      <c r="T1196" s="5"/>
      <c r="U1196" s="5"/>
      <c r="V1196" s="5"/>
      <c r="W1196" s="5"/>
      <c r="X1196" s="5"/>
      <c r="Y1196" s="5"/>
      <c r="Z1196" s="5"/>
      <c r="AA1196" s="5"/>
      <c r="AB1196" s="6"/>
      <c r="AC1196" s="715" t="s">
        <v>719</v>
      </c>
      <c r="AD1196" s="701" t="s">
        <v>111</v>
      </c>
      <c r="AE1196" s="702">
        <f t="shared" ref="AE1196:BV1196" si="1665">AE249</f>
        <v>28409.97</v>
      </c>
      <c r="AF1196" s="703">
        <f t="shared" si="1665"/>
        <v>34059.120000000003</v>
      </c>
      <c r="AG1196" s="703">
        <f t="shared" si="1665"/>
        <v>89885.38</v>
      </c>
      <c r="AH1196" s="704">
        <f t="shared" si="1665"/>
        <v>35800.800000000003</v>
      </c>
      <c r="AI1196" s="702">
        <f t="shared" si="1665"/>
        <v>210.24</v>
      </c>
      <c r="AJ1196" s="703">
        <f t="shared" si="1665"/>
        <v>469.5</v>
      </c>
      <c r="AK1196" s="703">
        <f t="shared" si="1665"/>
        <v>1471.04</v>
      </c>
      <c r="AL1196" s="704">
        <f t="shared" si="1665"/>
        <v>264.93</v>
      </c>
      <c r="AM1196" s="702">
        <f t="shared" si="1665"/>
        <v>4751.1350000000002</v>
      </c>
      <c r="AN1196" s="703">
        <f t="shared" si="1665"/>
        <v>7019.22</v>
      </c>
      <c r="AO1196" s="703">
        <f t="shared" si="1665"/>
        <v>8627.0789999999997</v>
      </c>
      <c r="AP1196" s="704">
        <f t="shared" si="1665"/>
        <v>5985.415</v>
      </c>
      <c r="AQ1196" s="702">
        <f t="shared" si="1665"/>
        <v>6012.8760000000002</v>
      </c>
      <c r="AR1196" s="703">
        <f t="shared" si="1665"/>
        <v>4810.96</v>
      </c>
      <c r="AS1196" s="703">
        <f t="shared" si="1665"/>
        <v>6831.4459999999999</v>
      </c>
      <c r="AT1196" s="704">
        <f t="shared" si="1665"/>
        <v>7577.12</v>
      </c>
      <c r="AU1196" s="702">
        <f t="shared" si="1665"/>
        <v>2259.7910000000002</v>
      </c>
      <c r="AV1196" s="703">
        <f t="shared" si="1665"/>
        <v>928.18939999999998</v>
      </c>
      <c r="AW1196" s="703">
        <f t="shared" si="1665"/>
        <v>3573.152</v>
      </c>
      <c r="AX1196" s="704">
        <f t="shared" si="1665"/>
        <v>2847.67</v>
      </c>
      <c r="AY1196" s="702">
        <f t="shared" si="1665"/>
        <v>2289.855</v>
      </c>
      <c r="AZ1196" s="703">
        <f t="shared" si="1665"/>
        <v>14578.03</v>
      </c>
      <c r="BA1196" s="703">
        <f t="shared" si="1665"/>
        <v>11909.24</v>
      </c>
      <c r="BB1196" s="704">
        <f t="shared" si="1665"/>
        <v>15168.294434699999</v>
      </c>
      <c r="BC1196" s="702">
        <f t="shared" si="1665"/>
        <v>4363.2709999999997</v>
      </c>
      <c r="BD1196" s="703">
        <f t="shared" si="1665"/>
        <v>1247.7737</v>
      </c>
      <c r="BE1196" s="703">
        <f t="shared" si="1665"/>
        <v>5425.3230000000003</v>
      </c>
      <c r="BF1196" s="704">
        <f t="shared" si="1665"/>
        <v>5498.37</v>
      </c>
      <c r="BG1196" s="702">
        <f t="shared" si="1665"/>
        <v>5231.8630000000003</v>
      </c>
      <c r="BH1196" s="703">
        <f t="shared" si="1665"/>
        <v>23847.483</v>
      </c>
      <c r="BI1196" s="703">
        <f t="shared" si="1665"/>
        <v>14372.707</v>
      </c>
      <c r="BJ1196" s="704">
        <f t="shared" si="1665"/>
        <v>24812.829111840001</v>
      </c>
      <c r="BK1196" s="702">
        <f t="shared" si="1665"/>
        <v>6873.3469999999998</v>
      </c>
      <c r="BL1196" s="703">
        <f t="shared" si="1665"/>
        <v>7505.01</v>
      </c>
      <c r="BM1196" s="703">
        <f t="shared" si="1665"/>
        <v>8082.29</v>
      </c>
      <c r="BN1196" s="704">
        <f t="shared" si="1665"/>
        <v>8341.23</v>
      </c>
      <c r="BO1196" s="702">
        <f t="shared" si="1665"/>
        <v>1363.91</v>
      </c>
      <c r="BP1196" s="703">
        <f t="shared" si="1665"/>
        <v>1297.42</v>
      </c>
      <c r="BQ1196" s="703">
        <f t="shared" si="1665"/>
        <v>2728.54</v>
      </c>
      <c r="BR1196" s="704">
        <f t="shared" si="1665"/>
        <v>2142.9125639999997</v>
      </c>
      <c r="BS1196" s="702">
        <f t="shared" si="1665"/>
        <v>966.98</v>
      </c>
      <c r="BT1196" s="703">
        <f t="shared" si="1665"/>
        <v>1263.6300000000001</v>
      </c>
      <c r="BU1196" s="703">
        <f t="shared" si="1665"/>
        <v>1432.58</v>
      </c>
      <c r="BV1196" s="704">
        <f t="shared" si="1665"/>
        <v>1218.54</v>
      </c>
      <c r="BW1196" s="6"/>
      <c r="BX1196" s="5"/>
      <c r="BY1196" s="706">
        <f t="shared" ref="BY1196:CB1197" si="1666">AE1196+AI1196+AM1196+AQ1196+AU1196+AY1196+BC1196+BG1196+BK1196+BO1196+BS1196</f>
        <v>62733.238000000012</v>
      </c>
      <c r="BZ1196" s="707">
        <f t="shared" si="1666"/>
        <v>97026.3361</v>
      </c>
      <c r="CA1196" s="707">
        <f t="shared" si="1666"/>
        <v>154338.777</v>
      </c>
      <c r="CB1196" s="708">
        <f t="shared" si="1666"/>
        <v>109658.11111053999</v>
      </c>
      <c r="CC1196" s="874"/>
    </row>
    <row r="1197" spans="1:81" s="400" customFormat="1" ht="18.75" customHeight="1" x14ac:dyDescent="0.25">
      <c r="A1197" s="5"/>
      <c r="B1197" s="5"/>
      <c r="C1197" s="5"/>
      <c r="D1197" s="5"/>
      <c r="E1197" s="5"/>
      <c r="F1197" s="5"/>
      <c r="G1197" s="5"/>
      <c r="H1197" s="5"/>
      <c r="I1197" s="5"/>
      <c r="J1197" s="5"/>
      <c r="K1197" s="5"/>
      <c r="L1197" s="5"/>
      <c r="M1197" s="5"/>
      <c r="N1197" s="5"/>
      <c r="O1197" s="5"/>
      <c r="P1197" s="5"/>
      <c r="Q1197" s="5"/>
      <c r="R1197" s="5"/>
      <c r="S1197" s="5"/>
      <c r="T1197" s="5"/>
      <c r="U1197" s="5"/>
      <c r="V1197" s="5"/>
      <c r="W1197" s="5"/>
      <c r="X1197" s="5"/>
      <c r="Y1197" s="5"/>
      <c r="Z1197" s="5"/>
      <c r="AA1197" s="5"/>
      <c r="AB1197" s="6"/>
      <c r="AC1197" s="709" t="s">
        <v>720</v>
      </c>
      <c r="AD1197" s="594" t="s">
        <v>111</v>
      </c>
      <c r="AE1197" s="710">
        <f t="shared" ref="AE1197:BV1197" si="1667">AE251</f>
        <v>40.5</v>
      </c>
      <c r="AF1197" s="711">
        <f t="shared" si="1667"/>
        <v>49.36</v>
      </c>
      <c r="AG1197" s="711">
        <f t="shared" si="1667"/>
        <v>94.3</v>
      </c>
      <c r="AH1197" s="712">
        <f t="shared" si="1667"/>
        <v>44.55</v>
      </c>
      <c r="AI1197" s="710">
        <f t="shared" si="1667"/>
        <v>0.3</v>
      </c>
      <c r="AJ1197" s="711">
        <f t="shared" si="1667"/>
        <v>1</v>
      </c>
      <c r="AK1197" s="711">
        <f t="shared" si="1667"/>
        <v>2.5</v>
      </c>
      <c r="AL1197" s="712">
        <f t="shared" si="1667"/>
        <v>0.33</v>
      </c>
      <c r="AM1197" s="710">
        <f t="shared" si="1667"/>
        <v>6.32</v>
      </c>
      <c r="AN1197" s="711">
        <f t="shared" si="1667"/>
        <v>14.36</v>
      </c>
      <c r="AO1197" s="711">
        <f t="shared" si="1667"/>
        <v>14.7</v>
      </c>
      <c r="AP1197" s="712">
        <f t="shared" si="1667"/>
        <v>6.95</v>
      </c>
      <c r="AQ1197" s="710">
        <f t="shared" si="1667"/>
        <v>7.1</v>
      </c>
      <c r="AR1197" s="711">
        <f t="shared" si="1667"/>
        <v>10.75</v>
      </c>
      <c r="AS1197" s="711">
        <f t="shared" si="1667"/>
        <v>12.2</v>
      </c>
      <c r="AT1197" s="712">
        <f t="shared" si="1667"/>
        <v>7.81</v>
      </c>
      <c r="AU1197" s="710">
        <f t="shared" si="1667"/>
        <v>3.64</v>
      </c>
      <c r="AV1197" s="711">
        <f t="shared" si="1667"/>
        <v>2.25</v>
      </c>
      <c r="AW1197" s="711">
        <f t="shared" si="1667"/>
        <v>6.1</v>
      </c>
      <c r="AX1197" s="712">
        <f t="shared" si="1667"/>
        <v>4</v>
      </c>
      <c r="AY1197" s="710">
        <f t="shared" si="1667"/>
        <v>6.81</v>
      </c>
      <c r="AZ1197" s="711">
        <f t="shared" si="1667"/>
        <v>28.65</v>
      </c>
      <c r="BA1197" s="711">
        <f t="shared" si="1667"/>
        <v>20.399999999999999</v>
      </c>
      <c r="BB1197" s="712">
        <f t="shared" si="1667"/>
        <v>28.65</v>
      </c>
      <c r="BC1197" s="710">
        <f t="shared" si="1667"/>
        <v>6.06</v>
      </c>
      <c r="BD1197" s="711">
        <f t="shared" si="1667"/>
        <v>3</v>
      </c>
      <c r="BE1197" s="711">
        <f t="shared" si="1667"/>
        <v>9.5</v>
      </c>
      <c r="BF1197" s="712">
        <f t="shared" si="1667"/>
        <v>6.67</v>
      </c>
      <c r="BG1197" s="710">
        <f t="shared" si="1667"/>
        <v>12.5</v>
      </c>
      <c r="BH1197" s="711">
        <f t="shared" si="1667"/>
        <v>41.414135299999998</v>
      </c>
      <c r="BI1197" s="711">
        <f t="shared" si="1667"/>
        <v>23.999999999999996</v>
      </c>
      <c r="BJ1197" s="712">
        <f t="shared" si="1667"/>
        <v>41.41</v>
      </c>
      <c r="BK1197" s="710">
        <f t="shared" si="1667"/>
        <v>10.74</v>
      </c>
      <c r="BL1197" s="711">
        <f t="shared" si="1667"/>
        <v>14</v>
      </c>
      <c r="BM1197" s="711">
        <f t="shared" si="1667"/>
        <v>14</v>
      </c>
      <c r="BN1197" s="712">
        <f t="shared" si="1667"/>
        <v>11.5</v>
      </c>
      <c r="BO1197" s="710">
        <f t="shared" si="1667"/>
        <v>2.02</v>
      </c>
      <c r="BP1197" s="711">
        <f t="shared" si="1667"/>
        <v>2.48</v>
      </c>
      <c r="BQ1197" s="711">
        <f t="shared" si="1667"/>
        <v>4.75</v>
      </c>
      <c r="BR1197" s="712">
        <f t="shared" si="1667"/>
        <v>2.2200000000000002</v>
      </c>
      <c r="BS1197" s="710">
        <f t="shared" si="1667"/>
        <v>1.64</v>
      </c>
      <c r="BT1197" s="711">
        <f t="shared" si="1667"/>
        <v>2.48</v>
      </c>
      <c r="BU1197" s="711">
        <f t="shared" si="1667"/>
        <v>2.5</v>
      </c>
      <c r="BV1197" s="712">
        <f t="shared" si="1667"/>
        <v>1.8</v>
      </c>
      <c r="BW1197" s="6"/>
      <c r="BX1197" s="5"/>
      <c r="BY1197" s="45">
        <f t="shared" si="1666"/>
        <v>97.63</v>
      </c>
      <c r="BZ1197" s="46">
        <f t="shared" si="1666"/>
        <v>169.74413529999998</v>
      </c>
      <c r="CA1197" s="46">
        <f t="shared" si="1666"/>
        <v>204.95000000000002</v>
      </c>
      <c r="CB1197" s="47">
        <f t="shared" si="1666"/>
        <v>155.89000000000001</v>
      </c>
      <c r="CC1197" s="874"/>
    </row>
    <row r="1198" spans="1:81" s="400" customFormat="1" ht="18.75" customHeight="1" x14ac:dyDescent="0.25">
      <c r="A1198" s="5"/>
      <c r="B1198" s="5"/>
      <c r="C1198" s="5"/>
      <c r="D1198" s="5"/>
      <c r="E1198" s="5"/>
      <c r="F1198" s="5"/>
      <c r="G1198" s="5"/>
      <c r="H1198" s="5"/>
      <c r="I1198" s="5"/>
      <c r="J1198" s="5"/>
      <c r="K1198" s="5"/>
      <c r="L1198" s="5"/>
      <c r="M1198" s="5"/>
      <c r="N1198" s="5"/>
      <c r="O1198" s="5"/>
      <c r="P1198" s="5"/>
      <c r="Q1198" s="5"/>
      <c r="R1198" s="5"/>
      <c r="S1198" s="5"/>
      <c r="T1198" s="5"/>
      <c r="U1198" s="5"/>
      <c r="V1198" s="5"/>
      <c r="W1198" s="5"/>
      <c r="X1198" s="5"/>
      <c r="Y1198" s="5"/>
      <c r="Z1198" s="5"/>
      <c r="AA1198" s="5"/>
      <c r="AB1198" s="6"/>
      <c r="AC1198" s="709" t="s">
        <v>718</v>
      </c>
      <c r="AD1198" s="594" t="s">
        <v>111</v>
      </c>
      <c r="AE1198" s="45">
        <f t="shared" ref="AE1198:BV1198" si="1668">(AE1196/AE1197)/12*1000</f>
        <v>58456.728395061727</v>
      </c>
      <c r="AF1198" s="46">
        <f t="shared" si="1668"/>
        <v>57501.215559157223</v>
      </c>
      <c r="AG1198" s="46">
        <f t="shared" si="1668"/>
        <v>79432.11382113822</v>
      </c>
      <c r="AH1198" s="47">
        <f t="shared" si="1668"/>
        <v>66967.452300785633</v>
      </c>
      <c r="AI1198" s="45">
        <f t="shared" si="1668"/>
        <v>58400.000000000007</v>
      </c>
      <c r="AJ1198" s="46">
        <f t="shared" si="1668"/>
        <v>39125</v>
      </c>
      <c r="AK1198" s="46">
        <f t="shared" si="1668"/>
        <v>49034.666666666657</v>
      </c>
      <c r="AL1198" s="47">
        <f t="shared" si="1668"/>
        <v>66901.515151515137</v>
      </c>
      <c r="AM1198" s="45">
        <f t="shared" si="1668"/>
        <v>62646.822257383967</v>
      </c>
      <c r="AN1198" s="46">
        <f t="shared" si="1668"/>
        <v>40733.635097493039</v>
      </c>
      <c r="AO1198" s="46">
        <f t="shared" si="1668"/>
        <v>48906.343537414963</v>
      </c>
      <c r="AP1198" s="47">
        <f t="shared" si="1668"/>
        <v>71767.565947242198</v>
      </c>
      <c r="AQ1198" s="45">
        <f t="shared" si="1668"/>
        <v>70573.661971830981</v>
      </c>
      <c r="AR1198" s="46">
        <f t="shared" si="1668"/>
        <v>37294.263565891473</v>
      </c>
      <c r="AS1198" s="46">
        <f t="shared" si="1668"/>
        <v>46662.882513661199</v>
      </c>
      <c r="AT1198" s="47">
        <f t="shared" si="1668"/>
        <v>80848.484848484863</v>
      </c>
      <c r="AU1198" s="45">
        <f t="shared" si="1668"/>
        <v>51735.141941391936</v>
      </c>
      <c r="AV1198" s="46">
        <f t="shared" si="1668"/>
        <v>34377.38518518518</v>
      </c>
      <c r="AW1198" s="46">
        <f t="shared" si="1668"/>
        <v>48813.551912568306</v>
      </c>
      <c r="AX1198" s="47">
        <f t="shared" si="1668"/>
        <v>59326.458333333336</v>
      </c>
      <c r="AY1198" s="45">
        <f t="shared" si="1668"/>
        <v>28020.741556534507</v>
      </c>
      <c r="AZ1198" s="46">
        <f t="shared" si="1668"/>
        <v>42402.646887725423</v>
      </c>
      <c r="BA1198" s="46">
        <f t="shared" si="1668"/>
        <v>48648.856209150334</v>
      </c>
      <c r="BB1198" s="47">
        <f t="shared" si="1668"/>
        <v>44119.530060209428</v>
      </c>
      <c r="BC1198" s="45">
        <f t="shared" si="1668"/>
        <v>60000.976347634765</v>
      </c>
      <c r="BD1198" s="46">
        <f t="shared" si="1668"/>
        <v>34660.380555555552</v>
      </c>
      <c r="BE1198" s="46">
        <f t="shared" si="1668"/>
        <v>47590.552631578954</v>
      </c>
      <c r="BF1198" s="47">
        <f t="shared" si="1668"/>
        <v>68695.277361319342</v>
      </c>
      <c r="BG1198" s="45">
        <f t="shared" si="1668"/>
        <v>34879.08666666667</v>
      </c>
      <c r="BH1198" s="46">
        <f t="shared" si="1668"/>
        <v>47985.796047756674</v>
      </c>
      <c r="BI1198" s="46">
        <f t="shared" si="1668"/>
        <v>49905.232638888898</v>
      </c>
      <c r="BJ1198" s="47">
        <f t="shared" si="1668"/>
        <v>49933.247025356199</v>
      </c>
      <c r="BK1198" s="45">
        <f t="shared" si="1668"/>
        <v>53331.37026691495</v>
      </c>
      <c r="BL1198" s="46">
        <f t="shared" si="1668"/>
        <v>44672.67857142858</v>
      </c>
      <c r="BM1198" s="46">
        <f t="shared" si="1668"/>
        <v>48108.869047619046</v>
      </c>
      <c r="BN1198" s="47">
        <f t="shared" si="1668"/>
        <v>60443.695652173905</v>
      </c>
      <c r="BO1198" s="45">
        <f t="shared" si="1668"/>
        <v>56266.91419141915</v>
      </c>
      <c r="BP1198" s="46">
        <f t="shared" si="1668"/>
        <v>43596.102150537641</v>
      </c>
      <c r="BQ1198" s="46">
        <f t="shared" si="1668"/>
        <v>47869.122807017542</v>
      </c>
      <c r="BR1198" s="47">
        <f t="shared" si="1668"/>
        <v>80439.66081081079</v>
      </c>
      <c r="BS1198" s="45">
        <f t="shared" si="1668"/>
        <v>49135.162601626012</v>
      </c>
      <c r="BT1198" s="46">
        <f t="shared" si="1668"/>
        <v>42460.68548387097</v>
      </c>
      <c r="BU1198" s="46">
        <f t="shared" si="1668"/>
        <v>47752.666666666664</v>
      </c>
      <c r="BV1198" s="47">
        <f t="shared" si="1668"/>
        <v>56413.888888888883</v>
      </c>
      <c r="BW1198" s="6"/>
      <c r="BX1198" s="5"/>
      <c r="BY1198" s="45">
        <f>(BY1196/BY1197)/12*1000</f>
        <v>53546.756461470191</v>
      </c>
      <c r="BZ1198" s="46">
        <f>(BZ1196/BZ1197)/12*1000</f>
        <v>47633.622181074163</v>
      </c>
      <c r="CA1198" s="46">
        <f>(CA1196/CA1197)/12*1000</f>
        <v>62754.646255184183</v>
      </c>
      <c r="CB1198" s="47">
        <f>(CB1196/CB1197)/12*1000</f>
        <v>58619.384988635138</v>
      </c>
      <c r="CC1198" s="874"/>
    </row>
    <row r="1199" spans="1:81" s="400" customFormat="1" ht="18.75" customHeight="1" x14ac:dyDescent="0.25">
      <c r="A1199" s="5"/>
      <c r="B1199" s="5"/>
      <c r="C1199" s="5"/>
      <c r="D1199" s="5"/>
      <c r="E1199" s="5"/>
      <c r="F1199" s="5"/>
      <c r="G1199" s="5"/>
      <c r="H1199" s="5"/>
      <c r="I1199" s="5"/>
      <c r="J1199" s="5"/>
      <c r="K1199" s="5"/>
      <c r="L1199" s="5"/>
      <c r="M1199" s="5"/>
      <c r="N1199" s="5"/>
      <c r="O1199" s="5"/>
      <c r="P1199" s="5"/>
      <c r="Q1199" s="5"/>
      <c r="R1199" s="5"/>
      <c r="S1199" s="5"/>
      <c r="T1199" s="5"/>
      <c r="U1199" s="5"/>
      <c r="V1199" s="5"/>
      <c r="W1199" s="5"/>
      <c r="X1199" s="5"/>
      <c r="Y1199" s="5"/>
      <c r="Z1199" s="5"/>
      <c r="AA1199" s="5"/>
      <c r="AB1199" s="6"/>
      <c r="AC1199" s="715" t="s">
        <v>721</v>
      </c>
      <c r="AD1199" s="701" t="s">
        <v>111</v>
      </c>
      <c r="AE1199" s="702">
        <f t="shared" ref="AE1199:BV1199" si="1669">AE264</f>
        <v>66937.31</v>
      </c>
      <c r="AF1199" s="703">
        <f t="shared" si="1669"/>
        <v>53627.03</v>
      </c>
      <c r="AG1199" s="703">
        <f t="shared" si="1669"/>
        <v>70610.27</v>
      </c>
      <c r="AH1199" s="704">
        <f t="shared" si="1669"/>
        <v>84155.95</v>
      </c>
      <c r="AI1199" s="702">
        <f t="shared" si="1669"/>
        <v>0</v>
      </c>
      <c r="AJ1199" s="703">
        <f t="shared" si="1669"/>
        <v>141.01</v>
      </c>
      <c r="AK1199" s="703">
        <f t="shared" si="1669"/>
        <v>0</v>
      </c>
      <c r="AL1199" s="704">
        <f t="shared" si="1669"/>
        <v>0</v>
      </c>
      <c r="AM1199" s="702">
        <f t="shared" si="1669"/>
        <v>1897.72</v>
      </c>
      <c r="AN1199" s="703">
        <f t="shared" si="1669"/>
        <v>2304.91</v>
      </c>
      <c r="AO1199" s="703">
        <f t="shared" si="1669"/>
        <v>2257.96</v>
      </c>
      <c r="AP1199" s="704">
        <f t="shared" si="1669"/>
        <v>2392.73</v>
      </c>
      <c r="AQ1199" s="702">
        <f t="shared" si="1669"/>
        <v>2681.61</v>
      </c>
      <c r="AR1199" s="703">
        <f t="shared" si="1669"/>
        <v>3017</v>
      </c>
      <c r="AS1199" s="703">
        <f t="shared" si="1669"/>
        <v>2619.23</v>
      </c>
      <c r="AT1199" s="704">
        <f t="shared" si="1669"/>
        <v>2533.33</v>
      </c>
      <c r="AU1199" s="702">
        <f t="shared" si="1669"/>
        <v>1473.18</v>
      </c>
      <c r="AV1199" s="703">
        <f t="shared" si="1669"/>
        <v>587.08209999999997</v>
      </c>
      <c r="AW1199" s="703">
        <f t="shared" si="1669"/>
        <v>740.61</v>
      </c>
      <c r="AX1199" s="704">
        <f t="shared" si="1669"/>
        <v>1823.07</v>
      </c>
      <c r="AY1199" s="702">
        <f t="shared" si="1669"/>
        <v>2283.3090000000002</v>
      </c>
      <c r="AZ1199" s="703">
        <f t="shared" si="1669"/>
        <v>4758.3900000000003</v>
      </c>
      <c r="BA1199" s="703">
        <f t="shared" si="1669"/>
        <v>3432.0949000000001</v>
      </c>
      <c r="BB1199" s="704">
        <f t="shared" si="1669"/>
        <v>4951.0572111000001</v>
      </c>
      <c r="BC1199" s="702">
        <f t="shared" si="1669"/>
        <v>0</v>
      </c>
      <c r="BD1199" s="703">
        <f t="shared" si="1669"/>
        <v>834.36689999999999</v>
      </c>
      <c r="BE1199" s="703">
        <f t="shared" si="1669"/>
        <v>1047.0730000000001</v>
      </c>
      <c r="BF1199" s="704">
        <f t="shared" si="1669"/>
        <v>0</v>
      </c>
      <c r="BG1199" s="702">
        <f t="shared" si="1669"/>
        <v>6135.73</v>
      </c>
      <c r="BH1199" s="703">
        <f t="shared" si="1669"/>
        <v>8415.5859999999993</v>
      </c>
      <c r="BI1199" s="703">
        <f t="shared" si="1669"/>
        <v>6951.2134999999998</v>
      </c>
      <c r="BJ1199" s="704">
        <f t="shared" si="1669"/>
        <v>8756.2489212799992</v>
      </c>
      <c r="BK1199" s="702">
        <f t="shared" si="1669"/>
        <v>0</v>
      </c>
      <c r="BL1199" s="703">
        <f t="shared" si="1669"/>
        <v>0</v>
      </c>
      <c r="BM1199" s="703">
        <f t="shared" si="1669"/>
        <v>0</v>
      </c>
      <c r="BN1199" s="704">
        <f t="shared" si="1669"/>
        <v>0</v>
      </c>
      <c r="BO1199" s="702">
        <f t="shared" si="1669"/>
        <v>0</v>
      </c>
      <c r="BP1199" s="703">
        <f t="shared" si="1669"/>
        <v>0</v>
      </c>
      <c r="BQ1199" s="703">
        <f t="shared" si="1669"/>
        <v>446.68</v>
      </c>
      <c r="BR1199" s="704">
        <f t="shared" si="1669"/>
        <v>0</v>
      </c>
      <c r="BS1199" s="702">
        <f t="shared" si="1669"/>
        <v>0</v>
      </c>
      <c r="BT1199" s="703">
        <f t="shared" si="1669"/>
        <v>0</v>
      </c>
      <c r="BU1199" s="703">
        <f t="shared" si="1669"/>
        <v>1522.3340000000001</v>
      </c>
      <c r="BV1199" s="704">
        <f t="shared" si="1669"/>
        <v>0</v>
      </c>
      <c r="BW1199" s="6"/>
      <c r="BX1199" s="5"/>
      <c r="BY1199" s="706">
        <f t="shared" ref="BY1199:CB1200" si="1670">AE1199+AI1199+AM1199+AQ1199+AU1199+AY1199+BC1199+BG1199+BK1199+BO1199+BS1199</f>
        <v>81408.858999999982</v>
      </c>
      <c r="BZ1199" s="707">
        <f t="shared" si="1670"/>
        <v>73685.375</v>
      </c>
      <c r="CA1199" s="707">
        <f t="shared" si="1670"/>
        <v>89627.465400000001</v>
      </c>
      <c r="CB1199" s="708">
        <f t="shared" si="1670"/>
        <v>104612.38613237999</v>
      </c>
      <c r="CC1199" s="874"/>
    </row>
    <row r="1200" spans="1:81" s="400" customFormat="1" ht="18.75" customHeight="1" x14ac:dyDescent="0.25">
      <c r="A1200" s="5"/>
      <c r="B1200" s="5"/>
      <c r="C1200" s="5"/>
      <c r="D1200" s="5"/>
      <c r="E1200" s="5"/>
      <c r="F1200" s="5"/>
      <c r="G1200" s="5"/>
      <c r="H1200" s="5"/>
      <c r="I1200" s="5"/>
      <c r="J1200" s="5"/>
      <c r="K1200" s="5"/>
      <c r="L1200" s="5"/>
      <c r="M1200" s="5"/>
      <c r="N1200" s="5"/>
      <c r="O1200" s="5"/>
      <c r="P1200" s="5"/>
      <c r="Q1200" s="5"/>
      <c r="R1200" s="5"/>
      <c r="S1200" s="5"/>
      <c r="T1200" s="5"/>
      <c r="U1200" s="5"/>
      <c r="V1200" s="5"/>
      <c r="W1200" s="5"/>
      <c r="X1200" s="5"/>
      <c r="Y1200" s="5"/>
      <c r="Z1200" s="5"/>
      <c r="AA1200" s="5"/>
      <c r="AB1200" s="6"/>
      <c r="AC1200" s="709" t="s">
        <v>720</v>
      </c>
      <c r="AD1200" s="594" t="s">
        <v>111</v>
      </c>
      <c r="AE1200" s="710">
        <f t="shared" ref="AE1200:BV1200" si="1671">AE266</f>
        <v>69.98</v>
      </c>
      <c r="AF1200" s="711">
        <f t="shared" si="1671"/>
        <v>60.04</v>
      </c>
      <c r="AG1200" s="711">
        <f t="shared" si="1671"/>
        <v>83.9</v>
      </c>
      <c r="AH1200" s="712">
        <f t="shared" si="1671"/>
        <v>76.8</v>
      </c>
      <c r="AI1200" s="710">
        <f t="shared" si="1671"/>
        <v>0</v>
      </c>
      <c r="AJ1200" s="711">
        <f t="shared" si="1671"/>
        <v>0.25</v>
      </c>
      <c r="AK1200" s="711">
        <f t="shared" si="1671"/>
        <v>0</v>
      </c>
      <c r="AL1200" s="712">
        <f t="shared" si="1671"/>
        <v>0</v>
      </c>
      <c r="AM1200" s="710">
        <f t="shared" si="1671"/>
        <v>3.28</v>
      </c>
      <c r="AN1200" s="711">
        <f t="shared" si="1671"/>
        <v>3.81</v>
      </c>
      <c r="AO1200" s="711">
        <f t="shared" si="1671"/>
        <v>3.6</v>
      </c>
      <c r="AP1200" s="712">
        <f t="shared" si="1671"/>
        <v>3.61</v>
      </c>
      <c r="AQ1200" s="710">
        <f t="shared" si="1671"/>
        <v>4.22</v>
      </c>
      <c r="AR1200" s="711">
        <f t="shared" si="1671"/>
        <v>6.27</v>
      </c>
      <c r="AS1200" s="711">
        <f t="shared" si="1671"/>
        <v>4.2</v>
      </c>
      <c r="AT1200" s="712">
        <f t="shared" si="1671"/>
        <v>3.48</v>
      </c>
      <c r="AU1200" s="710">
        <f t="shared" si="1671"/>
        <v>1.76</v>
      </c>
      <c r="AV1200" s="711">
        <f t="shared" si="1671"/>
        <v>1.1299999999999999</v>
      </c>
      <c r="AW1200" s="711">
        <f t="shared" si="1671"/>
        <v>1.2</v>
      </c>
      <c r="AX1200" s="712">
        <f t="shared" si="1671"/>
        <v>1.94</v>
      </c>
      <c r="AY1200" s="710">
        <f t="shared" si="1671"/>
        <v>3.92</v>
      </c>
      <c r="AZ1200" s="711">
        <f t="shared" si="1671"/>
        <v>8.1199999999999992</v>
      </c>
      <c r="BA1200" s="711">
        <f t="shared" si="1671"/>
        <v>5.5</v>
      </c>
      <c r="BB1200" s="712">
        <f t="shared" si="1671"/>
        <v>8.1199999999999992</v>
      </c>
      <c r="BC1200" s="710">
        <f t="shared" si="1671"/>
        <v>0</v>
      </c>
      <c r="BD1200" s="711">
        <f t="shared" si="1671"/>
        <v>1.61</v>
      </c>
      <c r="BE1200" s="711">
        <f t="shared" si="1671"/>
        <v>1.75</v>
      </c>
      <c r="BF1200" s="712">
        <f t="shared" si="1671"/>
        <v>0</v>
      </c>
      <c r="BG1200" s="710">
        <f t="shared" si="1671"/>
        <v>8</v>
      </c>
      <c r="BH1200" s="711">
        <f t="shared" si="1671"/>
        <v>13.85</v>
      </c>
      <c r="BI1200" s="711">
        <f t="shared" si="1671"/>
        <v>11</v>
      </c>
      <c r="BJ1200" s="712">
        <f t="shared" si="1671"/>
        <v>13.85</v>
      </c>
      <c r="BK1200" s="710">
        <f t="shared" si="1671"/>
        <v>0</v>
      </c>
      <c r="BL1200" s="711">
        <f t="shared" si="1671"/>
        <v>0</v>
      </c>
      <c r="BM1200" s="711">
        <f t="shared" si="1671"/>
        <v>0</v>
      </c>
      <c r="BN1200" s="712">
        <f t="shared" si="1671"/>
        <v>0</v>
      </c>
      <c r="BO1200" s="710">
        <f t="shared" si="1671"/>
        <v>0</v>
      </c>
      <c r="BP1200" s="711">
        <f t="shared" si="1671"/>
        <v>0</v>
      </c>
      <c r="BQ1200" s="711">
        <f t="shared" si="1671"/>
        <v>0.5</v>
      </c>
      <c r="BR1200" s="712">
        <f t="shared" si="1671"/>
        <v>0</v>
      </c>
      <c r="BS1200" s="710">
        <f t="shared" si="1671"/>
        <v>0</v>
      </c>
      <c r="BT1200" s="711">
        <f t="shared" si="1671"/>
        <v>0</v>
      </c>
      <c r="BU1200" s="711">
        <f t="shared" si="1671"/>
        <v>3</v>
      </c>
      <c r="BV1200" s="712">
        <f t="shared" si="1671"/>
        <v>0</v>
      </c>
      <c r="BW1200" s="6"/>
      <c r="BX1200" s="5"/>
      <c r="BY1200" s="45">
        <f t="shared" si="1670"/>
        <v>91.160000000000011</v>
      </c>
      <c r="BZ1200" s="46">
        <f t="shared" si="1670"/>
        <v>95.079999999999984</v>
      </c>
      <c r="CA1200" s="46">
        <f t="shared" si="1670"/>
        <v>114.65</v>
      </c>
      <c r="CB1200" s="47">
        <f t="shared" si="1670"/>
        <v>107.8</v>
      </c>
      <c r="CC1200" s="874"/>
    </row>
    <row r="1201" spans="1:81" s="400" customFormat="1" ht="18.75" customHeight="1" x14ac:dyDescent="0.25">
      <c r="A1201" s="5"/>
      <c r="B1201" s="5"/>
      <c r="C1201" s="5"/>
      <c r="D1201" s="5"/>
      <c r="E1201" s="5"/>
      <c r="F1201" s="5"/>
      <c r="G1201" s="5"/>
      <c r="H1201" s="5"/>
      <c r="I1201" s="5"/>
      <c r="J1201" s="5"/>
      <c r="K1201" s="5"/>
      <c r="L1201" s="5"/>
      <c r="M1201" s="5"/>
      <c r="N1201" s="5"/>
      <c r="O1201" s="5"/>
      <c r="P1201" s="5"/>
      <c r="Q1201" s="5"/>
      <c r="R1201" s="5"/>
      <c r="S1201" s="5"/>
      <c r="T1201" s="5"/>
      <c r="U1201" s="5"/>
      <c r="V1201" s="5"/>
      <c r="W1201" s="5"/>
      <c r="X1201" s="5"/>
      <c r="Y1201" s="5"/>
      <c r="Z1201" s="5"/>
      <c r="AA1201" s="5"/>
      <c r="AB1201" s="6"/>
      <c r="AC1201" s="716" t="s">
        <v>718</v>
      </c>
      <c r="AD1201" s="594" t="s">
        <v>111</v>
      </c>
      <c r="AE1201" s="45">
        <f t="shared" ref="AE1201:BV1201" si="1672">(AE1199/AE1200)/12*1000</f>
        <v>79710.048108983508</v>
      </c>
      <c r="AF1201" s="46">
        <f t="shared" si="1672"/>
        <v>74432.364534754612</v>
      </c>
      <c r="AG1201" s="46">
        <f t="shared" si="1672"/>
        <v>70133.363130711165</v>
      </c>
      <c r="AH1201" s="47">
        <f t="shared" si="1672"/>
        <v>91315.049913194438</v>
      </c>
      <c r="AI1201" s="45" t="e">
        <f t="shared" si="1672"/>
        <v>#DIV/0!</v>
      </c>
      <c r="AJ1201" s="46">
        <f t="shared" si="1672"/>
        <v>47003.333333333328</v>
      </c>
      <c r="AK1201" s="46" t="e">
        <f t="shared" si="1672"/>
        <v>#DIV/0!</v>
      </c>
      <c r="AL1201" s="47" t="e">
        <f t="shared" si="1672"/>
        <v>#DIV/0!</v>
      </c>
      <c r="AM1201" s="45">
        <f t="shared" si="1672"/>
        <v>48214.430894308949</v>
      </c>
      <c r="AN1201" s="46">
        <f t="shared" si="1672"/>
        <v>50413.604549431322</v>
      </c>
      <c r="AO1201" s="46">
        <f t="shared" si="1672"/>
        <v>52267.592592592591</v>
      </c>
      <c r="AP1201" s="47">
        <f t="shared" si="1672"/>
        <v>55233.841181902128</v>
      </c>
      <c r="AQ1201" s="45">
        <f t="shared" si="1672"/>
        <v>52954.383886255928</v>
      </c>
      <c r="AR1201" s="46">
        <f t="shared" si="1672"/>
        <v>40098.351940457207</v>
      </c>
      <c r="AS1201" s="46">
        <f t="shared" si="1672"/>
        <v>51968.849206349201</v>
      </c>
      <c r="AT1201" s="47">
        <f t="shared" si="1672"/>
        <v>60664.032567049806</v>
      </c>
      <c r="AU1201" s="45">
        <f t="shared" si="1672"/>
        <v>69752.840909090926</v>
      </c>
      <c r="AV1201" s="46">
        <f t="shared" si="1672"/>
        <v>43295.140117994102</v>
      </c>
      <c r="AW1201" s="46">
        <f t="shared" si="1672"/>
        <v>51431.250000000007</v>
      </c>
      <c r="AX1201" s="47">
        <f t="shared" si="1672"/>
        <v>78310.567010309271</v>
      </c>
      <c r="AY1201" s="45">
        <f t="shared" si="1672"/>
        <v>48539.732142857152</v>
      </c>
      <c r="AZ1201" s="46">
        <f t="shared" si="1672"/>
        <v>48834.051724137935</v>
      </c>
      <c r="BA1201" s="46">
        <f t="shared" si="1672"/>
        <v>52001.437878787874</v>
      </c>
      <c r="BB1201" s="47">
        <f t="shared" si="1672"/>
        <v>50811.342478448292</v>
      </c>
      <c r="BC1201" s="45" t="e">
        <f t="shared" si="1672"/>
        <v>#DIV/0!</v>
      </c>
      <c r="BD1201" s="46">
        <f t="shared" si="1672"/>
        <v>43186.69254658385</v>
      </c>
      <c r="BE1201" s="46">
        <f t="shared" si="1672"/>
        <v>49860.619047619053</v>
      </c>
      <c r="BF1201" s="47" t="e">
        <f t="shared" si="1672"/>
        <v>#DIV/0!</v>
      </c>
      <c r="BG1201" s="45">
        <f t="shared" si="1672"/>
        <v>63913.854166666657</v>
      </c>
      <c r="BH1201" s="46">
        <f t="shared" si="1672"/>
        <v>50635.294825511432</v>
      </c>
      <c r="BI1201" s="46">
        <f t="shared" si="1672"/>
        <v>52660.708333333328</v>
      </c>
      <c r="BJ1201" s="47">
        <f t="shared" si="1672"/>
        <v>52685.011560048129</v>
      </c>
      <c r="BK1201" s="45" t="e">
        <f t="shared" si="1672"/>
        <v>#DIV/0!</v>
      </c>
      <c r="BL1201" s="46" t="e">
        <f t="shared" si="1672"/>
        <v>#DIV/0!</v>
      </c>
      <c r="BM1201" s="46" t="e">
        <f t="shared" si="1672"/>
        <v>#DIV/0!</v>
      </c>
      <c r="BN1201" s="47" t="e">
        <f t="shared" si="1672"/>
        <v>#DIV/0!</v>
      </c>
      <c r="BO1201" s="45" t="e">
        <f t="shared" si="1672"/>
        <v>#DIV/0!</v>
      </c>
      <c r="BP1201" s="46" t="e">
        <f t="shared" si="1672"/>
        <v>#DIV/0!</v>
      </c>
      <c r="BQ1201" s="46">
        <f t="shared" si="1672"/>
        <v>74446.666666666672</v>
      </c>
      <c r="BR1201" s="47" t="e">
        <f t="shared" si="1672"/>
        <v>#DIV/0!</v>
      </c>
      <c r="BS1201" s="45" t="e">
        <f t="shared" si="1672"/>
        <v>#DIV/0!</v>
      </c>
      <c r="BT1201" s="46" t="e">
        <f t="shared" si="1672"/>
        <v>#DIV/0!</v>
      </c>
      <c r="BU1201" s="46">
        <f t="shared" si="1672"/>
        <v>42287.055555555562</v>
      </c>
      <c r="BV1201" s="47" t="e">
        <f t="shared" si="1672"/>
        <v>#DIV/0!</v>
      </c>
      <c r="BW1201" s="6"/>
      <c r="BX1201" s="5"/>
      <c r="BY1201" s="45">
        <f>(BY1199/BY1200)/12*1000</f>
        <v>74419.389900541151</v>
      </c>
      <c r="BZ1201" s="46">
        <f>(BZ1199/BZ1200)/12*1000</f>
        <v>64581.90909409622</v>
      </c>
      <c r="CA1201" s="46">
        <f>(CA1199/CA1200)/12*1000</f>
        <v>65145.7082424771</v>
      </c>
      <c r="CB1201" s="47">
        <f>(CB1199/CB1200)/12*1000</f>
        <v>80869.191506168834</v>
      </c>
      <c r="CC1201" s="874"/>
    </row>
    <row r="1202" spans="1:81" s="400" customFormat="1" ht="18.75" customHeight="1" x14ac:dyDescent="0.25">
      <c r="A1202" s="5"/>
      <c r="B1202" s="5"/>
      <c r="C1202" s="5"/>
      <c r="D1202" s="5"/>
      <c r="E1202" s="5"/>
      <c r="F1202" s="5"/>
      <c r="G1202" s="5"/>
      <c r="H1202" s="5"/>
      <c r="I1202" s="5"/>
      <c r="J1202" s="5"/>
      <c r="K1202" s="5"/>
      <c r="L1202" s="5"/>
      <c r="M1202" s="5"/>
      <c r="N1202" s="5"/>
      <c r="O1202" s="5"/>
      <c r="P1202" s="5"/>
      <c r="Q1202" s="5"/>
      <c r="R1202" s="5"/>
      <c r="S1202" s="5"/>
      <c r="T1202" s="5"/>
      <c r="U1202" s="5"/>
      <c r="V1202" s="5"/>
      <c r="W1202" s="5"/>
      <c r="X1202" s="5"/>
      <c r="Y1202" s="5"/>
      <c r="Z1202" s="5"/>
      <c r="AA1202" s="5"/>
      <c r="AB1202" s="6"/>
      <c r="AC1202" s="715" t="s">
        <v>722</v>
      </c>
      <c r="AD1202" s="701" t="s">
        <v>111</v>
      </c>
      <c r="AE1202" s="702">
        <f t="shared" ref="AE1202:BV1202" si="1673">AE308</f>
        <v>56279.98</v>
      </c>
      <c r="AF1202" s="703">
        <f t="shared" si="1673"/>
        <v>60229.29</v>
      </c>
      <c r="AG1202" s="703">
        <f t="shared" si="1673"/>
        <v>72238.713000000003</v>
      </c>
      <c r="AH1202" s="704">
        <f t="shared" si="1673"/>
        <v>70921.16</v>
      </c>
      <c r="AI1202" s="702">
        <f t="shared" si="1673"/>
        <v>0</v>
      </c>
      <c r="AJ1202" s="703">
        <f t="shared" si="1673"/>
        <v>0</v>
      </c>
      <c r="AK1202" s="703">
        <f t="shared" si="1673"/>
        <v>0</v>
      </c>
      <c r="AL1202" s="704">
        <f t="shared" si="1673"/>
        <v>0</v>
      </c>
      <c r="AM1202" s="702">
        <f t="shared" si="1673"/>
        <v>1838.441</v>
      </c>
      <c r="AN1202" s="703">
        <f t="shared" si="1673"/>
        <v>0</v>
      </c>
      <c r="AO1202" s="703">
        <f t="shared" si="1673"/>
        <v>2685.1192000000001</v>
      </c>
      <c r="AP1202" s="704">
        <f t="shared" si="1673"/>
        <v>2316.71</v>
      </c>
      <c r="AQ1202" s="702">
        <f t="shared" si="1673"/>
        <v>2589.7170000000001</v>
      </c>
      <c r="AR1202" s="703">
        <f t="shared" si="1673"/>
        <v>0</v>
      </c>
      <c r="AS1202" s="703">
        <f t="shared" si="1673"/>
        <v>3114.7379999999998</v>
      </c>
      <c r="AT1202" s="704">
        <f t="shared" si="1673"/>
        <v>3263.4250000000002</v>
      </c>
      <c r="AU1202" s="702">
        <f t="shared" si="1673"/>
        <v>1402.645</v>
      </c>
      <c r="AV1202" s="703">
        <f t="shared" si="1673"/>
        <v>0</v>
      </c>
      <c r="AW1202" s="703">
        <f t="shared" si="1673"/>
        <v>880.71900000000005</v>
      </c>
      <c r="AX1202" s="704">
        <f t="shared" si="1673"/>
        <v>1767.54</v>
      </c>
      <c r="AY1202" s="702">
        <f t="shared" si="1673"/>
        <v>2224.2959999999998</v>
      </c>
      <c r="AZ1202" s="703">
        <f t="shared" si="1673"/>
        <v>4027.37</v>
      </c>
      <c r="BA1202" s="703">
        <f t="shared" si="1673"/>
        <v>4081.3809999999999</v>
      </c>
      <c r="BB1202" s="704">
        <f t="shared" si="1673"/>
        <v>4190.4382112999992</v>
      </c>
      <c r="BC1202" s="702">
        <f t="shared" si="1673"/>
        <v>1361.788</v>
      </c>
      <c r="BD1202" s="703">
        <f t="shared" si="1673"/>
        <v>0</v>
      </c>
      <c r="BE1202" s="703">
        <f t="shared" si="1673"/>
        <v>2543.9870000000001</v>
      </c>
      <c r="BF1202" s="704">
        <f t="shared" si="1673"/>
        <v>1716.0559000000001</v>
      </c>
      <c r="BG1202" s="702">
        <f t="shared" si="1673"/>
        <v>2950.5010000000002</v>
      </c>
      <c r="BH1202" s="703">
        <f t="shared" si="1673"/>
        <v>3337.5425</v>
      </c>
      <c r="BI1202" s="703">
        <f t="shared" si="1673"/>
        <v>3546.0819999999999</v>
      </c>
      <c r="BJ1202" s="704">
        <f t="shared" si="1673"/>
        <v>3472.6462204000004</v>
      </c>
      <c r="BK1202" s="702">
        <f t="shared" si="1673"/>
        <v>3744.9810000000002</v>
      </c>
      <c r="BL1202" s="703">
        <f t="shared" si="1673"/>
        <v>0</v>
      </c>
      <c r="BM1202" s="703">
        <f t="shared" si="1673"/>
        <v>4120.6776</v>
      </c>
      <c r="BN1202" s="704">
        <f t="shared" si="1673"/>
        <v>4719.2299999999996</v>
      </c>
      <c r="BO1202" s="702">
        <f t="shared" si="1673"/>
        <v>196.08</v>
      </c>
      <c r="BP1202" s="703">
        <f t="shared" si="1673"/>
        <v>0</v>
      </c>
      <c r="BQ1202" s="703">
        <f t="shared" si="1673"/>
        <v>231.61</v>
      </c>
      <c r="BR1202" s="704">
        <f t="shared" si="1673"/>
        <v>308.07679919999998</v>
      </c>
      <c r="BS1202" s="702">
        <f t="shared" si="1673"/>
        <v>1210.165</v>
      </c>
      <c r="BT1202" s="703">
        <f t="shared" si="1673"/>
        <v>0</v>
      </c>
      <c r="BU1202" s="703">
        <f t="shared" si="1673"/>
        <v>1852.04</v>
      </c>
      <c r="BV1202" s="704">
        <f t="shared" si="1673"/>
        <v>1524.99</v>
      </c>
      <c r="BW1202" s="6"/>
      <c r="BX1202" s="5"/>
      <c r="BY1202" s="706">
        <f t="shared" ref="BY1202:CB1203" si="1674">AE1202+AI1202+AM1202+AQ1202+AU1202+AY1202+BC1202+BG1202+BK1202+BO1202+BS1202</f>
        <v>73798.593999999997</v>
      </c>
      <c r="BZ1202" s="707">
        <f t="shared" si="1674"/>
        <v>67594.202499999999</v>
      </c>
      <c r="CA1202" s="707">
        <f t="shared" si="1674"/>
        <v>95295.066799999971</v>
      </c>
      <c r="CB1202" s="708">
        <f t="shared" si="1674"/>
        <v>94200.272130900019</v>
      </c>
      <c r="CC1202" s="874"/>
    </row>
    <row r="1203" spans="1:81" s="400" customFormat="1" ht="18.75" customHeight="1" x14ac:dyDescent="0.25">
      <c r="A1203" s="5"/>
      <c r="B1203" s="5"/>
      <c r="C1203" s="5"/>
      <c r="D1203" s="5"/>
      <c r="E1203" s="5"/>
      <c r="F1203" s="5"/>
      <c r="G1203" s="5"/>
      <c r="H1203" s="5"/>
      <c r="I1203" s="5"/>
      <c r="J1203" s="5"/>
      <c r="K1203" s="5"/>
      <c r="L1203" s="5"/>
      <c r="M1203" s="5"/>
      <c r="N1203" s="5"/>
      <c r="O1203" s="5"/>
      <c r="P1203" s="5"/>
      <c r="Q1203" s="5"/>
      <c r="R1203" s="5"/>
      <c r="S1203" s="5"/>
      <c r="T1203" s="5"/>
      <c r="U1203" s="5"/>
      <c r="V1203" s="5"/>
      <c r="W1203" s="5"/>
      <c r="X1203" s="5"/>
      <c r="Y1203" s="5"/>
      <c r="Z1203" s="5"/>
      <c r="AA1203" s="5"/>
      <c r="AB1203" s="6"/>
      <c r="AC1203" s="709" t="s">
        <v>720</v>
      </c>
      <c r="AD1203" s="594" t="s">
        <v>111</v>
      </c>
      <c r="AE1203" s="710">
        <f t="shared" ref="AE1203:BV1203" si="1675">AE310</f>
        <v>76.400000000000006</v>
      </c>
      <c r="AF1203" s="711">
        <f t="shared" si="1675"/>
        <v>86.5</v>
      </c>
      <c r="AG1203" s="711">
        <f t="shared" si="1675"/>
        <v>107</v>
      </c>
      <c r="AH1203" s="712">
        <f t="shared" si="1675"/>
        <v>84.04</v>
      </c>
      <c r="AI1203" s="710">
        <f t="shared" si="1675"/>
        <v>0</v>
      </c>
      <c r="AJ1203" s="711">
        <f t="shared" si="1675"/>
        <v>0</v>
      </c>
      <c r="AK1203" s="711">
        <f t="shared" si="1675"/>
        <v>0</v>
      </c>
      <c r="AL1203" s="712">
        <f t="shared" si="1675"/>
        <v>0</v>
      </c>
      <c r="AM1203" s="710">
        <f t="shared" si="1675"/>
        <v>2.9</v>
      </c>
      <c r="AN1203" s="711">
        <f t="shared" si="1675"/>
        <v>0</v>
      </c>
      <c r="AO1203" s="711">
        <f t="shared" si="1675"/>
        <v>4.5999999999999996</v>
      </c>
      <c r="AP1203" s="712">
        <f t="shared" si="1675"/>
        <v>3.19</v>
      </c>
      <c r="AQ1203" s="710">
        <f t="shared" si="1675"/>
        <v>3.9</v>
      </c>
      <c r="AR1203" s="711">
        <f t="shared" si="1675"/>
        <v>0</v>
      </c>
      <c r="AS1203" s="711">
        <f t="shared" si="1675"/>
        <v>5.3</v>
      </c>
      <c r="AT1203" s="712">
        <f t="shared" si="1675"/>
        <v>4.29</v>
      </c>
      <c r="AU1203" s="710">
        <f t="shared" si="1675"/>
        <v>2.2000000000000002</v>
      </c>
      <c r="AV1203" s="711">
        <f t="shared" si="1675"/>
        <v>0</v>
      </c>
      <c r="AW1203" s="711">
        <f t="shared" si="1675"/>
        <v>1.5</v>
      </c>
      <c r="AX1203" s="712">
        <f t="shared" si="1675"/>
        <v>2.42</v>
      </c>
      <c r="AY1203" s="710">
        <f t="shared" si="1675"/>
        <v>3.4</v>
      </c>
      <c r="AZ1203" s="711">
        <f t="shared" si="1675"/>
        <v>6.69</v>
      </c>
      <c r="BA1203" s="711">
        <f t="shared" si="1675"/>
        <v>6.9</v>
      </c>
      <c r="BB1203" s="712">
        <f t="shared" si="1675"/>
        <v>6.69</v>
      </c>
      <c r="BC1203" s="710">
        <f t="shared" si="1675"/>
        <v>2.5</v>
      </c>
      <c r="BD1203" s="711">
        <f t="shared" si="1675"/>
        <v>0</v>
      </c>
      <c r="BE1203" s="711">
        <f t="shared" si="1675"/>
        <v>4.5</v>
      </c>
      <c r="BF1203" s="712">
        <f t="shared" si="1675"/>
        <v>2.75</v>
      </c>
      <c r="BG1203" s="710">
        <f t="shared" si="1675"/>
        <v>5</v>
      </c>
      <c r="BH1203" s="711">
        <f t="shared" si="1675"/>
        <v>6</v>
      </c>
      <c r="BI1203" s="711">
        <f t="shared" si="1675"/>
        <v>6</v>
      </c>
      <c r="BJ1203" s="712">
        <f t="shared" si="1675"/>
        <v>6</v>
      </c>
      <c r="BK1203" s="710">
        <f t="shared" si="1675"/>
        <v>7.1130000000000004</v>
      </c>
      <c r="BL1203" s="711">
        <f t="shared" si="1675"/>
        <v>0</v>
      </c>
      <c r="BM1203" s="711">
        <f t="shared" si="1675"/>
        <v>7.11</v>
      </c>
      <c r="BN1203" s="712">
        <f t="shared" si="1675"/>
        <v>7.82</v>
      </c>
      <c r="BO1203" s="710">
        <f t="shared" si="1675"/>
        <v>0.41</v>
      </c>
      <c r="BP1203" s="711">
        <f t="shared" si="1675"/>
        <v>0</v>
      </c>
      <c r="BQ1203" s="711">
        <f t="shared" si="1675"/>
        <v>0.5</v>
      </c>
      <c r="BR1203" s="712">
        <f t="shared" si="1675"/>
        <v>0.45</v>
      </c>
      <c r="BS1203" s="710">
        <f t="shared" si="1675"/>
        <v>2.5</v>
      </c>
      <c r="BT1203" s="711">
        <f t="shared" si="1675"/>
        <v>0</v>
      </c>
      <c r="BU1203" s="711">
        <f t="shared" si="1675"/>
        <v>4</v>
      </c>
      <c r="BV1203" s="712">
        <f t="shared" si="1675"/>
        <v>2.75</v>
      </c>
      <c r="BW1203" s="6"/>
      <c r="BX1203" s="5"/>
      <c r="BY1203" s="45">
        <f t="shared" si="1674"/>
        <v>106.32300000000002</v>
      </c>
      <c r="BZ1203" s="46">
        <f t="shared" si="1674"/>
        <v>99.19</v>
      </c>
      <c r="CA1203" s="46">
        <f t="shared" si="1674"/>
        <v>147.41000000000003</v>
      </c>
      <c r="CB1203" s="47">
        <f t="shared" si="1674"/>
        <v>120.40000000000002</v>
      </c>
      <c r="CC1203" s="874"/>
    </row>
    <row r="1204" spans="1:81" s="400" customFormat="1" ht="21" customHeight="1" x14ac:dyDescent="0.25">
      <c r="A1204" s="5"/>
      <c r="B1204" s="5"/>
      <c r="C1204" s="5"/>
      <c r="D1204" s="5"/>
      <c r="E1204" s="5"/>
      <c r="F1204" s="5"/>
      <c r="G1204" s="5"/>
      <c r="H1204" s="5"/>
      <c r="I1204" s="5"/>
      <c r="J1204" s="5"/>
      <c r="K1204" s="5"/>
      <c r="L1204" s="5"/>
      <c r="M1204" s="5"/>
      <c r="N1204" s="5"/>
      <c r="O1204" s="5"/>
      <c r="P1204" s="5"/>
      <c r="Q1204" s="5"/>
      <c r="R1204" s="5"/>
      <c r="S1204" s="5"/>
      <c r="T1204" s="5"/>
      <c r="U1204" s="5"/>
      <c r="V1204" s="5"/>
      <c r="W1204" s="5"/>
      <c r="X1204" s="5"/>
      <c r="Y1204" s="5"/>
      <c r="Z1204" s="5"/>
      <c r="AA1204" s="5"/>
      <c r="AB1204" s="6"/>
      <c r="AC1204" s="716" t="s">
        <v>718</v>
      </c>
      <c r="AD1204" s="717" t="s">
        <v>111</v>
      </c>
      <c r="AE1204" s="718">
        <f t="shared" ref="AE1204:BV1204" si="1676">(AE1202/AE1203)/12*1000</f>
        <v>61387.41273996509</v>
      </c>
      <c r="AF1204" s="719">
        <f t="shared" si="1676"/>
        <v>58024.364161849713</v>
      </c>
      <c r="AG1204" s="719">
        <f t="shared" si="1676"/>
        <v>56260.679906542056</v>
      </c>
      <c r="AH1204" s="720">
        <f t="shared" si="1676"/>
        <v>70324.805648104069</v>
      </c>
      <c r="AI1204" s="718" t="e">
        <f t="shared" si="1676"/>
        <v>#DIV/0!</v>
      </c>
      <c r="AJ1204" s="719" t="e">
        <f t="shared" si="1676"/>
        <v>#DIV/0!</v>
      </c>
      <c r="AK1204" s="719" t="e">
        <f t="shared" si="1676"/>
        <v>#DIV/0!</v>
      </c>
      <c r="AL1204" s="720" t="e">
        <f t="shared" si="1676"/>
        <v>#DIV/0!</v>
      </c>
      <c r="AM1204" s="718">
        <f t="shared" si="1676"/>
        <v>52828.764367816089</v>
      </c>
      <c r="AN1204" s="719" t="e">
        <f t="shared" si="1676"/>
        <v>#DIV/0!</v>
      </c>
      <c r="AO1204" s="719">
        <f t="shared" si="1676"/>
        <v>48643.463768115944</v>
      </c>
      <c r="AP1204" s="720">
        <f t="shared" si="1676"/>
        <v>60520.114942528744</v>
      </c>
      <c r="AQ1204" s="718">
        <f t="shared" si="1676"/>
        <v>55335.833333333343</v>
      </c>
      <c r="AR1204" s="719" t="e">
        <f t="shared" si="1676"/>
        <v>#DIV/0!</v>
      </c>
      <c r="AS1204" s="719">
        <f t="shared" si="1676"/>
        <v>48973.867924528298</v>
      </c>
      <c r="AT1204" s="720">
        <f t="shared" si="1676"/>
        <v>63392.094017094023</v>
      </c>
      <c r="AU1204" s="718">
        <f t="shared" si="1676"/>
        <v>53130.492424242417</v>
      </c>
      <c r="AV1204" s="719" t="e">
        <f t="shared" si="1676"/>
        <v>#DIV/0!</v>
      </c>
      <c r="AW1204" s="719">
        <f t="shared" si="1676"/>
        <v>48928.833333333336</v>
      </c>
      <c r="AX1204" s="720">
        <f t="shared" si="1676"/>
        <v>60865.702479338841</v>
      </c>
      <c r="AY1204" s="718">
        <f t="shared" si="1676"/>
        <v>54517.058823529405</v>
      </c>
      <c r="AZ1204" s="719">
        <f t="shared" si="1676"/>
        <v>50166.542102640757</v>
      </c>
      <c r="BA1204" s="719">
        <f t="shared" si="1676"/>
        <v>49292.041062801931</v>
      </c>
      <c r="BB1204" s="720">
        <f t="shared" si="1676"/>
        <v>52197.785392376667</v>
      </c>
      <c r="BC1204" s="718">
        <f t="shared" si="1676"/>
        <v>45392.933333333334</v>
      </c>
      <c r="BD1204" s="719" t="e">
        <f t="shared" si="1676"/>
        <v>#DIV/0!</v>
      </c>
      <c r="BE1204" s="719">
        <f t="shared" si="1676"/>
        <v>47110.870370370372</v>
      </c>
      <c r="BF1204" s="720">
        <f t="shared" si="1676"/>
        <v>52001.693939393939</v>
      </c>
      <c r="BG1204" s="718">
        <f t="shared" si="1676"/>
        <v>49175.01666666667</v>
      </c>
      <c r="BH1204" s="719">
        <f t="shared" si="1676"/>
        <v>46354.756944444438</v>
      </c>
      <c r="BI1204" s="719">
        <f t="shared" si="1676"/>
        <v>49251.138888888883</v>
      </c>
      <c r="BJ1204" s="720">
        <f t="shared" si="1676"/>
        <v>48231.197505555567</v>
      </c>
      <c r="BK1204" s="718">
        <f t="shared" si="1676"/>
        <v>43874.841838886547</v>
      </c>
      <c r="BL1204" s="719" t="e">
        <f t="shared" si="1676"/>
        <v>#DIV/0!</v>
      </c>
      <c r="BM1204" s="719">
        <f t="shared" si="1676"/>
        <v>48296.736990154706</v>
      </c>
      <c r="BN1204" s="720">
        <f t="shared" si="1676"/>
        <v>50290.174765558389</v>
      </c>
      <c r="BO1204" s="718">
        <f t="shared" si="1676"/>
        <v>39853.658536585368</v>
      </c>
      <c r="BP1204" s="719" t="e">
        <f t="shared" si="1676"/>
        <v>#DIV/0!</v>
      </c>
      <c r="BQ1204" s="719">
        <f t="shared" si="1676"/>
        <v>38601.666666666664</v>
      </c>
      <c r="BR1204" s="720">
        <f t="shared" si="1676"/>
        <v>57051.259111111111</v>
      </c>
      <c r="BS1204" s="718">
        <f t="shared" si="1676"/>
        <v>40338.833333333336</v>
      </c>
      <c r="BT1204" s="719" t="e">
        <f t="shared" si="1676"/>
        <v>#DIV/0!</v>
      </c>
      <c r="BU1204" s="719">
        <f t="shared" si="1676"/>
        <v>38584.166666666672</v>
      </c>
      <c r="BV1204" s="720">
        <f t="shared" si="1676"/>
        <v>46211.818181818184</v>
      </c>
      <c r="BW1204" s="6"/>
      <c r="BX1204" s="5"/>
      <c r="BY1204" s="962">
        <f>(BY1202/BY1203)/12*1000</f>
        <v>57841.509676488924</v>
      </c>
      <c r="BZ1204" s="963">
        <f>(BZ1202/BZ1203)/12*1000</f>
        <v>56788.48884296132</v>
      </c>
      <c r="CA1204" s="963">
        <f>(CA1202/CA1203)/12*1000</f>
        <v>53871.891775772761</v>
      </c>
      <c r="CB1204" s="964">
        <f>(CB1202/CB1203)/12*1000</f>
        <v>65199.523900124586</v>
      </c>
      <c r="CC1204" s="874"/>
    </row>
    <row r="1205" spans="1:81" s="400" customFormat="1" ht="33.75" customHeight="1" x14ac:dyDescent="0.25">
      <c r="A1205" s="5"/>
      <c r="B1205" s="5"/>
      <c r="C1205" s="5"/>
      <c r="D1205" s="5"/>
      <c r="E1205" s="5"/>
      <c r="F1205" s="5"/>
      <c r="G1205" s="5"/>
      <c r="H1205" s="5"/>
      <c r="I1205" s="5"/>
      <c r="J1205" s="5"/>
      <c r="K1205" s="5"/>
      <c r="L1205" s="5"/>
      <c r="M1205" s="5"/>
      <c r="N1205" s="5"/>
      <c r="O1205" s="5"/>
      <c r="P1205" s="5"/>
      <c r="Q1205" s="5"/>
      <c r="R1205" s="5"/>
      <c r="S1205" s="5"/>
      <c r="T1205" s="5"/>
      <c r="U1205" s="5"/>
      <c r="V1205" s="5"/>
      <c r="W1205" s="5"/>
      <c r="X1205" s="5"/>
      <c r="Y1205" s="5"/>
      <c r="Z1205" s="5"/>
      <c r="AA1205" s="5"/>
      <c r="AB1205" s="6"/>
      <c r="AC1205" s="724" t="s">
        <v>764</v>
      </c>
      <c r="AD1205" s="724" t="s">
        <v>111</v>
      </c>
      <c r="AE1205" s="725">
        <f t="shared" ref="AE1205:BV1205" si="1677">AE1193+AE1196+AE1199+AE1202</f>
        <v>473740.74099999998</v>
      </c>
      <c r="AF1205" s="726">
        <f t="shared" si="1677"/>
        <v>536051.41</v>
      </c>
      <c r="AG1205" s="726">
        <f t="shared" si="1677"/>
        <v>682629.11300000001</v>
      </c>
      <c r="AH1205" s="727">
        <f t="shared" si="1677"/>
        <v>596788.89</v>
      </c>
      <c r="AI1205" s="725">
        <f t="shared" si="1677"/>
        <v>2283.9499999999998</v>
      </c>
      <c r="AJ1205" s="726">
        <f t="shared" si="1677"/>
        <v>2020.61</v>
      </c>
      <c r="AK1205" s="726">
        <f t="shared" si="1677"/>
        <v>8664.73</v>
      </c>
      <c r="AL1205" s="727">
        <f t="shared" si="1677"/>
        <v>2878.1099999999997</v>
      </c>
      <c r="AM1205" s="725">
        <f t="shared" si="1677"/>
        <v>18128.775999999998</v>
      </c>
      <c r="AN1205" s="726">
        <f t="shared" si="1677"/>
        <v>11407.969000000001</v>
      </c>
      <c r="AO1205" s="726">
        <f t="shared" si="1677"/>
        <v>23798.478199999998</v>
      </c>
      <c r="AP1205" s="727">
        <f t="shared" si="1677"/>
        <v>22845.824999999997</v>
      </c>
      <c r="AQ1205" s="725">
        <f t="shared" si="1677"/>
        <v>23259.960999999999</v>
      </c>
      <c r="AR1205" s="726">
        <f t="shared" si="1677"/>
        <v>18509.02</v>
      </c>
      <c r="AS1205" s="726">
        <f t="shared" si="1677"/>
        <v>28568.074000000001</v>
      </c>
      <c r="AT1205" s="727">
        <f t="shared" si="1677"/>
        <v>28343.16</v>
      </c>
      <c r="AU1205" s="725">
        <f t="shared" si="1677"/>
        <v>10588.929</v>
      </c>
      <c r="AV1205" s="726">
        <f t="shared" si="1677"/>
        <v>2400.7215000000001</v>
      </c>
      <c r="AW1205" s="726">
        <f t="shared" si="1677"/>
        <v>8572.7089999999989</v>
      </c>
      <c r="AX1205" s="727">
        <f t="shared" si="1677"/>
        <v>13272.95</v>
      </c>
      <c r="AY1205" s="725">
        <f t="shared" si="1677"/>
        <v>19285.899999999998</v>
      </c>
      <c r="AZ1205" s="726">
        <f t="shared" si="1677"/>
        <v>37679.75</v>
      </c>
      <c r="BA1205" s="726">
        <f t="shared" si="1677"/>
        <v>35922.525900000001</v>
      </c>
      <c r="BB1205" s="727">
        <f t="shared" si="1677"/>
        <v>39205.403077499999</v>
      </c>
      <c r="BC1205" s="725">
        <f t="shared" si="1677"/>
        <v>13995.309000000001</v>
      </c>
      <c r="BD1205" s="726">
        <f t="shared" si="1677"/>
        <v>3766.4115999999999</v>
      </c>
      <c r="BE1205" s="726">
        <f t="shared" si="1677"/>
        <v>16664.343000000001</v>
      </c>
      <c r="BF1205" s="727">
        <f t="shared" si="1677"/>
        <v>17636.175899999998</v>
      </c>
      <c r="BG1205" s="725">
        <f t="shared" si="1677"/>
        <v>34331.664000000004</v>
      </c>
      <c r="BH1205" s="726">
        <f t="shared" si="1677"/>
        <v>61756.469499999999</v>
      </c>
      <c r="BI1205" s="726">
        <f t="shared" si="1677"/>
        <v>48345.422500000001</v>
      </c>
      <c r="BJ1205" s="727">
        <f t="shared" si="1677"/>
        <v>64256.371385360006</v>
      </c>
      <c r="BK1205" s="725">
        <f t="shared" si="1677"/>
        <v>30785.959000000003</v>
      </c>
      <c r="BL1205" s="726">
        <f t="shared" si="1677"/>
        <v>40785</v>
      </c>
      <c r="BM1205" s="726">
        <f t="shared" si="1677"/>
        <v>48042.847600000001</v>
      </c>
      <c r="BN1205" s="727">
        <f t="shared" si="1677"/>
        <v>38474.679999999993</v>
      </c>
      <c r="BO1205" s="725">
        <f t="shared" si="1677"/>
        <v>4325.6400000000003</v>
      </c>
      <c r="BP1205" s="726">
        <f t="shared" si="1677"/>
        <v>4199.6399999999994</v>
      </c>
      <c r="BQ1205" s="726">
        <f t="shared" si="1677"/>
        <v>5447.76</v>
      </c>
      <c r="BR1205" s="727">
        <f t="shared" si="1677"/>
        <v>6796.2494471999998</v>
      </c>
      <c r="BS1205" s="725">
        <f t="shared" si="1677"/>
        <v>7668.2449999999999</v>
      </c>
      <c r="BT1205" s="726">
        <f t="shared" si="1677"/>
        <v>9210.33</v>
      </c>
      <c r="BU1205" s="726">
        <f t="shared" si="1677"/>
        <v>13811.444</v>
      </c>
      <c r="BV1205" s="727">
        <f t="shared" si="1677"/>
        <v>9520.16</v>
      </c>
      <c r="BW1205" s="723"/>
      <c r="BX1205" s="722"/>
      <c r="BY1205" s="967">
        <f t="shared" ref="BY1205:CB1206" si="1678">AE1205+AI1205+AM1205+AQ1205+AU1205+AY1205+BC1205+BG1205+BK1205+BO1205+BS1205</f>
        <v>638395.07400000002</v>
      </c>
      <c r="BZ1205" s="968">
        <f t="shared" si="1678"/>
        <v>727787.33160000003</v>
      </c>
      <c r="CA1205" s="969">
        <f t="shared" si="1678"/>
        <v>920467.44720000005</v>
      </c>
      <c r="CB1205" s="969">
        <f t="shared" si="1678"/>
        <v>840017.97481006</v>
      </c>
      <c r="CC1205" s="874"/>
    </row>
    <row r="1206" spans="1:81" s="400" customFormat="1" ht="30" customHeight="1" x14ac:dyDescent="0.25">
      <c r="A1206" s="5"/>
      <c r="B1206" s="5"/>
      <c r="C1206" s="5"/>
      <c r="D1206" s="5"/>
      <c r="E1206" s="5"/>
      <c r="F1206" s="5"/>
      <c r="G1206" s="5"/>
      <c r="H1206" s="5"/>
      <c r="I1206" s="5"/>
      <c r="J1206" s="5"/>
      <c r="K1206" s="5"/>
      <c r="L1206" s="5"/>
      <c r="M1206" s="5"/>
      <c r="N1206" s="5"/>
      <c r="O1206" s="5"/>
      <c r="P1206" s="5"/>
      <c r="Q1206" s="5"/>
      <c r="R1206" s="5"/>
      <c r="S1206" s="5"/>
      <c r="T1206" s="5"/>
      <c r="U1206" s="5"/>
      <c r="V1206" s="5"/>
      <c r="W1206" s="5"/>
      <c r="X1206" s="5"/>
      <c r="Y1206" s="5"/>
      <c r="Z1206" s="5"/>
      <c r="AA1206" s="5"/>
      <c r="AB1206" s="6"/>
      <c r="AC1206" s="734"/>
      <c r="AD1206" s="735" t="s">
        <v>713</v>
      </c>
      <c r="AE1206" s="736">
        <f t="shared" ref="AE1206:BV1206" si="1679">AE151+AE249+AE264+AE308</f>
        <v>473740.74099999998</v>
      </c>
      <c r="AF1206" s="736">
        <f t="shared" si="1679"/>
        <v>536051.41</v>
      </c>
      <c r="AG1206" s="736">
        <f t="shared" si="1679"/>
        <v>682629.11300000001</v>
      </c>
      <c r="AH1206" s="736">
        <f t="shared" si="1679"/>
        <v>596788.89</v>
      </c>
      <c r="AI1206" s="736">
        <f t="shared" si="1679"/>
        <v>2283.9499999999998</v>
      </c>
      <c r="AJ1206" s="736">
        <f t="shared" si="1679"/>
        <v>2020.61</v>
      </c>
      <c r="AK1206" s="736">
        <f t="shared" si="1679"/>
        <v>8664.73</v>
      </c>
      <c r="AL1206" s="736">
        <f t="shared" si="1679"/>
        <v>2878.1099999999997</v>
      </c>
      <c r="AM1206" s="736">
        <f t="shared" si="1679"/>
        <v>18128.775999999998</v>
      </c>
      <c r="AN1206" s="736">
        <f t="shared" si="1679"/>
        <v>11407.969000000001</v>
      </c>
      <c r="AO1206" s="736">
        <f t="shared" si="1679"/>
        <v>23798.478199999998</v>
      </c>
      <c r="AP1206" s="736">
        <f t="shared" si="1679"/>
        <v>22845.824999999997</v>
      </c>
      <c r="AQ1206" s="736">
        <f t="shared" si="1679"/>
        <v>23259.960999999999</v>
      </c>
      <c r="AR1206" s="736">
        <f t="shared" si="1679"/>
        <v>18509.02</v>
      </c>
      <c r="AS1206" s="736">
        <f t="shared" si="1679"/>
        <v>28568.074000000001</v>
      </c>
      <c r="AT1206" s="736">
        <f t="shared" si="1679"/>
        <v>28343.16</v>
      </c>
      <c r="AU1206" s="736">
        <f t="shared" si="1679"/>
        <v>10588.929</v>
      </c>
      <c r="AV1206" s="736">
        <f t="shared" si="1679"/>
        <v>2400.7215000000001</v>
      </c>
      <c r="AW1206" s="736">
        <f t="shared" si="1679"/>
        <v>8572.7089999999989</v>
      </c>
      <c r="AX1206" s="736">
        <f t="shared" si="1679"/>
        <v>13272.95</v>
      </c>
      <c r="AY1206" s="736">
        <f t="shared" si="1679"/>
        <v>19285.899999999998</v>
      </c>
      <c r="AZ1206" s="736">
        <f t="shared" si="1679"/>
        <v>37679.75</v>
      </c>
      <c r="BA1206" s="736">
        <f t="shared" si="1679"/>
        <v>35922.525900000001</v>
      </c>
      <c r="BB1206" s="736">
        <f t="shared" si="1679"/>
        <v>39205.403077499999</v>
      </c>
      <c r="BC1206" s="736">
        <f t="shared" si="1679"/>
        <v>13995.309000000001</v>
      </c>
      <c r="BD1206" s="736">
        <f t="shared" si="1679"/>
        <v>3766.4115999999999</v>
      </c>
      <c r="BE1206" s="736">
        <f t="shared" si="1679"/>
        <v>16664.343000000001</v>
      </c>
      <c r="BF1206" s="736">
        <f t="shared" si="1679"/>
        <v>17636.175899999998</v>
      </c>
      <c r="BG1206" s="736">
        <f t="shared" si="1679"/>
        <v>34331.664000000004</v>
      </c>
      <c r="BH1206" s="736">
        <f t="shared" si="1679"/>
        <v>61756.469499999999</v>
      </c>
      <c r="BI1206" s="736">
        <f t="shared" si="1679"/>
        <v>48345.422500000001</v>
      </c>
      <c r="BJ1206" s="736">
        <f t="shared" si="1679"/>
        <v>64256.371385360006</v>
      </c>
      <c r="BK1206" s="736">
        <f t="shared" si="1679"/>
        <v>30785.959000000003</v>
      </c>
      <c r="BL1206" s="736">
        <f t="shared" si="1679"/>
        <v>40785</v>
      </c>
      <c r="BM1206" s="736">
        <f t="shared" si="1679"/>
        <v>48042.847600000001</v>
      </c>
      <c r="BN1206" s="736">
        <f t="shared" si="1679"/>
        <v>38474.679999999993</v>
      </c>
      <c r="BO1206" s="736">
        <f t="shared" si="1679"/>
        <v>4325.6400000000003</v>
      </c>
      <c r="BP1206" s="736">
        <f t="shared" si="1679"/>
        <v>4199.6399999999994</v>
      </c>
      <c r="BQ1206" s="736">
        <f t="shared" si="1679"/>
        <v>5447.76</v>
      </c>
      <c r="BR1206" s="736">
        <f t="shared" si="1679"/>
        <v>6796.2494471999998</v>
      </c>
      <c r="BS1206" s="736">
        <f t="shared" si="1679"/>
        <v>7668.2449999999999</v>
      </c>
      <c r="BT1206" s="736">
        <f t="shared" si="1679"/>
        <v>9210.33</v>
      </c>
      <c r="BU1206" s="736">
        <f t="shared" si="1679"/>
        <v>13811.444</v>
      </c>
      <c r="BV1206" s="736">
        <f t="shared" si="1679"/>
        <v>9520.16</v>
      </c>
      <c r="BW1206" s="736"/>
      <c r="BX1206" s="736"/>
      <c r="BY1206" s="737">
        <f t="shared" si="1678"/>
        <v>638395.07400000002</v>
      </c>
      <c r="BZ1206" s="737">
        <f t="shared" si="1678"/>
        <v>727787.33160000003</v>
      </c>
      <c r="CA1206" s="737">
        <f t="shared" si="1678"/>
        <v>920467.44720000005</v>
      </c>
      <c r="CB1206" s="737">
        <f t="shared" si="1678"/>
        <v>840017.97481006</v>
      </c>
      <c r="CC1206" s="874"/>
    </row>
    <row r="1207" spans="1:81" s="400" customFormat="1" ht="14.25" customHeight="1" x14ac:dyDescent="0.25">
      <c r="A1207" s="5"/>
      <c r="B1207" s="5"/>
      <c r="C1207" s="5"/>
      <c r="D1207" s="5"/>
      <c r="E1207" s="5"/>
      <c r="F1207" s="5"/>
      <c r="G1207" s="5"/>
      <c r="H1207" s="5"/>
      <c r="I1207" s="5"/>
      <c r="J1207" s="5"/>
      <c r="K1207" s="5"/>
      <c r="L1207" s="5"/>
      <c r="M1207" s="5"/>
      <c r="N1207" s="5"/>
      <c r="O1207" s="5"/>
      <c r="P1207" s="5"/>
      <c r="Q1207" s="5"/>
      <c r="R1207" s="5"/>
      <c r="S1207" s="5"/>
      <c r="T1207" s="5"/>
      <c r="U1207" s="5"/>
      <c r="V1207" s="5"/>
      <c r="W1207" s="5"/>
      <c r="X1207" s="5"/>
      <c r="Y1207" s="5"/>
      <c r="Z1207" s="5"/>
      <c r="AA1207" s="5"/>
      <c r="AB1207" s="6"/>
      <c r="AC1207" s="6"/>
      <c r="AD1207" s="6"/>
      <c r="AE1207" s="6"/>
      <c r="AF1207" s="6"/>
      <c r="AG1207" s="6"/>
      <c r="AH1207" s="6"/>
      <c r="AI1207" s="6"/>
      <c r="AJ1207" s="6"/>
      <c r="AK1207" s="6"/>
      <c r="AL1207" s="6"/>
      <c r="AM1207" s="6"/>
      <c r="AN1207" s="6"/>
      <c r="AO1207" s="6"/>
      <c r="AP1207" s="6"/>
      <c r="AQ1207" s="6"/>
      <c r="AR1207" s="6"/>
      <c r="AS1207" s="6"/>
      <c r="AT1207" s="6"/>
      <c r="AU1207" s="6"/>
      <c r="AV1207" s="6"/>
      <c r="AW1207" s="6"/>
      <c r="AX1207" s="6"/>
      <c r="AY1207" s="6"/>
      <c r="AZ1207" s="6"/>
      <c r="BA1207" s="6"/>
      <c r="BB1207" s="6"/>
      <c r="BC1207" s="6"/>
      <c r="BD1207" s="6"/>
      <c r="BE1207" s="6"/>
      <c r="BF1207" s="6"/>
      <c r="BG1207" s="6"/>
      <c r="BH1207" s="6"/>
      <c r="BI1207" s="6"/>
      <c r="BJ1207" s="6"/>
      <c r="BK1207" s="6"/>
      <c r="BL1207" s="6"/>
      <c r="BM1207" s="6"/>
      <c r="BN1207" s="6"/>
      <c r="BO1207" s="6"/>
      <c r="BP1207" s="6"/>
      <c r="BQ1207" s="6"/>
      <c r="BR1207" s="6"/>
      <c r="BS1207" s="6"/>
      <c r="BT1207" s="6"/>
      <c r="BU1207" s="6"/>
      <c r="BV1207" s="6"/>
      <c r="BW1207" s="6"/>
      <c r="BX1207" s="5" t="s">
        <v>580</v>
      </c>
      <c r="BY1207" s="7">
        <f>BY1205-BY1206</f>
        <v>0</v>
      </c>
      <c r="BZ1207" s="7">
        <f>BZ1205-BZ1206</f>
        <v>0</v>
      </c>
      <c r="CA1207" s="7">
        <f>CA1205-CA1206</f>
        <v>0</v>
      </c>
      <c r="CB1207" s="7">
        <f>CB1205-CB1206</f>
        <v>0</v>
      </c>
      <c r="CC1207" s="874"/>
    </row>
    <row r="1208" spans="1:81" s="400" customFormat="1" ht="14.25" customHeight="1" x14ac:dyDescent="0.25">
      <c r="A1208" s="5"/>
      <c r="B1208" s="5"/>
      <c r="C1208" s="5"/>
      <c r="D1208" s="5"/>
      <c r="E1208" s="5"/>
      <c r="F1208" s="5"/>
      <c r="G1208" s="5"/>
      <c r="H1208" s="5"/>
      <c r="I1208" s="5"/>
      <c r="J1208" s="5"/>
      <c r="K1208" s="5"/>
      <c r="L1208" s="5"/>
      <c r="M1208" s="5"/>
      <c r="N1208" s="5"/>
      <c r="O1208" s="5"/>
      <c r="P1208" s="5"/>
      <c r="Q1208" s="5"/>
      <c r="R1208" s="5"/>
      <c r="S1208" s="5"/>
      <c r="T1208" s="5"/>
      <c r="U1208" s="5"/>
      <c r="V1208" s="5"/>
      <c r="W1208" s="5"/>
      <c r="X1208" s="5"/>
      <c r="Y1208" s="5"/>
      <c r="Z1208" s="5"/>
      <c r="AA1208" s="5"/>
      <c r="AB1208" s="6"/>
      <c r="AC1208" s="6"/>
      <c r="AD1208" s="6" t="s">
        <v>580</v>
      </c>
      <c r="AE1208" s="698">
        <f t="shared" ref="AE1208:BV1208" si="1680">AE1205-AE1206</f>
        <v>0</v>
      </c>
      <c r="AF1208" s="698">
        <f t="shared" si="1680"/>
        <v>0</v>
      </c>
      <c r="AG1208" s="698">
        <f t="shared" si="1680"/>
        <v>0</v>
      </c>
      <c r="AH1208" s="698">
        <f t="shared" si="1680"/>
        <v>0</v>
      </c>
      <c r="AI1208" s="698">
        <f t="shared" si="1680"/>
        <v>0</v>
      </c>
      <c r="AJ1208" s="698">
        <f t="shared" si="1680"/>
        <v>0</v>
      </c>
      <c r="AK1208" s="698">
        <f t="shared" si="1680"/>
        <v>0</v>
      </c>
      <c r="AL1208" s="698">
        <f t="shared" si="1680"/>
        <v>0</v>
      </c>
      <c r="AM1208" s="698">
        <f t="shared" si="1680"/>
        <v>0</v>
      </c>
      <c r="AN1208" s="698">
        <f t="shared" si="1680"/>
        <v>0</v>
      </c>
      <c r="AO1208" s="698">
        <f t="shared" si="1680"/>
        <v>0</v>
      </c>
      <c r="AP1208" s="698">
        <f t="shared" si="1680"/>
        <v>0</v>
      </c>
      <c r="AQ1208" s="698">
        <f t="shared" si="1680"/>
        <v>0</v>
      </c>
      <c r="AR1208" s="698">
        <f t="shared" si="1680"/>
        <v>0</v>
      </c>
      <c r="AS1208" s="698">
        <f t="shared" si="1680"/>
        <v>0</v>
      </c>
      <c r="AT1208" s="698">
        <f t="shared" si="1680"/>
        <v>0</v>
      </c>
      <c r="AU1208" s="698">
        <f t="shared" si="1680"/>
        <v>0</v>
      </c>
      <c r="AV1208" s="698">
        <f t="shared" si="1680"/>
        <v>0</v>
      </c>
      <c r="AW1208" s="698">
        <f t="shared" si="1680"/>
        <v>0</v>
      </c>
      <c r="AX1208" s="698">
        <f t="shared" si="1680"/>
        <v>0</v>
      </c>
      <c r="AY1208" s="698">
        <f t="shared" si="1680"/>
        <v>0</v>
      </c>
      <c r="AZ1208" s="698">
        <f t="shared" si="1680"/>
        <v>0</v>
      </c>
      <c r="BA1208" s="698">
        <f t="shared" si="1680"/>
        <v>0</v>
      </c>
      <c r="BB1208" s="698">
        <f t="shared" si="1680"/>
        <v>0</v>
      </c>
      <c r="BC1208" s="698">
        <f t="shared" si="1680"/>
        <v>0</v>
      </c>
      <c r="BD1208" s="698">
        <f t="shared" si="1680"/>
        <v>0</v>
      </c>
      <c r="BE1208" s="698">
        <f t="shared" si="1680"/>
        <v>0</v>
      </c>
      <c r="BF1208" s="698">
        <f t="shared" si="1680"/>
        <v>0</v>
      </c>
      <c r="BG1208" s="698">
        <f t="shared" si="1680"/>
        <v>0</v>
      </c>
      <c r="BH1208" s="698">
        <f t="shared" si="1680"/>
        <v>0</v>
      </c>
      <c r="BI1208" s="698">
        <f t="shared" si="1680"/>
        <v>0</v>
      </c>
      <c r="BJ1208" s="698">
        <f t="shared" si="1680"/>
        <v>0</v>
      </c>
      <c r="BK1208" s="698">
        <f t="shared" si="1680"/>
        <v>0</v>
      </c>
      <c r="BL1208" s="698">
        <f t="shared" si="1680"/>
        <v>0</v>
      </c>
      <c r="BM1208" s="698">
        <f t="shared" si="1680"/>
        <v>0</v>
      </c>
      <c r="BN1208" s="698">
        <f t="shared" si="1680"/>
        <v>0</v>
      </c>
      <c r="BO1208" s="698">
        <f t="shared" si="1680"/>
        <v>0</v>
      </c>
      <c r="BP1208" s="698">
        <f t="shared" si="1680"/>
        <v>0</v>
      </c>
      <c r="BQ1208" s="698">
        <f t="shared" si="1680"/>
        <v>0</v>
      </c>
      <c r="BR1208" s="698">
        <f t="shared" si="1680"/>
        <v>0</v>
      </c>
      <c r="BS1208" s="698">
        <f t="shared" si="1680"/>
        <v>0</v>
      </c>
      <c r="BT1208" s="698">
        <f t="shared" si="1680"/>
        <v>0</v>
      </c>
      <c r="BU1208" s="698">
        <f t="shared" si="1680"/>
        <v>0</v>
      </c>
      <c r="BV1208" s="698">
        <f t="shared" si="1680"/>
        <v>0</v>
      </c>
      <c r="BW1208" s="698"/>
      <c r="BX1208" s="698"/>
      <c r="BY1208" s="398"/>
      <c r="BZ1208" s="398"/>
      <c r="CA1208" s="398"/>
      <c r="CB1208" s="398"/>
      <c r="CC1208" s="874"/>
    </row>
    <row r="1209" spans="1:81" s="400" customFormat="1" ht="14.25" customHeight="1" x14ac:dyDescent="0.25">
      <c r="A1209" s="5"/>
      <c r="B1209" s="5"/>
      <c r="C1209" s="5"/>
      <c r="D1209" s="5"/>
      <c r="E1209" s="5"/>
      <c r="F1209" s="5"/>
      <c r="G1209" s="5"/>
      <c r="H1209" s="5"/>
      <c r="I1209" s="5"/>
      <c r="J1209" s="5"/>
      <c r="K1209" s="5"/>
      <c r="L1209" s="5"/>
      <c r="M1209" s="5"/>
      <c r="N1209" s="5"/>
      <c r="O1209" s="5"/>
      <c r="P1209" s="5"/>
      <c r="Q1209" s="5"/>
      <c r="R1209" s="5"/>
      <c r="S1209" s="5"/>
      <c r="T1209" s="5"/>
      <c r="U1209" s="5"/>
      <c r="V1209" s="5"/>
      <c r="W1209" s="5"/>
      <c r="X1209" s="5"/>
      <c r="Y1209" s="5"/>
      <c r="Z1209" s="5"/>
      <c r="AA1209" s="5"/>
      <c r="AB1209" s="6"/>
      <c r="AC1209" s="6"/>
      <c r="AD1209" s="6"/>
      <c r="AE1209" s="6"/>
      <c r="AF1209" s="6"/>
      <c r="AG1209" s="6"/>
      <c r="AH1209" s="6"/>
      <c r="AI1209" s="6"/>
      <c r="AJ1209" s="6"/>
      <c r="AK1209" s="6"/>
      <c r="AL1209" s="6"/>
      <c r="AM1209" s="6"/>
      <c r="AN1209" s="6"/>
      <c r="AO1209" s="6"/>
      <c r="AP1209" s="6"/>
      <c r="AQ1209" s="6"/>
      <c r="AR1209" s="6"/>
      <c r="AS1209" s="6"/>
      <c r="AT1209" s="6"/>
      <c r="AU1209" s="6"/>
      <c r="AV1209" s="6"/>
      <c r="AW1209" s="6"/>
      <c r="AX1209" s="6"/>
      <c r="AY1209" s="6"/>
      <c r="AZ1209" s="6"/>
      <c r="BA1209" s="6"/>
      <c r="BB1209" s="6"/>
      <c r="BC1209" s="6"/>
      <c r="BD1209" s="6"/>
      <c r="BE1209" s="6"/>
      <c r="BF1209" s="6"/>
      <c r="BG1209" s="6"/>
      <c r="BH1209" s="6"/>
      <c r="BI1209" s="6"/>
      <c r="BJ1209" s="6"/>
      <c r="BK1209" s="6"/>
      <c r="BL1209" s="6"/>
      <c r="BM1209" s="6"/>
      <c r="BN1209" s="6"/>
      <c r="BO1209" s="6"/>
      <c r="BP1209" s="6"/>
      <c r="BQ1209" s="6"/>
      <c r="BR1209" s="6"/>
      <c r="BS1209" s="6"/>
      <c r="BT1209" s="6"/>
      <c r="BU1209" s="6"/>
      <c r="BV1209" s="6"/>
      <c r="BW1209" s="6"/>
      <c r="BX1209" s="5"/>
      <c r="BY1209" s="7"/>
      <c r="BZ1209" s="7"/>
      <c r="CA1209" s="7"/>
      <c r="CB1209" s="7"/>
      <c r="CC1209" s="874"/>
    </row>
    <row r="1210" spans="1:81" s="400" customFormat="1" ht="14.25" customHeight="1" x14ac:dyDescent="0.25">
      <c r="A1210" s="5"/>
      <c r="B1210" s="5"/>
      <c r="C1210" s="5"/>
      <c r="D1210" s="5"/>
      <c r="E1210" s="5"/>
      <c r="F1210" s="5"/>
      <c r="G1210" s="5"/>
      <c r="H1210" s="5"/>
      <c r="I1210" s="5"/>
      <c r="J1210" s="5"/>
      <c r="K1210" s="5"/>
      <c r="L1210" s="5"/>
      <c r="M1210" s="5"/>
      <c r="N1210" s="5"/>
      <c r="O1210" s="5"/>
      <c r="P1210" s="5"/>
      <c r="Q1210" s="5"/>
      <c r="R1210" s="5"/>
      <c r="S1210" s="5"/>
      <c r="T1210" s="5"/>
      <c r="U1210" s="5"/>
      <c r="V1210" s="5"/>
      <c r="W1210" s="5"/>
      <c r="X1210" s="5"/>
      <c r="Y1210" s="5"/>
      <c r="Z1210" s="5"/>
      <c r="AA1210" s="5"/>
      <c r="AB1210" s="6"/>
      <c r="AC1210" s="6"/>
      <c r="AD1210" s="6"/>
      <c r="AE1210" s="6"/>
      <c r="AF1210" s="6"/>
      <c r="AG1210" s="6"/>
      <c r="AH1210" s="6"/>
      <c r="AI1210" s="6"/>
      <c r="AJ1210" s="6"/>
      <c r="AK1210" s="6"/>
      <c r="AL1210" s="6"/>
      <c r="AM1210" s="6"/>
      <c r="AN1210" s="6"/>
      <c r="AO1210" s="6"/>
      <c r="AP1210" s="6"/>
      <c r="AQ1210" s="6"/>
      <c r="AR1210" s="6"/>
      <c r="AS1210" s="6"/>
      <c r="AT1210" s="6"/>
      <c r="AU1210" s="6"/>
      <c r="AV1210" s="6"/>
      <c r="AW1210" s="6"/>
      <c r="AX1210" s="6"/>
      <c r="AY1210" s="6"/>
      <c r="AZ1210" s="6"/>
      <c r="BA1210" s="6"/>
      <c r="BB1210" s="6"/>
      <c r="BC1210" s="6"/>
      <c r="BD1210" s="6"/>
      <c r="BE1210" s="6"/>
      <c r="BF1210" s="6"/>
      <c r="BG1210" s="6"/>
      <c r="BH1210" s="6"/>
      <c r="BI1210" s="6"/>
      <c r="BJ1210" s="6"/>
      <c r="BK1210" s="6"/>
      <c r="BL1210" s="6"/>
      <c r="BM1210" s="6"/>
      <c r="BN1210" s="6"/>
      <c r="BO1210" s="6"/>
      <c r="BP1210" s="6"/>
      <c r="BQ1210" s="6"/>
      <c r="BR1210" s="6"/>
      <c r="BS1210" s="6"/>
      <c r="BT1210" s="6"/>
      <c r="BU1210" s="6"/>
      <c r="BV1210" s="6"/>
      <c r="BW1210" s="6"/>
      <c r="BX1210" s="5"/>
      <c r="BY1210" s="7"/>
      <c r="BZ1210" s="7"/>
      <c r="CA1210" s="7"/>
      <c r="CB1210" s="7"/>
      <c r="CC1210" s="874"/>
    </row>
    <row r="1211" spans="1:81" s="400" customFormat="1" ht="14.25" customHeight="1" x14ac:dyDescent="0.25">
      <c r="A1211" s="5"/>
      <c r="B1211" s="5"/>
      <c r="C1211" s="5"/>
      <c r="D1211" s="5"/>
      <c r="E1211" s="5"/>
      <c r="F1211" s="5"/>
      <c r="G1211" s="5"/>
      <c r="H1211" s="5"/>
      <c r="I1211" s="5"/>
      <c r="J1211" s="5"/>
      <c r="K1211" s="5"/>
      <c r="L1211" s="5"/>
      <c r="M1211" s="5"/>
      <c r="N1211" s="5"/>
      <c r="O1211" s="5"/>
      <c r="P1211" s="5"/>
      <c r="Q1211" s="5"/>
      <c r="R1211" s="5"/>
      <c r="S1211" s="5"/>
      <c r="T1211" s="5"/>
      <c r="U1211" s="5"/>
      <c r="V1211" s="5"/>
      <c r="W1211" s="5"/>
      <c r="X1211" s="5"/>
      <c r="Y1211" s="5"/>
      <c r="Z1211" s="5"/>
      <c r="AA1211" s="5"/>
      <c r="AB1211" s="6"/>
      <c r="AC1211" s="6"/>
      <c r="AD1211" s="6"/>
      <c r="AE1211" s="6"/>
      <c r="AF1211" s="6"/>
      <c r="AG1211" s="6"/>
      <c r="AH1211" s="6"/>
      <c r="AI1211" s="6"/>
      <c r="AJ1211" s="6"/>
      <c r="AK1211" s="6"/>
      <c r="AL1211" s="6"/>
      <c r="AM1211" s="6"/>
      <c r="AN1211" s="6"/>
      <c r="AO1211" s="6"/>
      <c r="AP1211" s="6"/>
      <c r="AQ1211" s="6"/>
      <c r="AR1211" s="6"/>
      <c r="AS1211" s="6"/>
      <c r="AT1211" s="6"/>
      <c r="AU1211" s="6"/>
      <c r="AV1211" s="6"/>
      <c r="AW1211" s="6"/>
      <c r="AX1211" s="6"/>
      <c r="AY1211" s="6"/>
      <c r="AZ1211" s="6"/>
      <c r="BA1211" s="6"/>
      <c r="BB1211" s="6"/>
      <c r="BC1211" s="6"/>
      <c r="BD1211" s="6"/>
      <c r="BE1211" s="6"/>
      <c r="BF1211" s="6"/>
      <c r="BG1211" s="6"/>
      <c r="BH1211" s="6"/>
      <c r="BI1211" s="6"/>
      <c r="BJ1211" s="6"/>
      <c r="BK1211" s="6"/>
      <c r="BL1211" s="6"/>
      <c r="BM1211" s="6"/>
      <c r="BN1211" s="6"/>
      <c r="BO1211" s="6"/>
      <c r="BP1211" s="6"/>
      <c r="BQ1211" s="6"/>
      <c r="BR1211" s="6"/>
      <c r="BS1211" s="6"/>
      <c r="BT1211" s="6"/>
      <c r="BU1211" s="6"/>
      <c r="BV1211" s="6"/>
      <c r="BW1211" s="6"/>
      <c r="BX1211" s="5"/>
      <c r="BY1211" s="7"/>
      <c r="BZ1211" s="7"/>
      <c r="CA1211" s="7"/>
      <c r="CB1211" s="7"/>
      <c r="CC1211" s="874"/>
    </row>
    <row r="1212" spans="1:81" s="400" customFormat="1" ht="14.25" customHeight="1" x14ac:dyDescent="0.25">
      <c r="A1212" s="5"/>
      <c r="B1212" s="5"/>
      <c r="C1212" s="5"/>
      <c r="D1212" s="5"/>
      <c r="E1212" s="5"/>
      <c r="F1212" s="5"/>
      <c r="G1212" s="5"/>
      <c r="H1212" s="5"/>
      <c r="I1212" s="5"/>
      <c r="J1212" s="5"/>
      <c r="K1212" s="5"/>
      <c r="L1212" s="5"/>
      <c r="M1212" s="5"/>
      <c r="N1212" s="5"/>
      <c r="O1212" s="5"/>
      <c r="P1212" s="5"/>
      <c r="Q1212" s="5"/>
      <c r="R1212" s="5"/>
      <c r="S1212" s="5"/>
      <c r="T1212" s="5"/>
      <c r="U1212" s="5"/>
      <c r="V1212" s="5"/>
      <c r="W1212" s="5"/>
      <c r="X1212" s="5"/>
      <c r="Y1212" s="5"/>
      <c r="Z1212" s="5"/>
      <c r="AA1212" s="5"/>
      <c r="AB1212" s="6"/>
      <c r="AC1212" s="699" t="s">
        <v>765</v>
      </c>
      <c r="AD1212" s="6"/>
      <c r="AE1212" s="6"/>
      <c r="AF1212" s="6"/>
      <c r="AG1212" s="6"/>
      <c r="AH1212" s="6"/>
      <c r="AI1212" s="6"/>
      <c r="AJ1212" s="6"/>
      <c r="AK1212" s="6"/>
      <c r="AL1212" s="6"/>
      <c r="AM1212" s="6"/>
      <c r="AN1212" s="6"/>
      <c r="AO1212" s="6"/>
      <c r="AP1212" s="6"/>
      <c r="AQ1212" s="6"/>
      <c r="AR1212" s="6"/>
      <c r="AS1212" s="6"/>
      <c r="AT1212" s="6"/>
      <c r="AU1212" s="6"/>
      <c r="AV1212" s="6"/>
      <c r="AW1212" s="6"/>
      <c r="AX1212" s="6"/>
      <c r="AY1212" s="6"/>
      <c r="AZ1212" s="6"/>
      <c r="BA1212" s="6"/>
      <c r="BB1212" s="6"/>
      <c r="BC1212" s="6"/>
      <c r="BD1212" s="6"/>
      <c r="BE1212" s="6"/>
      <c r="BF1212" s="6"/>
      <c r="BG1212" s="6"/>
      <c r="BH1212" s="6"/>
      <c r="BI1212" s="6"/>
      <c r="BJ1212" s="6"/>
      <c r="BK1212" s="6"/>
      <c r="BL1212" s="6"/>
      <c r="BM1212" s="6"/>
      <c r="BN1212" s="6"/>
      <c r="BO1212" s="6"/>
      <c r="BP1212" s="6"/>
      <c r="BQ1212" s="6"/>
      <c r="BR1212" s="6"/>
      <c r="BS1212" s="6"/>
      <c r="BT1212" s="5"/>
      <c r="BU1212" s="5"/>
      <c r="BV1212" s="5"/>
      <c r="BW1212" s="6"/>
      <c r="BX1212" s="5"/>
      <c r="BY1212" s="7"/>
      <c r="BZ1212" s="7"/>
      <c r="CA1212" s="7"/>
      <c r="CB1212" s="7"/>
      <c r="CC1212" s="874"/>
    </row>
    <row r="1213" spans="1:81" s="400" customFormat="1" ht="31.5" customHeight="1" x14ac:dyDescent="0.25">
      <c r="A1213" s="5"/>
      <c r="B1213" s="5"/>
      <c r="C1213" s="5"/>
      <c r="D1213" s="5"/>
      <c r="E1213" s="5"/>
      <c r="F1213" s="5"/>
      <c r="G1213" s="5"/>
      <c r="H1213" s="5"/>
      <c r="I1213" s="5"/>
      <c r="J1213" s="5"/>
      <c r="K1213" s="5"/>
      <c r="L1213" s="5"/>
      <c r="M1213" s="5"/>
      <c r="N1213" s="5"/>
      <c r="O1213" s="5"/>
      <c r="P1213" s="5"/>
      <c r="Q1213" s="5"/>
      <c r="R1213" s="5"/>
      <c r="S1213" s="5"/>
      <c r="T1213" s="5"/>
      <c r="U1213" s="5"/>
      <c r="V1213" s="5"/>
      <c r="W1213" s="5"/>
      <c r="X1213" s="5"/>
      <c r="Y1213" s="5"/>
      <c r="Z1213" s="5"/>
      <c r="AA1213" s="5"/>
      <c r="AB1213" s="6"/>
      <c r="AC1213" s="1095" t="s">
        <v>715</v>
      </c>
      <c r="AD1213" s="1096" t="s">
        <v>65</v>
      </c>
      <c r="AE1213" s="1117" t="s">
        <v>51</v>
      </c>
      <c r="AF1213" s="1117"/>
      <c r="AG1213" s="1117"/>
      <c r="AH1213" s="1117"/>
      <c r="AI1213" s="1119" t="s">
        <v>52</v>
      </c>
      <c r="AJ1213" s="1119"/>
      <c r="AK1213" s="1119"/>
      <c r="AL1213" s="1119"/>
      <c r="AM1213" s="1120" t="s">
        <v>53</v>
      </c>
      <c r="AN1213" s="1120"/>
      <c r="AO1213" s="1120"/>
      <c r="AP1213" s="1120"/>
      <c r="AQ1213" s="1117" t="s">
        <v>54</v>
      </c>
      <c r="AR1213" s="1117"/>
      <c r="AS1213" s="1117"/>
      <c r="AT1213" s="1117"/>
      <c r="AU1213" s="1119" t="s">
        <v>55</v>
      </c>
      <c r="AV1213" s="1119"/>
      <c r="AW1213" s="1119"/>
      <c r="AX1213" s="1119"/>
      <c r="AY1213" s="1121" t="s">
        <v>56</v>
      </c>
      <c r="AZ1213" s="1121"/>
      <c r="BA1213" s="1121"/>
      <c r="BB1213" s="1121"/>
      <c r="BC1213" s="1117" t="s">
        <v>57</v>
      </c>
      <c r="BD1213" s="1117"/>
      <c r="BE1213" s="1117"/>
      <c r="BF1213" s="1117"/>
      <c r="BG1213" s="1117" t="s">
        <v>58</v>
      </c>
      <c r="BH1213" s="1117"/>
      <c r="BI1213" s="1117"/>
      <c r="BJ1213" s="1117"/>
      <c r="BK1213" s="1117" t="s">
        <v>59</v>
      </c>
      <c r="BL1213" s="1117"/>
      <c r="BM1213" s="1117"/>
      <c r="BN1213" s="1117"/>
      <c r="BO1213" s="1117" t="s">
        <v>60</v>
      </c>
      <c r="BP1213" s="1117"/>
      <c r="BQ1213" s="1117"/>
      <c r="BR1213" s="1117"/>
      <c r="BS1213" s="1117" t="s">
        <v>61</v>
      </c>
      <c r="BT1213" s="1117"/>
      <c r="BU1213" s="1117"/>
      <c r="BV1213" s="1117"/>
      <c r="BW1213" s="6"/>
      <c r="BX1213" s="5"/>
      <c r="BY1213" s="1118" t="s">
        <v>766</v>
      </c>
      <c r="BZ1213" s="1118"/>
      <c r="CA1213" s="1118"/>
      <c r="CB1213" s="1118"/>
      <c r="CC1213" s="874"/>
    </row>
    <row r="1214" spans="1:81" s="400" customFormat="1" ht="21" customHeight="1" x14ac:dyDescent="0.25">
      <c r="A1214" s="5"/>
      <c r="B1214" s="5"/>
      <c r="C1214" s="5"/>
      <c r="D1214" s="5"/>
      <c r="E1214" s="5"/>
      <c r="F1214" s="5"/>
      <c r="G1214" s="5"/>
      <c r="H1214" s="5"/>
      <c r="I1214" s="5"/>
      <c r="J1214" s="5"/>
      <c r="K1214" s="5"/>
      <c r="L1214" s="5"/>
      <c r="M1214" s="5"/>
      <c r="N1214" s="5"/>
      <c r="O1214" s="5"/>
      <c r="P1214" s="5"/>
      <c r="Q1214" s="5"/>
      <c r="R1214" s="5"/>
      <c r="S1214" s="5"/>
      <c r="T1214" s="5"/>
      <c r="U1214" s="5"/>
      <c r="V1214" s="5"/>
      <c r="W1214" s="5"/>
      <c r="X1214" s="5"/>
      <c r="Y1214" s="5"/>
      <c r="Z1214" s="5"/>
      <c r="AA1214" s="5"/>
      <c r="AB1214" s="6"/>
      <c r="AC1214" s="1095"/>
      <c r="AD1214" s="1096"/>
      <c r="AE1214" s="21">
        <f>god-2</f>
        <v>2024</v>
      </c>
      <c r="AF1214" s="22">
        <v>2025</v>
      </c>
      <c r="AG1214" s="741">
        <f>god</f>
        <v>2026</v>
      </c>
      <c r="AH1214" s="743">
        <v>2026</v>
      </c>
      <c r="AI1214" s="21">
        <f>god-2</f>
        <v>2024</v>
      </c>
      <c r="AJ1214" s="22">
        <f>god-1</f>
        <v>2025</v>
      </c>
      <c r="AK1214" s="741">
        <f>god</f>
        <v>2026</v>
      </c>
      <c r="AL1214" s="743">
        <v>2026</v>
      </c>
      <c r="AM1214" s="21">
        <f>god-2</f>
        <v>2024</v>
      </c>
      <c r="AN1214" s="22">
        <f>god-1</f>
        <v>2025</v>
      </c>
      <c r="AO1214" s="741">
        <f>god</f>
        <v>2026</v>
      </c>
      <c r="AP1214" s="743">
        <v>2026</v>
      </c>
      <c r="AQ1214" s="21">
        <f>god-2</f>
        <v>2024</v>
      </c>
      <c r="AR1214" s="22">
        <f>god-1</f>
        <v>2025</v>
      </c>
      <c r="AS1214" s="741">
        <f>god</f>
        <v>2026</v>
      </c>
      <c r="AT1214" s="743">
        <v>2026</v>
      </c>
      <c r="AU1214" s="954">
        <f>god-2</f>
        <v>2024</v>
      </c>
      <c r="AV1214" s="955">
        <f>god-1</f>
        <v>2025</v>
      </c>
      <c r="AW1214" s="956">
        <f>god</f>
        <v>2026</v>
      </c>
      <c r="AX1214" s="973">
        <v>2026</v>
      </c>
      <c r="AY1214" s="974">
        <f>god-2</f>
        <v>2024</v>
      </c>
      <c r="AZ1214" s="955">
        <f>god-1</f>
        <v>2025</v>
      </c>
      <c r="BA1214" s="956">
        <f>god</f>
        <v>2026</v>
      </c>
      <c r="BB1214" s="973">
        <v>2026</v>
      </c>
      <c r="BC1214" s="954">
        <f>god-2</f>
        <v>2024</v>
      </c>
      <c r="BD1214" s="955">
        <f>god-1</f>
        <v>2025</v>
      </c>
      <c r="BE1214" s="956">
        <f>god</f>
        <v>2026</v>
      </c>
      <c r="BF1214" s="973">
        <v>2026</v>
      </c>
      <c r="BG1214" s="21">
        <f>god-2</f>
        <v>2024</v>
      </c>
      <c r="BH1214" s="22">
        <f>god-1</f>
        <v>2025</v>
      </c>
      <c r="BI1214" s="741">
        <f>god</f>
        <v>2026</v>
      </c>
      <c r="BJ1214" s="743">
        <v>2026</v>
      </c>
      <c r="BK1214" s="21">
        <f>god-2</f>
        <v>2024</v>
      </c>
      <c r="BL1214" s="22">
        <f>god-1</f>
        <v>2025</v>
      </c>
      <c r="BM1214" s="741">
        <f>god</f>
        <v>2026</v>
      </c>
      <c r="BN1214" s="743">
        <v>2026</v>
      </c>
      <c r="BO1214" s="21">
        <f>god-2</f>
        <v>2024</v>
      </c>
      <c r="BP1214" s="22">
        <f>god-1</f>
        <v>2025</v>
      </c>
      <c r="BQ1214" s="741">
        <f>god</f>
        <v>2026</v>
      </c>
      <c r="BR1214" s="743">
        <v>2026</v>
      </c>
      <c r="BS1214" s="21">
        <f>god-2</f>
        <v>2024</v>
      </c>
      <c r="BT1214" s="22">
        <f>god-1</f>
        <v>2025</v>
      </c>
      <c r="BU1214" s="741">
        <f>god</f>
        <v>2026</v>
      </c>
      <c r="BV1214" s="743">
        <v>2026</v>
      </c>
      <c r="BW1214" s="6"/>
      <c r="BX1214" s="5"/>
      <c r="BY1214" s="21">
        <f>god-2</f>
        <v>2024</v>
      </c>
      <c r="BZ1214" s="22">
        <f>god-1</f>
        <v>2025</v>
      </c>
      <c r="CA1214" s="741">
        <f>god</f>
        <v>2026</v>
      </c>
      <c r="CB1214" s="743">
        <v>2026</v>
      </c>
      <c r="CC1214" s="874"/>
    </row>
    <row r="1215" spans="1:81" s="400" customFormat="1" ht="33.950000000000003" customHeight="1" x14ac:dyDescent="0.25">
      <c r="A1215" s="5"/>
      <c r="B1215" s="5"/>
      <c r="C1215" s="5"/>
      <c r="D1215" s="5"/>
      <c r="E1215" s="5"/>
      <c r="F1215" s="5"/>
      <c r="G1215" s="5"/>
      <c r="H1215" s="5"/>
      <c r="I1215" s="5"/>
      <c r="J1215" s="5"/>
      <c r="K1215" s="5"/>
      <c r="L1215" s="5"/>
      <c r="M1215" s="5"/>
      <c r="N1215" s="5"/>
      <c r="O1215" s="5"/>
      <c r="P1215" s="5"/>
      <c r="Q1215" s="5"/>
      <c r="R1215" s="5"/>
      <c r="S1215" s="5"/>
      <c r="T1215" s="5"/>
      <c r="U1215" s="5"/>
      <c r="V1215" s="5"/>
      <c r="W1215" s="5"/>
      <c r="X1215" s="5"/>
      <c r="Y1215" s="5"/>
      <c r="Z1215" s="5"/>
      <c r="AA1215" s="5"/>
      <c r="AB1215" s="6"/>
      <c r="AC1215" s="1095"/>
      <c r="AD1215" s="1096"/>
      <c r="AE1215" s="29" t="s">
        <v>66</v>
      </c>
      <c r="AF1215" s="30" t="s">
        <v>67</v>
      </c>
      <c r="AG1215" s="1002" t="str">
        <f>"план организации"&amp;IF(TYPE="Корректировка"," (корректировка)","")</f>
        <v>план организации (корректировка)</v>
      </c>
      <c r="AH1215" s="619" t="s">
        <v>67</v>
      </c>
      <c r="AI1215" s="29" t="s">
        <v>66</v>
      </c>
      <c r="AJ1215" s="30" t="s">
        <v>67</v>
      </c>
      <c r="AK1215" s="1002" t="str">
        <f>"план организации"&amp;IF(TYPE="Корректировка"," (корректировка)","")</f>
        <v>план организации (корректировка)</v>
      </c>
      <c r="AL1215" s="619" t="s">
        <v>67</v>
      </c>
      <c r="AM1215" s="29" t="s">
        <v>66</v>
      </c>
      <c r="AN1215" s="30" t="s">
        <v>67</v>
      </c>
      <c r="AO1215" s="1002" t="str">
        <f>"план организации"&amp;IF(TYPE="Корректировка"," (корректировка)","")</f>
        <v>план организации (корректировка)</v>
      </c>
      <c r="AP1215" s="619" t="s">
        <v>67</v>
      </c>
      <c r="AQ1215" s="29" t="s">
        <v>66</v>
      </c>
      <c r="AR1215" s="30" t="s">
        <v>67</v>
      </c>
      <c r="AS1215" s="1002" t="str">
        <f>"план организации"&amp;IF(TYPE="Корректировка"," (корректировка)","")</f>
        <v>план организации (корректировка)</v>
      </c>
      <c r="AT1215" s="619" t="s">
        <v>67</v>
      </c>
      <c r="AU1215" s="3" t="s">
        <v>66</v>
      </c>
      <c r="AV1215" s="2" t="s">
        <v>67</v>
      </c>
      <c r="AW1215" s="1002" t="str">
        <f>"план организации"&amp;IF(TYPE="Корректировка"," (корректировка)","")</f>
        <v>план организации (корректировка)</v>
      </c>
      <c r="AX1215" s="593" t="s">
        <v>67</v>
      </c>
      <c r="AY1215" s="975" t="s">
        <v>66</v>
      </c>
      <c r="AZ1215" s="2" t="s">
        <v>67</v>
      </c>
      <c r="BA1215" s="1002" t="str">
        <f>"план организации"&amp;IF(TYPE="Корректировка"," (корректировка)","")</f>
        <v>план организации (корректировка)</v>
      </c>
      <c r="BB1215" s="593" t="s">
        <v>67</v>
      </c>
      <c r="BC1215" s="3" t="s">
        <v>66</v>
      </c>
      <c r="BD1215" s="2" t="s">
        <v>67</v>
      </c>
      <c r="BE1215" s="1002" t="str">
        <f>"план организации"&amp;IF(TYPE="Корректировка"," (корректировка)","")</f>
        <v>план организации (корректировка)</v>
      </c>
      <c r="BF1215" s="593" t="s">
        <v>67</v>
      </c>
      <c r="BG1215" s="29" t="s">
        <v>66</v>
      </c>
      <c r="BH1215" s="30" t="s">
        <v>67</v>
      </c>
      <c r="BI1215" s="1002" t="str">
        <f>"план организации"&amp;IF(TYPE="Корректировка"," (корректировка)","")</f>
        <v>план организации (корректировка)</v>
      </c>
      <c r="BJ1215" s="619" t="s">
        <v>67</v>
      </c>
      <c r="BK1215" s="29" t="s">
        <v>66</v>
      </c>
      <c r="BL1215" s="30" t="s">
        <v>67</v>
      </c>
      <c r="BM1215" s="1002" t="str">
        <f>"план организации"&amp;IF(TYPE="Корректировка"," (корректировка)","")</f>
        <v>план организации (корректировка)</v>
      </c>
      <c r="BN1215" s="619" t="s">
        <v>67</v>
      </c>
      <c r="BO1215" s="29" t="s">
        <v>66</v>
      </c>
      <c r="BP1215" s="30" t="s">
        <v>67</v>
      </c>
      <c r="BQ1215" s="1002" t="str">
        <f>"план организации"&amp;IF(TYPE="Корректировка"," (корректировка)","")</f>
        <v>план организации (корректировка)</v>
      </c>
      <c r="BR1215" s="619" t="s">
        <v>67</v>
      </c>
      <c r="BS1215" s="29" t="s">
        <v>66</v>
      </c>
      <c r="BT1215" s="30" t="s">
        <v>67</v>
      </c>
      <c r="BU1215" s="1002" t="str">
        <f>"план организации"&amp;IF(TYPE="Корректировка"," (корректировка)","")</f>
        <v>план организации (корректировка)</v>
      </c>
      <c r="BV1215" s="619" t="s">
        <v>67</v>
      </c>
      <c r="BW1215" s="6"/>
      <c r="BX1215" s="5"/>
      <c r="BY1215" s="34" t="s">
        <v>66</v>
      </c>
      <c r="BZ1215" s="35" t="s">
        <v>67</v>
      </c>
      <c r="CA1215" s="1002" t="str">
        <f>"план организации"&amp;IF(TYPE="Корректировка"," (корректировка)","")</f>
        <v>план организации (корректировка)</v>
      </c>
      <c r="CB1215" s="619" t="s">
        <v>67</v>
      </c>
      <c r="CC1215" s="874"/>
    </row>
    <row r="1216" spans="1:81" s="400" customFormat="1" ht="18.75" customHeight="1" x14ac:dyDescent="0.25">
      <c r="A1216" s="5"/>
      <c r="B1216" s="5"/>
      <c r="C1216" s="5"/>
      <c r="D1216" s="5"/>
      <c r="E1216" s="5"/>
      <c r="F1216" s="5"/>
      <c r="G1216" s="5"/>
      <c r="H1216" s="5"/>
      <c r="I1216" s="5"/>
      <c r="J1216" s="5"/>
      <c r="K1216" s="5"/>
      <c r="L1216" s="5"/>
      <c r="M1216" s="5"/>
      <c r="N1216" s="5"/>
      <c r="O1216" s="5"/>
      <c r="P1216" s="5"/>
      <c r="Q1216" s="5"/>
      <c r="R1216" s="5"/>
      <c r="S1216" s="5"/>
      <c r="T1216" s="5"/>
      <c r="U1216" s="5"/>
      <c r="V1216" s="5"/>
      <c r="W1216" s="5"/>
      <c r="X1216" s="5"/>
      <c r="Y1216" s="5"/>
      <c r="Z1216" s="5"/>
      <c r="AA1216" s="5"/>
      <c r="AB1216" s="6"/>
      <c r="AC1216" s="700" t="s">
        <v>716</v>
      </c>
      <c r="AD1216" s="701" t="s">
        <v>111</v>
      </c>
      <c r="AE1216" s="702">
        <f t="shared" ref="AE1216:BV1216" si="1681">AE517</f>
        <v>248304.36000000002</v>
      </c>
      <c r="AF1216" s="703">
        <f t="shared" si="1681"/>
        <v>321975.74</v>
      </c>
      <c r="AG1216" s="703">
        <f t="shared" si="1681"/>
        <v>346339.94</v>
      </c>
      <c r="AH1216" s="704">
        <f t="shared" si="1681"/>
        <v>309032.55</v>
      </c>
      <c r="AI1216" s="702">
        <f t="shared" si="1681"/>
        <v>7051.32</v>
      </c>
      <c r="AJ1216" s="703">
        <f t="shared" si="1681"/>
        <v>2130.5700000000002</v>
      </c>
      <c r="AK1216" s="703">
        <f t="shared" si="1681"/>
        <v>7626.7</v>
      </c>
      <c r="AL1216" s="704">
        <f t="shared" si="1681"/>
        <v>8885.7099999999991</v>
      </c>
      <c r="AM1216" s="702">
        <f t="shared" si="1681"/>
        <v>0</v>
      </c>
      <c r="AN1216" s="703">
        <f t="shared" si="1681"/>
        <v>0</v>
      </c>
      <c r="AO1216" s="703">
        <f t="shared" si="1681"/>
        <v>0</v>
      </c>
      <c r="AP1216" s="704">
        <f t="shared" si="1681"/>
        <v>0</v>
      </c>
      <c r="AQ1216" s="702">
        <f t="shared" si="1681"/>
        <v>4010.6</v>
      </c>
      <c r="AR1216" s="703">
        <f t="shared" si="1681"/>
        <v>1317.42</v>
      </c>
      <c r="AS1216" s="703">
        <f t="shared" si="1681"/>
        <v>5590.59</v>
      </c>
      <c r="AT1216" s="704">
        <f t="shared" si="1681"/>
        <v>5053.95</v>
      </c>
      <c r="AU1216" s="702">
        <f t="shared" si="1681"/>
        <v>4350.38</v>
      </c>
      <c r="AV1216" s="703">
        <f t="shared" si="1681"/>
        <v>988.44</v>
      </c>
      <c r="AW1216" s="703">
        <f t="shared" si="1681"/>
        <v>6779.33</v>
      </c>
      <c r="AX1216" s="704">
        <f t="shared" si="1681"/>
        <v>5467.6059999999998</v>
      </c>
      <c r="AY1216" s="705">
        <f t="shared" si="1681"/>
        <v>3637.65</v>
      </c>
      <c r="AZ1216" s="703">
        <f t="shared" si="1681"/>
        <v>4207.92</v>
      </c>
      <c r="BA1216" s="703">
        <f t="shared" si="1681"/>
        <v>7229.82</v>
      </c>
      <c r="BB1216" s="704">
        <f t="shared" si="1681"/>
        <v>4378.2986807999996</v>
      </c>
      <c r="BC1216" s="702">
        <f t="shared" si="1681"/>
        <v>8299.3799999999992</v>
      </c>
      <c r="BD1216" s="703">
        <f t="shared" si="1681"/>
        <v>2241.3663000000001</v>
      </c>
      <c r="BE1216" s="703">
        <f t="shared" si="1681"/>
        <v>8907.9655000000002</v>
      </c>
      <c r="BF1216" s="704">
        <f t="shared" si="1681"/>
        <v>10458.459999999999</v>
      </c>
      <c r="BG1216" s="702">
        <f t="shared" si="1681"/>
        <v>30523.831999999999</v>
      </c>
      <c r="BH1216" s="703">
        <f t="shared" si="1681"/>
        <v>20800.37</v>
      </c>
      <c r="BI1216" s="703">
        <f t="shared" si="1681"/>
        <v>29043.19</v>
      </c>
      <c r="BJ1216" s="704">
        <f t="shared" si="1681"/>
        <v>21642.368977599999</v>
      </c>
      <c r="BK1216" s="702">
        <f t="shared" si="1681"/>
        <v>23621.59</v>
      </c>
      <c r="BL1216" s="703">
        <f t="shared" si="1681"/>
        <v>22030.38</v>
      </c>
      <c r="BM1216" s="703">
        <f t="shared" si="1681"/>
        <v>25991.31</v>
      </c>
      <c r="BN1216" s="704">
        <f t="shared" si="1681"/>
        <v>29192.705000000002</v>
      </c>
      <c r="BO1216" s="702">
        <f t="shared" si="1681"/>
        <v>2832.28</v>
      </c>
      <c r="BP1216" s="703">
        <f t="shared" si="1681"/>
        <v>2206.48</v>
      </c>
      <c r="BQ1216" s="703">
        <f t="shared" si="1681"/>
        <v>1266.77</v>
      </c>
      <c r="BR1216" s="704">
        <f t="shared" si="1681"/>
        <v>3569.1</v>
      </c>
      <c r="BS1216" s="702">
        <f t="shared" si="1681"/>
        <v>6703.65</v>
      </c>
      <c r="BT1216" s="703">
        <f t="shared" si="1681"/>
        <v>9074.5300000000007</v>
      </c>
      <c r="BU1216" s="703">
        <f t="shared" si="1681"/>
        <v>10505.974</v>
      </c>
      <c r="BV1216" s="704">
        <f t="shared" si="1681"/>
        <v>8447.5949999999993</v>
      </c>
      <c r="BW1216" s="6"/>
      <c r="BX1216" s="5"/>
      <c r="BY1216" s="706">
        <f t="shared" ref="BY1216:CB1217" si="1682">AE1216+AI1216+AM1216+AQ1216+AU1216+AY1216+BC1216+BG1216+BK1216+BO1216+BS1216</f>
        <v>339335.04200000013</v>
      </c>
      <c r="BZ1216" s="707">
        <f t="shared" si="1682"/>
        <v>386973.21629999997</v>
      </c>
      <c r="CA1216" s="707">
        <f t="shared" si="1682"/>
        <v>449281.58950000006</v>
      </c>
      <c r="CB1216" s="708">
        <f t="shared" si="1682"/>
        <v>406128.3436584</v>
      </c>
      <c r="CC1216" s="874"/>
    </row>
    <row r="1217" spans="1:81" s="400" customFormat="1" ht="18.75" customHeight="1" x14ac:dyDescent="0.25">
      <c r="A1217" s="5"/>
      <c r="B1217" s="5"/>
      <c r="C1217" s="5"/>
      <c r="D1217" s="5"/>
      <c r="E1217" s="5"/>
      <c r="F1217" s="5"/>
      <c r="G1217" s="5"/>
      <c r="H1217" s="5"/>
      <c r="I1217" s="5"/>
      <c r="J1217" s="5"/>
      <c r="K1217" s="5"/>
      <c r="L1217" s="5"/>
      <c r="M1217" s="5"/>
      <c r="N1217" s="5"/>
      <c r="O1217" s="5"/>
      <c r="P1217" s="5"/>
      <c r="Q1217" s="5"/>
      <c r="R1217" s="5"/>
      <c r="S1217" s="5"/>
      <c r="T1217" s="5"/>
      <c r="U1217" s="5"/>
      <c r="V1217" s="5"/>
      <c r="W1217" s="5"/>
      <c r="X1217" s="5"/>
      <c r="Y1217" s="5"/>
      <c r="Z1217" s="5"/>
      <c r="AA1217" s="5"/>
      <c r="AB1217" s="6"/>
      <c r="AC1217" s="709" t="s">
        <v>717</v>
      </c>
      <c r="AD1217" s="594" t="s">
        <v>111</v>
      </c>
      <c r="AE1217" s="710">
        <f t="shared" ref="AE1217:BV1217" si="1683">AE519</f>
        <v>494.2</v>
      </c>
      <c r="AF1217" s="711">
        <f t="shared" si="1683"/>
        <v>533.08000000000004</v>
      </c>
      <c r="AG1217" s="711">
        <f t="shared" si="1683"/>
        <v>536.9</v>
      </c>
      <c r="AH1217" s="712">
        <f t="shared" si="1683"/>
        <v>536.9</v>
      </c>
      <c r="AI1217" s="710">
        <f t="shared" si="1683"/>
        <v>14.32</v>
      </c>
      <c r="AJ1217" s="711">
        <f t="shared" si="1683"/>
        <v>5.94</v>
      </c>
      <c r="AK1217" s="711">
        <f t="shared" si="1683"/>
        <v>14.2</v>
      </c>
      <c r="AL1217" s="712">
        <f t="shared" si="1683"/>
        <v>15.75</v>
      </c>
      <c r="AM1217" s="710">
        <f t="shared" si="1683"/>
        <v>0</v>
      </c>
      <c r="AN1217" s="711">
        <f t="shared" si="1683"/>
        <v>0</v>
      </c>
      <c r="AO1217" s="711">
        <f t="shared" si="1683"/>
        <v>0</v>
      </c>
      <c r="AP1217" s="712">
        <f t="shared" si="1683"/>
        <v>0</v>
      </c>
      <c r="AQ1217" s="710">
        <f t="shared" si="1683"/>
        <v>8.68</v>
      </c>
      <c r="AR1217" s="711">
        <f t="shared" si="1683"/>
        <v>4</v>
      </c>
      <c r="AS1217" s="711">
        <f t="shared" si="1683"/>
        <v>11.6</v>
      </c>
      <c r="AT1217" s="712">
        <f t="shared" si="1683"/>
        <v>9.5500000000000007</v>
      </c>
      <c r="AU1217" s="710">
        <f t="shared" si="1683"/>
        <v>7.21</v>
      </c>
      <c r="AV1217" s="711">
        <f t="shared" si="1683"/>
        <v>2.5</v>
      </c>
      <c r="AW1217" s="711">
        <f t="shared" si="1683"/>
        <v>12.5</v>
      </c>
      <c r="AX1217" s="712">
        <f t="shared" si="1683"/>
        <v>7.91</v>
      </c>
      <c r="AY1217" s="713">
        <f t="shared" si="1683"/>
        <v>6.21</v>
      </c>
      <c r="AZ1217" s="711">
        <f t="shared" si="1683"/>
        <v>8.25</v>
      </c>
      <c r="BA1217" s="711">
        <f t="shared" si="1683"/>
        <v>13.4</v>
      </c>
      <c r="BB1217" s="712">
        <f t="shared" si="1683"/>
        <v>8.25</v>
      </c>
      <c r="BC1217" s="710">
        <f t="shared" si="1683"/>
        <v>13.46</v>
      </c>
      <c r="BD1217" s="711">
        <f t="shared" si="1683"/>
        <v>4.25</v>
      </c>
      <c r="BE1217" s="711">
        <f t="shared" si="1683"/>
        <v>16.5</v>
      </c>
      <c r="BF1217" s="712">
        <f t="shared" si="1683"/>
        <v>14.81</v>
      </c>
      <c r="BG1217" s="710">
        <f t="shared" si="1683"/>
        <v>47.2</v>
      </c>
      <c r="BH1217" s="711">
        <f t="shared" si="1683"/>
        <v>39.130000000000003</v>
      </c>
      <c r="BI1217" s="711">
        <f t="shared" si="1683"/>
        <v>43.8</v>
      </c>
      <c r="BJ1217" s="712">
        <f t="shared" si="1683"/>
        <v>39.130000000000003</v>
      </c>
      <c r="BK1217" s="710">
        <f t="shared" si="1683"/>
        <v>41.25</v>
      </c>
      <c r="BL1217" s="711">
        <f t="shared" si="1683"/>
        <v>40</v>
      </c>
      <c r="BM1217" s="711">
        <f t="shared" si="1683"/>
        <v>40</v>
      </c>
      <c r="BN1217" s="712">
        <f t="shared" si="1683"/>
        <v>44.5</v>
      </c>
      <c r="BO1217" s="710">
        <f t="shared" si="1683"/>
        <v>4.5999999999999996</v>
      </c>
      <c r="BP1217" s="711">
        <f t="shared" si="1683"/>
        <v>5</v>
      </c>
      <c r="BQ1217" s="711">
        <f t="shared" si="1683"/>
        <v>2.25</v>
      </c>
      <c r="BR1217" s="712">
        <f t="shared" si="1683"/>
        <v>5.0599999999999996</v>
      </c>
      <c r="BS1217" s="710">
        <f t="shared" si="1683"/>
        <v>12.2</v>
      </c>
      <c r="BT1217" s="711">
        <f t="shared" si="1683"/>
        <v>20.75</v>
      </c>
      <c r="BU1217" s="711">
        <f t="shared" si="1683"/>
        <v>20.75</v>
      </c>
      <c r="BV1217" s="712">
        <f t="shared" si="1683"/>
        <v>13.42</v>
      </c>
      <c r="BW1217" s="6"/>
      <c r="BX1217" s="5"/>
      <c r="BY1217" s="45">
        <f t="shared" si="1682"/>
        <v>649.33000000000015</v>
      </c>
      <c r="BZ1217" s="46">
        <f t="shared" si="1682"/>
        <v>662.90000000000009</v>
      </c>
      <c r="CA1217" s="46">
        <f t="shared" si="1682"/>
        <v>711.9</v>
      </c>
      <c r="CB1217" s="47">
        <f t="shared" si="1682"/>
        <v>695.27999999999975</v>
      </c>
      <c r="CC1217" s="874"/>
    </row>
    <row r="1218" spans="1:81" s="400" customFormat="1" ht="18.75" customHeight="1" x14ac:dyDescent="0.25">
      <c r="A1218" s="5"/>
      <c r="B1218" s="5"/>
      <c r="C1218" s="5"/>
      <c r="D1218" s="5"/>
      <c r="E1218" s="5"/>
      <c r="F1218" s="5"/>
      <c r="G1218" s="5"/>
      <c r="H1218" s="5"/>
      <c r="I1218" s="5"/>
      <c r="J1218" s="5"/>
      <c r="K1218" s="5"/>
      <c r="L1218" s="5"/>
      <c r="M1218" s="5"/>
      <c r="N1218" s="5"/>
      <c r="O1218" s="5"/>
      <c r="P1218" s="5"/>
      <c r="Q1218" s="5"/>
      <c r="R1218" s="5"/>
      <c r="S1218" s="5"/>
      <c r="T1218" s="5"/>
      <c r="U1218" s="5"/>
      <c r="V1218" s="5"/>
      <c r="W1218" s="5"/>
      <c r="X1218" s="5"/>
      <c r="Y1218" s="5"/>
      <c r="Z1218" s="5"/>
      <c r="AA1218" s="5"/>
      <c r="AB1218" s="6"/>
      <c r="AC1218" s="709" t="s">
        <v>718</v>
      </c>
      <c r="AD1218" s="594" t="s">
        <v>111</v>
      </c>
      <c r="AE1218" s="45">
        <f t="shared" ref="AE1218:BV1218" si="1684">(AE1216/AE1217)/12*1000</f>
        <v>41869.749089437479</v>
      </c>
      <c r="AF1218" s="46">
        <f t="shared" si="1684"/>
        <v>50332.617368249914</v>
      </c>
      <c r="AG1218" s="46">
        <f t="shared" si="1684"/>
        <v>53756.12156205377</v>
      </c>
      <c r="AH1218" s="47">
        <f t="shared" si="1684"/>
        <v>47965.566213447571</v>
      </c>
      <c r="AI1218" s="45">
        <f t="shared" si="1684"/>
        <v>41034.217877094969</v>
      </c>
      <c r="AJ1218" s="46">
        <f t="shared" si="1684"/>
        <v>29890.151515151516</v>
      </c>
      <c r="AK1218" s="46">
        <f t="shared" si="1684"/>
        <v>44757.629107981222</v>
      </c>
      <c r="AL1218" s="47">
        <f t="shared" si="1684"/>
        <v>47014.338624338619</v>
      </c>
      <c r="AM1218" s="45" t="e">
        <f t="shared" si="1684"/>
        <v>#DIV/0!</v>
      </c>
      <c r="AN1218" s="46" t="e">
        <f t="shared" si="1684"/>
        <v>#DIV/0!</v>
      </c>
      <c r="AO1218" s="46" t="e">
        <f t="shared" si="1684"/>
        <v>#DIV/0!</v>
      </c>
      <c r="AP1218" s="47" t="e">
        <f t="shared" si="1684"/>
        <v>#DIV/0!</v>
      </c>
      <c r="AQ1218" s="45">
        <f t="shared" si="1684"/>
        <v>38504.224270353305</v>
      </c>
      <c r="AR1218" s="46">
        <f t="shared" si="1684"/>
        <v>27446.250000000004</v>
      </c>
      <c r="AS1218" s="46">
        <f t="shared" si="1684"/>
        <v>40162.284482758623</v>
      </c>
      <c r="AT1218" s="47">
        <f t="shared" si="1684"/>
        <v>44100.785340314134</v>
      </c>
      <c r="AU1218" s="45">
        <f t="shared" si="1684"/>
        <v>50281.784558483596</v>
      </c>
      <c r="AV1218" s="46">
        <f t="shared" si="1684"/>
        <v>32948</v>
      </c>
      <c r="AW1218" s="46">
        <f t="shared" si="1684"/>
        <v>45195.53333333334</v>
      </c>
      <c r="AX1218" s="47">
        <f t="shared" si="1684"/>
        <v>57602.254530130638</v>
      </c>
      <c r="AY1218" s="714">
        <f t="shared" si="1684"/>
        <v>48814.412238325283</v>
      </c>
      <c r="AZ1218" s="46">
        <f t="shared" si="1684"/>
        <v>42504.242424242424</v>
      </c>
      <c r="BA1218" s="46">
        <f t="shared" si="1684"/>
        <v>44961.567164179105</v>
      </c>
      <c r="BB1218" s="47">
        <f t="shared" si="1684"/>
        <v>44225.239199999996</v>
      </c>
      <c r="BC1218" s="45">
        <f t="shared" si="1684"/>
        <v>51382.986627043087</v>
      </c>
      <c r="BD1218" s="46">
        <f t="shared" si="1684"/>
        <v>43948.358823529416</v>
      </c>
      <c r="BE1218" s="46">
        <f t="shared" si="1684"/>
        <v>44989.724747474756</v>
      </c>
      <c r="BF1218" s="47">
        <f t="shared" si="1684"/>
        <v>58847.963088003591</v>
      </c>
      <c r="BG1218" s="45">
        <f t="shared" si="1684"/>
        <v>53890.946327683618</v>
      </c>
      <c r="BH1218" s="46">
        <f t="shared" si="1684"/>
        <v>44297.576454553193</v>
      </c>
      <c r="BI1218" s="46">
        <f t="shared" si="1684"/>
        <v>55257.210806697112</v>
      </c>
      <c r="BJ1218" s="47">
        <f t="shared" si="1684"/>
        <v>46090.742349433502</v>
      </c>
      <c r="BK1218" s="45">
        <f t="shared" si="1684"/>
        <v>47720.383838383837</v>
      </c>
      <c r="BL1218" s="46">
        <f t="shared" si="1684"/>
        <v>45896.625</v>
      </c>
      <c r="BM1218" s="46">
        <f t="shared" si="1684"/>
        <v>54148.562500000007</v>
      </c>
      <c r="BN1218" s="47">
        <f t="shared" si="1684"/>
        <v>54667.986891385772</v>
      </c>
      <c r="BO1218" s="45">
        <f t="shared" si="1684"/>
        <v>51309.420289855079</v>
      </c>
      <c r="BP1218" s="46">
        <f t="shared" si="1684"/>
        <v>36774.666666666672</v>
      </c>
      <c r="BQ1218" s="46">
        <f t="shared" si="1684"/>
        <v>46917.407407407409</v>
      </c>
      <c r="BR1218" s="47">
        <f t="shared" si="1684"/>
        <v>58779.644268774711</v>
      </c>
      <c r="BS1218" s="45">
        <f t="shared" si="1684"/>
        <v>45789.959016393448</v>
      </c>
      <c r="BT1218" s="46">
        <f t="shared" si="1684"/>
        <v>36443.895582329322</v>
      </c>
      <c r="BU1218" s="46">
        <f t="shared" si="1684"/>
        <v>42192.666666666664</v>
      </c>
      <c r="BV1218" s="47">
        <f t="shared" si="1684"/>
        <v>52456.501490312963</v>
      </c>
      <c r="BW1218" s="6"/>
      <c r="BX1218" s="5"/>
      <c r="BY1218" s="45">
        <f>(BY1216/BY1217)/12*1000</f>
        <v>43549.381927011949</v>
      </c>
      <c r="BZ1218" s="46">
        <f>(BZ1216/BZ1217)/12*1000</f>
        <v>48646.504789561011</v>
      </c>
      <c r="CA1218" s="46">
        <f>(CA1216/CA1217)/12*1000</f>
        <v>52591.842194596633</v>
      </c>
      <c r="CB1218" s="47">
        <f>(CB1216/CB1217)/12*1000</f>
        <v>48676.833273213684</v>
      </c>
      <c r="CC1218" s="874"/>
    </row>
    <row r="1219" spans="1:81" s="400" customFormat="1" ht="18.75" customHeight="1" x14ac:dyDescent="0.25">
      <c r="A1219" s="5"/>
      <c r="B1219" s="5"/>
      <c r="C1219" s="5"/>
      <c r="D1219" s="5"/>
      <c r="E1219" s="5"/>
      <c r="F1219" s="5"/>
      <c r="G1219" s="5"/>
      <c r="H1219" s="5"/>
      <c r="I1219" s="5"/>
      <c r="J1219" s="5"/>
      <c r="K1219" s="5"/>
      <c r="L1219" s="5"/>
      <c r="M1219" s="5"/>
      <c r="N1219" s="5"/>
      <c r="O1219" s="5"/>
      <c r="P1219" s="5"/>
      <c r="Q1219" s="5"/>
      <c r="R1219" s="5"/>
      <c r="S1219" s="5"/>
      <c r="T1219" s="5"/>
      <c r="U1219" s="5"/>
      <c r="V1219" s="5"/>
      <c r="W1219" s="5"/>
      <c r="X1219" s="5"/>
      <c r="Y1219" s="5"/>
      <c r="Z1219" s="5"/>
      <c r="AA1219" s="5"/>
      <c r="AB1219" s="6"/>
      <c r="AC1219" s="715" t="s">
        <v>719</v>
      </c>
      <c r="AD1219" s="701" t="s">
        <v>111</v>
      </c>
      <c r="AE1219" s="702">
        <f t="shared" ref="AE1219:BV1219" si="1685">AE597</f>
        <v>37273.770000000004</v>
      </c>
      <c r="AF1219" s="703">
        <f t="shared" si="1685"/>
        <v>47166.607000000004</v>
      </c>
      <c r="AG1219" s="703">
        <f t="shared" si="1685"/>
        <v>49821.99</v>
      </c>
      <c r="AH1219" s="704">
        <f t="shared" si="1685"/>
        <v>46970.506000000001</v>
      </c>
      <c r="AI1219" s="702">
        <f t="shared" si="1685"/>
        <v>344.91699999999997</v>
      </c>
      <c r="AJ1219" s="703">
        <f t="shared" si="1685"/>
        <v>488.69</v>
      </c>
      <c r="AK1219" s="703">
        <f t="shared" si="1685"/>
        <v>373.06799999999998</v>
      </c>
      <c r="AL1219" s="704">
        <f t="shared" si="1685"/>
        <v>395.13549999999998</v>
      </c>
      <c r="AM1219" s="702">
        <f t="shared" si="1685"/>
        <v>0</v>
      </c>
      <c r="AN1219" s="703">
        <f t="shared" si="1685"/>
        <v>0</v>
      </c>
      <c r="AO1219" s="703">
        <f t="shared" si="1685"/>
        <v>0</v>
      </c>
      <c r="AP1219" s="704">
        <f t="shared" si="1685"/>
        <v>0</v>
      </c>
      <c r="AQ1219" s="702">
        <f t="shared" si="1685"/>
        <v>1767.27</v>
      </c>
      <c r="AR1219" s="703">
        <f t="shared" si="1685"/>
        <v>732.27</v>
      </c>
      <c r="AS1219" s="703">
        <f t="shared" si="1685"/>
        <v>1854.86</v>
      </c>
      <c r="AT1219" s="704">
        <f t="shared" si="1685"/>
        <v>1356.46</v>
      </c>
      <c r="AU1219" s="702">
        <f t="shared" si="1685"/>
        <v>2148.4499999999998</v>
      </c>
      <c r="AV1219" s="703">
        <f t="shared" si="1685"/>
        <v>828.93</v>
      </c>
      <c r="AW1219" s="703">
        <f t="shared" si="1685"/>
        <v>3703.85</v>
      </c>
      <c r="AX1219" s="704">
        <f t="shared" si="1685"/>
        <v>2593</v>
      </c>
      <c r="AY1219" s="705">
        <f t="shared" si="1685"/>
        <v>1529.19</v>
      </c>
      <c r="AZ1219" s="703">
        <f t="shared" si="1685"/>
        <v>9596.08</v>
      </c>
      <c r="BA1219" s="703">
        <f t="shared" si="1685"/>
        <v>4876.5200000000004</v>
      </c>
      <c r="BB1219" s="704">
        <f t="shared" si="1685"/>
        <v>9984.6252791999996</v>
      </c>
      <c r="BC1219" s="702">
        <f t="shared" si="1685"/>
        <v>3875.3159999999998</v>
      </c>
      <c r="BD1219" s="703">
        <f t="shared" si="1685"/>
        <v>0</v>
      </c>
      <c r="BE1219" s="703">
        <f t="shared" si="1685"/>
        <v>3165.3209999999999</v>
      </c>
      <c r="BF1219" s="704">
        <f t="shared" si="1685"/>
        <v>4883.4799999999996</v>
      </c>
      <c r="BG1219" s="702">
        <f t="shared" si="1685"/>
        <v>8042.4009999999998</v>
      </c>
      <c r="BH1219" s="703">
        <f t="shared" si="1685"/>
        <v>21133.397000000001</v>
      </c>
      <c r="BI1219" s="703">
        <f t="shared" si="1685"/>
        <v>25018.55</v>
      </c>
      <c r="BJ1219" s="704">
        <f t="shared" si="1685"/>
        <v>21988.876910560004</v>
      </c>
      <c r="BK1219" s="702">
        <f t="shared" si="1685"/>
        <v>7050.27</v>
      </c>
      <c r="BL1219" s="703">
        <f t="shared" si="1685"/>
        <v>10345.540000000001</v>
      </c>
      <c r="BM1219" s="703">
        <f t="shared" si="1685"/>
        <v>11033.03</v>
      </c>
      <c r="BN1219" s="704">
        <f t="shared" si="1685"/>
        <v>8678.0349999999999</v>
      </c>
      <c r="BO1219" s="702">
        <f t="shared" si="1685"/>
        <v>1285.9639999999999</v>
      </c>
      <c r="BP1219" s="703">
        <f t="shared" si="1685"/>
        <v>0</v>
      </c>
      <c r="BQ1219" s="703">
        <f t="shared" si="1685"/>
        <v>2579.34</v>
      </c>
      <c r="BR1219" s="704">
        <f t="shared" si="1685"/>
        <v>1620.51</v>
      </c>
      <c r="BS1219" s="702">
        <f t="shared" si="1685"/>
        <v>1429.9</v>
      </c>
      <c r="BT1219" s="703">
        <f t="shared" si="1685"/>
        <v>824.61</v>
      </c>
      <c r="BU1219" s="703">
        <f t="shared" si="1685"/>
        <v>1432.58</v>
      </c>
      <c r="BV1219" s="704">
        <f t="shared" si="1685"/>
        <v>1801.89</v>
      </c>
      <c r="BW1219" s="6"/>
      <c r="BX1219" s="5"/>
      <c r="BY1219" s="706">
        <f t="shared" ref="BY1219:CB1220" si="1686">AE1219+AI1219+AM1219+AQ1219+AU1219+AY1219+BC1219+BG1219+BK1219+BO1219+BS1219</f>
        <v>64747.448000000004</v>
      </c>
      <c r="BZ1219" s="707">
        <f t="shared" si="1686"/>
        <v>91116.123999999996</v>
      </c>
      <c r="CA1219" s="707">
        <f t="shared" si="1686"/>
        <v>103859.109</v>
      </c>
      <c r="CB1219" s="708">
        <f t="shared" si="1686"/>
        <v>100272.51868976001</v>
      </c>
      <c r="CC1219" s="874"/>
    </row>
    <row r="1220" spans="1:81" s="400" customFormat="1" ht="18.75" customHeight="1" x14ac:dyDescent="0.25">
      <c r="A1220" s="5"/>
      <c r="B1220" s="5"/>
      <c r="C1220" s="5"/>
      <c r="D1220" s="5"/>
      <c r="E1220" s="5"/>
      <c r="F1220" s="5"/>
      <c r="G1220" s="5"/>
      <c r="H1220" s="5"/>
      <c r="I1220" s="5"/>
      <c r="J1220" s="5"/>
      <c r="K1220" s="5"/>
      <c r="L1220" s="5"/>
      <c r="M1220" s="5"/>
      <c r="N1220" s="5"/>
      <c r="O1220" s="5"/>
      <c r="P1220" s="5"/>
      <c r="Q1220" s="5"/>
      <c r="R1220" s="5"/>
      <c r="S1220" s="5"/>
      <c r="T1220" s="5"/>
      <c r="U1220" s="5"/>
      <c r="V1220" s="5"/>
      <c r="W1220" s="5"/>
      <c r="X1220" s="5"/>
      <c r="Y1220" s="5"/>
      <c r="Z1220" s="5"/>
      <c r="AA1220" s="5"/>
      <c r="AB1220" s="6"/>
      <c r="AC1220" s="709" t="s">
        <v>720</v>
      </c>
      <c r="AD1220" s="594" t="s">
        <v>111</v>
      </c>
      <c r="AE1220" s="710">
        <f t="shared" ref="AE1220:BV1220" si="1687">AE599</f>
        <v>50.9</v>
      </c>
      <c r="AF1220" s="711">
        <f t="shared" si="1687"/>
        <v>55.21</v>
      </c>
      <c r="AG1220" s="711">
        <f t="shared" si="1687"/>
        <v>55.21</v>
      </c>
      <c r="AH1220" s="712">
        <f t="shared" si="1687"/>
        <v>55.99</v>
      </c>
      <c r="AI1220" s="710">
        <f t="shared" si="1687"/>
        <v>0.62</v>
      </c>
      <c r="AJ1220" s="711">
        <f t="shared" si="1687"/>
        <v>1</v>
      </c>
      <c r="AK1220" s="711">
        <f t="shared" si="1687"/>
        <v>0.62</v>
      </c>
      <c r="AL1220" s="712">
        <f t="shared" si="1687"/>
        <v>1</v>
      </c>
      <c r="AM1220" s="710">
        <f t="shared" si="1687"/>
        <v>0</v>
      </c>
      <c r="AN1220" s="711">
        <f t="shared" si="1687"/>
        <v>0</v>
      </c>
      <c r="AO1220" s="711">
        <f t="shared" si="1687"/>
        <v>0</v>
      </c>
      <c r="AP1220" s="712">
        <f t="shared" si="1687"/>
        <v>0</v>
      </c>
      <c r="AQ1220" s="710">
        <f t="shared" si="1687"/>
        <v>2</v>
      </c>
      <c r="AR1220" s="711">
        <f t="shared" si="1687"/>
        <v>1.75</v>
      </c>
      <c r="AS1220" s="711">
        <f t="shared" si="1687"/>
        <v>3.3</v>
      </c>
      <c r="AT1220" s="712">
        <f t="shared" si="1687"/>
        <v>1.34</v>
      </c>
      <c r="AU1220" s="710">
        <f t="shared" si="1687"/>
        <v>3.5</v>
      </c>
      <c r="AV1220" s="711">
        <f t="shared" si="1687"/>
        <v>2</v>
      </c>
      <c r="AW1220" s="711">
        <f t="shared" si="1687"/>
        <v>6.3</v>
      </c>
      <c r="AX1220" s="712">
        <f t="shared" si="1687"/>
        <v>3.85</v>
      </c>
      <c r="AY1220" s="713">
        <f t="shared" si="1687"/>
        <v>3.5</v>
      </c>
      <c r="AZ1220" s="711">
        <f t="shared" si="1687"/>
        <v>17.46</v>
      </c>
      <c r="BA1220" s="711">
        <f t="shared" si="1687"/>
        <v>8.4</v>
      </c>
      <c r="BB1220" s="712">
        <f t="shared" si="1687"/>
        <v>17.46</v>
      </c>
      <c r="BC1220" s="710">
        <f t="shared" si="1687"/>
        <v>5.0599999999999996</v>
      </c>
      <c r="BD1220" s="711">
        <f t="shared" si="1687"/>
        <v>0</v>
      </c>
      <c r="BE1220" s="711">
        <f t="shared" si="1687"/>
        <v>5.5</v>
      </c>
      <c r="BF1220" s="712">
        <f t="shared" si="1687"/>
        <v>5.57</v>
      </c>
      <c r="BG1220" s="710">
        <f t="shared" si="1687"/>
        <v>15.6</v>
      </c>
      <c r="BH1220" s="711">
        <f t="shared" si="1687"/>
        <v>37.229590000000002</v>
      </c>
      <c r="BI1220" s="711">
        <f t="shared" si="1687"/>
        <v>38.799999999999997</v>
      </c>
      <c r="BJ1220" s="712">
        <f t="shared" si="1687"/>
        <v>37.229999999999997</v>
      </c>
      <c r="BK1220" s="710">
        <f t="shared" si="1687"/>
        <v>11.82</v>
      </c>
      <c r="BL1220" s="711">
        <f t="shared" si="1687"/>
        <v>17</v>
      </c>
      <c r="BM1220" s="711">
        <f t="shared" si="1687"/>
        <v>17</v>
      </c>
      <c r="BN1220" s="712">
        <f t="shared" si="1687"/>
        <v>12.7</v>
      </c>
      <c r="BO1220" s="710">
        <f t="shared" si="1687"/>
        <v>2.21</v>
      </c>
      <c r="BP1220" s="711">
        <f t="shared" si="1687"/>
        <v>0</v>
      </c>
      <c r="BQ1220" s="711">
        <f t="shared" si="1687"/>
        <v>4.75</v>
      </c>
      <c r="BR1220" s="712">
        <f t="shared" si="1687"/>
        <v>2.4300000000000002</v>
      </c>
      <c r="BS1220" s="710">
        <f t="shared" si="1687"/>
        <v>2.84</v>
      </c>
      <c r="BT1220" s="711">
        <f t="shared" si="1687"/>
        <v>1.5</v>
      </c>
      <c r="BU1220" s="711">
        <f t="shared" si="1687"/>
        <v>2.5</v>
      </c>
      <c r="BV1220" s="712">
        <f t="shared" si="1687"/>
        <v>3.12</v>
      </c>
      <c r="BW1220" s="6"/>
      <c r="BX1220" s="5"/>
      <c r="BY1220" s="45">
        <f t="shared" si="1686"/>
        <v>98.05</v>
      </c>
      <c r="BZ1220" s="46">
        <f t="shared" si="1686"/>
        <v>133.14958999999999</v>
      </c>
      <c r="CA1220" s="46">
        <f t="shared" si="1686"/>
        <v>142.38</v>
      </c>
      <c r="CB1220" s="47">
        <f t="shared" si="1686"/>
        <v>140.69</v>
      </c>
      <c r="CC1220" s="874"/>
    </row>
    <row r="1221" spans="1:81" s="400" customFormat="1" ht="18.75" customHeight="1" x14ac:dyDescent="0.25">
      <c r="A1221" s="5"/>
      <c r="B1221" s="5"/>
      <c r="C1221" s="5"/>
      <c r="D1221" s="5"/>
      <c r="E1221" s="5"/>
      <c r="F1221" s="5"/>
      <c r="G1221" s="5"/>
      <c r="H1221" s="5"/>
      <c r="I1221" s="5"/>
      <c r="J1221" s="5"/>
      <c r="K1221" s="5"/>
      <c r="L1221" s="5"/>
      <c r="M1221" s="5"/>
      <c r="N1221" s="5"/>
      <c r="O1221" s="5"/>
      <c r="P1221" s="5"/>
      <c r="Q1221" s="5"/>
      <c r="R1221" s="5"/>
      <c r="S1221" s="5"/>
      <c r="T1221" s="5"/>
      <c r="U1221" s="5"/>
      <c r="V1221" s="5"/>
      <c r="W1221" s="5"/>
      <c r="X1221" s="5"/>
      <c r="Y1221" s="5"/>
      <c r="Z1221" s="5"/>
      <c r="AA1221" s="5"/>
      <c r="AB1221" s="6"/>
      <c r="AC1221" s="709" t="s">
        <v>718</v>
      </c>
      <c r="AD1221" s="594" t="s">
        <v>111</v>
      </c>
      <c r="AE1221" s="45">
        <f t="shared" ref="AE1221:BV1221" si="1688">(AE1219/AE1220)/12*1000</f>
        <v>61024.508840864451</v>
      </c>
      <c r="AF1221" s="46">
        <f t="shared" si="1688"/>
        <v>71192.729276097321</v>
      </c>
      <c r="AG1221" s="46">
        <f t="shared" si="1688"/>
        <v>75200.733562760361</v>
      </c>
      <c r="AH1221" s="47">
        <f t="shared" si="1688"/>
        <v>69909.070072036673</v>
      </c>
      <c r="AI1221" s="45">
        <f t="shared" si="1688"/>
        <v>46359.811827956983</v>
      </c>
      <c r="AJ1221" s="46">
        <f t="shared" si="1688"/>
        <v>40724.166666666672</v>
      </c>
      <c r="AK1221" s="46">
        <f t="shared" si="1688"/>
        <v>50143.54838709678</v>
      </c>
      <c r="AL1221" s="47">
        <f t="shared" si="1688"/>
        <v>32927.958333333328</v>
      </c>
      <c r="AM1221" s="45" t="e">
        <f t="shared" si="1688"/>
        <v>#DIV/0!</v>
      </c>
      <c r="AN1221" s="46" t="e">
        <f t="shared" si="1688"/>
        <v>#DIV/0!</v>
      </c>
      <c r="AO1221" s="46" t="e">
        <f t="shared" si="1688"/>
        <v>#DIV/0!</v>
      </c>
      <c r="AP1221" s="47" t="e">
        <f t="shared" si="1688"/>
        <v>#DIV/0!</v>
      </c>
      <c r="AQ1221" s="45">
        <f t="shared" si="1688"/>
        <v>73636.25</v>
      </c>
      <c r="AR1221" s="46">
        <f t="shared" si="1688"/>
        <v>34870</v>
      </c>
      <c r="AS1221" s="46">
        <f t="shared" si="1688"/>
        <v>46839.898989898989</v>
      </c>
      <c r="AT1221" s="47">
        <f t="shared" si="1688"/>
        <v>84356.965174129349</v>
      </c>
      <c r="AU1221" s="45">
        <f t="shared" si="1688"/>
        <v>51153.57142857142</v>
      </c>
      <c r="AV1221" s="46">
        <f t="shared" si="1688"/>
        <v>34538.75</v>
      </c>
      <c r="AW1221" s="46">
        <f t="shared" si="1688"/>
        <v>48992.724867724864</v>
      </c>
      <c r="AX1221" s="47">
        <f t="shared" si="1688"/>
        <v>56125.541125541124</v>
      </c>
      <c r="AY1221" s="714">
        <f t="shared" si="1688"/>
        <v>36409.285714285717</v>
      </c>
      <c r="AZ1221" s="46">
        <f t="shared" si="1688"/>
        <v>45800.305460099276</v>
      </c>
      <c r="BA1221" s="46">
        <f t="shared" si="1688"/>
        <v>48378.174603174608</v>
      </c>
      <c r="BB1221" s="47">
        <f t="shared" si="1688"/>
        <v>47654.759828178692</v>
      </c>
      <c r="BC1221" s="45">
        <f t="shared" si="1688"/>
        <v>63822.727272727272</v>
      </c>
      <c r="BD1221" s="46" t="e">
        <f t="shared" si="1688"/>
        <v>#DIV/0!</v>
      </c>
      <c r="BE1221" s="46">
        <f t="shared" si="1688"/>
        <v>47959.409090909081</v>
      </c>
      <c r="BF1221" s="47">
        <f t="shared" si="1688"/>
        <v>73062.238180730084</v>
      </c>
      <c r="BG1221" s="45">
        <f t="shared" si="1688"/>
        <v>42961.543803418805</v>
      </c>
      <c r="BH1221" s="46">
        <f t="shared" si="1688"/>
        <v>47304.211963297654</v>
      </c>
      <c r="BI1221" s="46">
        <f t="shared" si="1688"/>
        <v>53733.999140893473</v>
      </c>
      <c r="BJ1221" s="47">
        <f t="shared" si="1688"/>
        <v>49218.544432267896</v>
      </c>
      <c r="BK1221" s="45">
        <f t="shared" si="1688"/>
        <v>49705.795262267347</v>
      </c>
      <c r="BL1221" s="46">
        <f t="shared" si="1688"/>
        <v>50713.431372549021</v>
      </c>
      <c r="BM1221" s="46">
        <f t="shared" si="1688"/>
        <v>54083.480392156867</v>
      </c>
      <c r="BN1221" s="47">
        <f t="shared" si="1688"/>
        <v>56942.486876640425</v>
      </c>
      <c r="BO1221" s="45">
        <f t="shared" si="1688"/>
        <v>48490.346907993968</v>
      </c>
      <c r="BP1221" s="46" t="e">
        <f t="shared" si="1688"/>
        <v>#DIV/0!</v>
      </c>
      <c r="BQ1221" s="46">
        <f t="shared" si="1688"/>
        <v>45251.57894736842</v>
      </c>
      <c r="BR1221" s="47">
        <f t="shared" si="1688"/>
        <v>55573.045267489702</v>
      </c>
      <c r="BS1221" s="45">
        <f t="shared" si="1688"/>
        <v>41957.159624413151</v>
      </c>
      <c r="BT1221" s="46">
        <f t="shared" si="1688"/>
        <v>45811.666666666664</v>
      </c>
      <c r="BU1221" s="46">
        <f t="shared" si="1688"/>
        <v>47752.666666666664</v>
      </c>
      <c r="BV1221" s="47">
        <f t="shared" si="1688"/>
        <v>48127.403846153844</v>
      </c>
      <c r="BW1221" s="6"/>
      <c r="BX1221" s="5"/>
      <c r="BY1221" s="45">
        <f>(BY1219/BY1220)/12*1000</f>
        <v>55029.277579466259</v>
      </c>
      <c r="BZ1221" s="46">
        <f>(BZ1219/BZ1220)/12*1000</f>
        <v>57026.163830721023</v>
      </c>
      <c r="CA1221" s="46">
        <f>(CA1219/CA1220)/12*1000</f>
        <v>60787.510535187525</v>
      </c>
      <c r="CB1221" s="47">
        <f>(CB1219/CB1220)/12*1000</f>
        <v>59393.29891354515</v>
      </c>
      <c r="CC1221" s="874"/>
    </row>
    <row r="1222" spans="1:81" s="400" customFormat="1" ht="18.75" customHeight="1" x14ac:dyDescent="0.25">
      <c r="A1222" s="5"/>
      <c r="B1222" s="5"/>
      <c r="C1222" s="5"/>
      <c r="D1222" s="5"/>
      <c r="E1222" s="5"/>
      <c r="F1222" s="5"/>
      <c r="G1222" s="5"/>
      <c r="H1222" s="5"/>
      <c r="I1222" s="5"/>
      <c r="J1222" s="5"/>
      <c r="K1222" s="5"/>
      <c r="L1222" s="5"/>
      <c r="M1222" s="5"/>
      <c r="N1222" s="5"/>
      <c r="O1222" s="5"/>
      <c r="P1222" s="5"/>
      <c r="Q1222" s="5"/>
      <c r="R1222" s="5"/>
      <c r="S1222" s="5"/>
      <c r="T1222" s="5"/>
      <c r="U1222" s="5"/>
      <c r="V1222" s="5"/>
      <c r="W1222" s="5"/>
      <c r="X1222" s="5"/>
      <c r="Y1222" s="5"/>
      <c r="Z1222" s="5"/>
      <c r="AA1222" s="5"/>
      <c r="AB1222" s="6"/>
      <c r="AC1222" s="715" t="s">
        <v>721</v>
      </c>
      <c r="AD1222" s="701" t="s">
        <v>111</v>
      </c>
      <c r="AE1222" s="702">
        <f t="shared" ref="AE1222:BV1222" si="1689">AE612</f>
        <v>66949.31</v>
      </c>
      <c r="AF1222" s="703">
        <f t="shared" si="1689"/>
        <v>37862.07</v>
      </c>
      <c r="AG1222" s="703">
        <f t="shared" si="1689"/>
        <v>70610.275999999998</v>
      </c>
      <c r="AH1222" s="704">
        <f t="shared" si="1689"/>
        <v>80308.490000000005</v>
      </c>
      <c r="AI1222" s="702">
        <f t="shared" si="1689"/>
        <v>0</v>
      </c>
      <c r="AJ1222" s="703">
        <f t="shared" si="1689"/>
        <v>0</v>
      </c>
      <c r="AK1222" s="703">
        <f t="shared" si="1689"/>
        <v>0</v>
      </c>
      <c r="AL1222" s="704">
        <f t="shared" si="1689"/>
        <v>0</v>
      </c>
      <c r="AM1222" s="702">
        <f t="shared" si="1689"/>
        <v>0</v>
      </c>
      <c r="AN1222" s="703">
        <f t="shared" si="1689"/>
        <v>0</v>
      </c>
      <c r="AO1222" s="703">
        <f t="shared" si="1689"/>
        <v>0</v>
      </c>
      <c r="AP1222" s="704">
        <f t="shared" si="1689"/>
        <v>0</v>
      </c>
      <c r="AQ1222" s="702">
        <f t="shared" si="1689"/>
        <v>2849.59</v>
      </c>
      <c r="AR1222" s="703">
        <f t="shared" si="1689"/>
        <v>417.58</v>
      </c>
      <c r="AS1222" s="703">
        <f t="shared" si="1689"/>
        <v>2424.08</v>
      </c>
      <c r="AT1222" s="704">
        <f t="shared" si="1689"/>
        <v>3590.9</v>
      </c>
      <c r="AU1222" s="702">
        <f t="shared" si="1689"/>
        <v>3217.46</v>
      </c>
      <c r="AV1222" s="703">
        <f t="shared" si="1689"/>
        <v>229.4</v>
      </c>
      <c r="AW1222" s="703">
        <f t="shared" si="1689"/>
        <v>3070.5</v>
      </c>
      <c r="AX1222" s="704">
        <f t="shared" si="1689"/>
        <v>3984.5149999999999</v>
      </c>
      <c r="AY1222" s="705">
        <f t="shared" si="1689"/>
        <v>2102.96</v>
      </c>
      <c r="AZ1222" s="703">
        <f t="shared" si="1689"/>
        <v>4548.07</v>
      </c>
      <c r="BA1222" s="703">
        <f t="shared" si="1689"/>
        <v>3555.32</v>
      </c>
      <c r="BB1222" s="704">
        <f t="shared" si="1689"/>
        <v>4732.2213542999989</v>
      </c>
      <c r="BC1222" s="702">
        <f t="shared" si="1689"/>
        <v>0</v>
      </c>
      <c r="BD1222" s="703">
        <f t="shared" si="1689"/>
        <v>421.91</v>
      </c>
      <c r="BE1222" s="703">
        <f t="shared" si="1689"/>
        <v>1047.0730000000001</v>
      </c>
      <c r="BF1222" s="704">
        <f t="shared" si="1689"/>
        <v>0</v>
      </c>
      <c r="BG1222" s="702">
        <f t="shared" si="1689"/>
        <v>5967.6710000000003</v>
      </c>
      <c r="BH1222" s="703">
        <f t="shared" si="1689"/>
        <v>8119.83</v>
      </c>
      <c r="BI1222" s="703">
        <f t="shared" si="1689"/>
        <v>7312.0820000000003</v>
      </c>
      <c r="BJ1222" s="704">
        <f t="shared" si="1689"/>
        <v>8448.520718400001</v>
      </c>
      <c r="BK1222" s="702">
        <f t="shared" si="1689"/>
        <v>0</v>
      </c>
      <c r="BL1222" s="703">
        <f t="shared" si="1689"/>
        <v>0</v>
      </c>
      <c r="BM1222" s="703">
        <f t="shared" si="1689"/>
        <v>0</v>
      </c>
      <c r="BN1222" s="704">
        <f t="shared" si="1689"/>
        <v>0</v>
      </c>
      <c r="BO1222" s="702">
        <f t="shared" si="1689"/>
        <v>0</v>
      </c>
      <c r="BP1222" s="703">
        <f t="shared" si="1689"/>
        <v>0</v>
      </c>
      <c r="BQ1222" s="703">
        <f t="shared" si="1689"/>
        <v>446.68</v>
      </c>
      <c r="BR1222" s="704">
        <f t="shared" si="1689"/>
        <v>0</v>
      </c>
      <c r="BS1222" s="702">
        <f t="shared" si="1689"/>
        <v>0</v>
      </c>
      <c r="BT1222" s="703">
        <f t="shared" si="1689"/>
        <v>0</v>
      </c>
      <c r="BU1222" s="703">
        <f t="shared" si="1689"/>
        <v>543.97</v>
      </c>
      <c r="BV1222" s="704">
        <f t="shared" si="1689"/>
        <v>0</v>
      </c>
      <c r="BW1222" s="6"/>
      <c r="BX1222" s="5"/>
      <c r="BY1222" s="706">
        <f t="shared" ref="BY1222:CB1223" si="1690">AE1222+AI1222+AM1222+AQ1222+AU1222+AY1222+BC1222+BG1222+BK1222+BO1222+BS1222</f>
        <v>81086.991000000009</v>
      </c>
      <c r="BZ1222" s="707">
        <f t="shared" si="1690"/>
        <v>51598.860000000008</v>
      </c>
      <c r="CA1222" s="707">
        <f t="shared" si="1690"/>
        <v>89009.981</v>
      </c>
      <c r="CB1222" s="708">
        <f t="shared" si="1690"/>
        <v>101064.6470727</v>
      </c>
      <c r="CC1222" s="874"/>
    </row>
    <row r="1223" spans="1:81" s="400" customFormat="1" ht="18.75" customHeight="1" x14ac:dyDescent="0.25">
      <c r="A1223" s="5"/>
      <c r="B1223" s="5"/>
      <c r="C1223" s="5"/>
      <c r="D1223" s="5"/>
      <c r="E1223" s="5"/>
      <c r="F1223" s="5"/>
      <c r="G1223" s="5"/>
      <c r="H1223" s="5"/>
      <c r="I1223" s="5"/>
      <c r="J1223" s="5"/>
      <c r="K1223" s="5"/>
      <c r="L1223" s="5"/>
      <c r="M1223" s="5"/>
      <c r="N1223" s="5"/>
      <c r="O1223" s="5"/>
      <c r="P1223" s="5"/>
      <c r="Q1223" s="5"/>
      <c r="R1223" s="5"/>
      <c r="S1223" s="5"/>
      <c r="T1223" s="5"/>
      <c r="U1223" s="5"/>
      <c r="V1223" s="5"/>
      <c r="W1223" s="5"/>
      <c r="X1223" s="5"/>
      <c r="Y1223" s="5"/>
      <c r="Z1223" s="5"/>
      <c r="AA1223" s="5"/>
      <c r="AB1223" s="6"/>
      <c r="AC1223" s="709" t="s">
        <v>720</v>
      </c>
      <c r="AD1223" s="594" t="s">
        <v>111</v>
      </c>
      <c r="AE1223" s="710">
        <f t="shared" ref="AE1223:BV1223" si="1691">AE614</f>
        <v>69.98</v>
      </c>
      <c r="AF1223" s="711">
        <f t="shared" si="1691"/>
        <v>41.79</v>
      </c>
      <c r="AG1223" s="711">
        <f t="shared" si="1691"/>
        <v>41.79</v>
      </c>
      <c r="AH1223" s="712">
        <f t="shared" si="1691"/>
        <v>76.98</v>
      </c>
      <c r="AI1223" s="710">
        <f t="shared" si="1691"/>
        <v>0</v>
      </c>
      <c r="AJ1223" s="711">
        <f t="shared" si="1691"/>
        <v>0</v>
      </c>
      <c r="AK1223" s="711">
        <f t="shared" si="1691"/>
        <v>0</v>
      </c>
      <c r="AL1223" s="712">
        <f t="shared" si="1691"/>
        <v>0</v>
      </c>
      <c r="AM1223" s="710">
        <f t="shared" si="1691"/>
        <v>0</v>
      </c>
      <c r="AN1223" s="711">
        <f t="shared" si="1691"/>
        <v>0</v>
      </c>
      <c r="AO1223" s="711">
        <f t="shared" si="1691"/>
        <v>0</v>
      </c>
      <c r="AP1223" s="712">
        <f t="shared" si="1691"/>
        <v>0</v>
      </c>
      <c r="AQ1223" s="710">
        <f t="shared" si="1691"/>
        <v>4.0599999999999996</v>
      </c>
      <c r="AR1223" s="711">
        <f t="shared" si="1691"/>
        <v>0.8</v>
      </c>
      <c r="AS1223" s="711">
        <f t="shared" si="1691"/>
        <v>3.9</v>
      </c>
      <c r="AT1223" s="712">
        <f t="shared" si="1691"/>
        <v>4.47</v>
      </c>
      <c r="AU1223" s="710">
        <f t="shared" si="1691"/>
        <v>4.07</v>
      </c>
      <c r="AV1223" s="711">
        <f t="shared" si="1691"/>
        <v>0.44</v>
      </c>
      <c r="AW1223" s="711">
        <f t="shared" si="1691"/>
        <v>4.9000000000000004</v>
      </c>
      <c r="AX1223" s="712">
        <f t="shared" si="1691"/>
        <v>4.4800000000000004</v>
      </c>
      <c r="AY1223" s="713">
        <f t="shared" si="1691"/>
        <v>3.69</v>
      </c>
      <c r="AZ1223" s="711">
        <f t="shared" si="1691"/>
        <v>7.76</v>
      </c>
      <c r="BA1223" s="711">
        <f t="shared" si="1691"/>
        <v>5.7</v>
      </c>
      <c r="BB1223" s="712">
        <f t="shared" si="1691"/>
        <v>7.76</v>
      </c>
      <c r="BC1223" s="710">
        <f t="shared" si="1691"/>
        <v>0</v>
      </c>
      <c r="BD1223" s="711">
        <f t="shared" si="1691"/>
        <v>0.8</v>
      </c>
      <c r="BE1223" s="711">
        <f t="shared" si="1691"/>
        <v>1.75</v>
      </c>
      <c r="BF1223" s="712">
        <f t="shared" si="1691"/>
        <v>0</v>
      </c>
      <c r="BG1223" s="710">
        <f t="shared" si="1691"/>
        <v>8</v>
      </c>
      <c r="BH1223" s="711">
        <f t="shared" si="1691"/>
        <v>12.85</v>
      </c>
      <c r="BI1223" s="711">
        <f t="shared" si="1691"/>
        <v>11.8</v>
      </c>
      <c r="BJ1223" s="712">
        <f t="shared" si="1691"/>
        <v>12.85</v>
      </c>
      <c r="BK1223" s="710">
        <f t="shared" si="1691"/>
        <v>0</v>
      </c>
      <c r="BL1223" s="711">
        <f t="shared" si="1691"/>
        <v>0</v>
      </c>
      <c r="BM1223" s="711">
        <f t="shared" si="1691"/>
        <v>0</v>
      </c>
      <c r="BN1223" s="712">
        <f t="shared" si="1691"/>
        <v>0</v>
      </c>
      <c r="BO1223" s="710">
        <f t="shared" si="1691"/>
        <v>0</v>
      </c>
      <c r="BP1223" s="711">
        <f t="shared" si="1691"/>
        <v>0</v>
      </c>
      <c r="BQ1223" s="711">
        <f t="shared" si="1691"/>
        <v>0.5</v>
      </c>
      <c r="BR1223" s="712">
        <f t="shared" si="1691"/>
        <v>0</v>
      </c>
      <c r="BS1223" s="710">
        <f t="shared" si="1691"/>
        <v>0</v>
      </c>
      <c r="BT1223" s="711">
        <f t="shared" si="1691"/>
        <v>0</v>
      </c>
      <c r="BU1223" s="711">
        <f t="shared" si="1691"/>
        <v>1</v>
      </c>
      <c r="BV1223" s="712">
        <f t="shared" si="1691"/>
        <v>0</v>
      </c>
      <c r="BW1223" s="6"/>
      <c r="BX1223" s="5"/>
      <c r="BY1223" s="45">
        <f t="shared" si="1690"/>
        <v>89.800000000000011</v>
      </c>
      <c r="BZ1223" s="46">
        <f t="shared" si="1690"/>
        <v>64.439999999999984</v>
      </c>
      <c r="CA1223" s="46">
        <f t="shared" si="1690"/>
        <v>71.34</v>
      </c>
      <c r="CB1223" s="47">
        <f t="shared" si="1690"/>
        <v>106.54</v>
      </c>
      <c r="CC1223" s="874"/>
    </row>
    <row r="1224" spans="1:81" s="400" customFormat="1" ht="18.75" customHeight="1" x14ac:dyDescent="0.25">
      <c r="A1224" s="5"/>
      <c r="B1224" s="5"/>
      <c r="C1224" s="5"/>
      <c r="D1224" s="5"/>
      <c r="E1224" s="5"/>
      <c r="F1224" s="5"/>
      <c r="G1224" s="5"/>
      <c r="H1224" s="5"/>
      <c r="I1224" s="5"/>
      <c r="J1224" s="5"/>
      <c r="K1224" s="5"/>
      <c r="L1224" s="5"/>
      <c r="M1224" s="5"/>
      <c r="N1224" s="5"/>
      <c r="O1224" s="5"/>
      <c r="P1224" s="5"/>
      <c r="Q1224" s="5"/>
      <c r="R1224" s="5"/>
      <c r="S1224" s="5"/>
      <c r="T1224" s="5"/>
      <c r="U1224" s="5"/>
      <c r="V1224" s="5"/>
      <c r="W1224" s="5"/>
      <c r="X1224" s="5"/>
      <c r="Y1224" s="5"/>
      <c r="Z1224" s="5"/>
      <c r="AA1224" s="5"/>
      <c r="AB1224" s="6"/>
      <c r="AC1224" s="716" t="s">
        <v>718</v>
      </c>
      <c r="AD1224" s="594" t="s">
        <v>111</v>
      </c>
      <c r="AE1224" s="45">
        <f t="shared" ref="AE1224:BV1224" si="1692">(AE1222/AE1223)/12*1000</f>
        <v>79724.33790606838</v>
      </c>
      <c r="AF1224" s="46">
        <f t="shared" si="1692"/>
        <v>75500.658052165585</v>
      </c>
      <c r="AG1224" s="46">
        <f t="shared" si="1692"/>
        <v>140803.77283241606</v>
      </c>
      <c r="AH1224" s="47">
        <f t="shared" si="1692"/>
        <v>86936.531133627781</v>
      </c>
      <c r="AI1224" s="45" t="e">
        <f t="shared" si="1692"/>
        <v>#DIV/0!</v>
      </c>
      <c r="AJ1224" s="46" t="e">
        <f t="shared" si="1692"/>
        <v>#DIV/0!</v>
      </c>
      <c r="AK1224" s="46" t="e">
        <f t="shared" si="1692"/>
        <v>#DIV/0!</v>
      </c>
      <c r="AL1224" s="47" t="e">
        <f t="shared" si="1692"/>
        <v>#DIV/0!</v>
      </c>
      <c r="AM1224" s="45" t="e">
        <f t="shared" si="1692"/>
        <v>#DIV/0!</v>
      </c>
      <c r="AN1224" s="46" t="e">
        <f t="shared" si="1692"/>
        <v>#DIV/0!</v>
      </c>
      <c r="AO1224" s="46" t="e">
        <f t="shared" si="1692"/>
        <v>#DIV/0!</v>
      </c>
      <c r="AP1224" s="47" t="e">
        <f t="shared" si="1692"/>
        <v>#DIV/0!</v>
      </c>
      <c r="AQ1224" s="45">
        <f t="shared" si="1692"/>
        <v>58489.121510673242</v>
      </c>
      <c r="AR1224" s="46">
        <f t="shared" si="1692"/>
        <v>43497.916666666664</v>
      </c>
      <c r="AS1224" s="46">
        <f t="shared" si="1692"/>
        <v>51796.581196581203</v>
      </c>
      <c r="AT1224" s="47">
        <f t="shared" si="1692"/>
        <v>66944.444444444438</v>
      </c>
      <c r="AU1224" s="45">
        <f t="shared" si="1692"/>
        <v>65877.559377559359</v>
      </c>
      <c r="AV1224" s="46">
        <f t="shared" si="1692"/>
        <v>43446.969696969696</v>
      </c>
      <c r="AW1224" s="46">
        <f t="shared" si="1692"/>
        <v>52219.387755102041</v>
      </c>
      <c r="AX1224" s="47">
        <f t="shared" si="1692"/>
        <v>74116.722470238092</v>
      </c>
      <c r="AY1224" s="714">
        <f t="shared" si="1692"/>
        <v>47492.321589882573</v>
      </c>
      <c r="AZ1224" s="46">
        <f t="shared" si="1692"/>
        <v>48840.957903780065</v>
      </c>
      <c r="BA1224" s="46">
        <f t="shared" si="1692"/>
        <v>51978.362573099417</v>
      </c>
      <c r="BB1224" s="47">
        <f t="shared" si="1692"/>
        <v>50818.528289304115</v>
      </c>
      <c r="BC1224" s="45" t="e">
        <f t="shared" si="1692"/>
        <v>#DIV/0!</v>
      </c>
      <c r="BD1224" s="46">
        <f t="shared" si="1692"/>
        <v>43948.958333333336</v>
      </c>
      <c r="BE1224" s="46">
        <f t="shared" si="1692"/>
        <v>49860.619047619053</v>
      </c>
      <c r="BF1224" s="47" t="e">
        <f t="shared" si="1692"/>
        <v>#DIV/0!</v>
      </c>
      <c r="BG1224" s="45">
        <f t="shared" si="1692"/>
        <v>62163.239583333336</v>
      </c>
      <c r="BH1224" s="46">
        <f t="shared" si="1692"/>
        <v>52657.782101167322</v>
      </c>
      <c r="BI1224" s="46">
        <f t="shared" si="1692"/>
        <v>51638.997175141245</v>
      </c>
      <c r="BJ1224" s="47">
        <f t="shared" si="1692"/>
        <v>54789.36912062257</v>
      </c>
      <c r="BK1224" s="45" t="e">
        <f t="shared" si="1692"/>
        <v>#DIV/0!</v>
      </c>
      <c r="BL1224" s="46" t="e">
        <f t="shared" si="1692"/>
        <v>#DIV/0!</v>
      </c>
      <c r="BM1224" s="46" t="e">
        <f t="shared" si="1692"/>
        <v>#DIV/0!</v>
      </c>
      <c r="BN1224" s="47" t="e">
        <f t="shared" si="1692"/>
        <v>#DIV/0!</v>
      </c>
      <c r="BO1224" s="45" t="e">
        <f t="shared" si="1692"/>
        <v>#DIV/0!</v>
      </c>
      <c r="BP1224" s="46" t="e">
        <f t="shared" si="1692"/>
        <v>#DIV/0!</v>
      </c>
      <c r="BQ1224" s="46">
        <f t="shared" si="1692"/>
        <v>74446.666666666672</v>
      </c>
      <c r="BR1224" s="47" t="e">
        <f t="shared" si="1692"/>
        <v>#DIV/0!</v>
      </c>
      <c r="BS1224" s="45" t="e">
        <f t="shared" si="1692"/>
        <v>#DIV/0!</v>
      </c>
      <c r="BT1224" s="46" t="e">
        <f t="shared" si="1692"/>
        <v>#DIV/0!</v>
      </c>
      <c r="BU1224" s="46">
        <f t="shared" si="1692"/>
        <v>45330.833333333336</v>
      </c>
      <c r="BV1224" s="47" t="e">
        <f t="shared" si="1692"/>
        <v>#DIV/0!</v>
      </c>
      <c r="BW1224" s="6"/>
      <c r="BX1224" s="5"/>
      <c r="BY1224" s="45">
        <f>(BY1222/BY1223)/12*1000</f>
        <v>75247.764476614699</v>
      </c>
      <c r="BZ1224" s="46">
        <f>(BZ1222/BZ1223)/12*1000</f>
        <v>66727.265673494752</v>
      </c>
      <c r="CA1224" s="46">
        <f>(CA1222/CA1223)/12*1000</f>
        <v>103973.90547612372</v>
      </c>
      <c r="CB1224" s="47">
        <f>(CB1222/CB1223)/12*1000</f>
        <v>79050.628146470801</v>
      </c>
      <c r="CC1224" s="874"/>
    </row>
    <row r="1225" spans="1:81" s="400" customFormat="1" ht="18.75" customHeight="1" x14ac:dyDescent="0.25">
      <c r="A1225" s="5"/>
      <c r="B1225" s="5"/>
      <c r="C1225" s="5"/>
      <c r="D1225" s="5"/>
      <c r="E1225" s="5"/>
      <c r="F1225" s="5"/>
      <c r="G1225" s="5"/>
      <c r="H1225" s="5"/>
      <c r="I1225" s="5"/>
      <c r="J1225" s="5"/>
      <c r="K1225" s="5"/>
      <c r="L1225" s="5"/>
      <c r="M1225" s="5"/>
      <c r="N1225" s="5"/>
      <c r="O1225" s="5"/>
      <c r="P1225" s="5"/>
      <c r="Q1225" s="5"/>
      <c r="R1225" s="5"/>
      <c r="S1225" s="5"/>
      <c r="T1225" s="5"/>
      <c r="U1225" s="5"/>
      <c r="V1225" s="5"/>
      <c r="W1225" s="5"/>
      <c r="X1225" s="5"/>
      <c r="Y1225" s="5"/>
      <c r="Z1225" s="5"/>
      <c r="AA1225" s="5"/>
      <c r="AB1225" s="6"/>
      <c r="AC1225" s="715" t="s">
        <v>722</v>
      </c>
      <c r="AD1225" s="701" t="s">
        <v>111</v>
      </c>
      <c r="AE1225" s="702">
        <f t="shared" ref="AE1225:BV1225" si="1693">AE643</f>
        <v>37177.529000000002</v>
      </c>
      <c r="AF1225" s="703">
        <f t="shared" si="1693"/>
        <v>39311.360000000001</v>
      </c>
      <c r="AG1225" s="703">
        <f t="shared" si="1693"/>
        <v>41524.51</v>
      </c>
      <c r="AH1225" s="704">
        <f t="shared" si="1693"/>
        <v>39739.339999999997</v>
      </c>
      <c r="AI1225" s="702">
        <f t="shared" si="1693"/>
        <v>0</v>
      </c>
      <c r="AJ1225" s="703">
        <f t="shared" si="1693"/>
        <v>0</v>
      </c>
      <c r="AK1225" s="703">
        <f t="shared" si="1693"/>
        <v>0</v>
      </c>
      <c r="AL1225" s="704">
        <f t="shared" si="1693"/>
        <v>0</v>
      </c>
      <c r="AM1225" s="702">
        <f t="shared" si="1693"/>
        <v>0</v>
      </c>
      <c r="AN1225" s="703">
        <f t="shared" si="1693"/>
        <v>0</v>
      </c>
      <c r="AO1225" s="703">
        <f t="shared" si="1693"/>
        <v>0</v>
      </c>
      <c r="AP1225" s="704">
        <f t="shared" si="1693"/>
        <v>0</v>
      </c>
      <c r="AQ1225" s="702">
        <f t="shared" si="1693"/>
        <v>1521.59</v>
      </c>
      <c r="AR1225" s="703">
        <f t="shared" si="1693"/>
        <v>0</v>
      </c>
      <c r="AS1225" s="703">
        <f t="shared" si="1693"/>
        <v>1686.82</v>
      </c>
      <c r="AT1225" s="704">
        <f t="shared" si="1693"/>
        <v>1917.4349999999999</v>
      </c>
      <c r="AU1225" s="702">
        <f t="shared" si="1693"/>
        <v>1632.08</v>
      </c>
      <c r="AV1225" s="703">
        <f t="shared" si="1693"/>
        <v>0</v>
      </c>
      <c r="AW1225" s="703">
        <f t="shared" si="1693"/>
        <v>2136.64</v>
      </c>
      <c r="AX1225" s="704">
        <f t="shared" si="1693"/>
        <v>2056.6640000000002</v>
      </c>
      <c r="AY1225" s="705">
        <f t="shared" si="1693"/>
        <v>1208.51</v>
      </c>
      <c r="AZ1225" s="703">
        <f t="shared" si="1693"/>
        <v>3849.35</v>
      </c>
      <c r="BA1225" s="703">
        <f t="shared" si="1693"/>
        <v>2474</v>
      </c>
      <c r="BB1225" s="704">
        <f t="shared" si="1693"/>
        <v>4005.2101814999996</v>
      </c>
      <c r="BC1225" s="702">
        <f t="shared" si="1693"/>
        <v>1361.788</v>
      </c>
      <c r="BD1225" s="703">
        <f t="shared" si="1693"/>
        <v>0</v>
      </c>
      <c r="BE1225" s="703">
        <f t="shared" si="1693"/>
        <v>1410.384</v>
      </c>
      <c r="BF1225" s="704">
        <f t="shared" si="1693"/>
        <v>1716.056</v>
      </c>
      <c r="BG1225" s="702">
        <f t="shared" si="1693"/>
        <v>2121.1529999999998</v>
      </c>
      <c r="BH1225" s="703">
        <f t="shared" si="1693"/>
        <v>2240.9699999999998</v>
      </c>
      <c r="BI1225" s="703">
        <f t="shared" si="1693"/>
        <v>2348.9580000000001</v>
      </c>
      <c r="BJ1225" s="704">
        <f t="shared" si="1693"/>
        <v>2331.6844655999998</v>
      </c>
      <c r="BK1225" s="702">
        <f t="shared" si="1693"/>
        <v>2957.232</v>
      </c>
      <c r="BL1225" s="703">
        <f t="shared" si="1693"/>
        <v>0</v>
      </c>
      <c r="BM1225" s="703">
        <f t="shared" si="1693"/>
        <v>3253.9</v>
      </c>
      <c r="BN1225" s="704">
        <f t="shared" si="1693"/>
        <v>3613.63</v>
      </c>
      <c r="BO1225" s="702">
        <f t="shared" si="1693"/>
        <v>196.08</v>
      </c>
      <c r="BP1225" s="703">
        <f t="shared" si="1693"/>
        <v>0</v>
      </c>
      <c r="BQ1225" s="703">
        <f t="shared" si="1693"/>
        <v>231.61</v>
      </c>
      <c r="BR1225" s="704">
        <f t="shared" si="1693"/>
        <v>247.09399999999999</v>
      </c>
      <c r="BS1225" s="702">
        <f t="shared" si="1693"/>
        <v>1186.7750000000001</v>
      </c>
      <c r="BT1225" s="703">
        <f t="shared" si="1693"/>
        <v>0</v>
      </c>
      <c r="BU1225" s="703">
        <f t="shared" si="1693"/>
        <v>981.82</v>
      </c>
      <c r="BV1225" s="704">
        <f t="shared" si="1693"/>
        <v>1495.5150000000001</v>
      </c>
      <c r="BW1225" s="6"/>
      <c r="BX1225" s="5"/>
      <c r="BY1225" s="706">
        <f t="shared" ref="BY1225:CB1226" si="1694">AE1225+AI1225+AM1225+AQ1225+AU1225+AY1225+BC1225+BG1225+BK1225+BO1225+BS1225</f>
        <v>49362.737000000001</v>
      </c>
      <c r="BZ1225" s="707">
        <f t="shared" si="1694"/>
        <v>45401.68</v>
      </c>
      <c r="CA1225" s="707">
        <f t="shared" si="1694"/>
        <v>56048.642</v>
      </c>
      <c r="CB1225" s="708">
        <f t="shared" si="1694"/>
        <v>57122.628647099984</v>
      </c>
      <c r="CC1225" s="874"/>
    </row>
    <row r="1226" spans="1:81" s="400" customFormat="1" ht="18.75" customHeight="1" x14ac:dyDescent="0.25">
      <c r="A1226" s="5"/>
      <c r="B1226" s="5"/>
      <c r="C1226" s="5"/>
      <c r="D1226" s="5"/>
      <c r="E1226" s="5"/>
      <c r="F1226" s="5"/>
      <c r="G1226" s="5"/>
      <c r="H1226" s="5"/>
      <c r="I1226" s="5"/>
      <c r="J1226" s="5"/>
      <c r="K1226" s="5"/>
      <c r="L1226" s="5"/>
      <c r="M1226" s="5"/>
      <c r="N1226" s="5"/>
      <c r="O1226" s="5"/>
      <c r="P1226" s="5"/>
      <c r="Q1226" s="5"/>
      <c r="R1226" s="5"/>
      <c r="S1226" s="5"/>
      <c r="T1226" s="5"/>
      <c r="U1226" s="5"/>
      <c r="V1226" s="5"/>
      <c r="W1226" s="5"/>
      <c r="X1226" s="5"/>
      <c r="Y1226" s="5"/>
      <c r="Z1226" s="5"/>
      <c r="AA1226" s="5"/>
      <c r="AB1226" s="6"/>
      <c r="AC1226" s="709" t="s">
        <v>720</v>
      </c>
      <c r="AD1226" s="594" t="s">
        <v>111</v>
      </c>
      <c r="AE1226" s="710">
        <f t="shared" ref="AE1226:BV1226" si="1695">AE645</f>
        <v>49.3</v>
      </c>
      <c r="AF1226" s="711">
        <f t="shared" si="1695"/>
        <v>46</v>
      </c>
      <c r="AG1226" s="711">
        <f t="shared" si="1695"/>
        <v>46</v>
      </c>
      <c r="AH1226" s="712">
        <f t="shared" si="1695"/>
        <v>46</v>
      </c>
      <c r="AI1226" s="710">
        <f t="shared" si="1695"/>
        <v>0</v>
      </c>
      <c r="AJ1226" s="711">
        <f t="shared" si="1695"/>
        <v>0</v>
      </c>
      <c r="AK1226" s="711">
        <f t="shared" si="1695"/>
        <v>0</v>
      </c>
      <c r="AL1226" s="712">
        <f t="shared" si="1695"/>
        <v>0</v>
      </c>
      <c r="AM1226" s="710">
        <f t="shared" si="1695"/>
        <v>0</v>
      </c>
      <c r="AN1226" s="711">
        <f t="shared" si="1695"/>
        <v>0</v>
      </c>
      <c r="AO1226" s="711">
        <f t="shared" si="1695"/>
        <v>0</v>
      </c>
      <c r="AP1226" s="712">
        <f t="shared" si="1695"/>
        <v>0</v>
      </c>
      <c r="AQ1226" s="710">
        <f t="shared" si="1695"/>
        <v>2.4</v>
      </c>
      <c r="AR1226" s="711">
        <f t="shared" si="1695"/>
        <v>0</v>
      </c>
      <c r="AS1226" s="711">
        <f t="shared" si="1695"/>
        <v>2.7</v>
      </c>
      <c r="AT1226" s="712">
        <f t="shared" si="1695"/>
        <v>2.64</v>
      </c>
      <c r="AU1226" s="710">
        <f t="shared" si="1695"/>
        <v>2.6</v>
      </c>
      <c r="AV1226" s="711">
        <f t="shared" si="1695"/>
        <v>0</v>
      </c>
      <c r="AW1226" s="711">
        <f t="shared" si="1695"/>
        <v>3.5</v>
      </c>
      <c r="AX1226" s="712">
        <f t="shared" si="1695"/>
        <v>2.86</v>
      </c>
      <c r="AY1226" s="713">
        <f t="shared" si="1695"/>
        <v>1.9</v>
      </c>
      <c r="AZ1226" s="711">
        <f t="shared" si="1695"/>
        <v>7</v>
      </c>
      <c r="BA1226" s="711">
        <f t="shared" si="1695"/>
        <v>4</v>
      </c>
      <c r="BB1226" s="712">
        <f t="shared" si="1695"/>
        <v>7</v>
      </c>
      <c r="BC1226" s="710">
        <f t="shared" si="1695"/>
        <v>2.5</v>
      </c>
      <c r="BD1226" s="711">
        <f t="shared" si="1695"/>
        <v>0</v>
      </c>
      <c r="BE1226" s="711">
        <f t="shared" si="1695"/>
        <v>2.5</v>
      </c>
      <c r="BF1226" s="712">
        <f t="shared" si="1695"/>
        <v>2.75</v>
      </c>
      <c r="BG1226" s="710">
        <f t="shared" si="1695"/>
        <v>4</v>
      </c>
      <c r="BH1226" s="711">
        <f t="shared" si="1695"/>
        <v>4</v>
      </c>
      <c r="BI1226" s="711">
        <f t="shared" si="1695"/>
        <v>4</v>
      </c>
      <c r="BJ1226" s="712">
        <f t="shared" si="1695"/>
        <v>4</v>
      </c>
      <c r="BK1226" s="710">
        <f t="shared" si="1695"/>
        <v>5.625</v>
      </c>
      <c r="BL1226" s="711">
        <f t="shared" si="1695"/>
        <v>0</v>
      </c>
      <c r="BM1226" s="711">
        <f t="shared" si="1695"/>
        <v>5.63</v>
      </c>
      <c r="BN1226" s="712">
        <f t="shared" si="1695"/>
        <v>6</v>
      </c>
      <c r="BO1226" s="710">
        <f t="shared" si="1695"/>
        <v>0.41</v>
      </c>
      <c r="BP1226" s="711">
        <f t="shared" si="1695"/>
        <v>0</v>
      </c>
      <c r="BQ1226" s="711">
        <f t="shared" si="1695"/>
        <v>0.5</v>
      </c>
      <c r="BR1226" s="712">
        <f t="shared" si="1695"/>
        <v>0.45</v>
      </c>
      <c r="BS1226" s="710">
        <f t="shared" si="1695"/>
        <v>2.5</v>
      </c>
      <c r="BT1226" s="711">
        <f t="shared" si="1695"/>
        <v>0</v>
      </c>
      <c r="BU1226" s="711">
        <f t="shared" si="1695"/>
        <v>2</v>
      </c>
      <c r="BV1226" s="712">
        <f t="shared" si="1695"/>
        <v>2.75</v>
      </c>
      <c r="BW1226" s="6"/>
      <c r="BX1226" s="5"/>
      <c r="BY1226" s="45">
        <f t="shared" si="1694"/>
        <v>71.234999999999985</v>
      </c>
      <c r="BZ1226" s="46">
        <f t="shared" si="1694"/>
        <v>57</v>
      </c>
      <c r="CA1226" s="46">
        <f t="shared" si="1694"/>
        <v>70.83</v>
      </c>
      <c r="CB1226" s="47">
        <f t="shared" si="1694"/>
        <v>74.45</v>
      </c>
      <c r="CC1226" s="874"/>
    </row>
    <row r="1227" spans="1:81" s="400" customFormat="1" ht="18.75" customHeight="1" x14ac:dyDescent="0.25">
      <c r="A1227" s="5"/>
      <c r="B1227" s="5"/>
      <c r="C1227" s="5"/>
      <c r="D1227" s="5"/>
      <c r="E1227" s="5"/>
      <c r="F1227" s="5"/>
      <c r="G1227" s="5"/>
      <c r="H1227" s="5"/>
      <c r="I1227" s="5"/>
      <c r="J1227" s="5"/>
      <c r="K1227" s="5"/>
      <c r="L1227" s="5"/>
      <c r="M1227" s="5"/>
      <c r="N1227" s="5"/>
      <c r="O1227" s="5"/>
      <c r="P1227" s="5"/>
      <c r="Q1227" s="5"/>
      <c r="R1227" s="5"/>
      <c r="S1227" s="5"/>
      <c r="T1227" s="5"/>
      <c r="U1227" s="5"/>
      <c r="V1227" s="5"/>
      <c r="W1227" s="5"/>
      <c r="X1227" s="5"/>
      <c r="Y1227" s="5"/>
      <c r="Z1227" s="5"/>
      <c r="AA1227" s="5"/>
      <c r="AB1227" s="6"/>
      <c r="AC1227" s="716" t="s">
        <v>718</v>
      </c>
      <c r="AD1227" s="717" t="s">
        <v>111</v>
      </c>
      <c r="AE1227" s="718">
        <f t="shared" ref="AE1227:BV1227" si="1696">(AE1225/AE1226)/12*1000</f>
        <v>62842.341108857341</v>
      </c>
      <c r="AF1227" s="719">
        <f t="shared" si="1696"/>
        <v>71216.231884057983</v>
      </c>
      <c r="AG1227" s="719">
        <f t="shared" si="1696"/>
        <v>75225.561594202896</v>
      </c>
      <c r="AH1227" s="720">
        <f t="shared" si="1696"/>
        <v>71991.557971014481</v>
      </c>
      <c r="AI1227" s="718" t="e">
        <f t="shared" si="1696"/>
        <v>#DIV/0!</v>
      </c>
      <c r="AJ1227" s="719" t="e">
        <f t="shared" si="1696"/>
        <v>#DIV/0!</v>
      </c>
      <c r="AK1227" s="719" t="e">
        <f t="shared" si="1696"/>
        <v>#DIV/0!</v>
      </c>
      <c r="AL1227" s="720" t="e">
        <f t="shared" si="1696"/>
        <v>#DIV/0!</v>
      </c>
      <c r="AM1227" s="718" t="e">
        <f t="shared" si="1696"/>
        <v>#DIV/0!</v>
      </c>
      <c r="AN1227" s="719" t="e">
        <f t="shared" si="1696"/>
        <v>#DIV/0!</v>
      </c>
      <c r="AO1227" s="719" t="e">
        <f t="shared" si="1696"/>
        <v>#DIV/0!</v>
      </c>
      <c r="AP1227" s="720" t="e">
        <f t="shared" si="1696"/>
        <v>#DIV/0!</v>
      </c>
      <c r="AQ1227" s="718">
        <f t="shared" si="1696"/>
        <v>52832.986111111102</v>
      </c>
      <c r="AR1227" s="719" t="e">
        <f t="shared" si="1696"/>
        <v>#DIV/0!</v>
      </c>
      <c r="AS1227" s="719">
        <f t="shared" si="1696"/>
        <v>52062.345679012338</v>
      </c>
      <c r="AT1227" s="720">
        <f t="shared" si="1696"/>
        <v>60525.094696969689</v>
      </c>
      <c r="AU1227" s="718">
        <f t="shared" si="1696"/>
        <v>52310.256410256407</v>
      </c>
      <c r="AV1227" s="719" t="e">
        <f t="shared" si="1696"/>
        <v>#DIV/0!</v>
      </c>
      <c r="AW1227" s="719">
        <f t="shared" si="1696"/>
        <v>50872.380952380954</v>
      </c>
      <c r="AX1227" s="720">
        <f t="shared" si="1696"/>
        <v>59926.107226107233</v>
      </c>
      <c r="AY1227" s="721">
        <f t="shared" si="1696"/>
        <v>53004.824561403519</v>
      </c>
      <c r="AZ1227" s="719">
        <f t="shared" si="1696"/>
        <v>45825.595238095237</v>
      </c>
      <c r="BA1227" s="719">
        <f t="shared" si="1696"/>
        <v>51541.666666666664</v>
      </c>
      <c r="BB1227" s="720">
        <f t="shared" si="1696"/>
        <v>47681.073589285712</v>
      </c>
      <c r="BC1227" s="718">
        <f t="shared" si="1696"/>
        <v>45392.933333333334</v>
      </c>
      <c r="BD1227" s="719" t="e">
        <f t="shared" si="1696"/>
        <v>#DIV/0!</v>
      </c>
      <c r="BE1227" s="719">
        <f t="shared" si="1696"/>
        <v>47012.799999999996</v>
      </c>
      <c r="BF1227" s="720">
        <f t="shared" si="1696"/>
        <v>52001.696969696975</v>
      </c>
      <c r="BG1227" s="718">
        <f t="shared" si="1696"/>
        <v>44190.687499999993</v>
      </c>
      <c r="BH1227" s="719">
        <f t="shared" si="1696"/>
        <v>46686.874999999993</v>
      </c>
      <c r="BI1227" s="719">
        <f t="shared" si="1696"/>
        <v>48936.625</v>
      </c>
      <c r="BJ1227" s="720">
        <f t="shared" si="1696"/>
        <v>48576.759699999995</v>
      </c>
      <c r="BK1227" s="718">
        <f t="shared" si="1696"/>
        <v>43810.844444444447</v>
      </c>
      <c r="BL1227" s="719" t="e">
        <f t="shared" si="1696"/>
        <v>#DIV/0!</v>
      </c>
      <c r="BM1227" s="719">
        <f t="shared" si="1696"/>
        <v>48163.114268798105</v>
      </c>
      <c r="BN1227" s="720">
        <f t="shared" si="1696"/>
        <v>50189.305555555555</v>
      </c>
      <c r="BO1227" s="718">
        <f t="shared" si="1696"/>
        <v>39853.658536585368</v>
      </c>
      <c r="BP1227" s="719" t="e">
        <f t="shared" si="1696"/>
        <v>#DIV/0!</v>
      </c>
      <c r="BQ1227" s="719">
        <f t="shared" si="1696"/>
        <v>38601.666666666664</v>
      </c>
      <c r="BR1227" s="720">
        <f t="shared" si="1696"/>
        <v>45758.148148148146</v>
      </c>
      <c r="BS1227" s="718">
        <f t="shared" si="1696"/>
        <v>39559.166666666672</v>
      </c>
      <c r="BT1227" s="719" t="e">
        <f t="shared" si="1696"/>
        <v>#DIV/0!</v>
      </c>
      <c r="BU1227" s="719">
        <f t="shared" si="1696"/>
        <v>40909.166666666672</v>
      </c>
      <c r="BV1227" s="720">
        <f t="shared" si="1696"/>
        <v>45318.636363636368</v>
      </c>
      <c r="BW1227" s="6"/>
      <c r="BX1227" s="5"/>
      <c r="BY1227" s="962">
        <f>(BY1225/BY1226)/12*1000</f>
        <v>57746.352448468693</v>
      </c>
      <c r="BZ1227" s="963">
        <f>(BZ1225/BZ1226)/12*1000</f>
        <v>66376.725146198834</v>
      </c>
      <c r="CA1227" s="963">
        <f>(CA1225/CA1226)/12*1000</f>
        <v>65942.682008565112</v>
      </c>
      <c r="CB1227" s="964">
        <f>(CB1225/CB1226)/12*1000</f>
        <v>63938.469495298843</v>
      </c>
      <c r="CC1227" s="874"/>
    </row>
    <row r="1228" spans="1:81" s="400" customFormat="1" ht="36.75" customHeight="1" x14ac:dyDescent="0.25">
      <c r="A1228" s="5"/>
      <c r="B1228" s="5"/>
      <c r="C1228" s="5"/>
      <c r="D1228" s="5"/>
      <c r="E1228" s="5"/>
      <c r="F1228" s="5"/>
      <c r="G1228" s="5"/>
      <c r="H1228" s="5"/>
      <c r="I1228" s="5"/>
      <c r="J1228" s="5"/>
      <c r="K1228" s="5"/>
      <c r="L1228" s="5"/>
      <c r="M1228" s="5"/>
      <c r="N1228" s="5"/>
      <c r="O1228" s="5"/>
      <c r="P1228" s="5"/>
      <c r="Q1228" s="5"/>
      <c r="R1228" s="5"/>
      <c r="S1228" s="5"/>
      <c r="T1228" s="5"/>
      <c r="U1228" s="5"/>
      <c r="V1228" s="5"/>
      <c r="W1228" s="5"/>
      <c r="X1228" s="5"/>
      <c r="Y1228" s="5"/>
      <c r="Z1228" s="5"/>
      <c r="AA1228" s="5"/>
      <c r="AB1228" s="6"/>
      <c r="AC1228" s="724" t="s">
        <v>767</v>
      </c>
      <c r="AD1228" s="724" t="s">
        <v>111</v>
      </c>
      <c r="AE1228" s="725">
        <f t="shared" ref="AE1228:BV1228" si="1697">AE1216+AE1219+AE1222+AE1225</f>
        <v>389704.96899999998</v>
      </c>
      <c r="AF1228" s="726">
        <f t="shared" si="1697"/>
        <v>446315.777</v>
      </c>
      <c r="AG1228" s="726">
        <f t="shared" si="1697"/>
        <v>508296.71600000001</v>
      </c>
      <c r="AH1228" s="727">
        <f t="shared" si="1697"/>
        <v>476050.88599999994</v>
      </c>
      <c r="AI1228" s="725">
        <f t="shared" si="1697"/>
        <v>7396.2370000000001</v>
      </c>
      <c r="AJ1228" s="726">
        <f t="shared" si="1697"/>
        <v>2619.2600000000002</v>
      </c>
      <c r="AK1228" s="726">
        <f t="shared" si="1697"/>
        <v>7999.768</v>
      </c>
      <c r="AL1228" s="727">
        <f t="shared" si="1697"/>
        <v>9280.8454999999994</v>
      </c>
      <c r="AM1228" s="725">
        <f t="shared" si="1697"/>
        <v>0</v>
      </c>
      <c r="AN1228" s="726">
        <f t="shared" si="1697"/>
        <v>0</v>
      </c>
      <c r="AO1228" s="726">
        <f t="shared" si="1697"/>
        <v>0</v>
      </c>
      <c r="AP1228" s="727">
        <f t="shared" si="1697"/>
        <v>0</v>
      </c>
      <c r="AQ1228" s="725">
        <f t="shared" si="1697"/>
        <v>10149.049999999999</v>
      </c>
      <c r="AR1228" s="726">
        <f t="shared" si="1697"/>
        <v>2467.27</v>
      </c>
      <c r="AS1228" s="726">
        <f t="shared" si="1697"/>
        <v>11556.349999999999</v>
      </c>
      <c r="AT1228" s="727">
        <f t="shared" si="1697"/>
        <v>11918.744999999999</v>
      </c>
      <c r="AU1228" s="725">
        <f t="shared" si="1697"/>
        <v>11348.37</v>
      </c>
      <c r="AV1228" s="726">
        <f t="shared" si="1697"/>
        <v>2046.77</v>
      </c>
      <c r="AW1228" s="726">
        <f t="shared" si="1697"/>
        <v>15690.32</v>
      </c>
      <c r="AX1228" s="727">
        <f t="shared" si="1697"/>
        <v>14101.785</v>
      </c>
      <c r="AY1228" s="728">
        <f t="shared" si="1697"/>
        <v>8478.31</v>
      </c>
      <c r="AZ1228" s="726">
        <f t="shared" si="1697"/>
        <v>22201.42</v>
      </c>
      <c r="BA1228" s="726">
        <f t="shared" si="1697"/>
        <v>18135.66</v>
      </c>
      <c r="BB1228" s="965">
        <f t="shared" si="1697"/>
        <v>23100.355495799999</v>
      </c>
      <c r="BC1228" s="725">
        <f t="shared" si="1697"/>
        <v>13536.484</v>
      </c>
      <c r="BD1228" s="726">
        <f t="shared" si="1697"/>
        <v>2663.2763</v>
      </c>
      <c r="BE1228" s="726">
        <f t="shared" si="1697"/>
        <v>14530.7435</v>
      </c>
      <c r="BF1228" s="727">
        <f t="shared" si="1697"/>
        <v>17057.995999999999</v>
      </c>
      <c r="BG1228" s="725">
        <f t="shared" si="1697"/>
        <v>46655.057000000001</v>
      </c>
      <c r="BH1228" s="726">
        <f t="shared" si="1697"/>
        <v>52294.567000000003</v>
      </c>
      <c r="BI1228" s="726">
        <f t="shared" si="1697"/>
        <v>63722.78</v>
      </c>
      <c r="BJ1228" s="727">
        <f t="shared" si="1697"/>
        <v>54411.451072160009</v>
      </c>
      <c r="BK1228" s="725">
        <f t="shared" si="1697"/>
        <v>33629.092000000004</v>
      </c>
      <c r="BL1228" s="726">
        <f t="shared" si="1697"/>
        <v>32375.920000000002</v>
      </c>
      <c r="BM1228" s="726">
        <f t="shared" si="1697"/>
        <v>40278.240000000005</v>
      </c>
      <c r="BN1228" s="727">
        <f t="shared" si="1697"/>
        <v>41484.370000000003</v>
      </c>
      <c r="BO1228" s="725">
        <f t="shared" si="1697"/>
        <v>4314.3240000000005</v>
      </c>
      <c r="BP1228" s="726">
        <f t="shared" si="1697"/>
        <v>2206.48</v>
      </c>
      <c r="BQ1228" s="726">
        <f t="shared" si="1697"/>
        <v>4524.3999999999996</v>
      </c>
      <c r="BR1228" s="727">
        <f t="shared" si="1697"/>
        <v>5436.7039999999997</v>
      </c>
      <c r="BS1228" s="725">
        <f t="shared" si="1697"/>
        <v>9320.3249999999989</v>
      </c>
      <c r="BT1228" s="726">
        <f t="shared" si="1697"/>
        <v>9899.1400000000012</v>
      </c>
      <c r="BU1228" s="726">
        <f t="shared" si="1697"/>
        <v>13464.343999999999</v>
      </c>
      <c r="BV1228" s="727">
        <f t="shared" si="1697"/>
        <v>11744.999999999998</v>
      </c>
      <c r="BW1228" s="6"/>
      <c r="BX1228" s="5"/>
      <c r="BY1228" s="967">
        <f t="shared" ref="BY1228:CB1229" si="1698">AE1228+AI1228+AM1228+AQ1228+AU1228+AY1228+BC1228+BG1228+BK1228+BO1228+BS1228</f>
        <v>534532.21799999988</v>
      </c>
      <c r="BZ1228" s="968">
        <f t="shared" si="1698"/>
        <v>575089.88030000008</v>
      </c>
      <c r="CA1228" s="969">
        <f t="shared" si="1698"/>
        <v>698199.32150000008</v>
      </c>
      <c r="CB1228" s="969">
        <f t="shared" si="1698"/>
        <v>664588.13806796004</v>
      </c>
      <c r="CC1228" s="874"/>
    </row>
    <row r="1229" spans="1:81" s="400" customFormat="1" ht="28.5" customHeight="1" x14ac:dyDescent="0.25">
      <c r="A1229" s="5"/>
      <c r="B1229" s="5"/>
      <c r="C1229" s="5"/>
      <c r="D1229" s="5"/>
      <c r="E1229" s="5"/>
      <c r="F1229" s="5"/>
      <c r="G1229" s="5"/>
      <c r="H1229" s="5"/>
      <c r="I1229" s="5"/>
      <c r="J1229" s="5"/>
      <c r="K1229" s="5"/>
      <c r="L1229" s="5"/>
      <c r="M1229" s="5"/>
      <c r="N1229" s="5"/>
      <c r="O1229" s="5"/>
      <c r="P1229" s="5"/>
      <c r="Q1229" s="5"/>
      <c r="R1229" s="5"/>
      <c r="S1229" s="5"/>
      <c r="T1229" s="5"/>
      <c r="U1229" s="5"/>
      <c r="V1229" s="5"/>
      <c r="W1229" s="5"/>
      <c r="X1229" s="5"/>
      <c r="Y1229" s="5"/>
      <c r="Z1229" s="5"/>
      <c r="AA1229" s="5"/>
      <c r="AB1229" s="6"/>
      <c r="AC1229" s="734"/>
      <c r="AD1229" s="735" t="s">
        <v>713</v>
      </c>
      <c r="AE1229" s="736">
        <f t="shared" ref="AE1229:BV1229" si="1699">AE517+AE597+AE612+AE643</f>
        <v>389704.96899999998</v>
      </c>
      <c r="AF1229" s="736">
        <f t="shared" si="1699"/>
        <v>446315.777</v>
      </c>
      <c r="AG1229" s="736">
        <f t="shared" si="1699"/>
        <v>508296.71600000001</v>
      </c>
      <c r="AH1229" s="736">
        <f t="shared" si="1699"/>
        <v>476050.88599999994</v>
      </c>
      <c r="AI1229" s="736">
        <f t="shared" si="1699"/>
        <v>7396.2370000000001</v>
      </c>
      <c r="AJ1229" s="736">
        <f t="shared" si="1699"/>
        <v>2619.2600000000002</v>
      </c>
      <c r="AK1229" s="736">
        <f t="shared" si="1699"/>
        <v>7999.768</v>
      </c>
      <c r="AL1229" s="736">
        <f t="shared" si="1699"/>
        <v>9280.8454999999994</v>
      </c>
      <c r="AM1229" s="736">
        <f t="shared" si="1699"/>
        <v>0</v>
      </c>
      <c r="AN1229" s="736">
        <f t="shared" si="1699"/>
        <v>0</v>
      </c>
      <c r="AO1229" s="736">
        <f t="shared" si="1699"/>
        <v>0</v>
      </c>
      <c r="AP1229" s="736">
        <f t="shared" si="1699"/>
        <v>0</v>
      </c>
      <c r="AQ1229" s="736">
        <f t="shared" si="1699"/>
        <v>10149.049999999999</v>
      </c>
      <c r="AR1229" s="736">
        <f t="shared" si="1699"/>
        <v>2467.27</v>
      </c>
      <c r="AS1229" s="736">
        <f t="shared" si="1699"/>
        <v>11556.349999999999</v>
      </c>
      <c r="AT1229" s="736">
        <f t="shared" si="1699"/>
        <v>11918.744999999999</v>
      </c>
      <c r="AU1229" s="736">
        <f t="shared" si="1699"/>
        <v>11348.37</v>
      </c>
      <c r="AV1229" s="736">
        <f t="shared" si="1699"/>
        <v>2046.77</v>
      </c>
      <c r="AW1229" s="736">
        <f t="shared" si="1699"/>
        <v>15690.32</v>
      </c>
      <c r="AX1229" s="736">
        <f t="shared" si="1699"/>
        <v>14101.785</v>
      </c>
      <c r="AY1229" s="736">
        <f t="shared" si="1699"/>
        <v>8478.31</v>
      </c>
      <c r="AZ1229" s="736">
        <f t="shared" si="1699"/>
        <v>22201.42</v>
      </c>
      <c r="BA1229" s="736">
        <f t="shared" si="1699"/>
        <v>18135.66</v>
      </c>
      <c r="BB1229" s="736">
        <f t="shared" si="1699"/>
        <v>23100.355495799999</v>
      </c>
      <c r="BC1229" s="736">
        <f t="shared" si="1699"/>
        <v>13536.484</v>
      </c>
      <c r="BD1229" s="736">
        <f t="shared" si="1699"/>
        <v>2663.2763</v>
      </c>
      <c r="BE1229" s="736">
        <f t="shared" si="1699"/>
        <v>14530.7435</v>
      </c>
      <c r="BF1229" s="736">
        <f t="shared" si="1699"/>
        <v>17057.995999999999</v>
      </c>
      <c r="BG1229" s="736">
        <f t="shared" si="1699"/>
        <v>46655.057000000001</v>
      </c>
      <c r="BH1229" s="736">
        <f t="shared" si="1699"/>
        <v>52294.567000000003</v>
      </c>
      <c r="BI1229" s="736">
        <f t="shared" si="1699"/>
        <v>63722.78</v>
      </c>
      <c r="BJ1229" s="736">
        <f t="shared" si="1699"/>
        <v>54411.451072160009</v>
      </c>
      <c r="BK1229" s="736">
        <f t="shared" si="1699"/>
        <v>33629.092000000004</v>
      </c>
      <c r="BL1229" s="736">
        <f t="shared" si="1699"/>
        <v>32375.920000000002</v>
      </c>
      <c r="BM1229" s="736">
        <f t="shared" si="1699"/>
        <v>40278.240000000005</v>
      </c>
      <c r="BN1229" s="736">
        <f t="shared" si="1699"/>
        <v>41484.370000000003</v>
      </c>
      <c r="BO1229" s="736">
        <f t="shared" si="1699"/>
        <v>4314.3240000000005</v>
      </c>
      <c r="BP1229" s="736">
        <f t="shared" si="1699"/>
        <v>2206.48</v>
      </c>
      <c r="BQ1229" s="736">
        <f t="shared" si="1699"/>
        <v>4524.3999999999996</v>
      </c>
      <c r="BR1229" s="736">
        <f t="shared" si="1699"/>
        <v>5436.7039999999997</v>
      </c>
      <c r="BS1229" s="736">
        <f t="shared" si="1699"/>
        <v>9320.3249999999989</v>
      </c>
      <c r="BT1229" s="736">
        <f t="shared" si="1699"/>
        <v>9899.1400000000012</v>
      </c>
      <c r="BU1229" s="736">
        <f t="shared" si="1699"/>
        <v>13464.343999999999</v>
      </c>
      <c r="BV1229" s="736">
        <f t="shared" si="1699"/>
        <v>11744.999999999998</v>
      </c>
      <c r="BW1229" s="6"/>
      <c r="BX1229" s="5"/>
      <c r="BY1229" s="737">
        <f t="shared" si="1698"/>
        <v>534532.21799999988</v>
      </c>
      <c r="BZ1229" s="737">
        <f t="shared" si="1698"/>
        <v>575089.88030000008</v>
      </c>
      <c r="CA1229" s="737">
        <f t="shared" si="1698"/>
        <v>698199.32150000008</v>
      </c>
      <c r="CB1229" s="737">
        <f t="shared" si="1698"/>
        <v>664588.13806796004</v>
      </c>
      <c r="CC1229" s="874"/>
    </row>
    <row r="1230" spans="1:81" s="400" customFormat="1" ht="14.25" customHeight="1" x14ac:dyDescent="0.25">
      <c r="A1230" s="5"/>
      <c r="B1230" s="5"/>
      <c r="C1230" s="5"/>
      <c r="D1230" s="5"/>
      <c r="E1230" s="5"/>
      <c r="F1230" s="5"/>
      <c r="G1230" s="5"/>
      <c r="H1230" s="5"/>
      <c r="I1230" s="5"/>
      <c r="J1230" s="5"/>
      <c r="K1230" s="5"/>
      <c r="L1230" s="5"/>
      <c r="M1230" s="5"/>
      <c r="N1230" s="5"/>
      <c r="O1230" s="5"/>
      <c r="P1230" s="5"/>
      <c r="Q1230" s="5"/>
      <c r="R1230" s="5"/>
      <c r="S1230" s="5"/>
      <c r="T1230" s="5"/>
      <c r="U1230" s="5"/>
      <c r="V1230" s="5"/>
      <c r="W1230" s="5"/>
      <c r="X1230" s="5"/>
      <c r="Y1230" s="5"/>
      <c r="Z1230" s="5"/>
      <c r="AA1230" s="5"/>
      <c r="AB1230" s="6"/>
      <c r="AC1230" s="6"/>
      <c r="AD1230" s="6"/>
      <c r="AE1230" s="6"/>
      <c r="AF1230" s="6"/>
      <c r="AG1230" s="6"/>
      <c r="AH1230" s="6"/>
      <c r="AI1230" s="6"/>
      <c r="AJ1230" s="6"/>
      <c r="AK1230" s="6"/>
      <c r="AL1230" s="6"/>
      <c r="AM1230" s="6"/>
      <c r="AN1230" s="6"/>
      <c r="AO1230" s="6"/>
      <c r="AP1230" s="6"/>
      <c r="AQ1230" s="6"/>
      <c r="AR1230" s="6"/>
      <c r="AS1230" s="6"/>
      <c r="AT1230" s="6"/>
      <c r="AU1230" s="6"/>
      <c r="AV1230" s="6"/>
      <c r="AW1230" s="6"/>
      <c r="AX1230" s="6"/>
      <c r="AY1230" s="6"/>
      <c r="AZ1230" s="6"/>
      <c r="BA1230" s="6"/>
      <c r="BB1230" s="6"/>
      <c r="BC1230" s="6"/>
      <c r="BD1230" s="6"/>
      <c r="BE1230" s="6"/>
      <c r="BF1230" s="6"/>
      <c r="BG1230" s="6"/>
      <c r="BH1230" s="6"/>
      <c r="BI1230" s="6"/>
      <c r="BJ1230" s="6"/>
      <c r="BK1230" s="6"/>
      <c r="BL1230" s="6"/>
      <c r="BM1230" s="6"/>
      <c r="BN1230" s="6"/>
      <c r="BO1230" s="6"/>
      <c r="BP1230" s="6"/>
      <c r="BQ1230" s="6"/>
      <c r="BR1230" s="6"/>
      <c r="BS1230" s="6"/>
      <c r="BT1230" s="6"/>
      <c r="BU1230" s="6"/>
      <c r="BV1230" s="6"/>
      <c r="BW1230" s="6"/>
      <c r="BX1230" s="5"/>
      <c r="BY1230" s="7"/>
      <c r="BZ1230" s="7"/>
      <c r="CA1230" s="7"/>
      <c r="CB1230" s="7"/>
      <c r="CC1230" s="874"/>
    </row>
    <row r="1231" spans="1:81" s="400" customFormat="1" ht="14.25" customHeight="1" x14ac:dyDescent="0.25">
      <c r="A1231" s="5"/>
      <c r="B1231" s="5"/>
      <c r="C1231" s="5"/>
      <c r="D1231" s="5"/>
      <c r="E1231" s="5"/>
      <c r="F1231" s="5"/>
      <c r="G1231" s="5"/>
      <c r="H1231" s="5"/>
      <c r="I1231" s="5"/>
      <c r="J1231" s="5"/>
      <c r="K1231" s="5"/>
      <c r="L1231" s="5"/>
      <c r="M1231" s="5"/>
      <c r="N1231" s="5"/>
      <c r="O1231" s="5"/>
      <c r="P1231" s="5"/>
      <c r="Q1231" s="5"/>
      <c r="R1231" s="5"/>
      <c r="S1231" s="5"/>
      <c r="T1231" s="5"/>
      <c r="U1231" s="5"/>
      <c r="V1231" s="5"/>
      <c r="W1231" s="5"/>
      <c r="X1231" s="5"/>
      <c r="Y1231" s="5"/>
      <c r="Z1231" s="5"/>
      <c r="AA1231" s="5"/>
      <c r="AB1231" s="6"/>
      <c r="AC1231" s="6"/>
      <c r="AD1231" s="6" t="s">
        <v>580</v>
      </c>
      <c r="AE1231" s="698">
        <f t="shared" ref="AE1231:CB1231" si="1700">AE1228-AE1229</f>
        <v>0</v>
      </c>
      <c r="AF1231" s="698">
        <f t="shared" si="1700"/>
        <v>0</v>
      </c>
      <c r="AG1231" s="698">
        <f t="shared" si="1700"/>
        <v>0</v>
      </c>
      <c r="AH1231" s="698">
        <f t="shared" si="1700"/>
        <v>0</v>
      </c>
      <c r="AI1231" s="698">
        <f t="shared" si="1700"/>
        <v>0</v>
      </c>
      <c r="AJ1231" s="698">
        <f t="shared" si="1700"/>
        <v>0</v>
      </c>
      <c r="AK1231" s="698">
        <f t="shared" si="1700"/>
        <v>0</v>
      </c>
      <c r="AL1231" s="698">
        <f t="shared" si="1700"/>
        <v>0</v>
      </c>
      <c r="AM1231" s="698">
        <f t="shared" si="1700"/>
        <v>0</v>
      </c>
      <c r="AN1231" s="698">
        <f t="shared" si="1700"/>
        <v>0</v>
      </c>
      <c r="AO1231" s="698">
        <f t="shared" si="1700"/>
        <v>0</v>
      </c>
      <c r="AP1231" s="698">
        <f t="shared" si="1700"/>
        <v>0</v>
      </c>
      <c r="AQ1231" s="698">
        <f t="shared" si="1700"/>
        <v>0</v>
      </c>
      <c r="AR1231" s="698">
        <f t="shared" si="1700"/>
        <v>0</v>
      </c>
      <c r="AS1231" s="698">
        <f t="shared" si="1700"/>
        <v>0</v>
      </c>
      <c r="AT1231" s="698">
        <f t="shared" si="1700"/>
        <v>0</v>
      </c>
      <c r="AU1231" s="698">
        <f t="shared" si="1700"/>
        <v>0</v>
      </c>
      <c r="AV1231" s="698">
        <f t="shared" si="1700"/>
        <v>0</v>
      </c>
      <c r="AW1231" s="698">
        <f t="shared" si="1700"/>
        <v>0</v>
      </c>
      <c r="AX1231" s="698">
        <f t="shared" si="1700"/>
        <v>0</v>
      </c>
      <c r="AY1231" s="698">
        <f t="shared" si="1700"/>
        <v>0</v>
      </c>
      <c r="AZ1231" s="698">
        <f t="shared" si="1700"/>
        <v>0</v>
      </c>
      <c r="BA1231" s="698">
        <f t="shared" si="1700"/>
        <v>0</v>
      </c>
      <c r="BB1231" s="698">
        <f t="shared" si="1700"/>
        <v>0</v>
      </c>
      <c r="BC1231" s="698">
        <f t="shared" si="1700"/>
        <v>0</v>
      </c>
      <c r="BD1231" s="698">
        <f t="shared" si="1700"/>
        <v>0</v>
      </c>
      <c r="BE1231" s="698">
        <f t="shared" si="1700"/>
        <v>0</v>
      </c>
      <c r="BF1231" s="698">
        <f t="shared" si="1700"/>
        <v>0</v>
      </c>
      <c r="BG1231" s="698">
        <f t="shared" si="1700"/>
        <v>0</v>
      </c>
      <c r="BH1231" s="698">
        <f t="shared" si="1700"/>
        <v>0</v>
      </c>
      <c r="BI1231" s="698">
        <f t="shared" si="1700"/>
        <v>0</v>
      </c>
      <c r="BJ1231" s="698">
        <f t="shared" si="1700"/>
        <v>0</v>
      </c>
      <c r="BK1231" s="698">
        <f t="shared" si="1700"/>
        <v>0</v>
      </c>
      <c r="BL1231" s="698">
        <f t="shared" si="1700"/>
        <v>0</v>
      </c>
      <c r="BM1231" s="698">
        <f t="shared" si="1700"/>
        <v>0</v>
      </c>
      <c r="BN1231" s="698">
        <f t="shared" si="1700"/>
        <v>0</v>
      </c>
      <c r="BO1231" s="698">
        <f t="shared" si="1700"/>
        <v>0</v>
      </c>
      <c r="BP1231" s="698">
        <f t="shared" si="1700"/>
        <v>0</v>
      </c>
      <c r="BQ1231" s="698">
        <f t="shared" si="1700"/>
        <v>0</v>
      </c>
      <c r="BR1231" s="698">
        <f t="shared" si="1700"/>
        <v>0</v>
      </c>
      <c r="BS1231" s="698">
        <f t="shared" si="1700"/>
        <v>0</v>
      </c>
      <c r="BT1231" s="698">
        <f t="shared" si="1700"/>
        <v>0</v>
      </c>
      <c r="BU1231" s="698">
        <f t="shared" si="1700"/>
        <v>0</v>
      </c>
      <c r="BV1231" s="698">
        <f t="shared" si="1700"/>
        <v>0</v>
      </c>
      <c r="BW1231" s="698"/>
      <c r="BX1231" s="698"/>
      <c r="BY1231" s="698">
        <f t="shared" si="1700"/>
        <v>0</v>
      </c>
      <c r="BZ1231" s="698">
        <f t="shared" si="1700"/>
        <v>0</v>
      </c>
      <c r="CA1231" s="698">
        <f t="shared" si="1700"/>
        <v>0</v>
      </c>
      <c r="CB1231" s="698">
        <f t="shared" si="1700"/>
        <v>0</v>
      </c>
      <c r="CC1231" s="874"/>
    </row>
    <row r="1232" spans="1:81" s="400" customFormat="1" ht="14.25" customHeight="1" x14ac:dyDescent="0.25">
      <c r="A1232" s="5"/>
      <c r="B1232" s="5"/>
      <c r="C1232" s="5"/>
      <c r="D1232" s="5"/>
      <c r="E1232" s="5"/>
      <c r="F1232" s="5"/>
      <c r="G1232" s="5"/>
      <c r="H1232" s="5"/>
      <c r="I1232" s="5"/>
      <c r="J1232" s="5"/>
      <c r="K1232" s="5"/>
      <c r="L1232" s="5"/>
      <c r="M1232" s="5"/>
      <c r="N1232" s="5"/>
      <c r="O1232" s="5"/>
      <c r="P1232" s="5"/>
      <c r="Q1232" s="5"/>
      <c r="R1232" s="5"/>
      <c r="S1232" s="5"/>
      <c r="T1232" s="5"/>
      <c r="U1232" s="5"/>
      <c r="V1232" s="5"/>
      <c r="W1232" s="5"/>
      <c r="X1232" s="5"/>
      <c r="Y1232" s="5"/>
      <c r="Z1232" s="5"/>
      <c r="AA1232" s="5"/>
      <c r="AB1232" s="6"/>
      <c r="AC1232" s="6"/>
      <c r="AD1232" s="6"/>
      <c r="AE1232" s="6"/>
      <c r="AF1232" s="6"/>
      <c r="AG1232" s="6"/>
      <c r="AH1232" s="6"/>
      <c r="AI1232" s="6"/>
      <c r="AJ1232" s="6"/>
      <c r="AK1232" s="6"/>
      <c r="AL1232" s="6"/>
      <c r="AM1232" s="6"/>
      <c r="AN1232" s="6"/>
      <c r="AO1232" s="6"/>
      <c r="AP1232" s="6"/>
      <c r="AQ1232" s="6"/>
      <c r="AR1232" s="6"/>
      <c r="AS1232" s="6"/>
      <c r="AT1232" s="6"/>
      <c r="AU1232" s="6"/>
      <c r="AV1232" s="6"/>
      <c r="AW1232" s="6"/>
      <c r="AX1232" s="6"/>
      <c r="AY1232" s="6"/>
      <c r="AZ1232" s="6"/>
      <c r="BA1232" s="6"/>
      <c r="BB1232" s="6"/>
      <c r="BC1232" s="6"/>
      <c r="BD1232" s="6"/>
      <c r="BE1232" s="6"/>
      <c r="BF1232" s="6"/>
      <c r="BG1232" s="6"/>
      <c r="BH1232" s="6"/>
      <c r="BI1232" s="6"/>
      <c r="BJ1232" s="6"/>
      <c r="BK1232" s="6"/>
      <c r="BL1232" s="6"/>
      <c r="BM1232" s="6"/>
      <c r="BN1232" s="6"/>
      <c r="BO1232" s="6"/>
      <c r="BP1232" s="6"/>
      <c r="BQ1232" s="6"/>
      <c r="BR1232" s="6"/>
      <c r="BS1232" s="6"/>
      <c r="BT1232" s="6"/>
      <c r="BU1232" s="6"/>
      <c r="BV1232" s="6"/>
      <c r="BW1232" s="6"/>
      <c r="BX1232" s="5"/>
      <c r="BY1232" s="7"/>
      <c r="BZ1232" s="7"/>
      <c r="CA1232" s="7"/>
      <c r="CB1232" s="7"/>
      <c r="CC1232" s="874"/>
    </row>
    <row r="1233" spans="1:81" s="400" customFormat="1" ht="14.25" customHeight="1" x14ac:dyDescent="0.25">
      <c r="A1233" s="5"/>
      <c r="B1233" s="5"/>
      <c r="C1233" s="5"/>
      <c r="D1233" s="5"/>
      <c r="E1233" s="5"/>
      <c r="F1233" s="5"/>
      <c r="G1233" s="5"/>
      <c r="H1233" s="5"/>
      <c r="I1233" s="5"/>
      <c r="J1233" s="5"/>
      <c r="K1233" s="5"/>
      <c r="L1233" s="5"/>
      <c r="M1233" s="5"/>
      <c r="N1233" s="5"/>
      <c r="O1233" s="5"/>
      <c r="P1233" s="5"/>
      <c r="Q1233" s="5"/>
      <c r="R1233" s="5"/>
      <c r="S1233" s="5"/>
      <c r="T1233" s="5"/>
      <c r="U1233" s="5"/>
      <c r="V1233" s="5"/>
      <c r="W1233" s="5"/>
      <c r="X1233" s="5"/>
      <c r="Y1233" s="5"/>
      <c r="Z1233" s="5"/>
      <c r="AA1233" s="5"/>
      <c r="AB1233" s="6"/>
      <c r="AC1233" s="6"/>
      <c r="AD1233" s="6"/>
      <c r="AE1233" s="6"/>
      <c r="AF1233" s="6"/>
      <c r="AG1233" s="6"/>
      <c r="AH1233" s="6"/>
      <c r="AI1233" s="6"/>
      <c r="AJ1233" s="6"/>
      <c r="AK1233" s="6"/>
      <c r="AL1233" s="6"/>
      <c r="AM1233" s="6"/>
      <c r="AN1233" s="6"/>
      <c r="AO1233" s="6"/>
      <c r="AP1233" s="6"/>
      <c r="AQ1233" s="6"/>
      <c r="AR1233" s="6"/>
      <c r="AS1233" s="6"/>
      <c r="AT1233" s="6"/>
      <c r="AU1233" s="6"/>
      <c r="AV1233" s="6"/>
      <c r="AW1233" s="6"/>
      <c r="AX1233" s="6"/>
      <c r="AY1233" s="6"/>
      <c r="AZ1233" s="6"/>
      <c r="BA1233" s="6"/>
      <c r="BB1233" s="6"/>
      <c r="BC1233" s="6"/>
      <c r="BD1233" s="6"/>
      <c r="BE1233" s="6"/>
      <c r="BF1233" s="6"/>
      <c r="BG1233" s="6"/>
      <c r="BH1233" s="6"/>
      <c r="BI1233" s="6"/>
      <c r="BJ1233" s="6"/>
      <c r="BK1233" s="6"/>
      <c r="BL1233" s="6"/>
      <c r="BM1233" s="6"/>
      <c r="BN1233" s="6"/>
      <c r="BO1233" s="6"/>
      <c r="BP1233" s="6"/>
      <c r="BQ1233" s="6"/>
      <c r="BR1233" s="6"/>
      <c r="BS1233" s="6"/>
      <c r="BT1233" s="6"/>
      <c r="BU1233" s="6"/>
      <c r="BV1233" s="6"/>
      <c r="BW1233" s="6"/>
      <c r="BX1233" s="5"/>
      <c r="BY1233" s="7"/>
      <c r="BZ1233" s="7"/>
      <c r="CA1233" s="7"/>
      <c r="CB1233" s="7"/>
      <c r="CC1233" s="874"/>
    </row>
    <row r="1234" spans="1:81" s="400" customFormat="1" ht="14.25" customHeight="1" x14ac:dyDescent="0.25">
      <c r="A1234" s="5"/>
      <c r="B1234" s="5"/>
      <c r="C1234" s="5"/>
      <c r="D1234" s="5"/>
      <c r="E1234" s="5"/>
      <c r="F1234" s="5"/>
      <c r="G1234" s="5"/>
      <c r="H1234" s="5"/>
      <c r="I1234" s="5"/>
      <c r="J1234" s="5"/>
      <c r="K1234" s="5"/>
      <c r="L1234" s="5"/>
      <c r="M1234" s="5"/>
      <c r="N1234" s="5"/>
      <c r="O1234" s="5"/>
      <c r="P1234" s="5"/>
      <c r="Q1234" s="5"/>
      <c r="R1234" s="5"/>
      <c r="S1234" s="5"/>
      <c r="T1234" s="5"/>
      <c r="U1234" s="5"/>
      <c r="V1234" s="5"/>
      <c r="W1234" s="5"/>
      <c r="X1234" s="5"/>
      <c r="Y1234" s="5"/>
      <c r="Z1234" s="5"/>
      <c r="AA1234" s="5"/>
      <c r="AB1234" s="6"/>
      <c r="AC1234" s="6"/>
      <c r="AD1234" s="6"/>
      <c r="AE1234" s="6"/>
      <c r="AF1234" s="6"/>
      <c r="AG1234" s="6"/>
      <c r="AH1234" s="6"/>
      <c r="AI1234" s="6"/>
      <c r="AJ1234" s="6"/>
      <c r="AK1234" s="6"/>
      <c r="AL1234" s="6"/>
      <c r="AM1234" s="6"/>
      <c r="AN1234" s="6"/>
      <c r="AO1234" s="6"/>
      <c r="AP1234" s="6"/>
      <c r="AQ1234" s="6"/>
      <c r="AR1234" s="6"/>
      <c r="AS1234" s="6"/>
      <c r="AT1234" s="6"/>
      <c r="AU1234" s="6"/>
      <c r="AV1234" s="6"/>
      <c r="AW1234" s="6"/>
      <c r="AX1234" s="6"/>
      <c r="AY1234" s="6"/>
      <c r="AZ1234" s="6"/>
      <c r="BA1234" s="6"/>
      <c r="BB1234" s="6"/>
      <c r="BC1234" s="6"/>
      <c r="BD1234" s="6"/>
      <c r="BE1234" s="6"/>
      <c r="BF1234" s="6"/>
      <c r="BG1234" s="6"/>
      <c r="BH1234" s="6"/>
      <c r="BI1234" s="6"/>
      <c r="BJ1234" s="6"/>
      <c r="BK1234" s="6"/>
      <c r="BL1234" s="6"/>
      <c r="BM1234" s="6"/>
      <c r="BN1234" s="6"/>
      <c r="BO1234" s="6"/>
      <c r="BP1234" s="6"/>
      <c r="BQ1234" s="6"/>
      <c r="BR1234" s="6"/>
      <c r="BS1234" s="6"/>
      <c r="BT1234" s="6"/>
      <c r="BU1234" s="6"/>
      <c r="BV1234" s="6"/>
      <c r="BW1234" s="6"/>
      <c r="BX1234" s="5"/>
      <c r="BY1234" s="7"/>
      <c r="BZ1234" s="7"/>
      <c r="CA1234" s="7"/>
      <c r="CB1234" s="7"/>
      <c r="CC1234" s="874"/>
    </row>
    <row r="1235" spans="1:81" s="400" customFormat="1" ht="14.25" customHeight="1" x14ac:dyDescent="0.25">
      <c r="A1235" s="5"/>
      <c r="B1235" s="5"/>
      <c r="C1235" s="5"/>
      <c r="D1235" s="5"/>
      <c r="E1235" s="5"/>
      <c r="F1235" s="5"/>
      <c r="G1235" s="5"/>
      <c r="H1235" s="5"/>
      <c r="I1235" s="5"/>
      <c r="J1235" s="5"/>
      <c r="K1235" s="5"/>
      <c r="L1235" s="5"/>
      <c r="M1235" s="5"/>
      <c r="N1235" s="5"/>
      <c r="O1235" s="5"/>
      <c r="P1235" s="5"/>
      <c r="Q1235" s="5"/>
      <c r="R1235" s="5"/>
      <c r="S1235" s="5"/>
      <c r="T1235" s="5"/>
      <c r="U1235" s="5"/>
      <c r="V1235" s="5"/>
      <c r="W1235" s="5"/>
      <c r="X1235" s="5"/>
      <c r="Y1235" s="5"/>
      <c r="Z1235" s="5"/>
      <c r="AA1235" s="5"/>
      <c r="AB1235" s="6"/>
      <c r="AC1235" s="6"/>
      <c r="AD1235" s="6"/>
      <c r="AE1235" s="6"/>
      <c r="AF1235" s="6"/>
      <c r="AG1235" s="6"/>
      <c r="AH1235" s="6"/>
      <c r="AI1235" s="6"/>
      <c r="AJ1235" s="6"/>
      <c r="AK1235" s="6"/>
      <c r="AL1235" s="6"/>
      <c r="AM1235" s="6"/>
      <c r="AN1235" s="6"/>
      <c r="AO1235" s="6"/>
      <c r="AP1235" s="6"/>
      <c r="AQ1235" s="6"/>
      <c r="AR1235" s="6"/>
      <c r="AS1235" s="6"/>
      <c r="AT1235" s="6"/>
      <c r="AU1235" s="6"/>
      <c r="AV1235" s="6"/>
      <c r="AW1235" s="6"/>
      <c r="AX1235" s="6"/>
      <c r="AY1235" s="6"/>
      <c r="AZ1235" s="6"/>
      <c r="BA1235" s="6"/>
      <c r="BB1235" s="6"/>
      <c r="BC1235" s="6"/>
      <c r="BD1235" s="6"/>
      <c r="BE1235" s="6"/>
      <c r="BF1235" s="6"/>
      <c r="BG1235" s="6"/>
      <c r="BH1235" s="6"/>
      <c r="BI1235" s="6"/>
      <c r="BJ1235" s="6"/>
      <c r="BK1235" s="6"/>
      <c r="BL1235" s="6"/>
      <c r="BM1235" s="6"/>
      <c r="BN1235" s="6"/>
      <c r="BO1235" s="6"/>
      <c r="BP1235" s="6"/>
      <c r="BQ1235" s="6"/>
      <c r="BR1235" s="6"/>
      <c r="BS1235" s="6"/>
      <c r="BT1235" s="6"/>
      <c r="BU1235" s="6"/>
      <c r="BV1235" s="6"/>
      <c r="BW1235" s="6"/>
      <c r="BX1235" s="5"/>
      <c r="BY1235" s="7"/>
      <c r="BZ1235" s="7"/>
      <c r="CA1235" s="7"/>
      <c r="CB1235" s="7"/>
      <c r="CC1235" s="874"/>
    </row>
    <row r="1236" spans="1:81" s="400" customFormat="1" ht="14.25" customHeight="1" x14ac:dyDescent="0.25">
      <c r="A1236" s="5"/>
      <c r="B1236" s="5"/>
      <c r="C1236" s="5"/>
      <c r="D1236" s="5"/>
      <c r="E1236" s="5"/>
      <c r="F1236" s="5"/>
      <c r="G1236" s="5"/>
      <c r="H1236" s="5"/>
      <c r="I1236" s="5"/>
      <c r="J1236" s="5"/>
      <c r="K1236" s="5"/>
      <c r="L1236" s="5"/>
      <c r="M1236" s="5"/>
      <c r="N1236" s="5"/>
      <c r="O1236" s="5"/>
      <c r="P1236" s="5"/>
      <c r="Q1236" s="5"/>
      <c r="R1236" s="5"/>
      <c r="S1236" s="5"/>
      <c r="T1236" s="5"/>
      <c r="U1236" s="5"/>
      <c r="V1236" s="5"/>
      <c r="W1236" s="5"/>
      <c r="X1236" s="5"/>
      <c r="Y1236" s="5"/>
      <c r="Z1236" s="5"/>
      <c r="AA1236" s="5"/>
      <c r="AB1236" s="6"/>
      <c r="AC1236" s="6"/>
      <c r="AD1236" s="6"/>
      <c r="AE1236" s="6"/>
      <c r="AF1236" s="6"/>
      <c r="AG1236" s="6"/>
      <c r="AH1236" s="6"/>
      <c r="AI1236" s="6"/>
      <c r="AJ1236" s="6"/>
      <c r="AK1236" s="6"/>
      <c r="AL1236" s="6"/>
      <c r="AM1236" s="6"/>
      <c r="AN1236" s="6"/>
      <c r="AO1236" s="6"/>
      <c r="AP1236" s="6"/>
      <c r="AQ1236" s="6"/>
      <c r="AR1236" s="6"/>
      <c r="AS1236" s="6"/>
      <c r="AT1236" s="6"/>
      <c r="AU1236" s="6"/>
      <c r="AV1236" s="6"/>
      <c r="AW1236" s="6"/>
      <c r="AX1236" s="6"/>
      <c r="AY1236" s="6"/>
      <c r="AZ1236" s="6"/>
      <c r="BA1236" s="6"/>
      <c r="BB1236" s="6"/>
      <c r="BC1236" s="6"/>
      <c r="BD1236" s="6"/>
      <c r="BE1236" s="6"/>
      <c r="BF1236" s="6"/>
      <c r="BG1236" s="6"/>
      <c r="BH1236" s="6"/>
      <c r="BI1236" s="6"/>
      <c r="BJ1236" s="6"/>
      <c r="BK1236" s="6"/>
      <c r="BL1236" s="6"/>
      <c r="BM1236" s="6"/>
      <c r="BN1236" s="6"/>
      <c r="BO1236" s="6"/>
      <c r="BP1236" s="6"/>
      <c r="BQ1236" s="6"/>
      <c r="BR1236" s="6"/>
      <c r="BS1236" s="6"/>
      <c r="BT1236" s="6"/>
      <c r="BU1236" s="6"/>
      <c r="BV1236" s="6"/>
      <c r="BW1236" s="6"/>
      <c r="BX1236" s="5"/>
      <c r="BY1236" s="7"/>
      <c r="BZ1236" s="7"/>
      <c r="CA1236" s="7"/>
      <c r="CB1236" s="7"/>
      <c r="CC1236" s="874"/>
    </row>
    <row r="1237" spans="1:81" s="400" customFormat="1" ht="14.25" customHeight="1" x14ac:dyDescent="0.25">
      <c r="A1237" s="5"/>
      <c r="B1237" s="5"/>
      <c r="C1237" s="5"/>
      <c r="D1237" s="5"/>
      <c r="E1237" s="5"/>
      <c r="F1237" s="5"/>
      <c r="G1237" s="5"/>
      <c r="H1237" s="5"/>
      <c r="I1237" s="5"/>
      <c r="J1237" s="5"/>
      <c r="K1237" s="5"/>
      <c r="L1237" s="5"/>
      <c r="M1237" s="5"/>
      <c r="N1237" s="5"/>
      <c r="O1237" s="5"/>
      <c r="P1237" s="5"/>
      <c r="Q1237" s="5"/>
      <c r="R1237" s="5"/>
      <c r="S1237" s="5"/>
      <c r="T1237" s="5"/>
      <c r="U1237" s="5"/>
      <c r="V1237" s="5"/>
      <c r="W1237" s="5"/>
      <c r="X1237" s="5"/>
      <c r="Y1237" s="5"/>
      <c r="Z1237" s="5"/>
      <c r="AA1237" s="5"/>
      <c r="AB1237" s="6"/>
      <c r="AC1237" s="6"/>
      <c r="AD1237" s="6"/>
      <c r="AE1237" s="6"/>
      <c r="AF1237" s="6"/>
      <c r="AG1237" s="6"/>
      <c r="AH1237" s="6"/>
      <c r="AI1237" s="6"/>
      <c r="AJ1237" s="6"/>
      <c r="AK1237" s="6"/>
      <c r="AL1237" s="6"/>
      <c r="AM1237" s="6"/>
      <c r="AN1237" s="6"/>
      <c r="AO1237" s="6"/>
      <c r="AP1237" s="6"/>
      <c r="AQ1237" s="6"/>
      <c r="AR1237" s="6"/>
      <c r="AS1237" s="6"/>
      <c r="AT1237" s="6"/>
      <c r="AU1237" s="6"/>
      <c r="AV1237" s="6"/>
      <c r="AW1237" s="6"/>
      <c r="AX1237" s="6"/>
      <c r="AY1237" s="6"/>
      <c r="AZ1237" s="6"/>
      <c r="BA1237" s="6"/>
      <c r="BB1237" s="6"/>
      <c r="BC1237" s="6"/>
      <c r="BD1237" s="6"/>
      <c r="BE1237" s="6"/>
      <c r="BF1237" s="6"/>
      <c r="BG1237" s="6"/>
      <c r="BH1237" s="6"/>
      <c r="BI1237" s="6"/>
      <c r="BJ1237" s="6"/>
      <c r="BK1237" s="6"/>
      <c r="BL1237" s="6"/>
      <c r="BM1237" s="6"/>
      <c r="BN1237" s="6"/>
      <c r="BO1237" s="6"/>
      <c r="BP1237" s="6"/>
      <c r="BQ1237" s="6"/>
      <c r="BR1237" s="6"/>
      <c r="BS1237" s="6"/>
      <c r="BT1237" s="6"/>
      <c r="BU1237" s="6"/>
      <c r="BV1237" s="6"/>
      <c r="BW1237" s="6"/>
      <c r="BX1237" s="5"/>
      <c r="BY1237" s="7"/>
      <c r="BZ1237" s="7"/>
      <c r="CA1237" s="7"/>
      <c r="CB1237" s="7"/>
      <c r="CC1237" s="874"/>
    </row>
    <row r="1238" spans="1:81" s="400" customFormat="1" ht="14.25" customHeight="1" x14ac:dyDescent="0.25">
      <c r="A1238" s="5"/>
      <c r="B1238" s="5"/>
      <c r="C1238" s="5"/>
      <c r="D1238" s="5"/>
      <c r="E1238" s="5"/>
      <c r="F1238" s="5"/>
      <c r="G1238" s="5"/>
      <c r="H1238" s="5"/>
      <c r="I1238" s="5"/>
      <c r="J1238" s="5"/>
      <c r="K1238" s="5"/>
      <c r="L1238" s="5"/>
      <c r="M1238" s="5"/>
      <c r="N1238" s="5"/>
      <c r="O1238" s="5"/>
      <c r="P1238" s="5"/>
      <c r="Q1238" s="5"/>
      <c r="R1238" s="5"/>
      <c r="S1238" s="5"/>
      <c r="T1238" s="5"/>
      <c r="U1238" s="5"/>
      <c r="V1238" s="5"/>
      <c r="W1238" s="5"/>
      <c r="X1238" s="5"/>
      <c r="Y1238" s="5"/>
      <c r="Z1238" s="5"/>
      <c r="AA1238" s="5"/>
      <c r="AB1238" s="6"/>
      <c r="AC1238" s="6"/>
      <c r="AD1238" s="6"/>
      <c r="AE1238" s="6"/>
      <c r="AF1238" s="6"/>
      <c r="AG1238" s="6"/>
      <c r="AH1238" s="6"/>
      <c r="AI1238" s="6"/>
      <c r="AJ1238" s="6"/>
      <c r="AK1238" s="6"/>
      <c r="AL1238" s="6"/>
      <c r="AM1238" s="6"/>
      <c r="AN1238" s="6"/>
      <c r="AO1238" s="6"/>
      <c r="AP1238" s="6"/>
      <c r="AQ1238" s="6"/>
      <c r="AR1238" s="6"/>
      <c r="AS1238" s="6"/>
      <c r="AT1238" s="6"/>
      <c r="AU1238" s="6"/>
      <c r="AV1238" s="6"/>
      <c r="AW1238" s="6"/>
      <c r="AX1238" s="6"/>
      <c r="AY1238" s="6"/>
      <c r="AZ1238" s="6"/>
      <c r="BA1238" s="6"/>
      <c r="BB1238" s="6"/>
      <c r="BC1238" s="6"/>
      <c r="BD1238" s="6"/>
      <c r="BE1238" s="6"/>
      <c r="BF1238" s="6"/>
      <c r="BG1238" s="6"/>
      <c r="BH1238" s="6"/>
      <c r="BI1238" s="6"/>
      <c r="BJ1238" s="6"/>
      <c r="BK1238" s="6"/>
      <c r="BL1238" s="6"/>
      <c r="BM1238" s="6"/>
      <c r="BN1238" s="6"/>
      <c r="BO1238" s="6"/>
      <c r="BP1238" s="6"/>
      <c r="BQ1238" s="6"/>
      <c r="BR1238" s="6"/>
      <c r="BS1238" s="6"/>
      <c r="BT1238" s="6"/>
      <c r="BU1238" s="6"/>
      <c r="BV1238" s="6"/>
      <c r="BW1238" s="6"/>
      <c r="BX1238" s="5"/>
      <c r="BY1238" s="7"/>
      <c r="BZ1238" s="7"/>
      <c r="CA1238" s="7"/>
      <c r="CB1238" s="7"/>
      <c r="CC1238" s="874"/>
    </row>
    <row r="1239" spans="1:81" s="400" customFormat="1" ht="14.25" customHeight="1" x14ac:dyDescent="0.25">
      <c r="A1239" s="5"/>
      <c r="B1239" s="5"/>
      <c r="C1239" s="5"/>
      <c r="D1239" s="5"/>
      <c r="E1239" s="5"/>
      <c r="F1239" s="5"/>
      <c r="G1239" s="5"/>
      <c r="H1239" s="5"/>
      <c r="I1239" s="5"/>
      <c r="J1239" s="5"/>
      <c r="K1239" s="5"/>
      <c r="L1239" s="5"/>
      <c r="M1239" s="5"/>
      <c r="N1239" s="5"/>
      <c r="O1239" s="5"/>
      <c r="P1239" s="5"/>
      <c r="Q1239" s="5"/>
      <c r="R1239" s="5"/>
      <c r="S1239" s="5"/>
      <c r="T1239" s="5"/>
      <c r="U1239" s="5"/>
      <c r="V1239" s="5"/>
      <c r="W1239" s="5"/>
      <c r="X1239" s="5"/>
      <c r="Y1239" s="5"/>
      <c r="Z1239" s="5"/>
      <c r="AA1239" s="5"/>
      <c r="AB1239" s="6"/>
      <c r="AC1239" s="6"/>
      <c r="AD1239" s="6"/>
      <c r="AE1239" s="6"/>
      <c r="AF1239" s="6"/>
      <c r="AG1239" s="6"/>
      <c r="AH1239" s="6"/>
      <c r="AI1239" s="6"/>
      <c r="AJ1239" s="6"/>
      <c r="AK1239" s="6"/>
      <c r="AL1239" s="6"/>
      <c r="AM1239" s="6"/>
      <c r="AN1239" s="6"/>
      <c r="AO1239" s="6"/>
      <c r="AP1239" s="6"/>
      <c r="AQ1239" s="6"/>
      <c r="AR1239" s="6"/>
      <c r="AS1239" s="6"/>
      <c r="AT1239" s="6"/>
      <c r="AU1239" s="6"/>
      <c r="AV1239" s="6"/>
      <c r="AW1239" s="6"/>
      <c r="AX1239" s="6"/>
      <c r="AY1239" s="6"/>
      <c r="AZ1239" s="6"/>
      <c r="BA1239" s="6"/>
      <c r="BB1239" s="6"/>
      <c r="BC1239" s="6"/>
      <c r="BD1239" s="6"/>
      <c r="BE1239" s="6"/>
      <c r="BF1239" s="6"/>
      <c r="BG1239" s="6"/>
      <c r="BH1239" s="6"/>
      <c r="BI1239" s="6"/>
      <c r="BJ1239" s="6"/>
      <c r="BK1239" s="6"/>
      <c r="BL1239" s="6"/>
      <c r="BM1239" s="6"/>
      <c r="BN1239" s="6"/>
      <c r="BO1239" s="6"/>
      <c r="BP1239" s="6"/>
      <c r="BQ1239" s="6"/>
      <c r="BR1239" s="6"/>
      <c r="BS1239" s="6"/>
      <c r="BT1239" s="6"/>
      <c r="BU1239" s="6"/>
      <c r="BV1239" s="6"/>
      <c r="BW1239" s="6"/>
      <c r="BX1239" s="5"/>
      <c r="BY1239" s="7"/>
      <c r="BZ1239" s="7"/>
      <c r="CA1239" s="7"/>
      <c r="CB1239" s="7"/>
      <c r="CC1239" s="874"/>
    </row>
    <row r="1240" spans="1:81" s="400" customFormat="1" ht="14.25" customHeight="1" x14ac:dyDescent="0.25">
      <c r="A1240" s="5"/>
      <c r="B1240" s="5"/>
      <c r="C1240" s="5"/>
      <c r="D1240" s="5"/>
      <c r="E1240" s="5"/>
      <c r="F1240" s="5"/>
      <c r="G1240" s="5"/>
      <c r="H1240" s="5"/>
      <c r="I1240" s="5"/>
      <c r="J1240" s="5"/>
      <c r="K1240" s="5"/>
      <c r="L1240" s="5"/>
      <c r="M1240" s="5"/>
      <c r="N1240" s="5"/>
      <c r="O1240" s="5"/>
      <c r="P1240" s="5"/>
      <c r="Q1240" s="5"/>
      <c r="R1240" s="5"/>
      <c r="S1240" s="5"/>
      <c r="T1240" s="5"/>
      <c r="U1240" s="5"/>
      <c r="V1240" s="5"/>
      <c r="W1240" s="5"/>
      <c r="X1240" s="5"/>
      <c r="Y1240" s="5"/>
      <c r="Z1240" s="5"/>
      <c r="AA1240" s="5"/>
      <c r="AB1240" s="6"/>
      <c r="AC1240" s="6"/>
      <c r="AD1240" s="6"/>
      <c r="AE1240" s="6"/>
      <c r="AF1240" s="6"/>
      <c r="AG1240" s="6"/>
      <c r="AH1240" s="6"/>
      <c r="AI1240" s="6"/>
      <c r="AJ1240" s="6"/>
      <c r="AK1240" s="6"/>
      <c r="AL1240" s="6"/>
      <c r="AM1240" s="6"/>
      <c r="AN1240" s="6"/>
      <c r="AO1240" s="6"/>
      <c r="AP1240" s="6"/>
      <c r="AQ1240" s="6"/>
      <c r="AR1240" s="6"/>
      <c r="AS1240" s="6"/>
      <c r="AT1240" s="6"/>
      <c r="AU1240" s="6"/>
      <c r="AV1240" s="6"/>
      <c r="AW1240" s="6"/>
      <c r="AX1240" s="6"/>
      <c r="AY1240" s="6"/>
      <c r="AZ1240" s="6"/>
      <c r="BA1240" s="6"/>
      <c r="BB1240" s="6"/>
      <c r="BC1240" s="6"/>
      <c r="BD1240" s="6"/>
      <c r="BE1240" s="6"/>
      <c r="BF1240" s="6"/>
      <c r="BG1240" s="6"/>
      <c r="BH1240" s="6"/>
      <c r="BI1240" s="6"/>
      <c r="BJ1240" s="6"/>
      <c r="BK1240" s="6"/>
      <c r="BL1240" s="6"/>
      <c r="BM1240" s="6"/>
      <c r="BN1240" s="6"/>
      <c r="BO1240" s="6"/>
      <c r="BP1240" s="6"/>
      <c r="BQ1240" s="6"/>
      <c r="BR1240" s="6"/>
      <c r="BS1240" s="6"/>
      <c r="BT1240" s="6"/>
      <c r="BU1240" s="6"/>
      <c r="BV1240" s="6"/>
      <c r="BW1240" s="6"/>
      <c r="BX1240" s="5"/>
      <c r="BY1240" s="7"/>
      <c r="BZ1240" s="7"/>
      <c r="CA1240" s="7"/>
      <c r="CB1240" s="7"/>
      <c r="CC1240" s="874"/>
    </row>
    <row r="1241" spans="1:81" s="400" customFormat="1" ht="14.25" customHeight="1" x14ac:dyDescent="0.25">
      <c r="A1241" s="5"/>
      <c r="B1241" s="5"/>
      <c r="C1241" s="5"/>
      <c r="D1241" s="5"/>
      <c r="E1241" s="5"/>
      <c r="F1241" s="5"/>
      <c r="G1241" s="5"/>
      <c r="H1241" s="5"/>
      <c r="I1241" s="5"/>
      <c r="J1241" s="5"/>
      <c r="K1241" s="5"/>
      <c r="L1241" s="5"/>
      <c r="M1241" s="5"/>
      <c r="N1241" s="5"/>
      <c r="O1241" s="5"/>
      <c r="P1241" s="5"/>
      <c r="Q1241" s="5"/>
      <c r="R1241" s="5"/>
      <c r="S1241" s="5"/>
      <c r="T1241" s="5"/>
      <c r="U1241" s="5"/>
      <c r="V1241" s="5"/>
      <c r="W1241" s="5"/>
      <c r="X1241" s="5"/>
      <c r="Y1241" s="5"/>
      <c r="Z1241" s="5"/>
      <c r="AA1241" s="5"/>
      <c r="AB1241" s="6"/>
      <c r="AC1241" s="6"/>
      <c r="AD1241" s="6"/>
      <c r="AE1241" s="6"/>
      <c r="AF1241" s="6"/>
      <c r="AG1241" s="6"/>
      <c r="AH1241" s="6"/>
      <c r="AI1241" s="6"/>
      <c r="AJ1241" s="6"/>
      <c r="AK1241" s="6"/>
      <c r="AL1241" s="6"/>
      <c r="AM1241" s="6"/>
      <c r="AN1241" s="6"/>
      <c r="AO1241" s="6"/>
      <c r="AP1241" s="6"/>
      <c r="AQ1241" s="6"/>
      <c r="AR1241" s="6"/>
      <c r="AS1241" s="6"/>
      <c r="AT1241" s="6"/>
      <c r="AU1241" s="6"/>
      <c r="AV1241" s="6"/>
      <c r="AW1241" s="6"/>
      <c r="AX1241" s="6"/>
      <c r="AY1241" s="6"/>
      <c r="AZ1241" s="6"/>
      <c r="BA1241" s="6"/>
      <c r="BB1241" s="6"/>
      <c r="BC1241" s="6"/>
      <c r="BD1241" s="6"/>
      <c r="BE1241" s="6"/>
      <c r="BF1241" s="6"/>
      <c r="BG1241" s="6"/>
      <c r="BH1241" s="6"/>
      <c r="BI1241" s="6"/>
      <c r="BJ1241" s="6"/>
      <c r="BK1241" s="6"/>
      <c r="BL1241" s="6"/>
      <c r="BM1241" s="6"/>
      <c r="BN1241" s="6"/>
      <c r="BO1241" s="6"/>
      <c r="BP1241" s="6"/>
      <c r="BQ1241" s="6"/>
      <c r="BR1241" s="6"/>
      <c r="BS1241" s="6"/>
      <c r="BT1241" s="6"/>
      <c r="BU1241" s="6"/>
      <c r="BV1241" s="6"/>
      <c r="BW1241" s="6"/>
      <c r="BX1241" s="5"/>
      <c r="BY1241" s="7"/>
      <c r="BZ1241" s="7"/>
      <c r="CA1241" s="7"/>
      <c r="CB1241" s="7"/>
      <c r="CC1241" s="874"/>
    </row>
    <row r="1242" spans="1:81" s="400" customFormat="1" ht="14.25" customHeight="1" x14ac:dyDescent="0.25">
      <c r="A1242" s="5"/>
      <c r="B1242" s="5"/>
      <c r="C1242" s="5"/>
      <c r="D1242" s="5"/>
      <c r="E1242" s="5"/>
      <c r="F1242" s="5"/>
      <c r="G1242" s="5"/>
      <c r="H1242" s="5"/>
      <c r="I1242" s="5"/>
      <c r="J1242" s="5"/>
      <c r="K1242" s="5"/>
      <c r="L1242" s="5"/>
      <c r="M1242" s="5"/>
      <c r="N1242" s="5"/>
      <c r="O1242" s="5"/>
      <c r="P1242" s="5"/>
      <c r="Q1242" s="5"/>
      <c r="R1242" s="5"/>
      <c r="S1242" s="5"/>
      <c r="T1242" s="5"/>
      <c r="U1242" s="5"/>
      <c r="V1242" s="5"/>
      <c r="W1242" s="5"/>
      <c r="X1242" s="5"/>
      <c r="Y1242" s="5"/>
      <c r="Z1242" s="5"/>
      <c r="AA1242" s="5"/>
      <c r="AB1242" s="6"/>
      <c r="AC1242" s="6"/>
      <c r="AD1242" s="6"/>
      <c r="AE1242" s="6"/>
      <c r="AF1242" s="6"/>
      <c r="AG1242" s="6"/>
      <c r="AH1242" s="6"/>
      <c r="AI1242" s="6"/>
      <c r="AJ1242" s="6"/>
      <c r="AK1242" s="6"/>
      <c r="AL1242" s="6"/>
      <c r="AM1242" s="6"/>
      <c r="AN1242" s="6"/>
      <c r="AO1242" s="6"/>
      <c r="AP1242" s="6"/>
      <c r="AQ1242" s="6"/>
      <c r="AR1242" s="6"/>
      <c r="AS1242" s="6"/>
      <c r="AT1242" s="6"/>
      <c r="AU1242" s="6"/>
      <c r="AV1242" s="6"/>
      <c r="AW1242" s="6"/>
      <c r="AX1242" s="6"/>
      <c r="AY1242" s="6"/>
      <c r="AZ1242" s="6"/>
      <c r="BA1242" s="6"/>
      <c r="BB1242" s="6"/>
      <c r="BC1242" s="6"/>
      <c r="BD1242" s="6"/>
      <c r="BE1242" s="6"/>
      <c r="BF1242" s="6"/>
      <c r="BG1242" s="6"/>
      <c r="BH1242" s="6"/>
      <c r="BI1242" s="6"/>
      <c r="BJ1242" s="6"/>
      <c r="BK1242" s="6"/>
      <c r="BL1242" s="6"/>
      <c r="BM1242" s="6"/>
      <c r="BN1242" s="6"/>
      <c r="BO1242" s="6"/>
      <c r="BP1242" s="6"/>
      <c r="BQ1242" s="6"/>
      <c r="BR1242" s="6"/>
      <c r="BS1242" s="6"/>
      <c r="BT1242" s="6"/>
      <c r="BU1242" s="6"/>
      <c r="BV1242" s="6"/>
      <c r="BW1242" s="6"/>
      <c r="BX1242" s="5"/>
      <c r="BY1242" s="7"/>
      <c r="BZ1242" s="7"/>
      <c r="CA1242" s="7"/>
      <c r="CB1242" s="7"/>
      <c r="CC1242" s="874"/>
    </row>
    <row r="1243" spans="1:81" s="400" customFormat="1" ht="14.25" customHeight="1" x14ac:dyDescent="0.25">
      <c r="A1243" s="5"/>
      <c r="B1243" s="5"/>
      <c r="C1243" s="5"/>
      <c r="D1243" s="5"/>
      <c r="E1243" s="5"/>
      <c r="F1243" s="5"/>
      <c r="G1243" s="5"/>
      <c r="H1243" s="5"/>
      <c r="I1243" s="5"/>
      <c r="J1243" s="5"/>
      <c r="K1243" s="5"/>
      <c r="L1243" s="5"/>
      <c r="M1243" s="5"/>
      <c r="N1243" s="5"/>
      <c r="O1243" s="5"/>
      <c r="P1243" s="5"/>
      <c r="Q1243" s="5"/>
      <c r="R1243" s="5"/>
      <c r="S1243" s="5"/>
      <c r="T1243" s="5"/>
      <c r="U1243" s="5"/>
      <c r="V1243" s="5"/>
      <c r="W1243" s="5"/>
      <c r="X1243" s="5"/>
      <c r="Y1243" s="5"/>
      <c r="Z1243" s="5"/>
      <c r="AA1243" s="5"/>
      <c r="AB1243" s="6"/>
      <c r="AC1243" s="6"/>
      <c r="AD1243" s="6"/>
      <c r="AE1243" s="6"/>
      <c r="AF1243" s="6"/>
      <c r="AG1243" s="6"/>
      <c r="AH1243" s="6"/>
      <c r="AI1243" s="6"/>
      <c r="AJ1243" s="6"/>
      <c r="AK1243" s="6"/>
      <c r="AL1243" s="6"/>
      <c r="AM1243" s="6"/>
      <c r="AN1243" s="6"/>
      <c r="AO1243" s="6"/>
      <c r="AP1243" s="6"/>
      <c r="AQ1243" s="6"/>
      <c r="AR1243" s="6"/>
      <c r="AS1243" s="6"/>
      <c r="AT1243" s="6"/>
      <c r="AU1243" s="6"/>
      <c r="AV1243" s="6"/>
      <c r="AW1243" s="6"/>
      <c r="AX1243" s="6"/>
      <c r="AY1243" s="6"/>
      <c r="AZ1243" s="6"/>
      <c r="BA1243" s="6"/>
      <c r="BB1243" s="6"/>
      <c r="BC1243" s="6"/>
      <c r="BD1243" s="6"/>
      <c r="BE1243" s="6"/>
      <c r="BF1243" s="6"/>
      <c r="BG1243" s="6"/>
      <c r="BH1243" s="6"/>
      <c r="BI1243" s="6"/>
      <c r="BJ1243" s="6"/>
      <c r="BK1243" s="6"/>
      <c r="BL1243" s="6"/>
      <c r="BM1243" s="6"/>
      <c r="BN1243" s="6"/>
      <c r="BO1243" s="6"/>
      <c r="BP1243" s="6"/>
      <c r="BQ1243" s="6"/>
      <c r="BR1243" s="6"/>
      <c r="BS1243" s="6"/>
      <c r="BT1243" s="6"/>
      <c r="BU1243" s="6"/>
      <c r="BV1243" s="6"/>
      <c r="BW1243" s="6"/>
      <c r="BX1243" s="5"/>
      <c r="BY1243" s="7"/>
      <c r="BZ1243" s="7"/>
      <c r="CA1243" s="7"/>
      <c r="CB1243" s="7"/>
      <c r="CC1243" s="874"/>
    </row>
    <row r="1244" spans="1:81" s="400" customFormat="1" ht="14.25" customHeight="1" x14ac:dyDescent="0.25">
      <c r="A1244" s="5"/>
      <c r="B1244" s="5"/>
      <c r="C1244" s="5"/>
      <c r="D1244" s="5"/>
      <c r="E1244" s="5"/>
      <c r="F1244" s="5"/>
      <c r="G1244" s="5"/>
      <c r="H1244" s="5"/>
      <c r="I1244" s="5"/>
      <c r="J1244" s="5"/>
      <c r="K1244" s="5"/>
      <c r="L1244" s="5"/>
      <c r="M1244" s="5"/>
      <c r="N1244" s="5"/>
      <c r="O1244" s="5"/>
      <c r="P1244" s="5"/>
      <c r="Q1244" s="5"/>
      <c r="R1244" s="5"/>
      <c r="S1244" s="5"/>
      <c r="T1244" s="5"/>
      <c r="U1244" s="5"/>
      <c r="V1244" s="5"/>
      <c r="W1244" s="5"/>
      <c r="X1244" s="5"/>
      <c r="Y1244" s="5"/>
      <c r="Z1244" s="5"/>
      <c r="AA1244" s="5"/>
      <c r="AB1244" s="6"/>
      <c r="AC1244" s="6"/>
      <c r="AD1244" s="6"/>
      <c r="AE1244" s="6"/>
      <c r="AF1244" s="6"/>
      <c r="AG1244" s="6"/>
      <c r="AH1244" s="6"/>
      <c r="AI1244" s="6"/>
      <c r="AJ1244" s="6"/>
      <c r="AK1244" s="6"/>
      <c r="AL1244" s="6"/>
      <c r="AM1244" s="6"/>
      <c r="AN1244" s="6"/>
      <c r="AO1244" s="6"/>
      <c r="AP1244" s="6"/>
      <c r="AQ1244" s="6"/>
      <c r="AR1244" s="6"/>
      <c r="AS1244" s="6"/>
      <c r="AT1244" s="6"/>
      <c r="AU1244" s="6"/>
      <c r="AV1244" s="6"/>
      <c r="AW1244" s="6"/>
      <c r="AX1244" s="6"/>
      <c r="AY1244" s="6"/>
      <c r="AZ1244" s="6"/>
      <c r="BA1244" s="6"/>
      <c r="BB1244" s="6"/>
      <c r="BC1244" s="6"/>
      <c r="BD1244" s="6"/>
      <c r="BE1244" s="6"/>
      <c r="BF1244" s="6"/>
      <c r="BG1244" s="6"/>
      <c r="BH1244" s="6"/>
      <c r="BI1244" s="6"/>
      <c r="BJ1244" s="6"/>
      <c r="BK1244" s="6"/>
      <c r="BL1244" s="6"/>
      <c r="BM1244" s="6"/>
      <c r="BN1244" s="6"/>
      <c r="BO1244" s="6"/>
      <c r="BP1244" s="6"/>
      <c r="BQ1244" s="6"/>
      <c r="BR1244" s="6"/>
      <c r="BS1244" s="6"/>
      <c r="BT1244" s="6"/>
      <c r="BU1244" s="6"/>
      <c r="BV1244" s="6"/>
      <c r="BW1244" s="6"/>
      <c r="BX1244" s="5"/>
      <c r="BY1244" s="7"/>
      <c r="BZ1244" s="7"/>
      <c r="CA1244" s="7"/>
      <c r="CB1244" s="7"/>
      <c r="CC1244" s="874"/>
    </row>
    <row r="1245" spans="1:81" s="400" customFormat="1" ht="14.25" customHeight="1" x14ac:dyDescent="0.25">
      <c r="A1245" s="5"/>
      <c r="B1245" s="5"/>
      <c r="C1245" s="5"/>
      <c r="D1245" s="5"/>
      <c r="E1245" s="5"/>
      <c r="F1245" s="5"/>
      <c r="G1245" s="5"/>
      <c r="H1245" s="5"/>
      <c r="I1245" s="5"/>
      <c r="J1245" s="5"/>
      <c r="K1245" s="5"/>
      <c r="L1245" s="5"/>
      <c r="M1245" s="5"/>
      <c r="N1245" s="5"/>
      <c r="O1245" s="5"/>
      <c r="P1245" s="5"/>
      <c r="Q1245" s="5"/>
      <c r="R1245" s="5"/>
      <c r="S1245" s="5"/>
      <c r="T1245" s="5"/>
      <c r="U1245" s="5"/>
      <c r="V1245" s="5"/>
      <c r="W1245" s="5"/>
      <c r="X1245" s="5"/>
      <c r="Y1245" s="5"/>
      <c r="Z1245" s="5"/>
      <c r="AA1245" s="5"/>
      <c r="AB1245" s="6"/>
      <c r="AC1245" s="6"/>
      <c r="AD1245" s="6"/>
      <c r="AE1245" s="6"/>
      <c r="AF1245" s="6"/>
      <c r="AG1245" s="6"/>
      <c r="AH1245" s="6"/>
      <c r="AI1245" s="6"/>
      <c r="AJ1245" s="6"/>
      <c r="AK1245" s="6"/>
      <c r="AL1245" s="6"/>
      <c r="AM1245" s="6"/>
      <c r="AN1245" s="6"/>
      <c r="AO1245" s="6"/>
      <c r="AP1245" s="6"/>
      <c r="AQ1245" s="6"/>
      <c r="AR1245" s="6"/>
      <c r="AS1245" s="6"/>
      <c r="AT1245" s="6"/>
      <c r="AU1245" s="6"/>
      <c r="AV1245" s="6"/>
      <c r="AW1245" s="6"/>
      <c r="AX1245" s="6"/>
      <c r="AY1245" s="6"/>
      <c r="AZ1245" s="6"/>
      <c r="BA1245" s="6"/>
      <c r="BB1245" s="6"/>
      <c r="BC1245" s="6"/>
      <c r="BD1245" s="6"/>
      <c r="BE1245" s="6"/>
      <c r="BF1245" s="6"/>
      <c r="BG1245" s="6"/>
      <c r="BH1245" s="6"/>
      <c r="BI1245" s="6"/>
      <c r="BJ1245" s="6"/>
      <c r="BK1245" s="6"/>
      <c r="BL1245" s="6"/>
      <c r="BM1245" s="6"/>
      <c r="BN1245" s="6"/>
      <c r="BO1245" s="6"/>
      <c r="BP1245" s="6"/>
      <c r="BQ1245" s="6"/>
      <c r="BR1245" s="6"/>
      <c r="BS1245" s="6"/>
      <c r="BT1245" s="6"/>
      <c r="BU1245" s="6"/>
      <c r="BV1245" s="6"/>
      <c r="BW1245" s="6"/>
      <c r="BX1245" s="5"/>
      <c r="BY1245" s="7"/>
      <c r="BZ1245" s="7"/>
      <c r="CA1245" s="7"/>
      <c r="CB1245" s="7"/>
      <c r="CC1245" s="874"/>
    </row>
    <row r="1246" spans="1:81" s="400" customFormat="1" ht="14.25" customHeight="1" x14ac:dyDescent="0.25">
      <c r="A1246" s="5"/>
      <c r="B1246" s="5"/>
      <c r="C1246" s="5"/>
      <c r="D1246" s="5"/>
      <c r="E1246" s="5"/>
      <c r="F1246" s="5"/>
      <c r="G1246" s="5"/>
      <c r="H1246" s="5"/>
      <c r="I1246" s="5"/>
      <c r="J1246" s="5"/>
      <c r="K1246" s="5"/>
      <c r="L1246" s="5"/>
      <c r="M1246" s="5"/>
      <c r="N1246" s="5"/>
      <c r="O1246" s="5"/>
      <c r="P1246" s="5"/>
      <c r="Q1246" s="5"/>
      <c r="R1246" s="5"/>
      <c r="S1246" s="5"/>
      <c r="T1246" s="5"/>
      <c r="U1246" s="5"/>
      <c r="V1246" s="5"/>
      <c r="W1246" s="5"/>
      <c r="X1246" s="5"/>
      <c r="Y1246" s="5"/>
      <c r="Z1246" s="5"/>
      <c r="AA1246" s="5"/>
      <c r="AB1246" s="6"/>
      <c r="AC1246" s="6"/>
      <c r="AD1246" s="6"/>
      <c r="AE1246" s="6"/>
      <c r="AF1246" s="6"/>
      <c r="AG1246" s="6"/>
      <c r="AH1246" s="6"/>
      <c r="AI1246" s="6"/>
      <c r="AJ1246" s="6"/>
      <c r="AK1246" s="6"/>
      <c r="AL1246" s="6"/>
      <c r="AM1246" s="6"/>
      <c r="AN1246" s="6"/>
      <c r="AO1246" s="6"/>
      <c r="AP1246" s="6"/>
      <c r="AQ1246" s="6"/>
      <c r="AR1246" s="6"/>
      <c r="AS1246" s="6"/>
      <c r="AT1246" s="6"/>
      <c r="AU1246" s="6"/>
      <c r="AV1246" s="6"/>
      <c r="AW1246" s="6"/>
      <c r="AX1246" s="6"/>
      <c r="AY1246" s="6"/>
      <c r="AZ1246" s="6"/>
      <c r="BA1246" s="6"/>
      <c r="BB1246" s="6"/>
      <c r="BC1246" s="6"/>
      <c r="BD1246" s="6"/>
      <c r="BE1246" s="6"/>
      <c r="BF1246" s="6"/>
      <c r="BG1246" s="6"/>
      <c r="BH1246" s="6"/>
      <c r="BI1246" s="6"/>
      <c r="BJ1246" s="6"/>
      <c r="BK1246" s="6"/>
      <c r="BL1246" s="6"/>
      <c r="BM1246" s="6"/>
      <c r="BN1246" s="6"/>
      <c r="BO1246" s="6"/>
      <c r="BP1246" s="6"/>
      <c r="BQ1246" s="6"/>
      <c r="BR1246" s="6"/>
      <c r="BS1246" s="6"/>
      <c r="BT1246" s="6"/>
      <c r="BU1246" s="6"/>
      <c r="BV1246" s="6"/>
      <c r="BW1246" s="6"/>
      <c r="BX1246" s="5"/>
      <c r="BY1246" s="7"/>
      <c r="BZ1246" s="7"/>
      <c r="CA1246" s="7"/>
      <c r="CB1246" s="7"/>
      <c r="CC1246" s="874"/>
    </row>
    <row r="1247" spans="1:81" s="400" customFormat="1" ht="14.25" customHeight="1" x14ac:dyDescent="0.25">
      <c r="A1247" s="5"/>
      <c r="B1247" s="5"/>
      <c r="C1247" s="5"/>
      <c r="D1247" s="5"/>
      <c r="E1247" s="5"/>
      <c r="F1247" s="5"/>
      <c r="G1247" s="5"/>
      <c r="H1247" s="5"/>
      <c r="I1247" s="5"/>
      <c r="J1247" s="5"/>
      <c r="K1247" s="5"/>
      <c r="L1247" s="5"/>
      <c r="M1247" s="5"/>
      <c r="N1247" s="5"/>
      <c r="O1247" s="5"/>
      <c r="P1247" s="5"/>
      <c r="Q1247" s="5"/>
      <c r="R1247" s="5"/>
      <c r="S1247" s="5"/>
      <c r="T1247" s="5"/>
      <c r="U1247" s="5"/>
      <c r="V1247" s="5"/>
      <c r="W1247" s="5"/>
      <c r="X1247" s="5"/>
      <c r="Y1247" s="5"/>
      <c r="Z1247" s="5"/>
      <c r="AA1247" s="5"/>
      <c r="AB1247" s="6"/>
      <c r="AC1247" s="6"/>
      <c r="AD1247" s="6"/>
      <c r="AE1247" s="6"/>
      <c r="AF1247" s="6"/>
      <c r="AG1247" s="6"/>
      <c r="AH1247" s="6"/>
      <c r="AI1247" s="6"/>
      <c r="AJ1247" s="6"/>
      <c r="AK1247" s="6"/>
      <c r="AL1247" s="6"/>
      <c r="AM1247" s="6"/>
      <c r="AN1247" s="6"/>
      <c r="AO1247" s="6"/>
      <c r="AP1247" s="6"/>
      <c r="AQ1247" s="6"/>
      <c r="AR1247" s="6"/>
      <c r="AS1247" s="6"/>
      <c r="AT1247" s="6"/>
      <c r="AU1247" s="6"/>
      <c r="AV1247" s="6"/>
      <c r="AW1247" s="6"/>
      <c r="AX1247" s="6"/>
      <c r="AY1247" s="6"/>
      <c r="AZ1247" s="6"/>
      <c r="BA1247" s="6"/>
      <c r="BB1247" s="6"/>
      <c r="BC1247" s="6"/>
      <c r="BD1247" s="6"/>
      <c r="BE1247" s="6"/>
      <c r="BF1247" s="6"/>
      <c r="BG1247" s="6"/>
      <c r="BH1247" s="6"/>
      <c r="BI1247" s="6"/>
      <c r="BJ1247" s="6"/>
      <c r="BK1247" s="6"/>
      <c r="BL1247" s="6"/>
      <c r="BM1247" s="6"/>
      <c r="BN1247" s="6"/>
      <c r="BO1247" s="6"/>
      <c r="BP1247" s="6"/>
      <c r="BQ1247" s="6"/>
      <c r="BR1247" s="6"/>
      <c r="BS1247" s="6"/>
      <c r="BT1247" s="6"/>
      <c r="BU1247" s="6"/>
      <c r="BV1247" s="6"/>
      <c r="BW1247" s="6"/>
      <c r="BX1247" s="5"/>
      <c r="BY1247" s="7"/>
      <c r="BZ1247" s="7"/>
      <c r="CA1247" s="7"/>
      <c r="CB1247" s="7"/>
      <c r="CC1247" s="874"/>
    </row>
    <row r="1248" spans="1:81" s="400" customFormat="1" ht="14.25" customHeight="1" x14ac:dyDescent="0.25">
      <c r="A1248" s="5"/>
      <c r="B1248" s="5"/>
      <c r="C1248" s="5"/>
      <c r="D1248" s="5"/>
      <c r="E1248" s="5"/>
      <c r="F1248" s="5"/>
      <c r="G1248" s="5"/>
      <c r="H1248" s="5"/>
      <c r="I1248" s="5"/>
      <c r="J1248" s="5"/>
      <c r="K1248" s="5"/>
      <c r="L1248" s="5"/>
      <c r="M1248" s="5"/>
      <c r="N1248" s="5"/>
      <c r="O1248" s="5"/>
      <c r="P1248" s="5"/>
      <c r="Q1248" s="5"/>
      <c r="R1248" s="5"/>
      <c r="S1248" s="5"/>
      <c r="T1248" s="5"/>
      <c r="U1248" s="5"/>
      <c r="V1248" s="5"/>
      <c r="W1248" s="5"/>
      <c r="X1248" s="5"/>
      <c r="Y1248" s="5"/>
      <c r="Z1248" s="5"/>
      <c r="AA1248" s="5"/>
      <c r="AB1248" s="6"/>
      <c r="AC1248" s="6"/>
      <c r="AD1248" s="6"/>
      <c r="AE1248" s="6"/>
      <c r="AF1248" s="6"/>
      <c r="AG1248" s="6"/>
      <c r="AH1248" s="6"/>
      <c r="AI1248" s="6"/>
      <c r="AJ1248" s="6"/>
      <c r="AK1248" s="6"/>
      <c r="AL1248" s="6"/>
      <c r="AM1248" s="6"/>
      <c r="AN1248" s="6"/>
      <c r="AO1248" s="6"/>
      <c r="AP1248" s="6"/>
      <c r="AQ1248" s="6"/>
      <c r="AR1248" s="6"/>
      <c r="AS1248" s="6"/>
      <c r="AT1248" s="6"/>
      <c r="AU1248" s="6"/>
      <c r="AV1248" s="6"/>
      <c r="AW1248" s="6"/>
      <c r="AX1248" s="6"/>
      <c r="AY1248" s="6"/>
      <c r="AZ1248" s="6"/>
      <c r="BA1248" s="6"/>
      <c r="BB1248" s="6"/>
      <c r="BC1248" s="6"/>
      <c r="BD1248" s="6"/>
      <c r="BE1248" s="6"/>
      <c r="BF1248" s="6"/>
      <c r="BG1248" s="6"/>
      <c r="BH1248" s="6"/>
      <c r="BI1248" s="6"/>
      <c r="BJ1248" s="6"/>
      <c r="BK1248" s="6"/>
      <c r="BL1248" s="6"/>
      <c r="BM1248" s="6"/>
      <c r="BN1248" s="6"/>
      <c r="BO1248" s="6"/>
      <c r="BP1248" s="6"/>
      <c r="BQ1248" s="6"/>
      <c r="BR1248" s="6"/>
      <c r="BS1248" s="6"/>
      <c r="BT1248" s="6"/>
      <c r="BU1248" s="6"/>
      <c r="BV1248" s="6"/>
      <c r="BW1248" s="6"/>
      <c r="BX1248" s="5"/>
      <c r="BY1248" s="7"/>
      <c r="BZ1248" s="7"/>
      <c r="CA1248" s="7"/>
      <c r="CB1248" s="7"/>
      <c r="CC1248" s="874"/>
    </row>
    <row r="1249" spans="1:81" s="400" customFormat="1" ht="14.25" customHeight="1" x14ac:dyDescent="0.25">
      <c r="A1249" s="5"/>
      <c r="B1249" s="5"/>
      <c r="C1249" s="5"/>
      <c r="D1249" s="5"/>
      <c r="E1249" s="5"/>
      <c r="F1249" s="5"/>
      <c r="G1249" s="5"/>
      <c r="H1249" s="5"/>
      <c r="I1249" s="5"/>
      <c r="J1249" s="5"/>
      <c r="K1249" s="5"/>
      <c r="L1249" s="5"/>
      <c r="M1249" s="5"/>
      <c r="N1249" s="5"/>
      <c r="O1249" s="5"/>
      <c r="P1249" s="5"/>
      <c r="Q1249" s="5"/>
      <c r="R1249" s="5"/>
      <c r="S1249" s="5"/>
      <c r="T1249" s="5"/>
      <c r="U1249" s="5"/>
      <c r="V1249" s="5"/>
      <c r="W1249" s="5"/>
      <c r="X1249" s="5"/>
      <c r="Y1249" s="5"/>
      <c r="Z1249" s="5"/>
      <c r="AA1249" s="5"/>
      <c r="AB1249" s="6"/>
      <c r="AC1249" s="6"/>
      <c r="AD1249" s="6"/>
      <c r="AE1249" s="6"/>
      <c r="AF1249" s="6"/>
      <c r="AG1249" s="6"/>
      <c r="AH1249" s="6"/>
      <c r="AI1249" s="6"/>
      <c r="AJ1249" s="6"/>
      <c r="AK1249" s="6"/>
      <c r="AL1249" s="6"/>
      <c r="AM1249" s="6"/>
      <c r="AN1249" s="6"/>
      <c r="AO1249" s="6"/>
      <c r="AP1249" s="6"/>
      <c r="AQ1249" s="6"/>
      <c r="AR1249" s="6"/>
      <c r="AS1249" s="6"/>
      <c r="AT1249" s="6"/>
      <c r="AU1249" s="6"/>
      <c r="AV1249" s="6"/>
      <c r="AW1249" s="6"/>
      <c r="AX1249" s="6"/>
      <c r="AY1249" s="6"/>
      <c r="AZ1249" s="6"/>
      <c r="BA1249" s="6"/>
      <c r="BB1249" s="6"/>
      <c r="BC1249" s="6"/>
      <c r="BD1249" s="6"/>
      <c r="BE1249" s="6"/>
      <c r="BF1249" s="6"/>
      <c r="BG1249" s="6"/>
      <c r="BH1249" s="6"/>
      <c r="BI1249" s="6"/>
      <c r="BJ1249" s="6"/>
      <c r="BK1249" s="6"/>
      <c r="BL1249" s="6"/>
      <c r="BM1249" s="6"/>
      <c r="BN1249" s="6"/>
      <c r="BO1249" s="6"/>
      <c r="BP1249" s="6"/>
      <c r="BQ1249" s="6"/>
      <c r="BR1249" s="6"/>
      <c r="BS1249" s="6"/>
      <c r="BT1249" s="6"/>
      <c r="BU1249" s="6"/>
      <c r="BV1249" s="6"/>
      <c r="BW1249" s="6"/>
      <c r="BX1249" s="5"/>
      <c r="BY1249" s="7"/>
      <c r="BZ1249" s="7"/>
      <c r="CA1249" s="7"/>
      <c r="CB1249" s="7"/>
      <c r="CC1249" s="874"/>
    </row>
    <row r="1250" spans="1:81" s="400" customFormat="1" ht="14.25" customHeight="1" x14ac:dyDescent="0.25">
      <c r="A1250" s="5"/>
      <c r="B1250" s="5"/>
      <c r="C1250" s="5"/>
      <c r="D1250" s="5"/>
      <c r="E1250" s="5"/>
      <c r="F1250" s="5"/>
      <c r="G1250" s="5"/>
      <c r="H1250" s="5"/>
      <c r="I1250" s="5"/>
      <c r="J1250" s="5"/>
      <c r="K1250" s="5"/>
      <c r="L1250" s="5"/>
      <c r="M1250" s="5"/>
      <c r="N1250" s="5"/>
      <c r="O1250" s="5"/>
      <c r="P1250" s="5"/>
      <c r="Q1250" s="5"/>
      <c r="R1250" s="5"/>
      <c r="S1250" s="5"/>
      <c r="T1250" s="5"/>
      <c r="U1250" s="5"/>
      <c r="V1250" s="5"/>
      <c r="W1250" s="5"/>
      <c r="X1250" s="5"/>
      <c r="Y1250" s="5"/>
      <c r="Z1250" s="5"/>
      <c r="AA1250" s="5"/>
      <c r="AB1250" s="6"/>
      <c r="AC1250" s="6"/>
      <c r="AD1250" s="6"/>
      <c r="AE1250" s="6"/>
      <c r="AF1250" s="6"/>
      <c r="AG1250" s="6"/>
      <c r="AH1250" s="6"/>
      <c r="AI1250" s="6"/>
      <c r="AJ1250" s="6"/>
      <c r="AK1250" s="6"/>
      <c r="AL1250" s="6"/>
      <c r="AM1250" s="6"/>
      <c r="AN1250" s="6"/>
      <c r="AO1250" s="6"/>
      <c r="AP1250" s="6"/>
      <c r="AQ1250" s="6"/>
      <c r="AR1250" s="6"/>
      <c r="AS1250" s="6"/>
      <c r="AT1250" s="6"/>
      <c r="AU1250" s="6"/>
      <c r="AV1250" s="6"/>
      <c r="AW1250" s="6"/>
      <c r="AX1250" s="6"/>
      <c r="AY1250" s="6"/>
      <c r="AZ1250" s="6"/>
      <c r="BA1250" s="6"/>
      <c r="BB1250" s="6"/>
      <c r="BC1250" s="6"/>
      <c r="BD1250" s="6"/>
      <c r="BE1250" s="6"/>
      <c r="BF1250" s="6"/>
      <c r="BG1250" s="6"/>
      <c r="BH1250" s="6"/>
      <c r="BI1250" s="6"/>
      <c r="BJ1250" s="6"/>
      <c r="BK1250" s="6"/>
      <c r="BL1250" s="6"/>
      <c r="BM1250" s="6"/>
      <c r="BN1250" s="6"/>
      <c r="BO1250" s="6"/>
      <c r="BP1250" s="6"/>
      <c r="BQ1250" s="6"/>
      <c r="BR1250" s="6"/>
      <c r="BS1250" s="6"/>
      <c r="BT1250" s="6"/>
      <c r="BU1250" s="6"/>
      <c r="BV1250" s="6"/>
      <c r="BW1250" s="6"/>
      <c r="BX1250" s="5"/>
      <c r="BY1250" s="7"/>
      <c r="BZ1250" s="7"/>
      <c r="CA1250" s="7"/>
      <c r="CB1250" s="7"/>
      <c r="CC1250" s="874"/>
    </row>
    <row r="1251" spans="1:81" s="400" customFormat="1" ht="14.25" customHeight="1" x14ac:dyDescent="0.25">
      <c r="A1251" s="5"/>
      <c r="B1251" s="5"/>
      <c r="C1251" s="5"/>
      <c r="D1251" s="5"/>
      <c r="E1251" s="5"/>
      <c r="F1251" s="5"/>
      <c r="G1251" s="5"/>
      <c r="H1251" s="5"/>
      <c r="I1251" s="5"/>
      <c r="J1251" s="5"/>
      <c r="K1251" s="5"/>
      <c r="L1251" s="5"/>
      <c r="M1251" s="5"/>
      <c r="N1251" s="5"/>
      <c r="O1251" s="5"/>
      <c r="P1251" s="5"/>
      <c r="Q1251" s="5"/>
      <c r="R1251" s="5"/>
      <c r="S1251" s="5"/>
      <c r="T1251" s="5"/>
      <c r="U1251" s="5"/>
      <c r="V1251" s="5"/>
      <c r="W1251" s="5"/>
      <c r="X1251" s="5"/>
      <c r="Y1251" s="5"/>
      <c r="Z1251" s="5"/>
      <c r="AA1251" s="5"/>
      <c r="AB1251" s="6"/>
      <c r="AC1251" s="6"/>
      <c r="AD1251" s="6"/>
      <c r="AE1251" s="6"/>
      <c r="AF1251" s="6"/>
      <c r="AG1251" s="6"/>
      <c r="AH1251" s="6"/>
      <c r="AI1251" s="6"/>
      <c r="AJ1251" s="6"/>
      <c r="AK1251" s="6"/>
      <c r="AL1251" s="6"/>
      <c r="AM1251" s="6"/>
      <c r="AN1251" s="6"/>
      <c r="AO1251" s="6"/>
      <c r="AP1251" s="6"/>
      <c r="AQ1251" s="6"/>
      <c r="AR1251" s="6"/>
      <c r="AS1251" s="6"/>
      <c r="AT1251" s="6"/>
      <c r="AU1251" s="6"/>
      <c r="AV1251" s="6"/>
      <c r="AW1251" s="6"/>
      <c r="AX1251" s="6"/>
      <c r="AY1251" s="6"/>
      <c r="AZ1251" s="6"/>
      <c r="BA1251" s="6"/>
      <c r="BB1251" s="6"/>
      <c r="BC1251" s="6"/>
      <c r="BD1251" s="6"/>
      <c r="BE1251" s="6"/>
      <c r="BF1251" s="6"/>
      <c r="BG1251" s="6"/>
      <c r="BH1251" s="6"/>
      <c r="BI1251" s="6"/>
      <c r="BJ1251" s="6"/>
      <c r="BK1251" s="6"/>
      <c r="BL1251" s="6"/>
      <c r="BM1251" s="6"/>
      <c r="BN1251" s="6"/>
      <c r="BO1251" s="6"/>
      <c r="BP1251" s="6"/>
      <c r="BQ1251" s="6"/>
      <c r="BR1251" s="6"/>
      <c r="BS1251" s="6"/>
      <c r="BT1251" s="6"/>
      <c r="BU1251" s="6"/>
      <c r="BV1251" s="6"/>
      <c r="BW1251" s="6"/>
      <c r="BX1251" s="5"/>
      <c r="BY1251" s="7"/>
      <c r="BZ1251" s="7"/>
      <c r="CA1251" s="7"/>
      <c r="CB1251" s="7"/>
      <c r="CC1251" s="874"/>
    </row>
    <row r="1252" spans="1:81" s="400" customFormat="1" ht="14.25" customHeight="1" x14ac:dyDescent="0.25">
      <c r="A1252" s="5"/>
      <c r="B1252" s="5"/>
      <c r="C1252" s="5"/>
      <c r="D1252" s="5"/>
      <c r="E1252" s="5"/>
      <c r="F1252" s="5"/>
      <c r="G1252" s="5"/>
      <c r="H1252" s="5"/>
      <c r="I1252" s="5"/>
      <c r="J1252" s="5"/>
      <c r="K1252" s="5"/>
      <c r="L1252" s="5"/>
      <c r="M1252" s="5"/>
      <c r="N1252" s="5"/>
      <c r="O1252" s="5"/>
      <c r="P1252" s="5"/>
      <c r="Q1252" s="5"/>
      <c r="R1252" s="5"/>
      <c r="S1252" s="5"/>
      <c r="T1252" s="5"/>
      <c r="U1252" s="5"/>
      <c r="V1252" s="5"/>
      <c r="W1252" s="5"/>
      <c r="X1252" s="5"/>
      <c r="Y1252" s="5"/>
      <c r="Z1252" s="5"/>
      <c r="AA1252" s="5"/>
      <c r="AB1252" s="6"/>
      <c r="AC1252" s="6"/>
      <c r="AD1252" s="6"/>
      <c r="AE1252" s="6"/>
      <c r="AF1252" s="6"/>
      <c r="AG1252" s="6"/>
      <c r="AH1252" s="6"/>
      <c r="AI1252" s="6"/>
      <c r="AJ1252" s="6"/>
      <c r="AK1252" s="6"/>
      <c r="AL1252" s="6"/>
      <c r="AM1252" s="6"/>
      <c r="AN1252" s="6"/>
      <c r="AO1252" s="6"/>
      <c r="AP1252" s="6"/>
      <c r="AQ1252" s="6"/>
      <c r="AR1252" s="6"/>
      <c r="AS1252" s="6"/>
      <c r="AT1252" s="6"/>
      <c r="AU1252" s="6"/>
      <c r="AV1252" s="6"/>
      <c r="AW1252" s="6"/>
      <c r="AX1252" s="6"/>
      <c r="AY1252" s="6"/>
      <c r="AZ1252" s="6"/>
      <c r="BA1252" s="6"/>
      <c r="BB1252" s="6"/>
      <c r="BC1252" s="6"/>
      <c r="BD1252" s="6"/>
      <c r="BE1252" s="6"/>
      <c r="BF1252" s="6"/>
      <c r="BG1252" s="6"/>
      <c r="BH1252" s="6"/>
      <c r="BI1252" s="6"/>
      <c r="BJ1252" s="6"/>
      <c r="BK1252" s="6"/>
      <c r="BL1252" s="6"/>
      <c r="BM1252" s="6"/>
      <c r="BN1252" s="6"/>
      <c r="BO1252" s="6"/>
      <c r="BP1252" s="6"/>
      <c r="BQ1252" s="6"/>
      <c r="BR1252" s="6"/>
      <c r="BS1252" s="6"/>
      <c r="BT1252" s="6"/>
      <c r="BU1252" s="6"/>
      <c r="BV1252" s="6"/>
      <c r="BW1252" s="6"/>
      <c r="BX1252" s="5"/>
      <c r="BY1252" s="7"/>
      <c r="BZ1252" s="7"/>
      <c r="CA1252" s="7"/>
      <c r="CB1252" s="7"/>
      <c r="CC1252" s="874"/>
    </row>
    <row r="1253" spans="1:81" s="400" customFormat="1" ht="14.25" customHeight="1" x14ac:dyDescent="0.25">
      <c r="A1253" s="5"/>
      <c r="B1253" s="5"/>
      <c r="C1253" s="5"/>
      <c r="D1253" s="5"/>
      <c r="E1253" s="5"/>
      <c r="F1253" s="5"/>
      <c r="G1253" s="5"/>
      <c r="H1253" s="5"/>
      <c r="I1253" s="5"/>
      <c r="J1253" s="5"/>
      <c r="K1253" s="5"/>
      <c r="L1253" s="5"/>
      <c r="M1253" s="5"/>
      <c r="N1253" s="5"/>
      <c r="O1253" s="5"/>
      <c r="P1253" s="5"/>
      <c r="Q1253" s="5"/>
      <c r="R1253" s="5"/>
      <c r="S1253" s="5"/>
      <c r="T1253" s="5"/>
      <c r="U1253" s="5"/>
      <c r="V1253" s="5"/>
      <c r="W1253" s="5"/>
      <c r="X1253" s="5"/>
      <c r="Y1253" s="5"/>
      <c r="Z1253" s="5"/>
      <c r="AA1253" s="5"/>
      <c r="AB1253" s="6"/>
      <c r="AC1253" s="6"/>
      <c r="AD1253" s="6"/>
      <c r="AE1253" s="6"/>
      <c r="AF1253" s="6"/>
      <c r="AG1253" s="6"/>
      <c r="AH1253" s="6"/>
      <c r="AI1253" s="6"/>
      <c r="AJ1253" s="6"/>
      <c r="AK1253" s="6"/>
      <c r="AL1253" s="6"/>
      <c r="AM1253" s="6"/>
      <c r="AN1253" s="6"/>
      <c r="AO1253" s="6"/>
      <c r="AP1253" s="6"/>
      <c r="AQ1253" s="6"/>
      <c r="AR1253" s="6"/>
      <c r="AS1253" s="6"/>
      <c r="AT1253" s="6"/>
      <c r="AU1253" s="6"/>
      <c r="AV1253" s="6"/>
      <c r="AW1253" s="6"/>
      <c r="AX1253" s="6"/>
      <c r="AY1253" s="6"/>
      <c r="AZ1253" s="6"/>
      <c r="BA1253" s="6"/>
      <c r="BB1253" s="6"/>
      <c r="BC1253" s="6"/>
      <c r="BD1253" s="6"/>
      <c r="BE1253" s="6"/>
      <c r="BF1253" s="6"/>
      <c r="BG1253" s="6"/>
      <c r="BH1253" s="6"/>
      <c r="BI1253" s="6"/>
      <c r="BJ1253" s="6"/>
      <c r="BK1253" s="6"/>
      <c r="BL1253" s="6"/>
      <c r="BM1253" s="6"/>
      <c r="BN1253" s="6"/>
      <c r="BO1253" s="6"/>
      <c r="BP1253" s="6"/>
      <c r="BQ1253" s="6"/>
      <c r="BR1253" s="6"/>
      <c r="BS1253" s="6"/>
      <c r="BT1253" s="6"/>
      <c r="BU1253" s="6"/>
      <c r="BV1253" s="6"/>
      <c r="BW1253" s="6"/>
      <c r="BX1253" s="5"/>
      <c r="BY1253" s="7"/>
      <c r="BZ1253" s="7"/>
      <c r="CA1253" s="7"/>
      <c r="CB1253" s="7"/>
      <c r="CC1253" s="874"/>
    </row>
    <row r="1254" spans="1:81" s="400" customFormat="1" ht="14.25" customHeight="1" x14ac:dyDescent="0.25">
      <c r="A1254" s="5"/>
      <c r="B1254" s="5"/>
      <c r="C1254" s="5"/>
      <c r="D1254" s="5"/>
      <c r="E1254" s="5"/>
      <c r="F1254" s="5"/>
      <c r="G1254" s="5"/>
      <c r="H1254" s="5"/>
      <c r="I1254" s="5"/>
      <c r="J1254" s="5"/>
      <c r="K1254" s="5"/>
      <c r="L1254" s="5"/>
      <c r="M1254" s="5"/>
      <c r="N1254" s="5"/>
      <c r="O1254" s="5"/>
      <c r="P1254" s="5"/>
      <c r="Q1254" s="5"/>
      <c r="R1254" s="5"/>
      <c r="S1254" s="5"/>
      <c r="T1254" s="5"/>
      <c r="U1254" s="5"/>
      <c r="V1254" s="5"/>
      <c r="W1254" s="5"/>
      <c r="X1254" s="5"/>
      <c r="Y1254" s="5"/>
      <c r="Z1254" s="5"/>
      <c r="AA1254" s="5"/>
      <c r="AB1254" s="6"/>
      <c r="AC1254" s="6"/>
      <c r="AD1254" s="6"/>
      <c r="AE1254" s="6"/>
      <c r="AF1254" s="6"/>
      <c r="AG1254" s="6"/>
      <c r="AH1254" s="6"/>
      <c r="AI1254" s="6"/>
      <c r="AJ1254" s="6"/>
      <c r="AK1254" s="6"/>
      <c r="AL1254" s="6"/>
      <c r="AM1254" s="6"/>
      <c r="AN1254" s="6"/>
      <c r="AO1254" s="6"/>
      <c r="AP1254" s="6"/>
      <c r="AQ1254" s="6"/>
      <c r="AR1254" s="6"/>
      <c r="AS1254" s="6"/>
      <c r="AT1254" s="6"/>
      <c r="AU1254" s="6"/>
      <c r="AV1254" s="6"/>
      <c r="AW1254" s="6"/>
      <c r="AX1254" s="6"/>
      <c r="AY1254" s="6"/>
      <c r="AZ1254" s="6"/>
      <c r="BA1254" s="6"/>
      <c r="BB1254" s="6"/>
      <c r="BC1254" s="6"/>
      <c r="BD1254" s="6"/>
      <c r="BE1254" s="6"/>
      <c r="BF1254" s="6"/>
      <c r="BG1254" s="6"/>
      <c r="BH1254" s="6"/>
      <c r="BI1254" s="6"/>
      <c r="BJ1254" s="6"/>
      <c r="BK1254" s="6"/>
      <c r="BL1254" s="6"/>
      <c r="BM1254" s="6"/>
      <c r="BN1254" s="6"/>
      <c r="BO1254" s="6"/>
      <c r="BP1254" s="6"/>
      <c r="BQ1254" s="6"/>
      <c r="BR1254" s="6"/>
      <c r="BS1254" s="6"/>
      <c r="BT1254" s="6"/>
      <c r="BU1254" s="6"/>
      <c r="BV1254" s="6"/>
      <c r="BW1254" s="6"/>
      <c r="BX1254" s="5"/>
      <c r="BY1254" s="7"/>
      <c r="BZ1254" s="7"/>
      <c r="CA1254" s="7"/>
      <c r="CB1254" s="7"/>
      <c r="CC1254" s="874"/>
    </row>
    <row r="1255" spans="1:81" s="400" customFormat="1" ht="14.25" customHeight="1" x14ac:dyDescent="0.25">
      <c r="A1255" s="5"/>
      <c r="B1255" s="5"/>
      <c r="C1255" s="5"/>
      <c r="D1255" s="5"/>
      <c r="E1255" s="5"/>
      <c r="F1255" s="5"/>
      <c r="G1255" s="5"/>
      <c r="H1255" s="5"/>
      <c r="I1255" s="5"/>
      <c r="J1255" s="5"/>
      <c r="K1255" s="5"/>
      <c r="L1255" s="5"/>
      <c r="M1255" s="5"/>
      <c r="N1255" s="5"/>
      <c r="O1255" s="5"/>
      <c r="P1255" s="5"/>
      <c r="Q1255" s="5"/>
      <c r="R1255" s="5"/>
      <c r="S1255" s="5"/>
      <c r="T1255" s="5"/>
      <c r="U1255" s="5"/>
      <c r="V1255" s="5"/>
      <c r="W1255" s="5"/>
      <c r="X1255" s="5"/>
      <c r="Y1255" s="5"/>
      <c r="Z1255" s="5"/>
      <c r="AA1255" s="5"/>
      <c r="AB1255" s="6"/>
      <c r="AC1255" s="6"/>
      <c r="AD1255" s="6"/>
      <c r="AE1255" s="6"/>
      <c r="AF1255" s="6"/>
      <c r="AG1255" s="6"/>
      <c r="AH1255" s="6"/>
      <c r="AI1255" s="6"/>
      <c r="AJ1255" s="6"/>
      <c r="AK1255" s="6"/>
      <c r="AL1255" s="6"/>
      <c r="AM1255" s="6"/>
      <c r="AN1255" s="6"/>
      <c r="AO1255" s="6"/>
      <c r="AP1255" s="6"/>
      <c r="AQ1255" s="6"/>
      <c r="AR1255" s="6"/>
      <c r="AS1255" s="6"/>
      <c r="AT1255" s="6"/>
      <c r="AU1255" s="6"/>
      <c r="AV1255" s="6"/>
      <c r="AW1255" s="6"/>
      <c r="AX1255" s="6"/>
      <c r="AY1255" s="6"/>
      <c r="AZ1255" s="6"/>
      <c r="BA1255" s="6"/>
      <c r="BB1255" s="6"/>
      <c r="BC1255" s="6"/>
      <c r="BD1255" s="6"/>
      <c r="BE1255" s="6"/>
      <c r="BF1255" s="6"/>
      <c r="BG1255" s="6"/>
      <c r="BH1255" s="6"/>
      <c r="BI1255" s="6"/>
      <c r="BJ1255" s="6"/>
      <c r="BK1255" s="6"/>
      <c r="BL1255" s="6"/>
      <c r="BM1255" s="6"/>
      <c r="BN1255" s="6"/>
      <c r="BO1255" s="6"/>
      <c r="BP1255" s="6"/>
      <c r="BQ1255" s="6"/>
      <c r="BR1255" s="6"/>
      <c r="BS1255" s="6"/>
      <c r="BT1255" s="6"/>
      <c r="BU1255" s="6"/>
      <c r="BV1255" s="6"/>
      <c r="BW1255" s="6"/>
      <c r="BX1255" s="5"/>
      <c r="BY1255" s="7"/>
      <c r="BZ1255" s="7"/>
      <c r="CA1255" s="7"/>
      <c r="CB1255" s="7"/>
      <c r="CC1255" s="874"/>
    </row>
    <row r="1256" spans="1:81" s="400" customFormat="1" ht="14.25" customHeight="1" x14ac:dyDescent="0.25">
      <c r="A1256" s="5"/>
      <c r="B1256" s="5"/>
      <c r="C1256" s="5"/>
      <c r="D1256" s="5"/>
      <c r="E1256" s="5"/>
      <c r="F1256" s="5"/>
      <c r="G1256" s="5"/>
      <c r="H1256" s="5"/>
      <c r="I1256" s="5"/>
      <c r="J1256" s="5"/>
      <c r="K1256" s="5"/>
      <c r="L1256" s="5"/>
      <c r="M1256" s="5"/>
      <c r="N1256" s="5"/>
      <c r="O1256" s="5"/>
      <c r="P1256" s="5"/>
      <c r="Q1256" s="5"/>
      <c r="R1256" s="5"/>
      <c r="S1256" s="5"/>
      <c r="T1256" s="5"/>
      <c r="U1256" s="5"/>
      <c r="V1256" s="5"/>
      <c r="W1256" s="5"/>
      <c r="X1256" s="5"/>
      <c r="Y1256" s="5"/>
      <c r="Z1256" s="5"/>
      <c r="AA1256" s="5"/>
      <c r="AB1256" s="6"/>
      <c r="AC1256" s="6"/>
      <c r="AD1256" s="6"/>
      <c r="AE1256" s="6"/>
      <c r="AF1256" s="6"/>
      <c r="AG1256" s="6"/>
      <c r="AH1256" s="6"/>
      <c r="AI1256" s="6"/>
      <c r="AJ1256" s="6"/>
      <c r="AK1256" s="6"/>
      <c r="AL1256" s="6"/>
      <c r="AM1256" s="6"/>
      <c r="AN1256" s="6"/>
      <c r="AO1256" s="6"/>
      <c r="AP1256" s="6"/>
      <c r="AQ1256" s="6"/>
      <c r="AR1256" s="6"/>
      <c r="AS1256" s="6"/>
      <c r="AT1256" s="6"/>
      <c r="AU1256" s="6"/>
      <c r="AV1256" s="6"/>
      <c r="AW1256" s="6"/>
      <c r="AX1256" s="6"/>
      <c r="AY1256" s="6"/>
      <c r="AZ1256" s="6"/>
      <c r="BA1256" s="6"/>
      <c r="BB1256" s="6"/>
      <c r="BC1256" s="6"/>
      <c r="BD1256" s="6"/>
      <c r="BE1256" s="6"/>
      <c r="BF1256" s="6"/>
      <c r="BG1256" s="6"/>
      <c r="BH1256" s="6"/>
      <c r="BI1256" s="6"/>
      <c r="BJ1256" s="6"/>
      <c r="BK1256" s="6"/>
      <c r="BL1256" s="6"/>
      <c r="BM1256" s="6"/>
      <c r="BN1256" s="6"/>
      <c r="BO1256" s="6"/>
      <c r="BP1256" s="6"/>
      <c r="BQ1256" s="6"/>
      <c r="BR1256" s="6"/>
      <c r="BS1256" s="6"/>
      <c r="BT1256" s="6"/>
      <c r="BU1256" s="6"/>
      <c r="BV1256" s="6"/>
      <c r="BW1256" s="6"/>
      <c r="BX1256" s="5"/>
      <c r="BY1256" s="7"/>
      <c r="BZ1256" s="7"/>
      <c r="CA1256" s="7"/>
      <c r="CB1256" s="7"/>
      <c r="CC1256" s="874"/>
    </row>
    <row r="1257" spans="1:81" s="400" customFormat="1" ht="14.25" customHeight="1" x14ac:dyDescent="0.25">
      <c r="A1257" s="5"/>
      <c r="B1257" s="5"/>
      <c r="C1257" s="5"/>
      <c r="D1257" s="5"/>
      <c r="E1257" s="5"/>
      <c r="F1257" s="5"/>
      <c r="G1257" s="5"/>
      <c r="H1257" s="5"/>
      <c r="I1257" s="5"/>
      <c r="J1257" s="5"/>
      <c r="K1257" s="5"/>
      <c r="L1257" s="5"/>
      <c r="M1257" s="5"/>
      <c r="N1257" s="5"/>
      <c r="O1257" s="5"/>
      <c r="P1257" s="5"/>
      <c r="Q1257" s="5"/>
      <c r="R1257" s="5"/>
      <c r="S1257" s="5"/>
      <c r="T1257" s="5"/>
      <c r="U1257" s="5"/>
      <c r="V1257" s="5"/>
      <c r="W1257" s="5"/>
      <c r="X1257" s="5"/>
      <c r="Y1257" s="5"/>
      <c r="Z1257" s="5"/>
      <c r="AA1257" s="5"/>
      <c r="AB1257" s="6"/>
      <c r="AC1257" s="6"/>
      <c r="AD1257" s="6"/>
      <c r="AE1257" s="6"/>
      <c r="AF1257" s="6"/>
      <c r="AG1257" s="6"/>
      <c r="AH1257" s="6"/>
      <c r="AI1257" s="6"/>
      <c r="AJ1257" s="6"/>
      <c r="AK1257" s="6"/>
      <c r="AL1257" s="6"/>
      <c r="AM1257" s="6"/>
      <c r="AN1257" s="6"/>
      <c r="AO1257" s="6"/>
      <c r="AP1257" s="6"/>
      <c r="AQ1257" s="6"/>
      <c r="AR1257" s="6"/>
      <c r="AS1257" s="6"/>
      <c r="AT1257" s="6"/>
      <c r="AU1257" s="6"/>
      <c r="AV1257" s="6"/>
      <c r="AW1257" s="6"/>
      <c r="AX1257" s="6"/>
      <c r="AY1257" s="6"/>
      <c r="AZ1257" s="6"/>
      <c r="BA1257" s="6"/>
      <c r="BB1257" s="6"/>
      <c r="BC1257" s="6"/>
      <c r="BD1257" s="6"/>
      <c r="BE1257" s="6"/>
      <c r="BF1257" s="6"/>
      <c r="BG1257" s="6"/>
      <c r="BH1257" s="6"/>
      <c r="BI1257" s="6"/>
      <c r="BJ1257" s="6"/>
      <c r="BK1257" s="6"/>
      <c r="BL1257" s="6"/>
      <c r="BM1257" s="6"/>
      <c r="BN1257" s="6"/>
      <c r="BO1257" s="6"/>
      <c r="BP1257" s="6"/>
      <c r="BQ1257" s="6"/>
      <c r="BR1257" s="6"/>
      <c r="BS1257" s="6"/>
      <c r="BT1257" s="6"/>
      <c r="BU1257" s="6"/>
      <c r="BV1257" s="6"/>
      <c r="BW1257" s="6"/>
      <c r="BX1257" s="5"/>
      <c r="BY1257" s="7"/>
      <c r="BZ1257" s="7"/>
      <c r="CA1257" s="7"/>
      <c r="CB1257" s="7"/>
      <c r="CC1257" s="874"/>
    </row>
    <row r="1258" spans="1:81" s="400" customFormat="1" ht="14.25" customHeight="1" x14ac:dyDescent="0.25">
      <c r="A1258" s="5"/>
      <c r="B1258" s="5"/>
      <c r="C1258" s="5"/>
      <c r="D1258" s="5"/>
      <c r="E1258" s="5"/>
      <c r="F1258" s="5"/>
      <c r="G1258" s="5"/>
      <c r="H1258" s="5"/>
      <c r="I1258" s="5"/>
      <c r="J1258" s="5"/>
      <c r="K1258" s="5"/>
      <c r="L1258" s="5"/>
      <c r="M1258" s="5"/>
      <c r="N1258" s="5"/>
      <c r="O1258" s="5"/>
      <c r="P1258" s="5"/>
      <c r="Q1258" s="5"/>
      <c r="R1258" s="5"/>
      <c r="S1258" s="5"/>
      <c r="T1258" s="5"/>
      <c r="U1258" s="5"/>
      <c r="V1258" s="5"/>
      <c r="W1258" s="5"/>
      <c r="X1258" s="5"/>
      <c r="Y1258" s="5"/>
      <c r="Z1258" s="5"/>
      <c r="AA1258" s="5"/>
      <c r="AB1258" s="6"/>
      <c r="AC1258" s="6"/>
      <c r="AD1258" s="6"/>
      <c r="AE1258" s="6"/>
      <c r="AF1258" s="6"/>
      <c r="AG1258" s="6"/>
      <c r="AH1258" s="6"/>
      <c r="AI1258" s="6"/>
      <c r="AJ1258" s="6"/>
      <c r="AK1258" s="6"/>
      <c r="AL1258" s="6"/>
      <c r="AM1258" s="6"/>
      <c r="AN1258" s="6"/>
      <c r="AO1258" s="6"/>
      <c r="AP1258" s="6"/>
      <c r="AQ1258" s="6"/>
      <c r="AR1258" s="6"/>
      <c r="AS1258" s="6"/>
      <c r="AT1258" s="6"/>
      <c r="AU1258" s="6"/>
      <c r="AV1258" s="6"/>
      <c r="AW1258" s="6"/>
      <c r="AX1258" s="6"/>
      <c r="AY1258" s="6"/>
      <c r="AZ1258" s="6"/>
      <c r="BA1258" s="6"/>
      <c r="BB1258" s="6"/>
      <c r="BC1258" s="6"/>
      <c r="BD1258" s="6"/>
      <c r="BE1258" s="6"/>
      <c r="BF1258" s="6"/>
      <c r="BG1258" s="6"/>
      <c r="BH1258" s="6"/>
      <c r="BI1258" s="6"/>
      <c r="BJ1258" s="6"/>
      <c r="BK1258" s="6"/>
      <c r="BL1258" s="6"/>
      <c r="BM1258" s="6"/>
      <c r="BN1258" s="6"/>
      <c r="BO1258" s="6"/>
      <c r="BP1258" s="6"/>
      <c r="BQ1258" s="6"/>
      <c r="BR1258" s="6"/>
      <c r="BS1258" s="6"/>
      <c r="BT1258" s="6"/>
      <c r="BU1258" s="6"/>
      <c r="BV1258" s="6"/>
      <c r="BW1258" s="6"/>
      <c r="BX1258" s="5"/>
      <c r="BY1258" s="7"/>
      <c r="BZ1258" s="7"/>
      <c r="CA1258" s="7"/>
      <c r="CB1258" s="7"/>
      <c r="CC1258" s="874"/>
    </row>
    <row r="1259" spans="1:81" s="400" customFormat="1" ht="14.25" customHeight="1" x14ac:dyDescent="0.25">
      <c r="A1259" s="5"/>
      <c r="B1259" s="5"/>
      <c r="C1259" s="5"/>
      <c r="D1259" s="5"/>
      <c r="E1259" s="5"/>
      <c r="F1259" s="5"/>
      <c r="G1259" s="5"/>
      <c r="H1259" s="5"/>
      <c r="I1259" s="5"/>
      <c r="J1259" s="5"/>
      <c r="K1259" s="5"/>
      <c r="L1259" s="5"/>
      <c r="M1259" s="5"/>
      <c r="N1259" s="5"/>
      <c r="O1259" s="5"/>
      <c r="P1259" s="5"/>
      <c r="Q1259" s="5"/>
      <c r="R1259" s="5"/>
      <c r="S1259" s="5"/>
      <c r="T1259" s="5"/>
      <c r="U1259" s="5"/>
      <c r="V1259" s="5"/>
      <c r="W1259" s="5"/>
      <c r="X1259" s="5"/>
      <c r="Y1259" s="5"/>
      <c r="Z1259" s="5"/>
      <c r="AA1259" s="5"/>
      <c r="AB1259" s="6"/>
      <c r="AC1259" s="6"/>
      <c r="AD1259" s="6"/>
      <c r="AE1259" s="6"/>
      <c r="AF1259" s="6"/>
      <c r="AG1259" s="6"/>
      <c r="AH1259" s="6"/>
      <c r="AI1259" s="6"/>
      <c r="AJ1259" s="6"/>
      <c r="AK1259" s="6"/>
      <c r="AL1259" s="6"/>
      <c r="AM1259" s="6"/>
      <c r="AN1259" s="6"/>
      <c r="AO1259" s="6"/>
      <c r="AP1259" s="6"/>
      <c r="AQ1259" s="6"/>
      <c r="AR1259" s="6"/>
      <c r="AS1259" s="6"/>
      <c r="AT1259" s="6"/>
      <c r="AU1259" s="6"/>
      <c r="AV1259" s="6"/>
      <c r="AW1259" s="6"/>
      <c r="AX1259" s="6"/>
      <c r="AY1259" s="6"/>
      <c r="AZ1259" s="6"/>
      <c r="BA1259" s="6"/>
      <c r="BB1259" s="6"/>
      <c r="BC1259" s="6"/>
      <c r="BD1259" s="6"/>
      <c r="BE1259" s="6"/>
      <c r="BF1259" s="6"/>
      <c r="BG1259" s="6"/>
      <c r="BH1259" s="6"/>
      <c r="BI1259" s="6"/>
      <c r="BJ1259" s="6"/>
      <c r="BK1259" s="6"/>
      <c r="BL1259" s="6"/>
      <c r="BM1259" s="6"/>
      <c r="BN1259" s="6"/>
      <c r="BO1259" s="6"/>
      <c r="BP1259" s="6"/>
      <c r="BQ1259" s="6"/>
      <c r="BR1259" s="6"/>
      <c r="BS1259" s="6"/>
      <c r="BT1259" s="6"/>
      <c r="BU1259" s="6"/>
      <c r="BV1259" s="6"/>
      <c r="BW1259" s="6"/>
      <c r="BX1259" s="5"/>
      <c r="BY1259" s="7"/>
      <c r="BZ1259" s="7"/>
      <c r="CA1259" s="7"/>
      <c r="CB1259" s="7"/>
      <c r="CC1259" s="874"/>
    </row>
    <row r="1260" spans="1:81" s="400" customFormat="1" ht="14.25" customHeight="1" x14ac:dyDescent="0.25">
      <c r="A1260" s="5"/>
      <c r="B1260" s="5"/>
      <c r="C1260" s="5"/>
      <c r="D1260" s="5"/>
      <c r="E1260" s="5"/>
      <c r="F1260" s="5"/>
      <c r="G1260" s="5"/>
      <c r="H1260" s="5"/>
      <c r="I1260" s="5"/>
      <c r="J1260" s="5"/>
      <c r="K1260" s="5"/>
      <c r="L1260" s="5"/>
      <c r="M1260" s="5"/>
      <c r="N1260" s="5"/>
      <c r="O1260" s="5"/>
      <c r="P1260" s="5"/>
      <c r="Q1260" s="5"/>
      <c r="R1260" s="5"/>
      <c r="S1260" s="5"/>
      <c r="T1260" s="5"/>
      <c r="U1260" s="5"/>
      <c r="V1260" s="5"/>
      <c r="W1260" s="5"/>
      <c r="X1260" s="5"/>
      <c r="Y1260" s="5"/>
      <c r="Z1260" s="5"/>
      <c r="AA1260" s="5"/>
      <c r="AB1260" s="6"/>
      <c r="AC1260" s="6"/>
      <c r="AD1260" s="6"/>
      <c r="AE1260" s="6"/>
      <c r="AF1260" s="6"/>
      <c r="AG1260" s="6"/>
      <c r="AH1260" s="6"/>
      <c r="AI1260" s="6"/>
      <c r="AJ1260" s="6"/>
      <c r="AK1260" s="6"/>
      <c r="AL1260" s="6"/>
      <c r="AM1260" s="6"/>
      <c r="AN1260" s="6"/>
      <c r="AO1260" s="6"/>
      <c r="AP1260" s="6"/>
      <c r="AQ1260" s="6"/>
      <c r="AR1260" s="6"/>
      <c r="AS1260" s="6"/>
      <c r="AT1260" s="6"/>
      <c r="AU1260" s="6"/>
      <c r="AV1260" s="6"/>
      <c r="AW1260" s="6"/>
      <c r="AX1260" s="6"/>
      <c r="AY1260" s="6"/>
      <c r="AZ1260" s="6"/>
      <c r="BA1260" s="6"/>
      <c r="BB1260" s="6"/>
      <c r="BC1260" s="6"/>
      <c r="BD1260" s="6"/>
      <c r="BE1260" s="6"/>
      <c r="BF1260" s="6"/>
      <c r="BG1260" s="6"/>
      <c r="BH1260" s="6"/>
      <c r="BI1260" s="6"/>
      <c r="BJ1260" s="6"/>
      <c r="BK1260" s="6"/>
      <c r="BL1260" s="6"/>
      <c r="BM1260" s="6"/>
      <c r="BN1260" s="6"/>
      <c r="BO1260" s="6"/>
      <c r="BP1260" s="6"/>
      <c r="BQ1260" s="6"/>
      <c r="BR1260" s="6"/>
      <c r="BS1260" s="6"/>
      <c r="BT1260" s="6"/>
      <c r="BU1260" s="6"/>
      <c r="BV1260" s="6"/>
      <c r="BW1260" s="6"/>
      <c r="BX1260" s="5"/>
      <c r="BY1260" s="7"/>
      <c r="BZ1260" s="7"/>
      <c r="CA1260" s="7"/>
      <c r="CB1260" s="7"/>
      <c r="CC1260" s="874"/>
    </row>
    <row r="1261" spans="1:81" s="400" customFormat="1" ht="14.25" customHeight="1" x14ac:dyDescent="0.25">
      <c r="A1261" s="5"/>
      <c r="B1261" s="5"/>
      <c r="C1261" s="5"/>
      <c r="D1261" s="5"/>
      <c r="E1261" s="5"/>
      <c r="F1261" s="5"/>
      <c r="G1261" s="5"/>
      <c r="H1261" s="5"/>
      <c r="I1261" s="5"/>
      <c r="J1261" s="5"/>
      <c r="K1261" s="5"/>
      <c r="L1261" s="5"/>
      <c r="M1261" s="5"/>
      <c r="N1261" s="5"/>
      <c r="O1261" s="5"/>
      <c r="P1261" s="5"/>
      <c r="Q1261" s="5"/>
      <c r="R1261" s="5"/>
      <c r="S1261" s="5"/>
      <c r="T1261" s="5"/>
      <c r="U1261" s="5"/>
      <c r="V1261" s="5"/>
      <c r="W1261" s="5"/>
      <c r="X1261" s="5"/>
      <c r="Y1261" s="5"/>
      <c r="Z1261" s="5"/>
      <c r="AA1261" s="5"/>
      <c r="AB1261" s="6"/>
      <c r="AC1261" s="6"/>
      <c r="AD1261" s="6"/>
      <c r="AE1261" s="6"/>
      <c r="AF1261" s="6"/>
      <c r="AG1261" s="6"/>
      <c r="AH1261" s="6"/>
      <c r="AI1261" s="6"/>
      <c r="AJ1261" s="6"/>
      <c r="AK1261" s="6"/>
      <c r="AL1261" s="6"/>
      <c r="AM1261" s="6"/>
      <c r="AN1261" s="6"/>
      <c r="AO1261" s="6"/>
      <c r="AP1261" s="6"/>
      <c r="AQ1261" s="6"/>
      <c r="AR1261" s="6"/>
      <c r="AS1261" s="6"/>
      <c r="AT1261" s="6"/>
      <c r="AU1261" s="6"/>
      <c r="AV1261" s="6"/>
      <c r="AW1261" s="6"/>
      <c r="AX1261" s="6"/>
      <c r="AY1261" s="6"/>
      <c r="AZ1261" s="6"/>
      <c r="BA1261" s="6"/>
      <c r="BB1261" s="6"/>
      <c r="BC1261" s="6"/>
      <c r="BD1261" s="6"/>
      <c r="BE1261" s="6"/>
      <c r="BF1261" s="6"/>
      <c r="BG1261" s="6"/>
      <c r="BH1261" s="6"/>
      <c r="BI1261" s="6"/>
      <c r="BJ1261" s="6"/>
      <c r="BK1261" s="6"/>
      <c r="BL1261" s="6"/>
      <c r="BM1261" s="6"/>
      <c r="BN1261" s="6"/>
      <c r="BO1261" s="6"/>
      <c r="BP1261" s="6"/>
      <c r="BQ1261" s="6"/>
      <c r="BR1261" s="6"/>
      <c r="BS1261" s="6"/>
      <c r="BT1261" s="6"/>
      <c r="BU1261" s="6"/>
      <c r="BV1261" s="6"/>
      <c r="BW1261" s="6"/>
      <c r="BX1261" s="5"/>
      <c r="BY1261" s="7"/>
      <c r="BZ1261" s="7"/>
      <c r="CA1261" s="7"/>
      <c r="CB1261" s="7"/>
      <c r="CC1261" s="874"/>
    </row>
    <row r="1262" spans="1:81" s="400" customFormat="1" ht="14.25" customHeight="1" x14ac:dyDescent="0.25">
      <c r="A1262" s="5"/>
      <c r="B1262" s="5"/>
      <c r="C1262" s="5"/>
      <c r="D1262" s="5"/>
      <c r="E1262" s="5"/>
      <c r="F1262" s="5"/>
      <c r="G1262" s="5"/>
      <c r="H1262" s="5"/>
      <c r="I1262" s="5"/>
      <c r="J1262" s="5"/>
      <c r="K1262" s="5"/>
      <c r="L1262" s="5"/>
      <c r="M1262" s="5"/>
      <c r="N1262" s="5"/>
      <c r="O1262" s="5"/>
      <c r="P1262" s="5"/>
      <c r="Q1262" s="5"/>
      <c r="R1262" s="5"/>
      <c r="S1262" s="5"/>
      <c r="T1262" s="5"/>
      <c r="U1262" s="5"/>
      <c r="V1262" s="5"/>
      <c r="W1262" s="5"/>
      <c r="X1262" s="5"/>
      <c r="Y1262" s="5"/>
      <c r="Z1262" s="5"/>
      <c r="AA1262" s="5"/>
      <c r="AB1262" s="6"/>
      <c r="AC1262" s="6"/>
      <c r="AD1262" s="6"/>
      <c r="AE1262" s="6"/>
      <c r="AF1262" s="6"/>
      <c r="AG1262" s="6"/>
      <c r="AH1262" s="6"/>
      <c r="AI1262" s="6"/>
      <c r="AJ1262" s="6"/>
      <c r="AK1262" s="6"/>
      <c r="AL1262" s="6"/>
      <c r="AM1262" s="6"/>
      <c r="AN1262" s="6"/>
      <c r="AO1262" s="6"/>
      <c r="AP1262" s="6"/>
      <c r="AQ1262" s="6"/>
      <c r="AR1262" s="6"/>
      <c r="AS1262" s="6"/>
      <c r="AT1262" s="6"/>
      <c r="AU1262" s="6"/>
      <c r="AV1262" s="6"/>
      <c r="AW1262" s="6"/>
      <c r="AX1262" s="6"/>
      <c r="AY1262" s="6"/>
      <c r="AZ1262" s="6"/>
      <c r="BA1262" s="6"/>
      <c r="BB1262" s="6"/>
      <c r="BC1262" s="6"/>
      <c r="BD1262" s="6"/>
      <c r="BE1262" s="6"/>
      <c r="BF1262" s="6"/>
      <c r="BG1262" s="6"/>
      <c r="BH1262" s="6"/>
      <c r="BI1262" s="6"/>
      <c r="BJ1262" s="6"/>
      <c r="BK1262" s="6"/>
      <c r="BL1262" s="6"/>
      <c r="BM1262" s="6"/>
      <c r="BN1262" s="6"/>
      <c r="BO1262" s="6"/>
      <c r="BP1262" s="6"/>
      <c r="BQ1262" s="6"/>
      <c r="BR1262" s="6"/>
      <c r="BS1262" s="6"/>
      <c r="BT1262" s="6"/>
      <c r="BU1262" s="6"/>
      <c r="BV1262" s="6"/>
      <c r="BW1262" s="6"/>
      <c r="BX1262" s="5"/>
      <c r="BY1262" s="7"/>
      <c r="BZ1262" s="7"/>
      <c r="CA1262" s="7"/>
      <c r="CB1262" s="7"/>
      <c r="CC1262" s="874"/>
    </row>
    <row r="1263" spans="1:81" s="400" customFormat="1" ht="14.25" customHeight="1" x14ac:dyDescent="0.25">
      <c r="A1263" s="5"/>
      <c r="B1263" s="5"/>
      <c r="C1263" s="5"/>
      <c r="D1263" s="5"/>
      <c r="E1263" s="5"/>
      <c r="F1263" s="5"/>
      <c r="G1263" s="5"/>
      <c r="H1263" s="5"/>
      <c r="I1263" s="5"/>
      <c r="J1263" s="5"/>
      <c r="K1263" s="5"/>
      <c r="L1263" s="5"/>
      <c r="M1263" s="5"/>
      <c r="N1263" s="5"/>
      <c r="O1263" s="5"/>
      <c r="P1263" s="5"/>
      <c r="Q1263" s="5"/>
      <c r="R1263" s="5"/>
      <c r="S1263" s="5"/>
      <c r="T1263" s="5"/>
      <c r="U1263" s="5"/>
      <c r="V1263" s="5"/>
      <c r="W1263" s="5"/>
      <c r="X1263" s="5"/>
      <c r="Y1263" s="5"/>
      <c r="Z1263" s="5"/>
      <c r="AA1263" s="5"/>
      <c r="AB1263" s="6"/>
      <c r="AC1263" s="6"/>
      <c r="AD1263" s="6"/>
      <c r="AE1263" s="6"/>
      <c r="AF1263" s="6"/>
      <c r="AG1263" s="6"/>
      <c r="AH1263" s="6"/>
      <c r="AI1263" s="6"/>
      <c r="AJ1263" s="6"/>
      <c r="AK1263" s="6"/>
      <c r="AL1263" s="6"/>
      <c r="AM1263" s="6"/>
      <c r="AN1263" s="6"/>
      <c r="AO1263" s="6"/>
      <c r="AP1263" s="6"/>
      <c r="AQ1263" s="6"/>
      <c r="AR1263" s="6"/>
      <c r="AS1263" s="6"/>
      <c r="AT1263" s="6"/>
      <c r="AU1263" s="6"/>
      <c r="AV1263" s="6"/>
      <c r="AW1263" s="6"/>
      <c r="AX1263" s="6"/>
      <c r="AY1263" s="6"/>
      <c r="AZ1263" s="6"/>
      <c r="BA1263" s="6"/>
      <c r="BB1263" s="6"/>
      <c r="BC1263" s="6"/>
      <c r="BD1263" s="6"/>
      <c r="BE1263" s="6"/>
      <c r="BF1263" s="6"/>
      <c r="BG1263" s="6"/>
      <c r="BH1263" s="6"/>
      <c r="BI1263" s="6"/>
      <c r="BJ1263" s="6"/>
      <c r="BK1263" s="6"/>
      <c r="BL1263" s="6"/>
      <c r="BM1263" s="6"/>
      <c r="BN1263" s="6"/>
      <c r="BO1263" s="6"/>
      <c r="BP1263" s="6"/>
      <c r="BQ1263" s="6"/>
      <c r="BR1263" s="6"/>
      <c r="BS1263" s="6"/>
      <c r="BT1263" s="6"/>
      <c r="BU1263" s="6"/>
      <c r="BV1263" s="6"/>
      <c r="BW1263" s="6"/>
      <c r="BX1263" s="5"/>
      <c r="BY1263" s="7"/>
      <c r="BZ1263" s="7"/>
      <c r="CA1263" s="7"/>
      <c r="CB1263" s="7"/>
      <c r="CC1263" s="874"/>
    </row>
    <row r="1264" spans="1:81" s="400" customFormat="1" ht="14.25" customHeight="1" x14ac:dyDescent="0.25">
      <c r="A1264" s="5"/>
      <c r="B1264" s="5"/>
      <c r="C1264" s="5"/>
      <c r="D1264" s="5"/>
      <c r="E1264" s="5"/>
      <c r="F1264" s="5"/>
      <c r="G1264" s="5"/>
      <c r="H1264" s="5"/>
      <c r="I1264" s="5"/>
      <c r="J1264" s="5"/>
      <c r="K1264" s="5"/>
      <c r="L1264" s="5"/>
      <c r="M1264" s="5"/>
      <c r="N1264" s="5"/>
      <c r="O1264" s="5"/>
      <c r="P1264" s="5"/>
      <c r="Q1264" s="5"/>
      <c r="R1264" s="5"/>
      <c r="S1264" s="5"/>
      <c r="T1264" s="5"/>
      <c r="U1264" s="5"/>
      <c r="V1264" s="5"/>
      <c r="W1264" s="5"/>
      <c r="X1264" s="5"/>
      <c r="Y1264" s="5"/>
      <c r="Z1264" s="5"/>
      <c r="AA1264" s="5"/>
      <c r="AB1264" s="6"/>
      <c r="AC1264" s="6"/>
      <c r="AD1264" s="6"/>
      <c r="AE1264" s="6"/>
      <c r="AF1264" s="6"/>
      <c r="AG1264" s="6"/>
      <c r="AH1264" s="6"/>
      <c r="AI1264" s="6"/>
      <c r="AJ1264" s="6"/>
      <c r="AK1264" s="6"/>
      <c r="AL1264" s="6"/>
      <c r="AM1264" s="6"/>
      <c r="AN1264" s="6"/>
      <c r="AO1264" s="6"/>
      <c r="AP1264" s="6"/>
      <c r="AQ1264" s="6"/>
      <c r="AR1264" s="6"/>
      <c r="AS1264" s="6"/>
      <c r="AT1264" s="6"/>
      <c r="AU1264" s="6"/>
      <c r="AV1264" s="6"/>
      <c r="AW1264" s="6"/>
      <c r="AX1264" s="6"/>
      <c r="AY1264" s="6"/>
      <c r="AZ1264" s="6"/>
      <c r="BA1264" s="6"/>
      <c r="BB1264" s="6"/>
      <c r="BC1264" s="6"/>
      <c r="BD1264" s="6"/>
      <c r="BE1264" s="6"/>
      <c r="BF1264" s="6"/>
      <c r="BG1264" s="6"/>
      <c r="BH1264" s="6"/>
      <c r="BI1264" s="6"/>
      <c r="BJ1264" s="6"/>
      <c r="BK1264" s="6"/>
      <c r="BL1264" s="6"/>
      <c r="BM1264" s="6"/>
      <c r="BN1264" s="6"/>
      <c r="BO1264" s="6"/>
      <c r="BP1264" s="6"/>
      <c r="BQ1264" s="6"/>
      <c r="BR1264" s="6"/>
      <c r="BS1264" s="6"/>
      <c r="BT1264" s="6"/>
      <c r="BU1264" s="6"/>
      <c r="BV1264" s="6"/>
      <c r="BW1264" s="6"/>
      <c r="BX1264" s="5"/>
      <c r="BY1264" s="7"/>
      <c r="BZ1264" s="7"/>
      <c r="CA1264" s="7"/>
      <c r="CB1264" s="7"/>
      <c r="CC1264" s="874"/>
    </row>
    <row r="1265" spans="1:81" s="400" customFormat="1" ht="14.25" customHeight="1" x14ac:dyDescent="0.25">
      <c r="A1265" s="5"/>
      <c r="B1265" s="5"/>
      <c r="C1265" s="5"/>
      <c r="D1265" s="5"/>
      <c r="E1265" s="5"/>
      <c r="F1265" s="5"/>
      <c r="G1265" s="5"/>
      <c r="H1265" s="5"/>
      <c r="I1265" s="5"/>
      <c r="J1265" s="5"/>
      <c r="K1265" s="5"/>
      <c r="L1265" s="5"/>
      <c r="M1265" s="5"/>
      <c r="N1265" s="5"/>
      <c r="O1265" s="5"/>
      <c r="P1265" s="5"/>
      <c r="Q1265" s="5"/>
      <c r="R1265" s="5"/>
      <c r="S1265" s="5"/>
      <c r="T1265" s="5"/>
      <c r="U1265" s="5"/>
      <c r="V1265" s="5"/>
      <c r="W1265" s="5"/>
      <c r="X1265" s="5"/>
      <c r="Y1265" s="5"/>
      <c r="Z1265" s="5"/>
      <c r="AA1265" s="5"/>
      <c r="AB1265" s="6"/>
      <c r="AC1265" s="6"/>
      <c r="AD1265" s="6"/>
      <c r="AE1265" s="6"/>
      <c r="AF1265" s="6"/>
      <c r="AG1265" s="6"/>
      <c r="AH1265" s="6"/>
      <c r="AI1265" s="6"/>
      <c r="AJ1265" s="6"/>
      <c r="AK1265" s="6"/>
      <c r="AL1265" s="6"/>
      <c r="AM1265" s="6"/>
      <c r="AN1265" s="6"/>
      <c r="AO1265" s="6"/>
      <c r="AP1265" s="6"/>
      <c r="AQ1265" s="6"/>
      <c r="AR1265" s="6"/>
      <c r="AS1265" s="6"/>
      <c r="AT1265" s="6"/>
      <c r="AU1265" s="6"/>
      <c r="AV1265" s="6"/>
      <c r="AW1265" s="6"/>
      <c r="AX1265" s="6"/>
      <c r="AY1265" s="6"/>
      <c r="AZ1265" s="6"/>
      <c r="BA1265" s="6"/>
      <c r="BB1265" s="6"/>
      <c r="BC1265" s="6"/>
      <c r="BD1265" s="6"/>
      <c r="BE1265" s="6"/>
      <c r="BF1265" s="6"/>
      <c r="BG1265" s="6"/>
      <c r="BH1265" s="6"/>
      <c r="BI1265" s="6"/>
      <c r="BJ1265" s="6"/>
      <c r="BK1265" s="6"/>
      <c r="BL1265" s="6"/>
      <c r="BM1265" s="6"/>
      <c r="BN1265" s="6"/>
      <c r="BO1265" s="6"/>
      <c r="BP1265" s="6"/>
      <c r="BQ1265" s="6"/>
      <c r="BR1265" s="6"/>
      <c r="BS1265" s="6"/>
      <c r="BT1265" s="6"/>
      <c r="BU1265" s="6"/>
      <c r="BV1265" s="6"/>
      <c r="BW1265" s="6"/>
      <c r="BX1265" s="5"/>
      <c r="BY1265" s="7"/>
      <c r="BZ1265" s="7"/>
      <c r="CA1265" s="7"/>
      <c r="CB1265" s="7"/>
      <c r="CC1265" s="874"/>
    </row>
    <row r="1266" spans="1:81" s="400" customFormat="1" ht="14.25" customHeight="1" x14ac:dyDescent="0.25">
      <c r="A1266" s="5"/>
      <c r="B1266" s="5"/>
      <c r="C1266" s="5"/>
      <c r="D1266" s="5"/>
      <c r="E1266" s="5"/>
      <c r="F1266" s="5"/>
      <c r="G1266" s="5"/>
      <c r="H1266" s="5"/>
      <c r="I1266" s="5"/>
      <c r="J1266" s="5"/>
      <c r="K1266" s="5"/>
      <c r="L1266" s="5"/>
      <c r="M1266" s="5"/>
      <c r="N1266" s="5"/>
      <c r="O1266" s="5"/>
      <c r="P1266" s="5"/>
      <c r="Q1266" s="5"/>
      <c r="R1266" s="5"/>
      <c r="S1266" s="5"/>
      <c r="T1266" s="5"/>
      <c r="U1266" s="5"/>
      <c r="V1266" s="5"/>
      <c r="W1266" s="5"/>
      <c r="X1266" s="5"/>
      <c r="Y1266" s="5"/>
      <c r="Z1266" s="5"/>
      <c r="AA1266" s="5"/>
      <c r="AB1266" s="6"/>
      <c r="AC1266" s="6"/>
      <c r="AD1266" s="6"/>
      <c r="AE1266" s="6"/>
      <c r="AF1266" s="6"/>
      <c r="AG1266" s="6"/>
      <c r="AH1266" s="6"/>
      <c r="AI1266" s="6"/>
      <c r="AJ1266" s="6"/>
      <c r="AK1266" s="6"/>
      <c r="AL1266" s="6"/>
      <c r="AM1266" s="6"/>
      <c r="AN1266" s="6"/>
      <c r="AO1266" s="6"/>
      <c r="AP1266" s="6"/>
      <c r="AQ1266" s="6"/>
      <c r="AR1266" s="6"/>
      <c r="AS1266" s="6"/>
      <c r="AT1266" s="6"/>
      <c r="AU1266" s="6"/>
      <c r="AV1266" s="6"/>
      <c r="AW1266" s="6"/>
      <c r="AX1266" s="6"/>
      <c r="AY1266" s="6"/>
      <c r="AZ1266" s="6"/>
      <c r="BA1266" s="6"/>
      <c r="BB1266" s="6"/>
      <c r="BC1266" s="6"/>
      <c r="BD1266" s="6"/>
      <c r="BE1266" s="6"/>
      <c r="BF1266" s="6"/>
      <c r="BG1266" s="6"/>
      <c r="BH1266" s="6"/>
      <c r="BI1266" s="6"/>
      <c r="BJ1266" s="6"/>
      <c r="BK1266" s="6"/>
      <c r="BL1266" s="6"/>
      <c r="BM1266" s="6"/>
      <c r="BN1266" s="6"/>
      <c r="BO1266" s="6"/>
      <c r="BP1266" s="6"/>
      <c r="BQ1266" s="6"/>
      <c r="BR1266" s="6"/>
      <c r="BS1266" s="6"/>
      <c r="BT1266" s="6"/>
      <c r="BU1266" s="6"/>
      <c r="BV1266" s="6"/>
      <c r="BW1266" s="6"/>
      <c r="BX1266" s="5"/>
      <c r="BY1266" s="7"/>
      <c r="BZ1266" s="7"/>
      <c r="CA1266" s="7"/>
      <c r="CB1266" s="7"/>
      <c r="CC1266" s="874"/>
    </row>
    <row r="1267" spans="1:81" s="400" customFormat="1" ht="14.25" customHeight="1" x14ac:dyDescent="0.25">
      <c r="A1267" s="5"/>
      <c r="B1267" s="5"/>
      <c r="C1267" s="5"/>
      <c r="D1267" s="5"/>
      <c r="E1267" s="5"/>
      <c r="F1267" s="5"/>
      <c r="G1267" s="5"/>
      <c r="H1267" s="5"/>
      <c r="I1267" s="5"/>
      <c r="J1267" s="5"/>
      <c r="K1267" s="5"/>
      <c r="L1267" s="5"/>
      <c r="M1267" s="5"/>
      <c r="N1267" s="5"/>
      <c r="O1267" s="5"/>
      <c r="P1267" s="5"/>
      <c r="Q1267" s="5"/>
      <c r="R1267" s="5"/>
      <c r="S1267" s="5"/>
      <c r="T1267" s="5"/>
      <c r="U1267" s="5"/>
      <c r="V1267" s="5"/>
      <c r="W1267" s="5"/>
      <c r="X1267" s="5"/>
      <c r="Y1267" s="5"/>
      <c r="Z1267" s="5"/>
      <c r="AA1267" s="5"/>
      <c r="AB1267" s="6"/>
      <c r="AC1267" s="6"/>
      <c r="AD1267" s="6"/>
      <c r="AE1267" s="6"/>
      <c r="AF1267" s="6"/>
      <c r="AG1267" s="6"/>
      <c r="AH1267" s="6"/>
      <c r="AI1267" s="6"/>
      <c r="AJ1267" s="6"/>
      <c r="AK1267" s="6"/>
      <c r="AL1267" s="6"/>
      <c r="AM1267" s="6"/>
      <c r="AN1267" s="6"/>
      <c r="AO1267" s="6"/>
      <c r="AP1267" s="6"/>
      <c r="AQ1267" s="6"/>
      <c r="AR1267" s="6"/>
      <c r="AS1267" s="6"/>
      <c r="AT1267" s="6"/>
      <c r="AU1267" s="6"/>
      <c r="AV1267" s="6"/>
      <c r="AW1267" s="6"/>
      <c r="AX1267" s="6"/>
      <c r="AY1267" s="6"/>
      <c r="AZ1267" s="6"/>
      <c r="BA1267" s="6"/>
      <c r="BB1267" s="6"/>
      <c r="BC1267" s="6"/>
      <c r="BD1267" s="6"/>
      <c r="BE1267" s="6"/>
      <c r="BF1267" s="6"/>
      <c r="BG1267" s="6"/>
      <c r="BH1267" s="6"/>
      <c r="BI1267" s="6"/>
      <c r="BJ1267" s="6"/>
      <c r="BK1267" s="6"/>
      <c r="BL1267" s="6"/>
      <c r="BM1267" s="6"/>
      <c r="BN1267" s="6"/>
      <c r="BO1267" s="6"/>
      <c r="BP1267" s="6"/>
      <c r="BQ1267" s="6"/>
      <c r="BR1267" s="6"/>
      <c r="BS1267" s="6"/>
      <c r="BT1267" s="6"/>
      <c r="BU1267" s="6"/>
      <c r="BV1267" s="6"/>
      <c r="BW1267" s="6"/>
      <c r="BX1267" s="5"/>
      <c r="BY1267" s="7"/>
      <c r="BZ1267" s="7"/>
      <c r="CA1267" s="7"/>
      <c r="CB1267" s="7"/>
      <c r="CC1267" s="874"/>
    </row>
    <row r="1268" spans="1:81" s="400" customFormat="1" ht="14.25" customHeight="1" x14ac:dyDescent="0.25">
      <c r="A1268" s="5"/>
      <c r="B1268" s="5"/>
      <c r="C1268" s="5"/>
      <c r="D1268" s="5"/>
      <c r="E1268" s="5"/>
      <c r="F1268" s="5"/>
      <c r="G1268" s="5"/>
      <c r="H1268" s="5"/>
      <c r="I1268" s="5"/>
      <c r="J1268" s="5"/>
      <c r="K1268" s="5"/>
      <c r="L1268" s="5"/>
      <c r="M1268" s="5"/>
      <c r="N1268" s="5"/>
      <c r="O1268" s="5"/>
      <c r="P1268" s="5"/>
      <c r="Q1268" s="5"/>
      <c r="R1268" s="5"/>
      <c r="S1268" s="5"/>
      <c r="T1268" s="5"/>
      <c r="U1268" s="5"/>
      <c r="V1268" s="5"/>
      <c r="W1268" s="5"/>
      <c r="X1268" s="5"/>
      <c r="Y1268" s="5"/>
      <c r="Z1268" s="5"/>
      <c r="AA1268" s="5"/>
      <c r="AB1268" s="6"/>
      <c r="AC1268" s="6"/>
      <c r="AD1268" s="6"/>
      <c r="AE1268" s="6"/>
      <c r="AF1268" s="6"/>
      <c r="AG1268" s="6"/>
      <c r="AH1268" s="6"/>
      <c r="AI1268" s="6"/>
      <c r="AJ1268" s="6"/>
      <c r="AK1268" s="6"/>
      <c r="AL1268" s="6"/>
      <c r="AM1268" s="6"/>
      <c r="AN1268" s="6"/>
      <c r="AO1268" s="6"/>
      <c r="AP1268" s="6"/>
      <c r="AQ1268" s="6"/>
      <c r="AR1268" s="6"/>
      <c r="AS1268" s="6"/>
      <c r="AT1268" s="6"/>
      <c r="AU1268" s="6"/>
      <c r="AV1268" s="6"/>
      <c r="AW1268" s="6"/>
      <c r="AX1268" s="6"/>
      <c r="AY1268" s="6"/>
      <c r="AZ1268" s="6"/>
      <c r="BA1268" s="6"/>
      <c r="BB1268" s="6"/>
      <c r="BC1268" s="6"/>
      <c r="BD1268" s="6"/>
      <c r="BE1268" s="6"/>
      <c r="BF1268" s="6"/>
      <c r="BG1268" s="6"/>
      <c r="BH1268" s="6"/>
      <c r="BI1268" s="6"/>
      <c r="BJ1268" s="6"/>
      <c r="BK1268" s="6"/>
      <c r="BL1268" s="6"/>
      <c r="BM1268" s="6"/>
      <c r="BN1268" s="6"/>
      <c r="BO1268" s="6"/>
      <c r="BP1268" s="6"/>
      <c r="BQ1268" s="6"/>
      <c r="BR1268" s="6"/>
      <c r="BS1268" s="6"/>
      <c r="BT1268" s="6"/>
      <c r="BU1268" s="6"/>
      <c r="BV1268" s="6"/>
      <c r="BW1268" s="6"/>
      <c r="BX1268" s="5"/>
      <c r="BY1268" s="7"/>
      <c r="BZ1268" s="7"/>
      <c r="CA1268" s="7"/>
      <c r="CB1268" s="7"/>
      <c r="CC1268" s="874"/>
    </row>
    <row r="1269" spans="1:81" s="400" customFormat="1" ht="14.25" customHeight="1" x14ac:dyDescent="0.25">
      <c r="A1269" s="5"/>
      <c r="B1269" s="5"/>
      <c r="C1269" s="5"/>
      <c r="D1269" s="5"/>
      <c r="E1269" s="5"/>
      <c r="F1269" s="5"/>
      <c r="G1269" s="5"/>
      <c r="H1269" s="5"/>
      <c r="I1269" s="5"/>
      <c r="J1269" s="5"/>
      <c r="K1269" s="5"/>
      <c r="L1269" s="5"/>
      <c r="M1269" s="5"/>
      <c r="N1269" s="5"/>
      <c r="O1269" s="5"/>
      <c r="P1269" s="5"/>
      <c r="Q1269" s="5"/>
      <c r="R1269" s="5"/>
      <c r="S1269" s="5"/>
      <c r="T1269" s="5"/>
      <c r="U1269" s="5"/>
      <c r="V1269" s="5"/>
      <c r="W1269" s="5"/>
      <c r="X1269" s="5"/>
      <c r="Y1269" s="5"/>
      <c r="Z1269" s="5"/>
      <c r="AA1269" s="5"/>
      <c r="AB1269" s="6"/>
      <c r="AC1269" s="6"/>
      <c r="AD1269" s="6"/>
      <c r="AE1269" s="6"/>
      <c r="AF1269" s="6"/>
      <c r="AG1269" s="6"/>
      <c r="AH1269" s="6"/>
      <c r="AI1269" s="6"/>
      <c r="AJ1269" s="6"/>
      <c r="AK1269" s="6"/>
      <c r="AL1269" s="6"/>
      <c r="AM1269" s="6"/>
      <c r="AN1269" s="6"/>
      <c r="AO1269" s="6"/>
      <c r="AP1269" s="6"/>
      <c r="AQ1269" s="6"/>
      <c r="AR1269" s="6"/>
      <c r="AS1269" s="6"/>
      <c r="AT1269" s="6"/>
      <c r="AU1269" s="6"/>
      <c r="AV1269" s="6"/>
      <c r="AW1269" s="6"/>
      <c r="AX1269" s="6"/>
      <c r="AY1269" s="6"/>
      <c r="AZ1269" s="6"/>
      <c r="BA1269" s="6"/>
      <c r="BB1269" s="6"/>
      <c r="BC1269" s="6"/>
      <c r="BD1269" s="6"/>
      <c r="BE1269" s="6"/>
      <c r="BF1269" s="6"/>
      <c r="BG1269" s="6"/>
      <c r="BH1269" s="6"/>
      <c r="BI1269" s="6"/>
      <c r="BJ1269" s="6"/>
      <c r="BK1269" s="6"/>
      <c r="BL1269" s="6"/>
      <c r="BM1269" s="6"/>
      <c r="BN1269" s="6"/>
      <c r="BO1269" s="6"/>
      <c r="BP1269" s="6"/>
      <c r="BQ1269" s="6"/>
      <c r="BR1269" s="6"/>
      <c r="BS1269" s="6"/>
      <c r="BT1269" s="6"/>
      <c r="BU1269" s="6"/>
      <c r="BV1269" s="6"/>
      <c r="BW1269" s="6"/>
      <c r="BX1269" s="5"/>
      <c r="BY1269" s="7"/>
      <c r="BZ1269" s="7"/>
      <c r="CA1269" s="7"/>
      <c r="CB1269" s="7"/>
      <c r="CC1269" s="874"/>
    </row>
    <row r="1270" spans="1:81" s="400" customFormat="1" ht="14.25" customHeight="1" x14ac:dyDescent="0.25">
      <c r="A1270" s="5"/>
      <c r="B1270" s="5"/>
      <c r="C1270" s="5"/>
      <c r="D1270" s="5"/>
      <c r="E1270" s="5"/>
      <c r="F1270" s="5"/>
      <c r="G1270" s="5"/>
      <c r="H1270" s="5"/>
      <c r="I1270" s="5"/>
      <c r="J1270" s="5"/>
      <c r="K1270" s="5"/>
      <c r="L1270" s="5"/>
      <c r="M1270" s="5"/>
      <c r="N1270" s="5"/>
      <c r="O1270" s="5"/>
      <c r="P1270" s="5"/>
      <c r="Q1270" s="5"/>
      <c r="R1270" s="5"/>
      <c r="S1270" s="5"/>
      <c r="T1270" s="5"/>
      <c r="U1270" s="5"/>
      <c r="V1270" s="5"/>
      <c r="W1270" s="5"/>
      <c r="X1270" s="5"/>
      <c r="Y1270" s="5"/>
      <c r="Z1270" s="5"/>
      <c r="AA1270" s="5"/>
      <c r="AB1270" s="6"/>
      <c r="AC1270" s="6"/>
      <c r="AD1270" s="6"/>
      <c r="AE1270" s="6"/>
      <c r="AF1270" s="6"/>
      <c r="AG1270" s="6"/>
      <c r="AH1270" s="6"/>
      <c r="AI1270" s="6"/>
      <c r="AJ1270" s="6"/>
      <c r="AK1270" s="6"/>
      <c r="AL1270" s="6"/>
      <c r="AM1270" s="6"/>
      <c r="AN1270" s="6"/>
      <c r="AO1270" s="6"/>
      <c r="AP1270" s="6"/>
      <c r="AQ1270" s="6"/>
      <c r="AR1270" s="6"/>
      <c r="AS1270" s="6"/>
      <c r="AT1270" s="6"/>
      <c r="AU1270" s="6"/>
      <c r="AV1270" s="6"/>
      <c r="AW1270" s="6"/>
      <c r="AX1270" s="6"/>
      <c r="AY1270" s="6"/>
      <c r="AZ1270" s="6"/>
      <c r="BA1270" s="6"/>
      <c r="BB1270" s="6"/>
      <c r="BC1270" s="6"/>
      <c r="BD1270" s="6"/>
      <c r="BE1270" s="6"/>
      <c r="BF1270" s="6"/>
      <c r="BG1270" s="6"/>
      <c r="BH1270" s="6"/>
      <c r="BI1270" s="6"/>
      <c r="BJ1270" s="6"/>
      <c r="BK1270" s="6"/>
      <c r="BL1270" s="6"/>
      <c r="BM1270" s="6"/>
      <c r="BN1270" s="6"/>
      <c r="BO1270" s="6"/>
      <c r="BP1270" s="6"/>
      <c r="BQ1270" s="6"/>
      <c r="BR1270" s="6"/>
      <c r="BS1270" s="6"/>
      <c r="BT1270" s="6"/>
      <c r="BU1270" s="6"/>
      <c r="BV1270" s="6"/>
      <c r="BW1270" s="6"/>
      <c r="BX1270" s="5"/>
      <c r="BY1270" s="7"/>
      <c r="BZ1270" s="7"/>
      <c r="CA1270" s="7"/>
      <c r="CB1270" s="7"/>
      <c r="CC1270" s="874"/>
    </row>
    <row r="1271" spans="1:81" s="400" customFormat="1" ht="14.25" customHeight="1" x14ac:dyDescent="0.25">
      <c r="A1271" s="5"/>
      <c r="B1271" s="5"/>
      <c r="C1271" s="5"/>
      <c r="D1271" s="5"/>
      <c r="E1271" s="5"/>
      <c r="F1271" s="5"/>
      <c r="G1271" s="5"/>
      <c r="H1271" s="5"/>
      <c r="I1271" s="5"/>
      <c r="J1271" s="5"/>
      <c r="K1271" s="5"/>
      <c r="L1271" s="5"/>
      <c r="M1271" s="5"/>
      <c r="N1271" s="5"/>
      <c r="O1271" s="5"/>
      <c r="P1271" s="5"/>
      <c r="Q1271" s="5"/>
      <c r="R1271" s="5"/>
      <c r="S1271" s="5"/>
      <c r="T1271" s="5"/>
      <c r="U1271" s="5"/>
      <c r="V1271" s="5"/>
      <c r="W1271" s="5"/>
      <c r="X1271" s="5"/>
      <c r="Y1271" s="5"/>
      <c r="Z1271" s="5"/>
      <c r="AA1271" s="5"/>
      <c r="AB1271" s="6"/>
      <c r="AC1271" s="6"/>
      <c r="AD1271" s="6"/>
      <c r="AE1271" s="6"/>
      <c r="AF1271" s="6"/>
      <c r="AG1271" s="6"/>
      <c r="AH1271" s="6"/>
      <c r="AI1271" s="6"/>
      <c r="AJ1271" s="6"/>
      <c r="AK1271" s="6"/>
      <c r="AL1271" s="6"/>
      <c r="AM1271" s="6"/>
      <c r="AN1271" s="6"/>
      <c r="AO1271" s="6"/>
      <c r="AP1271" s="6"/>
      <c r="AQ1271" s="6"/>
      <c r="AR1271" s="6"/>
      <c r="AS1271" s="6"/>
      <c r="AT1271" s="6"/>
      <c r="AU1271" s="6"/>
      <c r="AV1271" s="6"/>
      <c r="AW1271" s="6"/>
      <c r="AX1271" s="6"/>
      <c r="AY1271" s="6"/>
      <c r="AZ1271" s="6"/>
      <c r="BA1271" s="6"/>
      <c r="BB1271" s="6"/>
      <c r="BC1271" s="6"/>
      <c r="BD1271" s="6"/>
      <c r="BE1271" s="6"/>
      <c r="BF1271" s="6"/>
      <c r="BG1271" s="6"/>
      <c r="BH1271" s="6"/>
      <c r="BI1271" s="6"/>
      <c r="BJ1271" s="6"/>
      <c r="BK1271" s="6"/>
      <c r="BL1271" s="6"/>
      <c r="BM1271" s="6"/>
      <c r="BN1271" s="6"/>
      <c r="BO1271" s="6"/>
      <c r="BP1271" s="6"/>
      <c r="BQ1271" s="6"/>
      <c r="BR1271" s="6"/>
      <c r="BS1271" s="6"/>
      <c r="BT1271" s="6"/>
      <c r="BU1271" s="6"/>
      <c r="BV1271" s="6"/>
      <c r="BW1271" s="6"/>
      <c r="BX1271" s="5"/>
      <c r="BY1271" s="7"/>
      <c r="BZ1271" s="7"/>
      <c r="CA1271" s="7"/>
      <c r="CB1271" s="7"/>
      <c r="CC1271" s="874"/>
    </row>
    <row r="1272" spans="1:81" s="400" customFormat="1" ht="14.25" customHeight="1" x14ac:dyDescent="0.25">
      <c r="A1272" s="5"/>
      <c r="B1272" s="5"/>
      <c r="C1272" s="5"/>
      <c r="D1272" s="5"/>
      <c r="E1272" s="5"/>
      <c r="F1272" s="5"/>
      <c r="G1272" s="5"/>
      <c r="H1272" s="5"/>
      <c r="I1272" s="5"/>
      <c r="J1272" s="5"/>
      <c r="K1272" s="5"/>
      <c r="L1272" s="5"/>
      <c r="M1272" s="5"/>
      <c r="N1272" s="5"/>
      <c r="O1272" s="5"/>
      <c r="P1272" s="5"/>
      <c r="Q1272" s="5"/>
      <c r="R1272" s="5"/>
      <c r="S1272" s="5"/>
      <c r="T1272" s="5"/>
      <c r="U1272" s="5"/>
      <c r="V1272" s="5"/>
      <c r="W1272" s="5"/>
      <c r="X1272" s="5"/>
      <c r="Y1272" s="5"/>
      <c r="Z1272" s="5"/>
      <c r="AA1272" s="5"/>
      <c r="AB1272" s="6"/>
      <c r="AC1272" s="6"/>
      <c r="AD1272" s="6"/>
      <c r="AE1272" s="6"/>
      <c r="AF1272" s="6"/>
      <c r="AG1272" s="6"/>
      <c r="AH1272" s="6"/>
      <c r="AI1272" s="6"/>
      <c r="AJ1272" s="6"/>
      <c r="AK1272" s="6"/>
      <c r="AL1272" s="6"/>
      <c r="AM1272" s="6"/>
      <c r="AN1272" s="6"/>
      <c r="AO1272" s="6"/>
      <c r="AP1272" s="6"/>
      <c r="AQ1272" s="6"/>
      <c r="AR1272" s="6"/>
      <c r="AS1272" s="6"/>
      <c r="AT1272" s="6"/>
      <c r="AU1272" s="6"/>
      <c r="AV1272" s="6"/>
      <c r="AW1272" s="6"/>
      <c r="AX1272" s="6"/>
      <c r="AY1272" s="6"/>
      <c r="AZ1272" s="6"/>
      <c r="BA1272" s="6"/>
      <c r="BB1272" s="6"/>
      <c r="BC1272" s="6"/>
      <c r="BD1272" s="6"/>
      <c r="BE1272" s="6"/>
      <c r="BF1272" s="6"/>
      <c r="BG1272" s="6"/>
      <c r="BH1272" s="6"/>
      <c r="BI1272" s="6"/>
      <c r="BJ1272" s="6"/>
      <c r="BK1272" s="6"/>
      <c r="BL1272" s="6"/>
      <c r="BM1272" s="6"/>
      <c r="BN1272" s="6"/>
      <c r="BO1272" s="6"/>
      <c r="BP1272" s="6"/>
      <c r="BQ1272" s="6"/>
      <c r="BR1272" s="6"/>
      <c r="BS1272" s="6"/>
      <c r="BT1272" s="6"/>
      <c r="BU1272" s="6"/>
      <c r="BV1272" s="6"/>
      <c r="BW1272" s="6"/>
      <c r="BX1272" s="5"/>
      <c r="BY1272" s="7"/>
      <c r="BZ1272" s="7"/>
      <c r="CA1272" s="7"/>
      <c r="CB1272" s="7"/>
      <c r="CC1272" s="874"/>
    </row>
    <row r="1273" spans="1:81" s="400" customFormat="1" ht="14.25" customHeight="1" x14ac:dyDescent="0.25">
      <c r="A1273" s="5"/>
      <c r="B1273" s="5"/>
      <c r="C1273" s="5"/>
      <c r="D1273" s="5"/>
      <c r="E1273" s="5"/>
      <c r="F1273" s="5"/>
      <c r="G1273" s="5"/>
      <c r="H1273" s="5"/>
      <c r="I1273" s="5"/>
      <c r="J1273" s="5"/>
      <c r="K1273" s="5"/>
      <c r="L1273" s="5"/>
      <c r="M1273" s="5"/>
      <c r="N1273" s="5"/>
      <c r="O1273" s="5"/>
      <c r="P1273" s="5"/>
      <c r="Q1273" s="5"/>
      <c r="R1273" s="5"/>
      <c r="S1273" s="5"/>
      <c r="T1273" s="5"/>
      <c r="U1273" s="5"/>
      <c r="V1273" s="5"/>
      <c r="W1273" s="5"/>
      <c r="X1273" s="5"/>
      <c r="Y1273" s="5"/>
      <c r="Z1273" s="5"/>
      <c r="AA1273" s="5"/>
      <c r="AB1273" s="6"/>
      <c r="AC1273" s="6"/>
      <c r="AD1273" s="6"/>
      <c r="AE1273" s="6"/>
      <c r="AF1273" s="6"/>
      <c r="AG1273" s="6"/>
      <c r="AH1273" s="6"/>
      <c r="AI1273" s="6"/>
      <c r="AJ1273" s="6"/>
      <c r="AK1273" s="6"/>
      <c r="AL1273" s="6"/>
      <c r="AM1273" s="6"/>
      <c r="AN1273" s="6"/>
      <c r="AO1273" s="6"/>
      <c r="AP1273" s="6"/>
      <c r="AQ1273" s="6"/>
      <c r="AR1273" s="6"/>
      <c r="AS1273" s="6"/>
      <c r="AT1273" s="6"/>
      <c r="AU1273" s="6"/>
      <c r="AV1273" s="6"/>
      <c r="AW1273" s="6"/>
      <c r="AX1273" s="6"/>
      <c r="AY1273" s="6"/>
      <c r="AZ1273" s="6"/>
      <c r="BA1273" s="6"/>
      <c r="BB1273" s="6"/>
      <c r="BC1273" s="6"/>
      <c r="BD1273" s="6"/>
      <c r="BE1273" s="6"/>
      <c r="BF1273" s="6"/>
      <c r="BG1273" s="6"/>
      <c r="BH1273" s="6"/>
      <c r="BI1273" s="6"/>
      <c r="BJ1273" s="6"/>
      <c r="BK1273" s="6"/>
      <c r="BL1273" s="6"/>
      <c r="BM1273" s="6"/>
      <c r="BN1273" s="6"/>
      <c r="BO1273" s="6"/>
      <c r="BP1273" s="6"/>
      <c r="BQ1273" s="6"/>
      <c r="BR1273" s="6"/>
      <c r="BS1273" s="6"/>
      <c r="BT1273" s="6"/>
      <c r="BU1273" s="6"/>
      <c r="BV1273" s="6"/>
      <c r="BW1273" s="6"/>
      <c r="BX1273" s="5"/>
      <c r="BY1273" s="7"/>
      <c r="BZ1273" s="7"/>
      <c r="CA1273" s="7"/>
      <c r="CB1273" s="7"/>
      <c r="CC1273" s="874"/>
    </row>
    <row r="1274" spans="1:81" s="400" customFormat="1" ht="14.25" customHeight="1" x14ac:dyDescent="0.25">
      <c r="A1274" s="5"/>
      <c r="B1274" s="5"/>
      <c r="C1274" s="5"/>
      <c r="D1274" s="5"/>
      <c r="E1274" s="5"/>
      <c r="F1274" s="5"/>
      <c r="G1274" s="5"/>
      <c r="H1274" s="5"/>
      <c r="I1274" s="5"/>
      <c r="J1274" s="5"/>
      <c r="K1274" s="5"/>
      <c r="L1274" s="5"/>
      <c r="M1274" s="5"/>
      <c r="N1274" s="5"/>
      <c r="O1274" s="5"/>
      <c r="P1274" s="5"/>
      <c r="Q1274" s="5"/>
      <c r="R1274" s="5"/>
      <c r="S1274" s="5"/>
      <c r="T1274" s="5"/>
      <c r="U1274" s="5"/>
      <c r="V1274" s="5"/>
      <c r="W1274" s="5"/>
      <c r="X1274" s="5"/>
      <c r="Y1274" s="5"/>
      <c r="Z1274" s="5"/>
      <c r="AA1274" s="5"/>
      <c r="AB1274" s="6"/>
      <c r="AC1274" s="6"/>
      <c r="AD1274" s="6"/>
      <c r="AE1274" s="6"/>
      <c r="AF1274" s="6"/>
      <c r="AG1274" s="6"/>
      <c r="AH1274" s="6"/>
      <c r="AI1274" s="6"/>
      <c r="AJ1274" s="6"/>
      <c r="AK1274" s="6"/>
      <c r="AL1274" s="6"/>
      <c r="AM1274" s="6"/>
      <c r="AN1274" s="6"/>
      <c r="AO1274" s="6"/>
      <c r="AP1274" s="6"/>
      <c r="AQ1274" s="6"/>
      <c r="AR1274" s="6"/>
      <c r="AS1274" s="6"/>
      <c r="AT1274" s="6"/>
      <c r="AU1274" s="6"/>
      <c r="AV1274" s="6"/>
      <c r="AW1274" s="6"/>
      <c r="AX1274" s="6"/>
      <c r="AY1274" s="6"/>
      <c r="AZ1274" s="6"/>
      <c r="BA1274" s="6"/>
      <c r="BB1274" s="6"/>
      <c r="BC1274" s="6"/>
      <c r="BD1274" s="6"/>
      <c r="BE1274" s="6"/>
      <c r="BF1274" s="6"/>
      <c r="BG1274" s="6"/>
      <c r="BH1274" s="6"/>
      <c r="BI1274" s="6"/>
      <c r="BJ1274" s="6"/>
      <c r="BK1274" s="6"/>
      <c r="BL1274" s="6"/>
      <c r="BM1274" s="6"/>
      <c r="BN1274" s="6"/>
      <c r="BO1274" s="6"/>
      <c r="BP1274" s="6"/>
      <c r="BQ1274" s="6"/>
      <c r="BR1274" s="6"/>
      <c r="BS1274" s="6"/>
      <c r="BT1274" s="6"/>
      <c r="BU1274" s="6"/>
      <c r="BV1274" s="6"/>
      <c r="BW1274" s="6"/>
      <c r="BX1274" s="5"/>
      <c r="BY1274" s="7"/>
      <c r="BZ1274" s="7"/>
      <c r="CA1274" s="7"/>
      <c r="CB1274" s="7"/>
      <c r="CC1274" s="874"/>
    </row>
    <row r="1275" spans="1:81" s="400" customFormat="1" ht="14.25" customHeight="1" x14ac:dyDescent="0.25">
      <c r="A1275" s="5"/>
      <c r="B1275" s="5"/>
      <c r="C1275" s="5"/>
      <c r="D1275" s="5"/>
      <c r="E1275" s="5"/>
      <c r="F1275" s="5"/>
      <c r="G1275" s="5"/>
      <c r="H1275" s="5"/>
      <c r="I1275" s="5"/>
      <c r="J1275" s="5"/>
      <c r="K1275" s="5"/>
      <c r="L1275" s="5"/>
      <c r="M1275" s="5"/>
      <c r="N1275" s="5"/>
      <c r="O1275" s="5"/>
      <c r="P1275" s="5"/>
      <c r="Q1275" s="5"/>
      <c r="R1275" s="5"/>
      <c r="S1275" s="5"/>
      <c r="T1275" s="5"/>
      <c r="U1275" s="5"/>
      <c r="V1275" s="5"/>
      <c r="W1275" s="5"/>
      <c r="X1275" s="5"/>
      <c r="Y1275" s="5"/>
      <c r="Z1275" s="5"/>
      <c r="AA1275" s="5"/>
      <c r="AB1275" s="6"/>
      <c r="AC1275" s="6"/>
      <c r="AD1275" s="6"/>
      <c r="AE1275" s="6"/>
      <c r="AF1275" s="6"/>
      <c r="AG1275" s="6"/>
      <c r="AH1275" s="6"/>
      <c r="AI1275" s="6"/>
      <c r="AJ1275" s="6"/>
      <c r="AK1275" s="6"/>
      <c r="AL1275" s="6"/>
      <c r="AM1275" s="6"/>
      <c r="AN1275" s="6"/>
      <c r="AO1275" s="6"/>
      <c r="AP1275" s="6"/>
      <c r="AQ1275" s="6"/>
      <c r="AR1275" s="6"/>
      <c r="AS1275" s="6"/>
      <c r="AT1275" s="6"/>
      <c r="AU1275" s="6"/>
      <c r="AV1275" s="6"/>
      <c r="AW1275" s="6"/>
      <c r="AX1275" s="6"/>
      <c r="AY1275" s="6"/>
      <c r="AZ1275" s="6"/>
      <c r="BA1275" s="6"/>
      <c r="BB1275" s="6"/>
      <c r="BC1275" s="6"/>
      <c r="BD1275" s="6"/>
      <c r="BE1275" s="6"/>
      <c r="BF1275" s="6"/>
      <c r="BG1275" s="6"/>
      <c r="BH1275" s="6"/>
      <c r="BI1275" s="6"/>
      <c r="BJ1275" s="6"/>
      <c r="BK1275" s="6"/>
      <c r="BL1275" s="6"/>
      <c r="BM1275" s="6"/>
      <c r="BN1275" s="6"/>
      <c r="BO1275" s="6"/>
      <c r="BP1275" s="6"/>
      <c r="BQ1275" s="6"/>
      <c r="BR1275" s="6"/>
      <c r="BS1275" s="6"/>
      <c r="BT1275" s="6"/>
      <c r="BU1275" s="6"/>
      <c r="BV1275" s="6"/>
      <c r="BW1275" s="6"/>
      <c r="BX1275" s="5"/>
      <c r="BY1275" s="7"/>
      <c r="BZ1275" s="7"/>
      <c r="CA1275" s="7"/>
      <c r="CB1275" s="7"/>
      <c r="CC1275" s="874"/>
    </row>
    <row r="1276" spans="1:81" s="400" customFormat="1" ht="14.25" customHeight="1" x14ac:dyDescent="0.25">
      <c r="A1276" s="5"/>
      <c r="B1276" s="5"/>
      <c r="C1276" s="5"/>
      <c r="D1276" s="5"/>
      <c r="E1276" s="5"/>
      <c r="F1276" s="5"/>
      <c r="G1276" s="5"/>
      <c r="H1276" s="5"/>
      <c r="I1276" s="5"/>
      <c r="J1276" s="5"/>
      <c r="K1276" s="5"/>
      <c r="L1276" s="5"/>
      <c r="M1276" s="5"/>
      <c r="N1276" s="5"/>
      <c r="O1276" s="5"/>
      <c r="P1276" s="5"/>
      <c r="Q1276" s="5"/>
      <c r="R1276" s="5"/>
      <c r="S1276" s="5"/>
      <c r="T1276" s="5"/>
      <c r="U1276" s="5"/>
      <c r="V1276" s="5"/>
      <c r="W1276" s="5"/>
      <c r="X1276" s="5"/>
      <c r="Y1276" s="5"/>
      <c r="Z1276" s="5"/>
      <c r="AA1276" s="5"/>
      <c r="AB1276" s="6"/>
      <c r="AC1276" s="6"/>
      <c r="AD1276" s="6"/>
      <c r="AE1276" s="6"/>
      <c r="AF1276" s="6"/>
      <c r="AG1276" s="6"/>
      <c r="AH1276" s="6"/>
      <c r="AI1276" s="6"/>
      <c r="AJ1276" s="6"/>
      <c r="AK1276" s="6"/>
      <c r="AL1276" s="6"/>
      <c r="AM1276" s="6"/>
      <c r="AN1276" s="6"/>
      <c r="AO1276" s="6"/>
      <c r="AP1276" s="6"/>
      <c r="AQ1276" s="6"/>
      <c r="AR1276" s="6"/>
      <c r="AS1276" s="6"/>
      <c r="AT1276" s="6"/>
      <c r="AU1276" s="6"/>
      <c r="AV1276" s="6"/>
      <c r="AW1276" s="6"/>
      <c r="AX1276" s="6"/>
      <c r="AY1276" s="6"/>
      <c r="AZ1276" s="6"/>
      <c r="BA1276" s="6"/>
      <c r="BB1276" s="6"/>
      <c r="BC1276" s="6"/>
      <c r="BD1276" s="6"/>
      <c r="BE1276" s="6"/>
      <c r="BF1276" s="6"/>
      <c r="BG1276" s="6"/>
      <c r="BH1276" s="6"/>
      <c r="BI1276" s="6"/>
      <c r="BJ1276" s="6"/>
      <c r="BK1276" s="6"/>
      <c r="BL1276" s="6"/>
      <c r="BM1276" s="6"/>
      <c r="BN1276" s="6"/>
      <c r="BO1276" s="6"/>
      <c r="BP1276" s="6"/>
      <c r="BQ1276" s="6"/>
      <c r="BR1276" s="6"/>
      <c r="BS1276" s="6"/>
      <c r="BT1276" s="6"/>
      <c r="BU1276" s="6"/>
      <c r="BV1276" s="6"/>
      <c r="BW1276" s="6"/>
      <c r="BX1276" s="5"/>
      <c r="BY1276" s="7"/>
      <c r="BZ1276" s="7"/>
      <c r="CA1276" s="7"/>
      <c r="CB1276" s="7"/>
      <c r="CC1276" s="874"/>
    </row>
    <row r="1277" spans="1:81" s="400" customFormat="1" ht="14.25" customHeight="1" x14ac:dyDescent="0.25">
      <c r="A1277" s="5"/>
      <c r="B1277" s="5"/>
      <c r="C1277" s="5"/>
      <c r="D1277" s="5"/>
      <c r="E1277" s="5"/>
      <c r="F1277" s="5"/>
      <c r="G1277" s="5"/>
      <c r="H1277" s="5"/>
      <c r="I1277" s="5"/>
      <c r="J1277" s="5"/>
      <c r="K1277" s="5"/>
      <c r="L1277" s="5"/>
      <c r="M1277" s="5"/>
      <c r="N1277" s="5"/>
      <c r="O1277" s="5"/>
      <c r="P1277" s="5"/>
      <c r="Q1277" s="5"/>
      <c r="R1277" s="5"/>
      <c r="S1277" s="5"/>
      <c r="T1277" s="5"/>
      <c r="U1277" s="5"/>
      <c r="V1277" s="5"/>
      <c r="W1277" s="5"/>
      <c r="X1277" s="5"/>
      <c r="Y1277" s="5"/>
      <c r="Z1277" s="5"/>
      <c r="AA1277" s="5"/>
      <c r="AB1277" s="6"/>
      <c r="AC1277" s="6"/>
      <c r="AD1277" s="6"/>
      <c r="AE1277" s="6"/>
      <c r="AF1277" s="6"/>
      <c r="AG1277" s="6"/>
      <c r="AH1277" s="6"/>
      <c r="AI1277" s="6"/>
      <c r="AJ1277" s="6"/>
      <c r="AK1277" s="6"/>
      <c r="AL1277" s="6"/>
      <c r="AM1277" s="6"/>
      <c r="AN1277" s="6"/>
      <c r="AO1277" s="6"/>
      <c r="AP1277" s="6"/>
      <c r="AQ1277" s="6"/>
      <c r="AR1277" s="6"/>
      <c r="AS1277" s="6"/>
      <c r="AT1277" s="6"/>
      <c r="AU1277" s="6"/>
      <c r="AV1277" s="6"/>
      <c r="AW1277" s="6"/>
      <c r="AX1277" s="6"/>
      <c r="AY1277" s="6"/>
      <c r="AZ1277" s="6"/>
      <c r="BA1277" s="6"/>
      <c r="BB1277" s="6"/>
      <c r="BC1277" s="6"/>
      <c r="BD1277" s="6"/>
      <c r="BE1277" s="6"/>
      <c r="BF1277" s="6"/>
      <c r="BG1277" s="6"/>
      <c r="BH1277" s="6"/>
      <c r="BI1277" s="6"/>
      <c r="BJ1277" s="6"/>
      <c r="BK1277" s="6"/>
      <c r="BL1277" s="6"/>
      <c r="BM1277" s="6"/>
      <c r="BN1277" s="6"/>
      <c r="BO1277" s="6"/>
      <c r="BP1277" s="6"/>
      <c r="BQ1277" s="6"/>
      <c r="BR1277" s="6"/>
      <c r="BS1277" s="6"/>
      <c r="BT1277" s="6"/>
      <c r="BU1277" s="6"/>
      <c r="BV1277" s="6"/>
      <c r="BW1277" s="6"/>
      <c r="BX1277" s="5"/>
      <c r="BY1277" s="7"/>
      <c r="BZ1277" s="7"/>
      <c r="CA1277" s="7"/>
      <c r="CB1277" s="7"/>
      <c r="CC1277" s="874"/>
    </row>
    <row r="1278" spans="1:81" s="400" customFormat="1" ht="14.25" customHeight="1" x14ac:dyDescent="0.25">
      <c r="A1278" s="5"/>
      <c r="B1278" s="5"/>
      <c r="C1278" s="5"/>
      <c r="D1278" s="5"/>
      <c r="E1278" s="5"/>
      <c r="F1278" s="5"/>
      <c r="G1278" s="5"/>
      <c r="H1278" s="5"/>
      <c r="I1278" s="5"/>
      <c r="J1278" s="5"/>
      <c r="K1278" s="5"/>
      <c r="L1278" s="5"/>
      <c r="M1278" s="5"/>
      <c r="N1278" s="5"/>
      <c r="O1278" s="5"/>
      <c r="P1278" s="5"/>
      <c r="Q1278" s="5"/>
      <c r="R1278" s="5"/>
      <c r="S1278" s="5"/>
      <c r="T1278" s="5"/>
      <c r="U1278" s="5"/>
      <c r="V1278" s="5"/>
      <c r="W1278" s="5"/>
      <c r="X1278" s="5"/>
      <c r="Y1278" s="5"/>
      <c r="Z1278" s="5"/>
      <c r="AA1278" s="5"/>
      <c r="AB1278" s="6"/>
      <c r="AC1278" s="6"/>
      <c r="AD1278" s="6"/>
      <c r="AE1278" s="6"/>
      <c r="AF1278" s="6"/>
      <c r="AG1278" s="6"/>
      <c r="AH1278" s="6"/>
      <c r="AI1278" s="6"/>
      <c r="AJ1278" s="6"/>
      <c r="AK1278" s="6"/>
      <c r="AL1278" s="6"/>
      <c r="AM1278" s="6"/>
      <c r="AN1278" s="6"/>
      <c r="AO1278" s="6"/>
      <c r="AP1278" s="6"/>
      <c r="AQ1278" s="6"/>
      <c r="AR1278" s="6"/>
      <c r="AS1278" s="6"/>
      <c r="AT1278" s="6"/>
      <c r="AU1278" s="6"/>
      <c r="AV1278" s="6"/>
      <c r="AW1278" s="6"/>
      <c r="AX1278" s="6"/>
      <c r="AY1278" s="6"/>
      <c r="AZ1278" s="6"/>
      <c r="BA1278" s="6"/>
      <c r="BB1278" s="6"/>
      <c r="BC1278" s="6"/>
      <c r="BD1278" s="6"/>
      <c r="BE1278" s="6"/>
      <c r="BF1278" s="6"/>
      <c r="BG1278" s="6"/>
      <c r="BH1278" s="6"/>
      <c r="BI1278" s="6"/>
      <c r="BJ1278" s="6"/>
      <c r="BK1278" s="6"/>
      <c r="BL1278" s="6"/>
      <c r="BM1278" s="6"/>
      <c r="BN1278" s="6"/>
      <c r="BO1278" s="6"/>
      <c r="BP1278" s="6"/>
      <c r="BQ1278" s="6"/>
      <c r="BR1278" s="6"/>
      <c r="BS1278" s="6"/>
      <c r="BT1278" s="6"/>
      <c r="BU1278" s="6"/>
      <c r="BV1278" s="6"/>
      <c r="BW1278" s="6"/>
      <c r="BX1278" s="5"/>
      <c r="BY1278" s="7"/>
      <c r="BZ1278" s="7"/>
      <c r="CA1278" s="7"/>
      <c r="CB1278" s="7"/>
      <c r="CC1278" s="874"/>
    </row>
    <row r="1279" spans="1:81" s="400" customFormat="1" ht="14.25" customHeight="1" x14ac:dyDescent="0.25">
      <c r="A1279" s="5"/>
      <c r="B1279" s="5"/>
      <c r="C1279" s="5"/>
      <c r="D1279" s="5"/>
      <c r="E1279" s="5"/>
      <c r="F1279" s="5"/>
      <c r="G1279" s="5"/>
      <c r="H1279" s="5"/>
      <c r="I1279" s="5"/>
      <c r="J1279" s="5"/>
      <c r="K1279" s="5"/>
      <c r="L1279" s="5"/>
      <c r="M1279" s="5"/>
      <c r="N1279" s="5"/>
      <c r="O1279" s="5"/>
      <c r="P1279" s="5"/>
      <c r="Q1279" s="5"/>
      <c r="R1279" s="5"/>
      <c r="S1279" s="5"/>
      <c r="T1279" s="5"/>
      <c r="U1279" s="5"/>
      <c r="V1279" s="5"/>
      <c r="W1279" s="5"/>
      <c r="X1279" s="5"/>
      <c r="Y1279" s="5"/>
      <c r="Z1279" s="5"/>
      <c r="AA1279" s="5"/>
      <c r="AB1279" s="6"/>
      <c r="AC1279" s="6"/>
      <c r="AD1279" s="6"/>
      <c r="AE1279" s="6"/>
      <c r="AF1279" s="6"/>
      <c r="AG1279" s="6"/>
      <c r="AH1279" s="6"/>
      <c r="AI1279" s="6"/>
      <c r="AJ1279" s="6"/>
      <c r="AK1279" s="6"/>
      <c r="AL1279" s="6"/>
      <c r="AM1279" s="6"/>
      <c r="AN1279" s="6"/>
      <c r="AO1279" s="6"/>
      <c r="AP1279" s="6"/>
      <c r="AQ1279" s="6"/>
      <c r="AR1279" s="6"/>
      <c r="AS1279" s="6"/>
      <c r="AT1279" s="6"/>
      <c r="AU1279" s="6"/>
      <c r="AV1279" s="6"/>
      <c r="AW1279" s="6"/>
      <c r="AX1279" s="6"/>
      <c r="AY1279" s="6"/>
      <c r="AZ1279" s="6"/>
      <c r="BA1279" s="6"/>
      <c r="BB1279" s="6"/>
      <c r="BC1279" s="6"/>
      <c r="BD1279" s="6"/>
      <c r="BE1279" s="6"/>
      <c r="BF1279" s="6"/>
      <c r="BG1279" s="6"/>
      <c r="BH1279" s="6"/>
      <c r="BI1279" s="6"/>
      <c r="BJ1279" s="6"/>
      <c r="BK1279" s="6"/>
      <c r="BL1279" s="6"/>
      <c r="BM1279" s="6"/>
      <c r="BN1279" s="6"/>
      <c r="BO1279" s="6"/>
      <c r="BP1279" s="6"/>
      <c r="BQ1279" s="6"/>
      <c r="BR1279" s="6"/>
      <c r="BS1279" s="6"/>
      <c r="BT1279" s="6"/>
      <c r="BU1279" s="6"/>
      <c r="BV1279" s="6"/>
      <c r="BW1279" s="6"/>
      <c r="BX1279" s="5"/>
      <c r="BY1279" s="7"/>
      <c r="BZ1279" s="7"/>
      <c r="CA1279" s="7"/>
      <c r="CB1279" s="7"/>
      <c r="CC1279" s="874"/>
    </row>
    <row r="1280" spans="1:81" s="400" customFormat="1" ht="14.25" customHeight="1" x14ac:dyDescent="0.25">
      <c r="A1280" s="5"/>
      <c r="B1280" s="5"/>
      <c r="C1280" s="5"/>
      <c r="D1280" s="5"/>
      <c r="E1280" s="5"/>
      <c r="F1280" s="5"/>
      <c r="G1280" s="5"/>
      <c r="H1280" s="5"/>
      <c r="I1280" s="5"/>
      <c r="J1280" s="5"/>
      <c r="K1280" s="5"/>
      <c r="L1280" s="5"/>
      <c r="M1280" s="5"/>
      <c r="N1280" s="5"/>
      <c r="O1280" s="5"/>
      <c r="P1280" s="5"/>
      <c r="Q1280" s="5"/>
      <c r="R1280" s="5"/>
      <c r="S1280" s="5"/>
      <c r="T1280" s="5"/>
      <c r="U1280" s="5"/>
      <c r="V1280" s="5"/>
      <c r="W1280" s="5"/>
      <c r="X1280" s="5"/>
      <c r="Y1280" s="5"/>
      <c r="Z1280" s="5"/>
      <c r="AA1280" s="5"/>
      <c r="AB1280" s="6"/>
      <c r="AC1280" s="6"/>
      <c r="AD1280" s="6"/>
      <c r="AE1280" s="6"/>
      <c r="AF1280" s="6"/>
      <c r="AG1280" s="6"/>
      <c r="AH1280" s="6"/>
      <c r="AI1280" s="6"/>
      <c r="AJ1280" s="6"/>
      <c r="AK1280" s="6"/>
      <c r="AL1280" s="6"/>
      <c r="AM1280" s="6"/>
      <c r="AN1280" s="6"/>
      <c r="AO1280" s="6"/>
      <c r="AP1280" s="6"/>
      <c r="AQ1280" s="6"/>
      <c r="AR1280" s="6"/>
      <c r="AS1280" s="6"/>
      <c r="AT1280" s="6"/>
      <c r="AU1280" s="6"/>
      <c r="AV1280" s="6"/>
      <c r="AW1280" s="6"/>
      <c r="AX1280" s="6"/>
      <c r="AY1280" s="6"/>
      <c r="AZ1280" s="6"/>
      <c r="BA1280" s="6"/>
      <c r="BB1280" s="6"/>
      <c r="BC1280" s="6"/>
      <c r="BD1280" s="6"/>
      <c r="BE1280" s="6"/>
      <c r="BF1280" s="6"/>
      <c r="BG1280" s="6"/>
      <c r="BH1280" s="6"/>
      <c r="BI1280" s="6"/>
      <c r="BJ1280" s="6"/>
      <c r="BK1280" s="6"/>
      <c r="BL1280" s="6"/>
      <c r="BM1280" s="6"/>
      <c r="BN1280" s="6"/>
      <c r="BO1280" s="6"/>
      <c r="BP1280" s="6"/>
      <c r="BQ1280" s="6"/>
      <c r="BR1280" s="6"/>
      <c r="BS1280" s="6"/>
      <c r="BT1280" s="6"/>
      <c r="BU1280" s="6"/>
      <c r="BV1280" s="6"/>
      <c r="BW1280" s="6"/>
      <c r="BX1280" s="5"/>
      <c r="BY1280" s="7"/>
      <c r="BZ1280" s="7"/>
      <c r="CA1280" s="7"/>
      <c r="CB1280" s="7"/>
      <c r="CC1280" s="874"/>
    </row>
    <row r="1281" spans="1:81" s="400" customFormat="1" ht="14.25" customHeight="1" x14ac:dyDescent="0.25">
      <c r="A1281" s="5"/>
      <c r="B1281" s="5"/>
      <c r="C1281" s="5"/>
      <c r="D1281" s="5"/>
      <c r="E1281" s="5"/>
      <c r="F1281" s="5"/>
      <c r="G1281" s="5"/>
      <c r="H1281" s="5"/>
      <c r="I1281" s="5"/>
      <c r="J1281" s="5"/>
      <c r="K1281" s="5"/>
      <c r="L1281" s="5"/>
      <c r="M1281" s="5"/>
      <c r="N1281" s="5"/>
      <c r="O1281" s="5"/>
      <c r="P1281" s="5"/>
      <c r="Q1281" s="5"/>
      <c r="R1281" s="5"/>
      <c r="S1281" s="5"/>
      <c r="T1281" s="5"/>
      <c r="U1281" s="5"/>
      <c r="V1281" s="5"/>
      <c r="W1281" s="5"/>
      <c r="X1281" s="5"/>
      <c r="Y1281" s="5"/>
      <c r="Z1281" s="5"/>
      <c r="AA1281" s="5"/>
      <c r="AB1281" s="6"/>
      <c r="AC1281" s="6"/>
      <c r="AD1281" s="6"/>
      <c r="AE1281" s="6"/>
      <c r="AF1281" s="6"/>
      <c r="AG1281" s="6"/>
      <c r="AH1281" s="6"/>
      <c r="AI1281" s="6"/>
      <c r="AJ1281" s="6"/>
      <c r="AK1281" s="6"/>
      <c r="AL1281" s="6"/>
      <c r="AM1281" s="6"/>
      <c r="AN1281" s="6"/>
      <c r="AO1281" s="6"/>
      <c r="AP1281" s="6"/>
      <c r="AQ1281" s="6"/>
      <c r="AR1281" s="6"/>
      <c r="AS1281" s="6"/>
      <c r="AT1281" s="6"/>
      <c r="AU1281" s="6"/>
      <c r="AV1281" s="6"/>
      <c r="AW1281" s="6"/>
      <c r="AX1281" s="6"/>
      <c r="AY1281" s="6"/>
      <c r="AZ1281" s="6"/>
      <c r="BA1281" s="6"/>
      <c r="BB1281" s="6"/>
      <c r="BC1281" s="6"/>
      <c r="BD1281" s="6"/>
      <c r="BE1281" s="6"/>
      <c r="BF1281" s="6"/>
      <c r="BG1281" s="6"/>
      <c r="BH1281" s="6"/>
      <c r="BI1281" s="6"/>
      <c r="BJ1281" s="6"/>
      <c r="BK1281" s="6"/>
      <c r="BL1281" s="6"/>
      <c r="BM1281" s="6"/>
      <c r="BN1281" s="6"/>
      <c r="BO1281" s="6"/>
      <c r="BP1281" s="6"/>
      <c r="BQ1281" s="6"/>
      <c r="BR1281" s="6"/>
      <c r="BS1281" s="6"/>
      <c r="BT1281" s="6"/>
      <c r="BU1281" s="6"/>
      <c r="BV1281" s="6"/>
      <c r="BW1281" s="6"/>
      <c r="BX1281" s="5"/>
      <c r="BY1281" s="7"/>
      <c r="BZ1281" s="7"/>
      <c r="CA1281" s="7"/>
      <c r="CB1281" s="7"/>
      <c r="CC1281" s="874"/>
    </row>
    <row r="1282" spans="1:81" s="400" customFormat="1" ht="14.25" customHeight="1" x14ac:dyDescent="0.25">
      <c r="A1282" s="5"/>
      <c r="B1282" s="5"/>
      <c r="C1282" s="5"/>
      <c r="D1282" s="5"/>
      <c r="E1282" s="5"/>
      <c r="F1282" s="5"/>
      <c r="G1282" s="5"/>
      <c r="H1282" s="5"/>
      <c r="I1282" s="5"/>
      <c r="J1282" s="5"/>
      <c r="K1282" s="5"/>
      <c r="L1282" s="5"/>
      <c r="M1282" s="5"/>
      <c r="N1282" s="5"/>
      <c r="O1282" s="5"/>
      <c r="P1282" s="5"/>
      <c r="Q1282" s="5"/>
      <c r="R1282" s="5"/>
      <c r="S1282" s="5"/>
      <c r="T1282" s="5"/>
      <c r="U1282" s="5"/>
      <c r="V1282" s="5"/>
      <c r="W1282" s="5"/>
      <c r="X1282" s="5"/>
      <c r="Y1282" s="5"/>
      <c r="Z1282" s="5"/>
      <c r="AA1282" s="5"/>
      <c r="AB1282" s="6"/>
      <c r="AC1282" s="6"/>
      <c r="AD1282" s="6"/>
      <c r="AE1282" s="6"/>
      <c r="AF1282" s="6"/>
      <c r="AG1282" s="6"/>
      <c r="AH1282" s="6"/>
      <c r="AI1282" s="6"/>
      <c r="AJ1282" s="6"/>
      <c r="AK1282" s="6"/>
      <c r="AL1282" s="6"/>
      <c r="AM1282" s="6"/>
      <c r="AN1282" s="6"/>
      <c r="AO1282" s="6"/>
      <c r="AP1282" s="6"/>
      <c r="AQ1282" s="6"/>
      <c r="AR1282" s="6"/>
      <c r="AS1282" s="6"/>
      <c r="AT1282" s="6"/>
      <c r="AU1282" s="6"/>
      <c r="AV1282" s="6"/>
      <c r="AW1282" s="6"/>
      <c r="AX1282" s="6"/>
      <c r="AY1282" s="6"/>
      <c r="AZ1282" s="6"/>
      <c r="BA1282" s="6"/>
      <c r="BB1282" s="6"/>
      <c r="BC1282" s="6"/>
      <c r="BD1282" s="6"/>
      <c r="BE1282" s="6"/>
      <c r="BF1282" s="6"/>
      <c r="BG1282" s="6"/>
      <c r="BH1282" s="6"/>
      <c r="BI1282" s="6"/>
      <c r="BJ1282" s="6"/>
      <c r="BK1282" s="6"/>
      <c r="BL1282" s="6"/>
      <c r="BM1282" s="6"/>
      <c r="BN1282" s="6"/>
      <c r="BO1282" s="6"/>
      <c r="BP1282" s="6"/>
      <c r="BQ1282" s="6"/>
      <c r="BR1282" s="6"/>
      <c r="BS1282" s="6"/>
      <c r="BT1282" s="6"/>
      <c r="BU1282" s="6"/>
      <c r="BV1282" s="6"/>
      <c r="BW1282" s="6"/>
      <c r="BX1282" s="5"/>
      <c r="BY1282" s="7"/>
      <c r="BZ1282" s="7"/>
      <c r="CA1282" s="7"/>
      <c r="CB1282" s="7"/>
      <c r="CC1282" s="874"/>
    </row>
    <row r="1283" spans="1:81" s="400" customFormat="1" ht="14.25" customHeight="1" x14ac:dyDescent="0.25">
      <c r="A1283" s="5"/>
      <c r="B1283" s="5"/>
      <c r="C1283" s="5"/>
      <c r="D1283" s="5"/>
      <c r="E1283" s="5"/>
      <c r="F1283" s="5"/>
      <c r="G1283" s="5"/>
      <c r="H1283" s="5"/>
      <c r="I1283" s="5"/>
      <c r="J1283" s="5"/>
      <c r="K1283" s="5"/>
      <c r="L1283" s="5"/>
      <c r="M1283" s="5"/>
      <c r="N1283" s="5"/>
      <c r="O1283" s="5"/>
      <c r="P1283" s="5"/>
      <c r="Q1283" s="5"/>
      <c r="R1283" s="5"/>
      <c r="S1283" s="5"/>
      <c r="T1283" s="5"/>
      <c r="U1283" s="5"/>
      <c r="V1283" s="5"/>
      <c r="W1283" s="5"/>
      <c r="X1283" s="5"/>
      <c r="Y1283" s="5"/>
      <c r="Z1283" s="5"/>
      <c r="AA1283" s="5"/>
      <c r="AB1283" s="6"/>
      <c r="AC1283" s="6"/>
      <c r="AD1283" s="6"/>
      <c r="AE1283" s="6"/>
      <c r="AF1283" s="6"/>
      <c r="AG1283" s="6"/>
      <c r="AH1283" s="6"/>
      <c r="AI1283" s="6"/>
      <c r="AJ1283" s="6"/>
      <c r="AK1283" s="6"/>
      <c r="AL1283" s="6"/>
      <c r="AM1283" s="6"/>
      <c r="AN1283" s="6"/>
      <c r="AO1283" s="6"/>
      <c r="AP1283" s="6"/>
      <c r="AQ1283" s="6"/>
      <c r="AR1283" s="6"/>
      <c r="AS1283" s="6"/>
      <c r="AT1283" s="6"/>
      <c r="AU1283" s="6"/>
      <c r="AV1283" s="6"/>
      <c r="AW1283" s="6"/>
      <c r="AX1283" s="6"/>
      <c r="AY1283" s="6"/>
      <c r="AZ1283" s="6"/>
      <c r="BA1283" s="6"/>
      <c r="BB1283" s="6"/>
      <c r="BC1283" s="6"/>
      <c r="BD1283" s="6"/>
      <c r="BE1283" s="6"/>
      <c r="BF1283" s="6"/>
      <c r="BG1283" s="6"/>
      <c r="BH1283" s="6"/>
      <c r="BI1283" s="6"/>
      <c r="BJ1283" s="6"/>
      <c r="BK1283" s="6"/>
      <c r="BL1283" s="6"/>
      <c r="BM1283" s="6"/>
      <c r="BN1283" s="6"/>
      <c r="BO1283" s="6"/>
      <c r="BP1283" s="6"/>
      <c r="BQ1283" s="6"/>
      <c r="BR1283" s="6"/>
      <c r="BS1283" s="6"/>
      <c r="BT1283" s="6"/>
      <c r="BU1283" s="6"/>
      <c r="BV1283" s="6"/>
      <c r="BW1283" s="6"/>
      <c r="BX1283" s="5"/>
      <c r="BY1283" s="7"/>
      <c r="BZ1283" s="7"/>
      <c r="CA1283" s="7"/>
      <c r="CB1283" s="7"/>
      <c r="CC1283" s="874"/>
    </row>
    <row r="1284" spans="1:81" s="400" customFormat="1" ht="14.25" customHeight="1" x14ac:dyDescent="0.25">
      <c r="A1284" s="5"/>
      <c r="B1284" s="5"/>
      <c r="C1284" s="5"/>
      <c r="D1284" s="5"/>
      <c r="E1284" s="5"/>
      <c r="F1284" s="5"/>
      <c r="G1284" s="5"/>
      <c r="H1284" s="5"/>
      <c r="I1284" s="5"/>
      <c r="J1284" s="5"/>
      <c r="K1284" s="5"/>
      <c r="L1284" s="5"/>
      <c r="M1284" s="5"/>
      <c r="N1284" s="5"/>
      <c r="O1284" s="5"/>
      <c r="P1284" s="5"/>
      <c r="Q1284" s="5"/>
      <c r="R1284" s="5"/>
      <c r="S1284" s="5"/>
      <c r="T1284" s="5"/>
      <c r="U1284" s="5"/>
      <c r="V1284" s="5"/>
      <c r="W1284" s="5"/>
      <c r="X1284" s="5"/>
      <c r="Y1284" s="5"/>
      <c r="Z1284" s="5"/>
      <c r="AA1284" s="5"/>
      <c r="AB1284" s="6"/>
      <c r="AC1284" s="6"/>
      <c r="AD1284" s="6"/>
      <c r="AE1284" s="6"/>
      <c r="AF1284" s="6"/>
      <c r="AG1284" s="6"/>
      <c r="AH1284" s="6"/>
      <c r="AI1284" s="6"/>
      <c r="AJ1284" s="6"/>
      <c r="AK1284" s="6"/>
      <c r="AL1284" s="6"/>
      <c r="AM1284" s="6"/>
      <c r="AN1284" s="6"/>
      <c r="AO1284" s="6"/>
      <c r="AP1284" s="6"/>
      <c r="AQ1284" s="6"/>
      <c r="AR1284" s="6"/>
      <c r="AS1284" s="6"/>
      <c r="AT1284" s="6"/>
      <c r="AU1284" s="6"/>
      <c r="AV1284" s="6"/>
      <c r="AW1284" s="6"/>
      <c r="AX1284" s="6"/>
      <c r="AY1284" s="6"/>
      <c r="AZ1284" s="6"/>
      <c r="BA1284" s="6"/>
      <c r="BB1284" s="6"/>
      <c r="BC1284" s="6"/>
      <c r="BD1284" s="6"/>
      <c r="BE1284" s="6"/>
      <c r="BF1284" s="6"/>
      <c r="BG1284" s="6"/>
      <c r="BH1284" s="6"/>
      <c r="BI1284" s="6"/>
      <c r="BJ1284" s="6"/>
      <c r="BK1284" s="6"/>
      <c r="BL1284" s="6"/>
      <c r="BM1284" s="6"/>
      <c r="BN1284" s="6"/>
      <c r="BO1284" s="6"/>
      <c r="BP1284" s="6"/>
      <c r="BQ1284" s="6"/>
      <c r="BR1284" s="6"/>
      <c r="BS1284" s="6"/>
      <c r="BT1284" s="6"/>
      <c r="BU1284" s="6"/>
      <c r="BV1284" s="6"/>
      <c r="BW1284" s="6"/>
      <c r="BX1284" s="5"/>
      <c r="BY1284" s="7"/>
      <c r="BZ1284" s="7"/>
      <c r="CA1284" s="7"/>
      <c r="CB1284" s="7"/>
      <c r="CC1284" s="874"/>
    </row>
    <row r="1285" spans="1:81" s="400" customFormat="1" ht="14.25" customHeight="1" x14ac:dyDescent="0.25">
      <c r="A1285" s="5"/>
      <c r="B1285" s="5"/>
      <c r="C1285" s="5"/>
      <c r="D1285" s="5"/>
      <c r="E1285" s="5"/>
      <c r="F1285" s="5"/>
      <c r="G1285" s="5"/>
      <c r="H1285" s="5"/>
      <c r="I1285" s="5"/>
      <c r="J1285" s="5"/>
      <c r="K1285" s="5"/>
      <c r="L1285" s="5"/>
      <c r="M1285" s="5"/>
      <c r="N1285" s="5"/>
      <c r="O1285" s="5"/>
      <c r="P1285" s="5"/>
      <c r="Q1285" s="5"/>
      <c r="R1285" s="5"/>
      <c r="S1285" s="5"/>
      <c r="T1285" s="5"/>
      <c r="U1285" s="5"/>
      <c r="V1285" s="5"/>
      <c r="W1285" s="5"/>
      <c r="X1285" s="5"/>
      <c r="Y1285" s="5"/>
      <c r="Z1285" s="5"/>
      <c r="AA1285" s="5"/>
      <c r="AB1285" s="6"/>
      <c r="AC1285" s="6"/>
      <c r="AD1285" s="6"/>
      <c r="AE1285" s="6"/>
      <c r="AF1285" s="6"/>
      <c r="AG1285" s="6"/>
      <c r="AH1285" s="6"/>
      <c r="AI1285" s="6"/>
      <c r="AJ1285" s="6"/>
      <c r="AK1285" s="6"/>
      <c r="AL1285" s="6"/>
      <c r="AM1285" s="6"/>
      <c r="AN1285" s="6"/>
      <c r="AO1285" s="6"/>
      <c r="AP1285" s="6"/>
      <c r="AQ1285" s="6"/>
      <c r="AR1285" s="6"/>
      <c r="AS1285" s="6"/>
      <c r="AT1285" s="6"/>
      <c r="AU1285" s="6"/>
      <c r="AV1285" s="6"/>
      <c r="AW1285" s="6"/>
      <c r="AX1285" s="6"/>
      <c r="AY1285" s="6"/>
      <c r="AZ1285" s="6"/>
      <c r="BA1285" s="6"/>
      <c r="BB1285" s="6"/>
      <c r="BC1285" s="6"/>
      <c r="BD1285" s="6"/>
      <c r="BE1285" s="6"/>
      <c r="BF1285" s="6"/>
      <c r="BG1285" s="6"/>
      <c r="BH1285" s="6"/>
      <c r="BI1285" s="6"/>
      <c r="BJ1285" s="6"/>
      <c r="BK1285" s="6"/>
      <c r="BL1285" s="6"/>
      <c r="BM1285" s="6"/>
      <c r="BN1285" s="6"/>
      <c r="BO1285" s="6"/>
      <c r="BP1285" s="6"/>
      <c r="BQ1285" s="6"/>
      <c r="BR1285" s="6"/>
      <c r="BS1285" s="6"/>
      <c r="BT1285" s="6"/>
      <c r="BU1285" s="6"/>
      <c r="BV1285" s="6"/>
      <c r="BW1285" s="6"/>
      <c r="BX1285" s="5"/>
      <c r="BY1285" s="7"/>
      <c r="BZ1285" s="7"/>
      <c r="CA1285" s="7"/>
      <c r="CB1285" s="7"/>
      <c r="CC1285" s="874"/>
    </row>
    <row r="1286" spans="1:81" s="400" customFormat="1" ht="14.25" customHeight="1" x14ac:dyDescent="0.25">
      <c r="A1286" s="5"/>
      <c r="B1286" s="5"/>
      <c r="C1286" s="5"/>
      <c r="D1286" s="5"/>
      <c r="E1286" s="5"/>
      <c r="F1286" s="5"/>
      <c r="G1286" s="5"/>
      <c r="H1286" s="5"/>
      <c r="I1286" s="5"/>
      <c r="J1286" s="5"/>
      <c r="K1286" s="5"/>
      <c r="L1286" s="5"/>
      <c r="M1286" s="5"/>
      <c r="N1286" s="5"/>
      <c r="O1286" s="5"/>
      <c r="P1286" s="5"/>
      <c r="Q1286" s="5"/>
      <c r="R1286" s="5"/>
      <c r="S1286" s="5"/>
      <c r="T1286" s="5"/>
      <c r="U1286" s="5"/>
      <c r="V1286" s="5"/>
      <c r="W1286" s="5"/>
      <c r="X1286" s="5"/>
      <c r="Y1286" s="5"/>
      <c r="Z1286" s="5"/>
      <c r="AA1286" s="5"/>
      <c r="AB1286" s="6"/>
      <c r="AC1286" s="6"/>
      <c r="AD1286" s="6"/>
      <c r="AE1286" s="6"/>
      <c r="AF1286" s="6"/>
      <c r="AG1286" s="6"/>
      <c r="AH1286" s="6"/>
      <c r="AI1286" s="6"/>
      <c r="AJ1286" s="6"/>
      <c r="AK1286" s="6"/>
      <c r="AL1286" s="6"/>
      <c r="AM1286" s="6"/>
      <c r="AN1286" s="6"/>
      <c r="AO1286" s="6"/>
      <c r="AP1286" s="6"/>
      <c r="AQ1286" s="6"/>
      <c r="AR1286" s="6"/>
      <c r="AS1286" s="6"/>
      <c r="AT1286" s="6"/>
      <c r="AU1286" s="6"/>
      <c r="AV1286" s="6"/>
      <c r="AW1286" s="6"/>
      <c r="AX1286" s="6"/>
      <c r="AY1286" s="6"/>
      <c r="AZ1286" s="6"/>
      <c r="BA1286" s="6"/>
      <c r="BB1286" s="6"/>
      <c r="BC1286" s="6"/>
      <c r="BD1286" s="6"/>
      <c r="BE1286" s="6"/>
      <c r="BF1286" s="6"/>
      <c r="BG1286" s="6"/>
      <c r="BH1286" s="6"/>
      <c r="BI1286" s="6"/>
      <c r="BJ1286" s="6"/>
      <c r="BK1286" s="6"/>
      <c r="BL1286" s="6"/>
      <c r="BM1286" s="6"/>
      <c r="BN1286" s="6"/>
      <c r="BO1286" s="6"/>
      <c r="BP1286" s="6"/>
      <c r="BQ1286" s="6"/>
      <c r="BR1286" s="6"/>
      <c r="BS1286" s="6"/>
      <c r="BT1286" s="6"/>
      <c r="BU1286" s="6"/>
      <c r="BV1286" s="6"/>
      <c r="BW1286" s="6"/>
      <c r="BX1286" s="5"/>
      <c r="BY1286" s="7"/>
      <c r="BZ1286" s="7"/>
      <c r="CA1286" s="7"/>
      <c r="CB1286" s="7"/>
      <c r="CC1286" s="874"/>
    </row>
    <row r="1287" spans="1:81" s="400" customFormat="1" ht="14.25" customHeight="1" x14ac:dyDescent="0.25">
      <c r="A1287" s="5"/>
      <c r="B1287" s="5"/>
      <c r="C1287" s="5"/>
      <c r="D1287" s="5"/>
      <c r="E1287" s="5"/>
      <c r="F1287" s="5"/>
      <c r="G1287" s="5"/>
      <c r="H1287" s="5"/>
      <c r="I1287" s="5"/>
      <c r="J1287" s="5"/>
      <c r="K1287" s="5"/>
      <c r="L1287" s="5"/>
      <c r="M1287" s="5"/>
      <c r="N1287" s="5"/>
      <c r="O1287" s="5"/>
      <c r="P1287" s="5"/>
      <c r="Q1287" s="5"/>
      <c r="R1287" s="5"/>
      <c r="S1287" s="5"/>
      <c r="T1287" s="5"/>
      <c r="U1287" s="5"/>
      <c r="V1287" s="5"/>
      <c r="W1287" s="5"/>
      <c r="X1287" s="5"/>
      <c r="Y1287" s="5"/>
      <c r="Z1287" s="5"/>
      <c r="AA1287" s="5"/>
      <c r="AB1287" s="6"/>
      <c r="AC1287" s="6"/>
      <c r="AD1287" s="6"/>
      <c r="AE1287" s="6"/>
      <c r="AF1287" s="6"/>
      <c r="AG1287" s="6"/>
      <c r="AH1287" s="6"/>
      <c r="AI1287" s="6"/>
      <c r="AJ1287" s="6"/>
      <c r="AK1287" s="6"/>
      <c r="AL1287" s="6"/>
      <c r="AM1287" s="6"/>
      <c r="AN1287" s="6"/>
      <c r="AO1287" s="6"/>
      <c r="AP1287" s="6"/>
      <c r="AQ1287" s="6"/>
      <c r="AR1287" s="6"/>
      <c r="AS1287" s="6"/>
      <c r="AT1287" s="6"/>
      <c r="AU1287" s="6"/>
      <c r="AV1287" s="6"/>
      <c r="AW1287" s="6"/>
      <c r="AX1287" s="6"/>
      <c r="AY1287" s="6"/>
      <c r="AZ1287" s="6"/>
      <c r="BA1287" s="6"/>
      <c r="BB1287" s="6"/>
      <c r="BC1287" s="6"/>
      <c r="BD1287" s="6"/>
      <c r="BE1287" s="6"/>
      <c r="BF1287" s="6"/>
      <c r="BG1287" s="6"/>
      <c r="BH1287" s="6"/>
      <c r="BI1287" s="6"/>
      <c r="BJ1287" s="6"/>
      <c r="BK1287" s="6"/>
      <c r="BL1287" s="6"/>
      <c r="BM1287" s="6"/>
      <c r="BN1287" s="6"/>
      <c r="BO1287" s="6"/>
      <c r="BP1287" s="6"/>
      <c r="BQ1287" s="6"/>
      <c r="BR1287" s="6"/>
      <c r="BS1287" s="6"/>
      <c r="BT1287" s="6"/>
      <c r="BU1287" s="6"/>
      <c r="BV1287" s="6"/>
      <c r="BW1287" s="6"/>
      <c r="BX1287" s="5"/>
      <c r="BY1287" s="7"/>
      <c r="BZ1287" s="7"/>
      <c r="CA1287" s="7"/>
      <c r="CB1287" s="7"/>
      <c r="CC1287" s="874"/>
    </row>
    <row r="1288" spans="1:81" s="400" customFormat="1" ht="14.25" customHeight="1" x14ac:dyDescent="0.25">
      <c r="A1288" s="5"/>
      <c r="B1288" s="5"/>
      <c r="C1288" s="5"/>
      <c r="D1288" s="5"/>
      <c r="E1288" s="5"/>
      <c r="F1288" s="5"/>
      <c r="G1288" s="5"/>
      <c r="H1288" s="5"/>
      <c r="I1288" s="5"/>
      <c r="J1288" s="5"/>
      <c r="K1288" s="5"/>
      <c r="L1288" s="5"/>
      <c r="M1288" s="5"/>
      <c r="N1288" s="5"/>
      <c r="O1288" s="5"/>
      <c r="P1288" s="5"/>
      <c r="Q1288" s="5"/>
      <c r="R1288" s="5"/>
      <c r="S1288" s="5"/>
      <c r="T1288" s="5"/>
      <c r="U1288" s="5"/>
      <c r="V1288" s="5"/>
      <c r="W1288" s="5"/>
      <c r="X1288" s="5"/>
      <c r="Y1288" s="5"/>
      <c r="Z1288" s="5"/>
      <c r="AA1288" s="5"/>
      <c r="AB1288" s="6"/>
      <c r="AC1288" s="6"/>
      <c r="AD1288" s="6"/>
      <c r="AE1288" s="6"/>
      <c r="AF1288" s="6"/>
      <c r="AG1288" s="6"/>
      <c r="AH1288" s="6"/>
      <c r="AI1288" s="6"/>
      <c r="AJ1288" s="6"/>
      <c r="AK1288" s="6"/>
      <c r="AL1288" s="6"/>
      <c r="AM1288" s="6"/>
      <c r="AN1288" s="6"/>
      <c r="AO1288" s="6"/>
      <c r="AP1288" s="6"/>
      <c r="AQ1288" s="6"/>
      <c r="AR1288" s="6"/>
      <c r="AS1288" s="6"/>
      <c r="AT1288" s="6"/>
      <c r="AU1288" s="6"/>
      <c r="AV1288" s="6"/>
      <c r="AW1288" s="6"/>
      <c r="AX1288" s="6"/>
      <c r="AY1288" s="6"/>
      <c r="AZ1288" s="6"/>
      <c r="BA1288" s="6"/>
      <c r="BB1288" s="6"/>
      <c r="BC1288" s="6"/>
      <c r="BD1288" s="6"/>
      <c r="BE1288" s="6"/>
      <c r="BF1288" s="6"/>
      <c r="BG1288" s="6"/>
      <c r="BH1288" s="6"/>
      <c r="BI1288" s="6"/>
      <c r="BJ1288" s="6"/>
      <c r="BK1288" s="6"/>
      <c r="BL1288" s="6"/>
      <c r="BM1288" s="6"/>
      <c r="BN1288" s="6"/>
      <c r="BO1288" s="6"/>
      <c r="BP1288" s="6"/>
      <c r="BQ1288" s="6"/>
      <c r="BR1288" s="6"/>
      <c r="BS1288" s="6"/>
      <c r="BT1288" s="6"/>
      <c r="BU1288" s="6"/>
      <c r="BV1288" s="6"/>
      <c r="BW1288" s="6"/>
      <c r="BX1288" s="5"/>
      <c r="BY1288" s="7"/>
      <c r="BZ1288" s="7"/>
      <c r="CA1288" s="7"/>
      <c r="CB1288" s="7"/>
      <c r="CC1288" s="874"/>
    </row>
    <row r="1289" spans="1:81" s="400" customFormat="1" ht="14.25" customHeight="1" x14ac:dyDescent="0.25">
      <c r="A1289" s="5"/>
      <c r="B1289" s="5"/>
      <c r="C1289" s="5"/>
      <c r="D1289" s="5"/>
      <c r="E1289" s="5"/>
      <c r="F1289" s="5"/>
      <c r="G1289" s="5"/>
      <c r="H1289" s="5"/>
      <c r="I1289" s="5"/>
      <c r="J1289" s="5"/>
      <c r="K1289" s="5"/>
      <c r="L1289" s="5"/>
      <c r="M1289" s="5"/>
      <c r="N1289" s="5"/>
      <c r="O1289" s="5"/>
      <c r="P1289" s="5"/>
      <c r="Q1289" s="5"/>
      <c r="R1289" s="5"/>
      <c r="S1289" s="5"/>
      <c r="T1289" s="5"/>
      <c r="U1289" s="5"/>
      <c r="V1289" s="5"/>
      <c r="W1289" s="5"/>
      <c r="X1289" s="5"/>
      <c r="Y1289" s="5"/>
      <c r="Z1289" s="5"/>
      <c r="AA1289" s="5"/>
      <c r="AB1289" s="6"/>
      <c r="AC1289" s="6"/>
      <c r="AD1289" s="6"/>
      <c r="AE1289" s="6"/>
      <c r="AF1289" s="6"/>
      <c r="AG1289" s="6"/>
      <c r="AH1289" s="6"/>
      <c r="AI1289" s="6"/>
      <c r="AJ1289" s="6"/>
      <c r="AK1289" s="6"/>
      <c r="AL1289" s="6"/>
      <c r="AM1289" s="6"/>
      <c r="AN1289" s="6"/>
      <c r="AO1289" s="6"/>
      <c r="AP1289" s="6"/>
      <c r="AQ1289" s="6"/>
      <c r="AR1289" s="6"/>
      <c r="AS1289" s="6"/>
      <c r="AT1289" s="6"/>
      <c r="AU1289" s="6"/>
      <c r="AV1289" s="6"/>
      <c r="AW1289" s="6"/>
      <c r="AX1289" s="6"/>
      <c r="AY1289" s="6"/>
      <c r="AZ1289" s="6"/>
      <c r="BA1289" s="6"/>
      <c r="BB1289" s="6"/>
      <c r="BC1289" s="6"/>
      <c r="BD1289" s="6"/>
      <c r="BE1289" s="6"/>
      <c r="BF1289" s="6"/>
      <c r="BG1289" s="6"/>
      <c r="BH1289" s="6"/>
      <c r="BI1289" s="6"/>
      <c r="BJ1289" s="6"/>
      <c r="BK1289" s="6"/>
      <c r="BL1289" s="6"/>
      <c r="BM1289" s="6"/>
      <c r="BN1289" s="6"/>
      <c r="BO1289" s="6"/>
      <c r="BP1289" s="6"/>
      <c r="BQ1289" s="6"/>
      <c r="BR1289" s="6"/>
      <c r="BS1289" s="6"/>
      <c r="BT1289" s="6"/>
      <c r="BU1289" s="6"/>
      <c r="BV1289" s="6"/>
      <c r="BW1289" s="6"/>
      <c r="BX1289" s="5"/>
      <c r="BY1289" s="7"/>
      <c r="BZ1289" s="7"/>
      <c r="CA1289" s="7"/>
      <c r="CB1289" s="7"/>
      <c r="CC1289" s="874"/>
    </row>
    <row r="1290" spans="1:81" s="400" customFormat="1" ht="14.25" customHeight="1" x14ac:dyDescent="0.25">
      <c r="A1290" s="5"/>
      <c r="B1290" s="5"/>
      <c r="C1290" s="5"/>
      <c r="D1290" s="5"/>
      <c r="E1290" s="5"/>
      <c r="F1290" s="5"/>
      <c r="G1290" s="5"/>
      <c r="H1290" s="5"/>
      <c r="I1290" s="5"/>
      <c r="J1290" s="5"/>
      <c r="K1290" s="5"/>
      <c r="L1290" s="5"/>
      <c r="M1290" s="5"/>
      <c r="N1290" s="5"/>
      <c r="O1290" s="5"/>
      <c r="P1290" s="5"/>
      <c r="Q1290" s="5"/>
      <c r="R1290" s="5"/>
      <c r="S1290" s="5"/>
      <c r="T1290" s="5"/>
      <c r="U1290" s="5"/>
      <c r="V1290" s="5"/>
      <c r="W1290" s="5"/>
      <c r="X1290" s="5"/>
      <c r="Y1290" s="5"/>
      <c r="Z1290" s="5"/>
      <c r="AA1290" s="5"/>
      <c r="AB1290" s="6"/>
      <c r="AC1290" s="6"/>
      <c r="AD1290" s="6"/>
      <c r="AE1290" s="6"/>
      <c r="AF1290" s="6"/>
      <c r="AG1290" s="6"/>
      <c r="AH1290" s="6"/>
      <c r="AI1290" s="6"/>
      <c r="AJ1290" s="6"/>
      <c r="AK1290" s="6"/>
      <c r="AL1290" s="6"/>
      <c r="AM1290" s="6"/>
      <c r="AN1290" s="6"/>
      <c r="AO1290" s="6"/>
      <c r="AP1290" s="6"/>
      <c r="AQ1290" s="6"/>
      <c r="AR1290" s="6"/>
      <c r="AS1290" s="6"/>
      <c r="AT1290" s="6"/>
      <c r="AU1290" s="6"/>
      <c r="AV1290" s="6"/>
      <c r="AW1290" s="6"/>
      <c r="AX1290" s="6"/>
      <c r="AY1290" s="6"/>
      <c r="AZ1290" s="6"/>
      <c r="BA1290" s="6"/>
      <c r="BB1290" s="6"/>
      <c r="BC1290" s="6"/>
      <c r="BD1290" s="6"/>
      <c r="BE1290" s="6"/>
      <c r="BF1290" s="6"/>
      <c r="BG1290" s="6"/>
      <c r="BH1290" s="6"/>
      <c r="BI1290" s="6"/>
      <c r="BJ1290" s="6"/>
      <c r="BK1290" s="6"/>
      <c r="BL1290" s="6"/>
      <c r="BM1290" s="6"/>
      <c r="BN1290" s="6"/>
      <c r="BO1290" s="6"/>
      <c r="BP1290" s="6"/>
      <c r="BQ1290" s="6"/>
      <c r="BR1290" s="6"/>
      <c r="BS1290" s="6"/>
      <c r="BT1290" s="6"/>
      <c r="BU1290" s="6"/>
      <c r="BV1290" s="6"/>
      <c r="BW1290" s="6"/>
      <c r="BX1290" s="5"/>
      <c r="BY1290" s="7"/>
      <c r="BZ1290" s="7"/>
      <c r="CA1290" s="7"/>
      <c r="CB1290" s="7"/>
      <c r="CC1290" s="874"/>
    </row>
    <row r="1291" spans="1:81" s="400" customFormat="1" ht="14.25" customHeight="1" x14ac:dyDescent="0.25">
      <c r="A1291" s="5"/>
      <c r="B1291" s="5"/>
      <c r="C1291" s="5"/>
      <c r="D1291" s="5"/>
      <c r="E1291" s="5"/>
      <c r="F1291" s="5"/>
      <c r="G1291" s="5"/>
      <c r="H1291" s="5"/>
      <c r="I1291" s="5"/>
      <c r="J1291" s="5"/>
      <c r="K1291" s="5"/>
      <c r="L1291" s="5"/>
      <c r="M1291" s="5"/>
      <c r="N1291" s="5"/>
      <c r="O1291" s="5"/>
      <c r="P1291" s="5"/>
      <c r="Q1291" s="5"/>
      <c r="R1291" s="5"/>
      <c r="S1291" s="5"/>
      <c r="T1291" s="5"/>
      <c r="U1291" s="5"/>
      <c r="V1291" s="5"/>
      <c r="W1291" s="5"/>
      <c r="X1291" s="5"/>
      <c r="Y1291" s="5"/>
      <c r="Z1291" s="5"/>
      <c r="AA1291" s="5"/>
      <c r="AB1291" s="6"/>
      <c r="AC1291" s="6"/>
      <c r="AD1291" s="6"/>
      <c r="AE1291" s="6"/>
      <c r="AF1291" s="6"/>
      <c r="AG1291" s="6"/>
      <c r="AH1291" s="6"/>
      <c r="AI1291" s="6"/>
      <c r="AJ1291" s="6"/>
      <c r="AK1291" s="6"/>
      <c r="AL1291" s="6"/>
      <c r="AM1291" s="6"/>
      <c r="AN1291" s="6"/>
      <c r="AO1291" s="6"/>
      <c r="AP1291" s="6"/>
      <c r="AQ1291" s="6"/>
      <c r="AR1291" s="6"/>
      <c r="AS1291" s="6"/>
      <c r="AT1291" s="6"/>
      <c r="AU1291" s="6"/>
      <c r="AV1291" s="6"/>
      <c r="AW1291" s="6"/>
      <c r="AX1291" s="6"/>
      <c r="AY1291" s="6"/>
      <c r="AZ1291" s="6"/>
      <c r="BA1291" s="6"/>
      <c r="BB1291" s="6"/>
      <c r="BC1291" s="6"/>
      <c r="BD1291" s="6"/>
      <c r="BE1291" s="6"/>
      <c r="BF1291" s="6"/>
      <c r="BG1291" s="6"/>
      <c r="BH1291" s="6"/>
      <c r="BI1291" s="6"/>
      <c r="BJ1291" s="6"/>
      <c r="BK1291" s="6"/>
      <c r="BL1291" s="6"/>
      <c r="BM1291" s="6"/>
      <c r="BN1291" s="6"/>
      <c r="BO1291" s="6"/>
      <c r="BP1291" s="6"/>
      <c r="BQ1291" s="6"/>
      <c r="BR1291" s="6"/>
      <c r="BS1291" s="6"/>
      <c r="BT1291" s="6"/>
      <c r="BU1291" s="6"/>
      <c r="BV1291" s="6"/>
      <c r="BW1291" s="6"/>
      <c r="BX1291" s="5"/>
      <c r="BY1291" s="7"/>
      <c r="BZ1291" s="7"/>
      <c r="CA1291" s="7"/>
      <c r="CB1291" s="7"/>
      <c r="CC1291" s="874"/>
    </row>
    <row r="1292" spans="1:81" s="400" customFormat="1" ht="14.25" customHeight="1" x14ac:dyDescent="0.25">
      <c r="A1292" s="5"/>
      <c r="B1292" s="5"/>
      <c r="C1292" s="5"/>
      <c r="D1292" s="5"/>
      <c r="E1292" s="5"/>
      <c r="F1292" s="5"/>
      <c r="G1292" s="5"/>
      <c r="H1292" s="5"/>
      <c r="I1292" s="5"/>
      <c r="J1292" s="5"/>
      <c r="K1292" s="5"/>
      <c r="L1292" s="5"/>
      <c r="M1292" s="5"/>
      <c r="N1292" s="5"/>
      <c r="O1292" s="5"/>
      <c r="P1292" s="5"/>
      <c r="Q1292" s="5"/>
      <c r="R1292" s="5"/>
      <c r="S1292" s="5"/>
      <c r="T1292" s="5"/>
      <c r="U1292" s="5"/>
      <c r="V1292" s="5"/>
      <c r="W1292" s="5"/>
      <c r="X1292" s="5"/>
      <c r="Y1292" s="5"/>
      <c r="Z1292" s="5"/>
      <c r="AA1292" s="5"/>
      <c r="AB1292" s="6"/>
      <c r="AC1292" s="6"/>
      <c r="AD1292" s="6"/>
      <c r="AE1292" s="6"/>
      <c r="AF1292" s="6"/>
      <c r="AG1292" s="6"/>
      <c r="AH1292" s="6"/>
      <c r="AI1292" s="6"/>
      <c r="AJ1292" s="6"/>
      <c r="AK1292" s="6"/>
      <c r="AL1292" s="6"/>
      <c r="AM1292" s="6"/>
      <c r="AN1292" s="6"/>
      <c r="AO1292" s="6"/>
      <c r="AP1292" s="6"/>
      <c r="AQ1292" s="6"/>
      <c r="AR1292" s="6"/>
      <c r="AS1292" s="6"/>
      <c r="AT1292" s="6"/>
      <c r="AU1292" s="6"/>
      <c r="AV1292" s="6"/>
      <c r="AW1292" s="6"/>
      <c r="AX1292" s="6"/>
      <c r="AY1292" s="6"/>
      <c r="AZ1292" s="6"/>
      <c r="BA1292" s="6"/>
      <c r="BB1292" s="6"/>
      <c r="BC1292" s="6"/>
      <c r="BD1292" s="6"/>
      <c r="BE1292" s="6"/>
      <c r="BF1292" s="6"/>
      <c r="BG1292" s="6"/>
      <c r="BH1292" s="6"/>
      <c r="BI1292" s="6"/>
      <c r="BJ1292" s="6"/>
      <c r="BK1292" s="6"/>
      <c r="BL1292" s="6"/>
      <c r="BM1292" s="6"/>
      <c r="BN1292" s="6"/>
      <c r="BO1292" s="6"/>
      <c r="BP1292" s="6"/>
      <c r="BQ1292" s="6"/>
      <c r="BR1292" s="6"/>
      <c r="BS1292" s="6"/>
      <c r="BT1292" s="6"/>
      <c r="BU1292" s="6"/>
      <c r="BV1292" s="6"/>
      <c r="BW1292" s="6"/>
      <c r="BX1292" s="5"/>
      <c r="BY1292" s="7"/>
      <c r="BZ1292" s="7"/>
      <c r="CA1292" s="7"/>
      <c r="CB1292" s="7"/>
      <c r="CC1292" s="874"/>
    </row>
    <row r="1293" spans="1:81" s="400" customFormat="1" ht="14.25" customHeight="1" x14ac:dyDescent="0.25">
      <c r="A1293" s="5"/>
      <c r="B1293" s="5"/>
      <c r="C1293" s="5"/>
      <c r="D1293" s="5"/>
      <c r="E1293" s="5"/>
      <c r="F1293" s="5"/>
      <c r="G1293" s="5"/>
      <c r="H1293" s="5"/>
      <c r="I1293" s="5"/>
      <c r="J1293" s="5"/>
      <c r="K1293" s="5"/>
      <c r="L1293" s="5"/>
      <c r="M1293" s="5"/>
      <c r="N1293" s="5"/>
      <c r="O1293" s="5"/>
      <c r="P1293" s="5"/>
      <c r="Q1293" s="5"/>
      <c r="R1293" s="5"/>
      <c r="S1293" s="5"/>
      <c r="T1293" s="5"/>
      <c r="U1293" s="5"/>
      <c r="V1293" s="5"/>
      <c r="W1293" s="5"/>
      <c r="X1293" s="5"/>
      <c r="Y1293" s="5"/>
      <c r="Z1293" s="5"/>
      <c r="AA1293" s="5"/>
      <c r="AB1293" s="6"/>
      <c r="AC1293" s="6"/>
      <c r="AD1293" s="6"/>
      <c r="AE1293" s="6"/>
      <c r="AF1293" s="6"/>
      <c r="AG1293" s="6"/>
      <c r="AH1293" s="6"/>
      <c r="AI1293" s="6"/>
      <c r="AJ1293" s="6"/>
      <c r="AK1293" s="6"/>
      <c r="AL1293" s="6"/>
      <c r="AM1293" s="6"/>
      <c r="AN1293" s="6"/>
      <c r="AO1293" s="6"/>
      <c r="AP1293" s="6"/>
      <c r="AQ1293" s="6"/>
      <c r="AR1293" s="6"/>
      <c r="AS1293" s="6"/>
      <c r="AT1293" s="6"/>
      <c r="AU1293" s="6"/>
      <c r="AV1293" s="6"/>
      <c r="AW1293" s="6"/>
      <c r="AX1293" s="6"/>
      <c r="AY1293" s="6"/>
      <c r="AZ1293" s="6"/>
      <c r="BA1293" s="6"/>
      <c r="BB1293" s="6"/>
      <c r="BC1293" s="6"/>
      <c r="BD1293" s="6"/>
      <c r="BE1293" s="6"/>
      <c r="BF1293" s="6"/>
      <c r="BG1293" s="6"/>
      <c r="BH1293" s="6"/>
      <c r="BI1293" s="6"/>
      <c r="BJ1293" s="6"/>
      <c r="BK1293" s="6"/>
      <c r="BL1293" s="6"/>
      <c r="BM1293" s="6"/>
      <c r="BN1293" s="6"/>
      <c r="BO1293" s="6"/>
      <c r="BP1293" s="6"/>
      <c r="BQ1293" s="6"/>
      <c r="BR1293" s="6"/>
      <c r="BS1293" s="6"/>
      <c r="BT1293" s="6"/>
      <c r="BU1293" s="6"/>
      <c r="BV1293" s="6"/>
      <c r="BW1293" s="6"/>
      <c r="BX1293" s="5"/>
      <c r="BY1293" s="7"/>
      <c r="BZ1293" s="7"/>
      <c r="CA1293" s="7"/>
      <c r="CB1293" s="7"/>
      <c r="CC1293" s="874"/>
    </row>
    <row r="1294" spans="1:81" s="400" customFormat="1" ht="14.25" customHeight="1" x14ac:dyDescent="0.25">
      <c r="A1294" s="5"/>
      <c r="B1294" s="5"/>
      <c r="C1294" s="5"/>
      <c r="D1294" s="5"/>
      <c r="E1294" s="5"/>
      <c r="F1294" s="5"/>
      <c r="G1294" s="5"/>
      <c r="H1294" s="5"/>
      <c r="I1294" s="5"/>
      <c r="J1294" s="5"/>
      <c r="K1294" s="5"/>
      <c r="L1294" s="5"/>
      <c r="M1294" s="5"/>
      <c r="N1294" s="5"/>
      <c r="O1294" s="5"/>
      <c r="P1294" s="5"/>
      <c r="Q1294" s="5"/>
      <c r="R1294" s="5"/>
      <c r="S1294" s="5"/>
      <c r="T1294" s="5"/>
      <c r="U1294" s="5"/>
      <c r="V1294" s="5"/>
      <c r="W1294" s="5"/>
      <c r="X1294" s="5"/>
      <c r="Y1294" s="5"/>
      <c r="Z1294" s="5"/>
      <c r="AA1294" s="5"/>
      <c r="AB1294" s="6"/>
      <c r="AC1294" s="6"/>
      <c r="AD1294" s="6"/>
      <c r="AE1294" s="6"/>
      <c r="AF1294" s="6"/>
      <c r="AG1294" s="6"/>
      <c r="AH1294" s="6"/>
      <c r="AI1294" s="6"/>
      <c r="AJ1294" s="6"/>
      <c r="AK1294" s="6"/>
      <c r="AL1294" s="6"/>
      <c r="AM1294" s="6"/>
      <c r="AN1294" s="6"/>
      <c r="AO1294" s="6"/>
      <c r="AP1294" s="6"/>
      <c r="AQ1294" s="6"/>
      <c r="AR1294" s="6"/>
      <c r="AS1294" s="6"/>
      <c r="AT1294" s="6"/>
      <c r="AU1294" s="6"/>
      <c r="AV1294" s="6"/>
      <c r="AW1294" s="6"/>
      <c r="AX1294" s="6"/>
      <c r="AY1294" s="6"/>
      <c r="AZ1294" s="6"/>
      <c r="BA1294" s="6"/>
      <c r="BB1294" s="6"/>
      <c r="BC1294" s="6"/>
      <c r="BD1294" s="6"/>
      <c r="BE1294" s="6"/>
      <c r="BF1294" s="6"/>
      <c r="BG1294" s="6"/>
      <c r="BH1294" s="6"/>
      <c r="BI1294" s="6"/>
      <c r="BJ1294" s="6"/>
      <c r="BK1294" s="6"/>
      <c r="BL1294" s="6"/>
      <c r="BM1294" s="6"/>
      <c r="BN1294" s="6"/>
      <c r="BO1294" s="6"/>
      <c r="BP1294" s="6"/>
      <c r="BQ1294" s="6"/>
      <c r="BR1294" s="6"/>
      <c r="BS1294" s="6"/>
      <c r="BT1294" s="6"/>
      <c r="BU1294" s="6"/>
      <c r="BV1294" s="6"/>
      <c r="BW1294" s="6"/>
      <c r="BX1294" s="5"/>
      <c r="BY1294" s="7"/>
      <c r="BZ1294" s="7"/>
      <c r="CA1294" s="7"/>
      <c r="CB1294" s="7"/>
      <c r="CC1294" s="874"/>
    </row>
    <row r="1295" spans="1:81" s="400" customFormat="1" ht="14.25" customHeight="1" x14ac:dyDescent="0.25">
      <c r="A1295" s="5"/>
      <c r="B1295" s="5"/>
      <c r="C1295" s="5"/>
      <c r="D1295" s="5"/>
      <c r="E1295" s="5"/>
      <c r="F1295" s="5"/>
      <c r="G1295" s="5"/>
      <c r="H1295" s="5"/>
      <c r="I1295" s="5"/>
      <c r="J1295" s="5"/>
      <c r="K1295" s="5"/>
      <c r="L1295" s="5"/>
      <c r="M1295" s="5"/>
      <c r="N1295" s="5"/>
      <c r="O1295" s="5"/>
      <c r="P1295" s="5"/>
      <c r="Q1295" s="5"/>
      <c r="R1295" s="5"/>
      <c r="S1295" s="5"/>
      <c r="T1295" s="5"/>
      <c r="U1295" s="5"/>
      <c r="V1295" s="5"/>
      <c r="W1295" s="5"/>
      <c r="X1295" s="5"/>
      <c r="Y1295" s="5"/>
      <c r="Z1295" s="5"/>
      <c r="AA1295" s="5"/>
      <c r="AB1295" s="6"/>
      <c r="AC1295" s="6"/>
      <c r="AD1295" s="6"/>
      <c r="AE1295" s="6"/>
      <c r="AF1295" s="6"/>
      <c r="AG1295" s="6"/>
      <c r="AH1295" s="6"/>
      <c r="AI1295" s="6"/>
      <c r="AJ1295" s="6"/>
      <c r="AK1295" s="6"/>
      <c r="AL1295" s="6"/>
      <c r="AM1295" s="6"/>
      <c r="AN1295" s="6"/>
      <c r="AO1295" s="6"/>
      <c r="AP1295" s="6"/>
      <c r="AQ1295" s="6"/>
      <c r="AR1295" s="6"/>
      <c r="AS1295" s="6"/>
      <c r="AT1295" s="6"/>
      <c r="AU1295" s="6"/>
      <c r="AV1295" s="6"/>
      <c r="AW1295" s="6"/>
      <c r="AX1295" s="6"/>
      <c r="AY1295" s="6"/>
      <c r="AZ1295" s="6"/>
      <c r="BA1295" s="6"/>
      <c r="BB1295" s="6"/>
      <c r="BC1295" s="6"/>
      <c r="BD1295" s="6"/>
      <c r="BE1295" s="6"/>
      <c r="BF1295" s="6"/>
      <c r="BG1295" s="6"/>
      <c r="BH1295" s="6"/>
      <c r="BI1295" s="6"/>
      <c r="BJ1295" s="6"/>
      <c r="BK1295" s="6"/>
      <c r="BL1295" s="6"/>
      <c r="BM1295" s="6"/>
      <c r="BN1295" s="6"/>
      <c r="BO1295" s="6"/>
      <c r="BP1295" s="6"/>
      <c r="BQ1295" s="6"/>
      <c r="BR1295" s="6"/>
      <c r="BS1295" s="6"/>
      <c r="BT1295" s="6"/>
      <c r="BU1295" s="6"/>
      <c r="BV1295" s="6"/>
      <c r="BW1295" s="6"/>
      <c r="BX1295" s="5"/>
      <c r="BY1295" s="7"/>
      <c r="BZ1295" s="7"/>
      <c r="CA1295" s="7"/>
      <c r="CB1295" s="7"/>
      <c r="CC1295" s="874"/>
    </row>
    <row r="1296" spans="1:81" s="400" customFormat="1" ht="14.25" customHeight="1" x14ac:dyDescent="0.25">
      <c r="A1296" s="5"/>
      <c r="B1296" s="5"/>
      <c r="C1296" s="5"/>
      <c r="D1296" s="5"/>
      <c r="E1296" s="5"/>
      <c r="F1296" s="5"/>
      <c r="G1296" s="5"/>
      <c r="H1296" s="5"/>
      <c r="I1296" s="5"/>
      <c r="J1296" s="5"/>
      <c r="K1296" s="5"/>
      <c r="L1296" s="5"/>
      <c r="M1296" s="5"/>
      <c r="N1296" s="5"/>
      <c r="O1296" s="5"/>
      <c r="P1296" s="5"/>
      <c r="Q1296" s="5"/>
      <c r="R1296" s="5"/>
      <c r="S1296" s="5"/>
      <c r="T1296" s="5"/>
      <c r="U1296" s="5"/>
      <c r="V1296" s="5"/>
      <c r="W1296" s="5"/>
      <c r="X1296" s="5"/>
      <c r="Y1296" s="5"/>
      <c r="Z1296" s="5"/>
      <c r="AA1296" s="5"/>
      <c r="AB1296" s="6"/>
      <c r="AC1296" s="6"/>
      <c r="AD1296" s="6"/>
      <c r="AE1296" s="6"/>
      <c r="AF1296" s="6"/>
      <c r="AG1296" s="6"/>
      <c r="AH1296" s="6"/>
      <c r="AI1296" s="6"/>
      <c r="AJ1296" s="6"/>
      <c r="AK1296" s="6"/>
      <c r="AL1296" s="6"/>
      <c r="AM1296" s="6"/>
      <c r="AN1296" s="6"/>
      <c r="AO1296" s="6"/>
      <c r="AP1296" s="6"/>
      <c r="AQ1296" s="6"/>
      <c r="AR1296" s="6"/>
      <c r="AS1296" s="6"/>
      <c r="AT1296" s="6"/>
      <c r="AU1296" s="6"/>
      <c r="AV1296" s="6"/>
      <c r="AW1296" s="6"/>
      <c r="AX1296" s="6"/>
      <c r="AY1296" s="6"/>
      <c r="AZ1296" s="6"/>
      <c r="BA1296" s="6"/>
      <c r="BB1296" s="6"/>
      <c r="BC1296" s="6"/>
      <c r="BD1296" s="6"/>
      <c r="BE1296" s="6"/>
      <c r="BF1296" s="6"/>
      <c r="BG1296" s="6"/>
      <c r="BH1296" s="6"/>
      <c r="BI1296" s="6"/>
      <c r="BJ1296" s="6"/>
      <c r="BK1296" s="6"/>
      <c r="BL1296" s="6"/>
      <c r="BM1296" s="6"/>
      <c r="BN1296" s="6"/>
      <c r="BO1296" s="6"/>
      <c r="BP1296" s="6"/>
      <c r="BQ1296" s="6"/>
      <c r="BR1296" s="6"/>
      <c r="BS1296" s="6"/>
      <c r="BT1296" s="6"/>
      <c r="BU1296" s="6"/>
      <c r="BV1296" s="6"/>
      <c r="BW1296" s="6"/>
      <c r="BX1296" s="5"/>
      <c r="BY1296" s="7"/>
      <c r="BZ1296" s="7"/>
      <c r="CA1296" s="7"/>
      <c r="CB1296" s="7"/>
      <c r="CC1296" s="874"/>
    </row>
    <row r="1297" spans="1:81" s="400" customFormat="1" ht="14.25" customHeight="1" x14ac:dyDescent="0.25">
      <c r="A1297" s="5"/>
      <c r="B1297" s="5"/>
      <c r="C1297" s="5"/>
      <c r="D1297" s="5"/>
      <c r="E1297" s="5"/>
      <c r="F1297" s="5"/>
      <c r="G1297" s="5"/>
      <c r="H1297" s="5"/>
      <c r="I1297" s="5"/>
      <c r="J1297" s="5"/>
      <c r="K1297" s="5"/>
      <c r="L1297" s="5"/>
      <c r="M1297" s="5"/>
      <c r="N1297" s="5"/>
      <c r="O1297" s="5"/>
      <c r="P1297" s="5"/>
      <c r="Q1297" s="5"/>
      <c r="R1297" s="5"/>
      <c r="S1297" s="5"/>
      <c r="T1297" s="5"/>
      <c r="U1297" s="5"/>
      <c r="V1297" s="5"/>
      <c r="W1297" s="5"/>
      <c r="X1297" s="5"/>
      <c r="Y1297" s="5"/>
      <c r="Z1297" s="5"/>
      <c r="AA1297" s="5"/>
      <c r="AB1297" s="6"/>
      <c r="AC1297" s="6"/>
      <c r="AD1297" s="6"/>
      <c r="AE1297" s="6"/>
      <c r="AF1297" s="6"/>
      <c r="AG1297" s="6"/>
      <c r="AH1297" s="6"/>
      <c r="AI1297" s="6"/>
      <c r="AJ1297" s="6"/>
      <c r="AK1297" s="6"/>
      <c r="AL1297" s="6"/>
      <c r="AM1297" s="6"/>
      <c r="AN1297" s="6"/>
      <c r="AO1297" s="6"/>
      <c r="AP1297" s="6"/>
      <c r="AQ1297" s="6"/>
      <c r="AR1297" s="6"/>
      <c r="AS1297" s="6"/>
      <c r="AT1297" s="6"/>
      <c r="AU1297" s="6"/>
      <c r="AV1297" s="6"/>
      <c r="AW1297" s="6"/>
      <c r="AX1297" s="6"/>
      <c r="AY1297" s="6"/>
      <c r="AZ1297" s="6"/>
      <c r="BA1297" s="6"/>
      <c r="BB1297" s="6"/>
      <c r="BC1297" s="6"/>
      <c r="BD1297" s="6"/>
      <c r="BE1297" s="6"/>
      <c r="BF1297" s="6"/>
      <c r="BG1297" s="6"/>
      <c r="BH1297" s="6"/>
      <c r="BI1297" s="6"/>
      <c r="BJ1297" s="6"/>
      <c r="BK1297" s="6"/>
      <c r="BL1297" s="6"/>
      <c r="BM1297" s="6"/>
      <c r="BN1297" s="6"/>
      <c r="BO1297" s="6"/>
      <c r="BP1297" s="6"/>
      <c r="BQ1297" s="6"/>
      <c r="BR1297" s="6"/>
      <c r="BS1297" s="6"/>
      <c r="BT1297" s="6"/>
      <c r="BU1297" s="6"/>
      <c r="BV1297" s="6"/>
      <c r="BW1297" s="6"/>
      <c r="BX1297" s="5"/>
      <c r="BY1297" s="7"/>
      <c r="BZ1297" s="7"/>
      <c r="CA1297" s="7"/>
      <c r="CB1297" s="7"/>
      <c r="CC1297" s="874"/>
    </row>
    <row r="1298" spans="1:81" s="400" customFormat="1" ht="14.25" customHeight="1" x14ac:dyDescent="0.25">
      <c r="A1298" s="5"/>
      <c r="B1298" s="5"/>
      <c r="C1298" s="5"/>
      <c r="D1298" s="5"/>
      <c r="E1298" s="5"/>
      <c r="F1298" s="5"/>
      <c r="G1298" s="5"/>
      <c r="H1298" s="5"/>
      <c r="I1298" s="5"/>
      <c r="J1298" s="5"/>
      <c r="K1298" s="5"/>
      <c r="L1298" s="5"/>
      <c r="M1298" s="5"/>
      <c r="N1298" s="5"/>
      <c r="O1298" s="5"/>
      <c r="P1298" s="5"/>
      <c r="Q1298" s="5"/>
      <c r="R1298" s="5"/>
      <c r="S1298" s="5"/>
      <c r="T1298" s="5"/>
      <c r="U1298" s="5"/>
      <c r="V1298" s="5"/>
      <c r="W1298" s="5"/>
      <c r="X1298" s="5"/>
      <c r="Y1298" s="5"/>
      <c r="Z1298" s="5"/>
      <c r="AA1298" s="5"/>
      <c r="AB1298" s="6"/>
      <c r="AC1298" s="6"/>
      <c r="AD1298" s="6"/>
      <c r="AE1298" s="6"/>
      <c r="AF1298" s="6"/>
      <c r="AG1298" s="6"/>
      <c r="AH1298" s="6"/>
      <c r="AI1298" s="6"/>
      <c r="AJ1298" s="6"/>
      <c r="AK1298" s="6"/>
      <c r="AL1298" s="6"/>
      <c r="AM1298" s="6"/>
      <c r="AN1298" s="6"/>
      <c r="AO1298" s="6"/>
      <c r="AP1298" s="6"/>
      <c r="AQ1298" s="6"/>
      <c r="AR1298" s="6"/>
      <c r="AS1298" s="6"/>
      <c r="AT1298" s="6"/>
      <c r="AU1298" s="6"/>
      <c r="AV1298" s="6"/>
      <c r="AW1298" s="6"/>
      <c r="AX1298" s="6"/>
      <c r="AY1298" s="6"/>
      <c r="AZ1298" s="6"/>
      <c r="BA1298" s="6"/>
      <c r="BB1298" s="6"/>
      <c r="BC1298" s="6"/>
      <c r="BD1298" s="6"/>
      <c r="BE1298" s="6"/>
      <c r="BF1298" s="6"/>
      <c r="BG1298" s="6"/>
      <c r="BH1298" s="6"/>
      <c r="BI1298" s="6"/>
      <c r="BJ1298" s="6"/>
      <c r="BK1298" s="6"/>
      <c r="BL1298" s="6"/>
      <c r="BM1298" s="6"/>
      <c r="BN1298" s="6"/>
      <c r="BO1298" s="6"/>
      <c r="BP1298" s="6"/>
      <c r="BQ1298" s="6"/>
      <c r="BR1298" s="6"/>
      <c r="BS1298" s="6"/>
      <c r="BT1298" s="6"/>
      <c r="BU1298" s="6"/>
      <c r="BV1298" s="6"/>
      <c r="BW1298" s="6"/>
      <c r="BX1298" s="5"/>
      <c r="BY1298" s="7"/>
      <c r="BZ1298" s="7"/>
      <c r="CA1298" s="7"/>
      <c r="CB1298" s="7"/>
      <c r="CC1298" s="874"/>
    </row>
    <row r="1299" spans="1:81" s="400" customFormat="1" ht="14.25" customHeight="1" x14ac:dyDescent="0.25">
      <c r="A1299" s="5"/>
      <c r="B1299" s="5"/>
      <c r="C1299" s="5"/>
      <c r="D1299" s="5"/>
      <c r="E1299" s="5"/>
      <c r="F1299" s="5"/>
      <c r="G1299" s="5"/>
      <c r="H1299" s="5"/>
      <c r="I1299" s="5"/>
      <c r="J1299" s="5"/>
      <c r="K1299" s="5"/>
      <c r="L1299" s="5"/>
      <c r="M1299" s="5"/>
      <c r="N1299" s="5"/>
      <c r="O1299" s="5"/>
      <c r="P1299" s="5"/>
      <c r="Q1299" s="5"/>
      <c r="R1299" s="5"/>
      <c r="S1299" s="5"/>
      <c r="T1299" s="5"/>
      <c r="U1299" s="5"/>
      <c r="V1299" s="5"/>
      <c r="W1299" s="5"/>
      <c r="X1299" s="5"/>
      <c r="Y1299" s="5"/>
      <c r="Z1299" s="5"/>
      <c r="AA1299" s="5"/>
      <c r="AB1299" s="6"/>
      <c r="AC1299" s="6"/>
      <c r="AD1299" s="6"/>
      <c r="AE1299" s="6"/>
      <c r="AF1299" s="6"/>
      <c r="AG1299" s="6"/>
      <c r="AH1299" s="6"/>
      <c r="AI1299" s="6"/>
      <c r="AJ1299" s="6"/>
      <c r="AK1299" s="6"/>
      <c r="AL1299" s="6"/>
      <c r="AM1299" s="6"/>
      <c r="AN1299" s="6"/>
      <c r="AO1299" s="6"/>
      <c r="AP1299" s="6"/>
      <c r="AQ1299" s="6"/>
      <c r="AR1299" s="6"/>
      <c r="AS1299" s="6"/>
      <c r="AT1299" s="6"/>
      <c r="AU1299" s="6"/>
      <c r="AV1299" s="6"/>
      <c r="AW1299" s="6"/>
      <c r="AX1299" s="6"/>
      <c r="AY1299" s="6"/>
      <c r="AZ1299" s="6"/>
      <c r="BA1299" s="6"/>
      <c r="BB1299" s="6"/>
      <c r="BC1299" s="6"/>
      <c r="BD1299" s="6"/>
      <c r="BE1299" s="6"/>
      <c r="BF1299" s="6"/>
      <c r="BG1299" s="6"/>
      <c r="BH1299" s="6"/>
      <c r="BI1299" s="6"/>
      <c r="BJ1299" s="6"/>
      <c r="BK1299" s="6"/>
      <c r="BL1299" s="6"/>
      <c r="BM1299" s="6"/>
      <c r="BN1299" s="6"/>
      <c r="BO1299" s="6"/>
      <c r="BP1299" s="6"/>
      <c r="BQ1299" s="6"/>
      <c r="BR1299" s="6"/>
      <c r="BS1299" s="6"/>
      <c r="BT1299" s="6"/>
      <c r="BU1299" s="6"/>
      <c r="BV1299" s="6"/>
      <c r="BW1299" s="6"/>
      <c r="BX1299" s="5"/>
      <c r="BY1299" s="7"/>
      <c r="BZ1299" s="7"/>
      <c r="CA1299" s="7"/>
      <c r="CB1299" s="7"/>
      <c r="CC1299" s="874"/>
    </row>
    <row r="1300" spans="1:81" s="400" customFormat="1" ht="14.25" customHeight="1" x14ac:dyDescent="0.25">
      <c r="A1300" s="5"/>
      <c r="B1300" s="5"/>
      <c r="C1300" s="5"/>
      <c r="D1300" s="5"/>
      <c r="E1300" s="5"/>
      <c r="F1300" s="5"/>
      <c r="G1300" s="5"/>
      <c r="H1300" s="5"/>
      <c r="I1300" s="5"/>
      <c r="J1300" s="5"/>
      <c r="K1300" s="5"/>
      <c r="L1300" s="5"/>
      <c r="M1300" s="5"/>
      <c r="N1300" s="5"/>
      <c r="O1300" s="5"/>
      <c r="P1300" s="5"/>
      <c r="Q1300" s="5"/>
      <c r="R1300" s="5"/>
      <c r="S1300" s="5"/>
      <c r="T1300" s="5"/>
      <c r="U1300" s="5"/>
      <c r="V1300" s="5"/>
      <c r="W1300" s="5"/>
      <c r="X1300" s="5"/>
      <c r="Y1300" s="5"/>
      <c r="Z1300" s="5"/>
      <c r="AA1300" s="5"/>
      <c r="AB1300" s="6"/>
      <c r="AC1300" s="6"/>
      <c r="AD1300" s="6"/>
      <c r="AE1300" s="6"/>
      <c r="AF1300" s="6"/>
      <c r="AG1300" s="6"/>
      <c r="AH1300" s="6"/>
      <c r="AI1300" s="6"/>
      <c r="AJ1300" s="6"/>
      <c r="AK1300" s="6"/>
      <c r="AL1300" s="6"/>
      <c r="AM1300" s="6"/>
      <c r="AN1300" s="6"/>
      <c r="AO1300" s="6"/>
      <c r="AP1300" s="6"/>
      <c r="AQ1300" s="6"/>
      <c r="AR1300" s="6"/>
      <c r="AS1300" s="6"/>
      <c r="AT1300" s="6"/>
      <c r="AU1300" s="6"/>
      <c r="AV1300" s="6"/>
      <c r="AW1300" s="6"/>
      <c r="AX1300" s="6"/>
      <c r="AY1300" s="6"/>
      <c r="AZ1300" s="6"/>
      <c r="BA1300" s="6"/>
      <c r="BB1300" s="6"/>
      <c r="BC1300" s="6"/>
      <c r="BD1300" s="6"/>
      <c r="BE1300" s="6"/>
      <c r="BF1300" s="6"/>
      <c r="BG1300" s="6"/>
      <c r="BH1300" s="6"/>
      <c r="BI1300" s="6"/>
      <c r="BJ1300" s="6"/>
      <c r="BK1300" s="6"/>
      <c r="BL1300" s="6"/>
      <c r="BM1300" s="6"/>
      <c r="BN1300" s="6"/>
      <c r="BO1300" s="6"/>
      <c r="BP1300" s="6"/>
      <c r="BQ1300" s="6"/>
      <c r="BR1300" s="6"/>
      <c r="BS1300" s="6"/>
      <c r="BT1300" s="6"/>
      <c r="BU1300" s="6"/>
      <c r="BV1300" s="6"/>
      <c r="BW1300" s="6"/>
      <c r="BX1300" s="5"/>
      <c r="BY1300" s="7"/>
      <c r="BZ1300" s="7"/>
      <c r="CA1300" s="7"/>
      <c r="CB1300" s="7"/>
      <c r="CC1300" s="874"/>
    </row>
    <row r="1301" spans="1:81" s="400" customFormat="1" ht="14.25" customHeight="1" x14ac:dyDescent="0.25">
      <c r="A1301" s="5"/>
      <c r="B1301" s="5"/>
      <c r="C1301" s="5"/>
      <c r="D1301" s="5"/>
      <c r="E1301" s="5"/>
      <c r="F1301" s="5"/>
      <c r="G1301" s="5"/>
      <c r="H1301" s="5"/>
      <c r="I1301" s="5"/>
      <c r="J1301" s="5"/>
      <c r="K1301" s="5"/>
      <c r="L1301" s="5"/>
      <c r="M1301" s="5"/>
      <c r="N1301" s="5"/>
      <c r="O1301" s="5"/>
      <c r="P1301" s="5"/>
      <c r="Q1301" s="5"/>
      <c r="R1301" s="5"/>
      <c r="S1301" s="5"/>
      <c r="T1301" s="5"/>
      <c r="U1301" s="5"/>
      <c r="V1301" s="5"/>
      <c r="W1301" s="5"/>
      <c r="X1301" s="5"/>
      <c r="Y1301" s="5"/>
      <c r="Z1301" s="5"/>
      <c r="AA1301" s="5"/>
      <c r="AB1301" s="6"/>
      <c r="AC1301" s="6"/>
      <c r="AD1301" s="6"/>
      <c r="AE1301" s="6"/>
      <c r="AF1301" s="6"/>
      <c r="AG1301" s="6"/>
      <c r="AH1301" s="6"/>
      <c r="AI1301" s="6"/>
      <c r="AJ1301" s="6"/>
      <c r="AK1301" s="6"/>
      <c r="AL1301" s="6"/>
      <c r="AM1301" s="6"/>
      <c r="AN1301" s="6"/>
      <c r="AO1301" s="6"/>
      <c r="AP1301" s="6"/>
      <c r="AQ1301" s="6"/>
      <c r="AR1301" s="6"/>
      <c r="AS1301" s="6"/>
      <c r="AT1301" s="6"/>
      <c r="AU1301" s="6"/>
      <c r="AV1301" s="6"/>
      <c r="AW1301" s="6"/>
      <c r="AX1301" s="6"/>
      <c r="AY1301" s="6"/>
      <c r="AZ1301" s="6"/>
      <c r="BA1301" s="6"/>
      <c r="BB1301" s="6"/>
      <c r="BC1301" s="6"/>
      <c r="BD1301" s="6"/>
      <c r="BE1301" s="6"/>
      <c r="BF1301" s="6"/>
      <c r="BG1301" s="6"/>
      <c r="BH1301" s="6"/>
      <c r="BI1301" s="6"/>
      <c r="BJ1301" s="6"/>
      <c r="BK1301" s="6"/>
      <c r="BL1301" s="6"/>
      <c r="BM1301" s="6"/>
      <c r="BN1301" s="6"/>
      <c r="BO1301" s="6"/>
      <c r="BP1301" s="6"/>
      <c r="BQ1301" s="6"/>
      <c r="BR1301" s="6"/>
      <c r="BS1301" s="6"/>
      <c r="BT1301" s="6"/>
      <c r="BU1301" s="6"/>
      <c r="BV1301" s="6"/>
      <c r="BW1301" s="6"/>
      <c r="BX1301" s="5"/>
      <c r="BY1301" s="7"/>
      <c r="BZ1301" s="7"/>
      <c r="CA1301" s="7"/>
      <c r="CB1301" s="7"/>
      <c r="CC1301" s="874"/>
    </row>
    <row r="1302" spans="1:81" s="400" customFormat="1" ht="14.25" customHeight="1" x14ac:dyDescent="0.25">
      <c r="A1302" s="5"/>
      <c r="B1302" s="5"/>
      <c r="C1302" s="5"/>
      <c r="D1302" s="5"/>
      <c r="E1302" s="5"/>
      <c r="F1302" s="5"/>
      <c r="G1302" s="5"/>
      <c r="H1302" s="5"/>
      <c r="I1302" s="5"/>
      <c r="J1302" s="5"/>
      <c r="K1302" s="5"/>
      <c r="L1302" s="5"/>
      <c r="M1302" s="5"/>
      <c r="N1302" s="5"/>
      <c r="O1302" s="5"/>
      <c r="P1302" s="5"/>
      <c r="Q1302" s="5"/>
      <c r="R1302" s="5"/>
      <c r="S1302" s="5"/>
      <c r="T1302" s="5"/>
      <c r="U1302" s="5"/>
      <c r="V1302" s="5"/>
      <c r="W1302" s="5"/>
      <c r="X1302" s="5"/>
      <c r="Y1302" s="5"/>
      <c r="Z1302" s="5"/>
      <c r="AA1302" s="5"/>
      <c r="AB1302" s="6"/>
      <c r="AC1302" s="6"/>
      <c r="AD1302" s="6"/>
      <c r="AE1302" s="6"/>
      <c r="AF1302" s="6"/>
      <c r="AG1302" s="6"/>
      <c r="AH1302" s="6"/>
      <c r="AI1302" s="6"/>
      <c r="AJ1302" s="6"/>
      <c r="AK1302" s="6"/>
      <c r="AL1302" s="6"/>
      <c r="AM1302" s="6"/>
      <c r="AN1302" s="6"/>
      <c r="AO1302" s="6"/>
      <c r="AP1302" s="6"/>
      <c r="AQ1302" s="6"/>
      <c r="AR1302" s="6"/>
      <c r="AS1302" s="6"/>
      <c r="AT1302" s="6"/>
      <c r="AU1302" s="6"/>
      <c r="AV1302" s="6"/>
      <c r="AW1302" s="6"/>
      <c r="AX1302" s="6"/>
      <c r="AY1302" s="6"/>
      <c r="AZ1302" s="6"/>
      <c r="BA1302" s="6"/>
      <c r="BB1302" s="6"/>
      <c r="BC1302" s="6"/>
      <c r="BD1302" s="6"/>
      <c r="BE1302" s="6"/>
      <c r="BF1302" s="6"/>
      <c r="BG1302" s="6"/>
      <c r="BH1302" s="6"/>
      <c r="BI1302" s="6"/>
      <c r="BJ1302" s="6"/>
      <c r="BK1302" s="6"/>
      <c r="BL1302" s="6"/>
      <c r="BM1302" s="6"/>
      <c r="BN1302" s="6"/>
      <c r="BO1302" s="6"/>
      <c r="BP1302" s="6"/>
      <c r="BQ1302" s="6"/>
      <c r="BR1302" s="6"/>
      <c r="BS1302" s="6"/>
      <c r="BT1302" s="6"/>
      <c r="BU1302" s="6"/>
      <c r="BV1302" s="6"/>
      <c r="BW1302" s="6"/>
      <c r="BX1302" s="5"/>
      <c r="BY1302" s="7"/>
      <c r="BZ1302" s="7"/>
      <c r="CA1302" s="7"/>
      <c r="CB1302" s="7"/>
      <c r="CC1302" s="874"/>
    </row>
    <row r="1303" spans="1:81" s="400" customFormat="1" ht="14.25" customHeight="1" x14ac:dyDescent="0.25">
      <c r="A1303" s="5"/>
      <c r="B1303" s="5"/>
      <c r="C1303" s="5"/>
      <c r="D1303" s="5"/>
      <c r="E1303" s="5"/>
      <c r="F1303" s="5"/>
      <c r="G1303" s="5"/>
      <c r="H1303" s="5"/>
      <c r="I1303" s="5"/>
      <c r="J1303" s="5"/>
      <c r="K1303" s="5"/>
      <c r="L1303" s="5"/>
      <c r="M1303" s="5"/>
      <c r="N1303" s="5"/>
      <c r="O1303" s="5"/>
      <c r="P1303" s="5"/>
      <c r="Q1303" s="5"/>
      <c r="R1303" s="5"/>
      <c r="S1303" s="5"/>
      <c r="T1303" s="5"/>
      <c r="U1303" s="5"/>
      <c r="V1303" s="5"/>
      <c r="W1303" s="5"/>
      <c r="X1303" s="5"/>
      <c r="Y1303" s="5"/>
      <c r="Z1303" s="5"/>
      <c r="AA1303" s="5"/>
      <c r="AB1303" s="6"/>
      <c r="AC1303" s="6"/>
      <c r="AD1303" s="6"/>
      <c r="AE1303" s="6"/>
      <c r="AF1303" s="6"/>
      <c r="AG1303" s="6"/>
      <c r="AH1303" s="6"/>
      <c r="AI1303" s="6"/>
      <c r="AJ1303" s="6"/>
      <c r="AK1303" s="6"/>
      <c r="AL1303" s="6"/>
      <c r="AM1303" s="6"/>
      <c r="AN1303" s="6"/>
      <c r="AO1303" s="6"/>
      <c r="AP1303" s="6"/>
      <c r="AQ1303" s="6"/>
      <c r="AR1303" s="6"/>
      <c r="AS1303" s="6"/>
      <c r="AT1303" s="6"/>
      <c r="AU1303" s="6"/>
      <c r="AV1303" s="6"/>
      <c r="AW1303" s="6"/>
      <c r="AX1303" s="6"/>
      <c r="AY1303" s="6"/>
      <c r="AZ1303" s="6"/>
      <c r="BA1303" s="6"/>
      <c r="BB1303" s="6"/>
      <c r="BC1303" s="6"/>
      <c r="BD1303" s="6"/>
      <c r="BE1303" s="6"/>
      <c r="BF1303" s="6"/>
      <c r="BG1303" s="6"/>
      <c r="BH1303" s="6"/>
      <c r="BI1303" s="6"/>
      <c r="BJ1303" s="6"/>
      <c r="BK1303" s="6"/>
      <c r="BL1303" s="6"/>
      <c r="BM1303" s="6"/>
      <c r="BN1303" s="6"/>
      <c r="BO1303" s="6"/>
      <c r="BP1303" s="6"/>
      <c r="BQ1303" s="6"/>
      <c r="BR1303" s="6"/>
      <c r="BS1303" s="6"/>
      <c r="BT1303" s="6"/>
      <c r="BU1303" s="6"/>
      <c r="BV1303" s="6"/>
      <c r="BW1303" s="6"/>
      <c r="BX1303" s="5"/>
      <c r="BY1303" s="7"/>
      <c r="BZ1303" s="7"/>
      <c r="CA1303" s="7"/>
      <c r="CB1303" s="7"/>
      <c r="CC1303" s="874"/>
    </row>
    <row r="1304" spans="1:81" s="400" customFormat="1" ht="14.25" customHeight="1" x14ac:dyDescent="0.25">
      <c r="A1304" s="5"/>
      <c r="B1304" s="5"/>
      <c r="C1304" s="5"/>
      <c r="D1304" s="5"/>
      <c r="E1304" s="5"/>
      <c r="F1304" s="5"/>
      <c r="G1304" s="5"/>
      <c r="H1304" s="5"/>
      <c r="I1304" s="5"/>
      <c r="J1304" s="5"/>
      <c r="K1304" s="5"/>
      <c r="L1304" s="5"/>
      <c r="M1304" s="5"/>
      <c r="N1304" s="5"/>
      <c r="O1304" s="5"/>
      <c r="P1304" s="5"/>
      <c r="Q1304" s="5"/>
      <c r="R1304" s="5"/>
      <c r="S1304" s="5"/>
      <c r="T1304" s="5"/>
      <c r="U1304" s="5"/>
      <c r="V1304" s="5"/>
      <c r="W1304" s="5"/>
      <c r="X1304" s="5"/>
      <c r="Y1304" s="5"/>
      <c r="Z1304" s="5"/>
      <c r="AA1304" s="5"/>
      <c r="AB1304" s="6"/>
      <c r="AC1304" s="6"/>
      <c r="AD1304" s="6"/>
      <c r="AE1304" s="6"/>
      <c r="AF1304" s="6"/>
      <c r="AG1304" s="6"/>
      <c r="AH1304" s="6"/>
      <c r="AI1304" s="6"/>
      <c r="AJ1304" s="6"/>
      <c r="AK1304" s="6"/>
      <c r="AL1304" s="6"/>
      <c r="AM1304" s="6"/>
      <c r="AN1304" s="6"/>
      <c r="AO1304" s="6"/>
      <c r="AP1304" s="6"/>
      <c r="AQ1304" s="6"/>
      <c r="AR1304" s="6"/>
      <c r="AS1304" s="6"/>
      <c r="AT1304" s="6"/>
      <c r="AU1304" s="6"/>
      <c r="AV1304" s="6"/>
      <c r="AW1304" s="6"/>
      <c r="AX1304" s="6"/>
      <c r="AY1304" s="6"/>
      <c r="AZ1304" s="6"/>
      <c r="BA1304" s="6"/>
      <c r="BB1304" s="6"/>
      <c r="BC1304" s="6"/>
      <c r="BD1304" s="6"/>
      <c r="BE1304" s="6"/>
      <c r="BF1304" s="6"/>
      <c r="BG1304" s="6"/>
      <c r="BH1304" s="6"/>
      <c r="BI1304" s="6"/>
      <c r="BJ1304" s="6"/>
      <c r="BK1304" s="6"/>
      <c r="BL1304" s="6"/>
      <c r="BM1304" s="6"/>
      <c r="BN1304" s="6"/>
      <c r="BO1304" s="6"/>
      <c r="BP1304" s="6"/>
      <c r="BQ1304" s="6"/>
      <c r="BR1304" s="6"/>
      <c r="BS1304" s="6"/>
      <c r="BT1304" s="6"/>
      <c r="BU1304" s="6"/>
      <c r="BV1304" s="6"/>
      <c r="BW1304" s="6"/>
      <c r="BX1304" s="5"/>
      <c r="BY1304" s="7"/>
      <c r="BZ1304" s="7"/>
      <c r="CA1304" s="7"/>
      <c r="CB1304" s="7"/>
      <c r="CC1304" s="874"/>
    </row>
    <row r="1305" spans="1:81" s="400" customFormat="1" ht="14.25" customHeight="1" x14ac:dyDescent="0.25">
      <c r="A1305" s="5"/>
      <c r="B1305" s="5"/>
      <c r="C1305" s="5"/>
      <c r="D1305" s="5"/>
      <c r="E1305" s="5"/>
      <c r="F1305" s="5"/>
      <c r="G1305" s="5"/>
      <c r="H1305" s="5"/>
      <c r="I1305" s="5"/>
      <c r="J1305" s="5"/>
      <c r="K1305" s="5"/>
      <c r="L1305" s="5"/>
      <c r="M1305" s="5"/>
      <c r="N1305" s="5"/>
      <c r="O1305" s="5"/>
      <c r="P1305" s="5"/>
      <c r="Q1305" s="5"/>
      <c r="R1305" s="5"/>
      <c r="S1305" s="5"/>
      <c r="T1305" s="5"/>
      <c r="U1305" s="5"/>
      <c r="V1305" s="5"/>
      <c r="W1305" s="5"/>
      <c r="X1305" s="5"/>
      <c r="Y1305" s="5"/>
      <c r="Z1305" s="5"/>
      <c r="AA1305" s="5"/>
      <c r="AB1305" s="6"/>
      <c r="AC1305" s="6"/>
      <c r="AD1305" s="6"/>
      <c r="AE1305" s="6"/>
      <c r="AF1305" s="6"/>
      <c r="AG1305" s="6"/>
      <c r="AH1305" s="6"/>
      <c r="AI1305" s="6"/>
      <c r="AJ1305" s="6"/>
      <c r="AK1305" s="6"/>
      <c r="AL1305" s="6"/>
      <c r="AM1305" s="6"/>
      <c r="AN1305" s="6"/>
      <c r="AO1305" s="6"/>
      <c r="AP1305" s="6"/>
      <c r="AQ1305" s="6"/>
      <c r="AR1305" s="6"/>
      <c r="AS1305" s="6"/>
      <c r="AT1305" s="6"/>
      <c r="AU1305" s="6"/>
      <c r="AV1305" s="6"/>
      <c r="AW1305" s="6"/>
      <c r="AX1305" s="6"/>
      <c r="AY1305" s="6"/>
      <c r="AZ1305" s="6"/>
      <c r="BA1305" s="6"/>
      <c r="BB1305" s="6"/>
      <c r="BC1305" s="6"/>
      <c r="BD1305" s="6"/>
      <c r="BE1305" s="6"/>
      <c r="BF1305" s="6"/>
      <c r="BG1305" s="6"/>
      <c r="BH1305" s="6"/>
      <c r="BI1305" s="6"/>
      <c r="BJ1305" s="6"/>
      <c r="BK1305" s="6"/>
      <c r="BL1305" s="6"/>
      <c r="BM1305" s="6"/>
      <c r="BN1305" s="6"/>
      <c r="BO1305" s="6"/>
      <c r="BP1305" s="6"/>
      <c r="BQ1305" s="6"/>
      <c r="BR1305" s="6"/>
      <c r="BS1305" s="6"/>
      <c r="BT1305" s="6"/>
      <c r="BU1305" s="6"/>
      <c r="BV1305" s="6"/>
      <c r="BW1305" s="6"/>
      <c r="BX1305" s="5"/>
      <c r="BY1305" s="7"/>
      <c r="BZ1305" s="7"/>
      <c r="CA1305" s="7"/>
      <c r="CB1305" s="7"/>
      <c r="CC1305" s="874"/>
    </row>
    <row r="1306" spans="1:81" s="400" customFormat="1" ht="14.25" customHeight="1" x14ac:dyDescent="0.25">
      <c r="A1306" s="5"/>
      <c r="B1306" s="5"/>
      <c r="C1306" s="5"/>
      <c r="D1306" s="5"/>
      <c r="E1306" s="5"/>
      <c r="F1306" s="5"/>
      <c r="G1306" s="5"/>
      <c r="H1306" s="5"/>
      <c r="I1306" s="5"/>
      <c r="J1306" s="5"/>
      <c r="K1306" s="5"/>
      <c r="L1306" s="5"/>
      <c r="M1306" s="5"/>
      <c r="N1306" s="5"/>
      <c r="O1306" s="5"/>
      <c r="P1306" s="5"/>
      <c r="Q1306" s="5"/>
      <c r="R1306" s="5"/>
      <c r="S1306" s="5"/>
      <c r="T1306" s="5"/>
      <c r="U1306" s="5"/>
      <c r="V1306" s="5"/>
      <c r="W1306" s="5"/>
      <c r="X1306" s="5"/>
      <c r="Y1306" s="5"/>
      <c r="Z1306" s="5"/>
      <c r="AA1306" s="5"/>
      <c r="AB1306" s="6"/>
      <c r="AC1306" s="6"/>
      <c r="AD1306" s="6"/>
      <c r="AE1306" s="6"/>
      <c r="AF1306" s="6"/>
      <c r="AG1306" s="6"/>
      <c r="AH1306" s="6"/>
      <c r="AI1306" s="6"/>
      <c r="AJ1306" s="6"/>
      <c r="AK1306" s="6"/>
      <c r="AL1306" s="6"/>
      <c r="AM1306" s="6"/>
      <c r="AN1306" s="6"/>
      <c r="AO1306" s="6"/>
      <c r="AP1306" s="6"/>
      <c r="AQ1306" s="6"/>
      <c r="AR1306" s="6"/>
      <c r="AS1306" s="6"/>
      <c r="AT1306" s="6"/>
      <c r="AU1306" s="6"/>
      <c r="AV1306" s="6"/>
      <c r="AW1306" s="6"/>
      <c r="AX1306" s="6"/>
      <c r="AY1306" s="6"/>
      <c r="AZ1306" s="6"/>
      <c r="BA1306" s="6"/>
      <c r="BB1306" s="6"/>
      <c r="BC1306" s="6"/>
      <c r="BD1306" s="6"/>
      <c r="BE1306" s="6"/>
      <c r="BF1306" s="6"/>
      <c r="BG1306" s="6"/>
      <c r="BH1306" s="6"/>
      <c r="BI1306" s="6"/>
      <c r="BJ1306" s="6"/>
      <c r="BK1306" s="6"/>
      <c r="BL1306" s="6"/>
      <c r="BM1306" s="6"/>
      <c r="BN1306" s="6"/>
      <c r="BO1306" s="6"/>
      <c r="BP1306" s="6"/>
      <c r="BQ1306" s="6"/>
      <c r="BR1306" s="6"/>
      <c r="BS1306" s="6"/>
      <c r="BT1306" s="6"/>
      <c r="BU1306" s="6"/>
      <c r="BV1306" s="6"/>
      <c r="BW1306" s="6"/>
      <c r="BX1306" s="5"/>
      <c r="BY1306" s="7"/>
      <c r="BZ1306" s="7"/>
      <c r="CA1306" s="7"/>
      <c r="CB1306" s="7"/>
      <c r="CC1306" s="874"/>
    </row>
    <row r="1307" spans="1:81" s="400" customFormat="1" ht="14.25" customHeight="1" x14ac:dyDescent="0.25">
      <c r="A1307" s="5"/>
      <c r="B1307" s="5"/>
      <c r="C1307" s="5"/>
      <c r="D1307" s="5"/>
      <c r="E1307" s="5"/>
      <c r="F1307" s="5"/>
      <c r="G1307" s="5"/>
      <c r="H1307" s="5"/>
      <c r="I1307" s="5"/>
      <c r="J1307" s="5"/>
      <c r="K1307" s="5"/>
      <c r="L1307" s="5"/>
      <c r="M1307" s="5"/>
      <c r="N1307" s="5"/>
      <c r="O1307" s="5"/>
      <c r="P1307" s="5"/>
      <c r="Q1307" s="5"/>
      <c r="R1307" s="5"/>
      <c r="S1307" s="5"/>
      <c r="T1307" s="5"/>
      <c r="U1307" s="5"/>
      <c r="V1307" s="5"/>
      <c r="W1307" s="5"/>
      <c r="X1307" s="5"/>
      <c r="Y1307" s="5"/>
      <c r="Z1307" s="5"/>
      <c r="AA1307" s="5"/>
      <c r="AB1307" s="6"/>
      <c r="AC1307" s="6"/>
      <c r="AD1307" s="6"/>
      <c r="AE1307" s="6"/>
      <c r="AF1307" s="6"/>
      <c r="AG1307" s="6"/>
      <c r="AH1307" s="6"/>
      <c r="AI1307" s="6"/>
      <c r="AJ1307" s="6"/>
      <c r="AK1307" s="6"/>
      <c r="AL1307" s="6"/>
      <c r="AM1307" s="6"/>
      <c r="AN1307" s="6"/>
      <c r="AO1307" s="6"/>
      <c r="AP1307" s="6"/>
      <c r="AQ1307" s="6"/>
      <c r="AR1307" s="6"/>
      <c r="AS1307" s="6"/>
      <c r="AT1307" s="6"/>
      <c r="AU1307" s="6"/>
      <c r="AV1307" s="6"/>
      <c r="AW1307" s="6"/>
      <c r="AX1307" s="6"/>
      <c r="AY1307" s="6"/>
      <c r="AZ1307" s="6"/>
      <c r="BA1307" s="6"/>
      <c r="BB1307" s="6"/>
      <c r="BC1307" s="6"/>
      <c r="BD1307" s="6"/>
      <c r="BE1307" s="6"/>
      <c r="BF1307" s="6"/>
      <c r="BG1307" s="6"/>
      <c r="BH1307" s="6"/>
      <c r="BI1307" s="6"/>
      <c r="BJ1307" s="6"/>
      <c r="BK1307" s="6"/>
      <c r="BL1307" s="6"/>
      <c r="BM1307" s="6"/>
      <c r="BN1307" s="6"/>
      <c r="BO1307" s="6"/>
      <c r="BP1307" s="6"/>
      <c r="BQ1307" s="6"/>
      <c r="BR1307" s="6"/>
      <c r="BS1307" s="6"/>
      <c r="BT1307" s="6"/>
      <c r="BU1307" s="6"/>
      <c r="BV1307" s="6"/>
      <c r="BW1307" s="6"/>
      <c r="BX1307" s="5"/>
      <c r="BY1307" s="7"/>
      <c r="BZ1307" s="7"/>
      <c r="CA1307" s="7"/>
      <c r="CB1307" s="7"/>
      <c r="CC1307" s="874"/>
    </row>
    <row r="1308" spans="1:81" s="400" customFormat="1" ht="14.25" customHeight="1" x14ac:dyDescent="0.25">
      <c r="A1308" s="5"/>
      <c r="B1308" s="5"/>
      <c r="C1308" s="5"/>
      <c r="D1308" s="5"/>
      <c r="E1308" s="5"/>
      <c r="F1308" s="5"/>
      <c r="G1308" s="5"/>
      <c r="H1308" s="5"/>
      <c r="I1308" s="5"/>
      <c r="J1308" s="5"/>
      <c r="K1308" s="5"/>
      <c r="L1308" s="5"/>
      <c r="M1308" s="5"/>
      <c r="N1308" s="5"/>
      <c r="O1308" s="5"/>
      <c r="P1308" s="5"/>
      <c r="Q1308" s="5"/>
      <c r="R1308" s="5"/>
      <c r="S1308" s="5"/>
      <c r="T1308" s="5"/>
      <c r="U1308" s="5"/>
      <c r="V1308" s="5"/>
      <c r="W1308" s="5"/>
      <c r="X1308" s="5"/>
      <c r="Y1308" s="5"/>
      <c r="Z1308" s="5"/>
      <c r="AA1308" s="5"/>
      <c r="AB1308" s="6"/>
      <c r="AC1308" s="6"/>
      <c r="AD1308" s="6"/>
      <c r="AE1308" s="6"/>
      <c r="AF1308" s="6"/>
      <c r="AG1308" s="6"/>
      <c r="AH1308" s="6"/>
      <c r="AI1308" s="6"/>
      <c r="AJ1308" s="6"/>
      <c r="AK1308" s="6"/>
      <c r="AL1308" s="6"/>
      <c r="AM1308" s="6"/>
      <c r="AN1308" s="6"/>
      <c r="AO1308" s="6"/>
      <c r="AP1308" s="6"/>
      <c r="AQ1308" s="6"/>
      <c r="AR1308" s="6"/>
      <c r="AS1308" s="6"/>
      <c r="AT1308" s="6"/>
      <c r="AU1308" s="6"/>
      <c r="AV1308" s="6"/>
      <c r="AW1308" s="6"/>
      <c r="AX1308" s="6"/>
      <c r="AY1308" s="6"/>
      <c r="AZ1308" s="6"/>
      <c r="BA1308" s="6"/>
      <c r="BB1308" s="6"/>
      <c r="BC1308" s="6"/>
      <c r="BD1308" s="6"/>
      <c r="BE1308" s="6"/>
      <c r="BF1308" s="6"/>
      <c r="BG1308" s="6"/>
      <c r="BH1308" s="6"/>
      <c r="BI1308" s="6"/>
      <c r="BJ1308" s="6"/>
      <c r="BK1308" s="6"/>
      <c r="BL1308" s="6"/>
      <c r="BM1308" s="6"/>
      <c r="BN1308" s="6"/>
      <c r="BO1308" s="6"/>
      <c r="BP1308" s="6"/>
      <c r="BQ1308" s="6"/>
      <c r="BR1308" s="6"/>
      <c r="BS1308" s="6"/>
      <c r="BT1308" s="6"/>
      <c r="BU1308" s="6"/>
      <c r="BV1308" s="6"/>
      <c r="BW1308" s="6"/>
      <c r="BX1308" s="5"/>
      <c r="BY1308" s="7"/>
      <c r="BZ1308" s="7"/>
      <c r="CA1308" s="7"/>
      <c r="CB1308" s="7"/>
      <c r="CC1308" s="874"/>
    </row>
    <row r="1309" spans="1:81" s="400" customFormat="1" ht="14.25" customHeight="1" x14ac:dyDescent="0.25">
      <c r="A1309" s="5"/>
      <c r="B1309" s="5"/>
      <c r="C1309" s="5"/>
      <c r="D1309" s="5"/>
      <c r="E1309" s="5"/>
      <c r="F1309" s="5"/>
      <c r="G1309" s="5"/>
      <c r="H1309" s="5"/>
      <c r="I1309" s="5"/>
      <c r="J1309" s="5"/>
      <c r="K1309" s="5"/>
      <c r="L1309" s="5"/>
      <c r="M1309" s="5"/>
      <c r="N1309" s="5"/>
      <c r="O1309" s="5"/>
      <c r="P1309" s="5"/>
      <c r="Q1309" s="5"/>
      <c r="R1309" s="5"/>
      <c r="S1309" s="5"/>
      <c r="T1309" s="5"/>
      <c r="U1309" s="5"/>
      <c r="V1309" s="5"/>
      <c r="W1309" s="5"/>
      <c r="X1309" s="5"/>
      <c r="Y1309" s="5"/>
      <c r="Z1309" s="5"/>
      <c r="AA1309" s="5"/>
      <c r="AB1309" s="6"/>
      <c r="AC1309" s="6"/>
      <c r="AD1309" s="6"/>
      <c r="AE1309" s="6"/>
      <c r="AF1309" s="6"/>
      <c r="AG1309" s="6"/>
      <c r="AH1309" s="6"/>
      <c r="AI1309" s="6"/>
      <c r="AJ1309" s="6"/>
      <c r="AK1309" s="6"/>
      <c r="AL1309" s="6"/>
      <c r="AM1309" s="6"/>
      <c r="AN1309" s="6"/>
      <c r="AO1309" s="6"/>
      <c r="AP1309" s="6"/>
      <c r="AQ1309" s="6"/>
      <c r="AR1309" s="6"/>
      <c r="AS1309" s="6"/>
      <c r="AT1309" s="6"/>
      <c r="AU1309" s="6"/>
      <c r="AV1309" s="6"/>
      <c r="AW1309" s="6"/>
      <c r="AX1309" s="6"/>
      <c r="AY1309" s="6"/>
      <c r="AZ1309" s="6"/>
      <c r="BA1309" s="6"/>
      <c r="BB1309" s="6"/>
      <c r="BC1309" s="6"/>
      <c r="BD1309" s="6"/>
      <c r="BE1309" s="6"/>
      <c r="BF1309" s="6"/>
      <c r="BG1309" s="6"/>
      <c r="BH1309" s="6"/>
      <c r="BI1309" s="6"/>
      <c r="BJ1309" s="6"/>
      <c r="BK1309" s="6"/>
      <c r="BL1309" s="6"/>
      <c r="BM1309" s="6"/>
      <c r="BN1309" s="6"/>
      <c r="BO1309" s="6"/>
      <c r="BP1309" s="6"/>
      <c r="BQ1309" s="6"/>
      <c r="BR1309" s="6"/>
      <c r="BS1309" s="6"/>
      <c r="BT1309" s="6"/>
      <c r="BU1309" s="6"/>
      <c r="BV1309" s="6"/>
      <c r="BW1309" s="6"/>
      <c r="BX1309" s="5"/>
      <c r="BY1309" s="7"/>
      <c r="BZ1309" s="7"/>
      <c r="CA1309" s="7"/>
      <c r="CB1309" s="7"/>
      <c r="CC1309" s="874"/>
    </row>
    <row r="1310" spans="1:81" s="400" customFormat="1" ht="14.25" customHeight="1" x14ac:dyDescent="0.25">
      <c r="A1310" s="5"/>
      <c r="B1310" s="5"/>
      <c r="C1310" s="5"/>
      <c r="D1310" s="5"/>
      <c r="E1310" s="5"/>
      <c r="F1310" s="5"/>
      <c r="G1310" s="5"/>
      <c r="H1310" s="5"/>
      <c r="I1310" s="5"/>
      <c r="J1310" s="5"/>
      <c r="K1310" s="5"/>
      <c r="L1310" s="5"/>
      <c r="M1310" s="5"/>
      <c r="N1310" s="5"/>
      <c r="O1310" s="5"/>
      <c r="P1310" s="5"/>
      <c r="Q1310" s="5"/>
      <c r="R1310" s="5"/>
      <c r="S1310" s="5"/>
      <c r="T1310" s="5"/>
      <c r="U1310" s="5"/>
      <c r="V1310" s="5"/>
      <c r="W1310" s="5"/>
      <c r="X1310" s="5"/>
      <c r="Y1310" s="5"/>
      <c r="Z1310" s="5"/>
      <c r="AA1310" s="5"/>
      <c r="AB1310" s="6"/>
      <c r="AC1310" s="6"/>
      <c r="AD1310" s="6"/>
      <c r="AE1310" s="6"/>
      <c r="AF1310" s="6"/>
      <c r="AG1310" s="6"/>
      <c r="AH1310" s="6"/>
      <c r="AI1310" s="6"/>
      <c r="AJ1310" s="6"/>
      <c r="AK1310" s="6"/>
      <c r="AL1310" s="6"/>
      <c r="AM1310" s="6"/>
      <c r="AN1310" s="6"/>
      <c r="AO1310" s="6"/>
      <c r="AP1310" s="6"/>
      <c r="AQ1310" s="6"/>
      <c r="AR1310" s="6"/>
      <c r="AS1310" s="6"/>
      <c r="AT1310" s="6"/>
      <c r="AU1310" s="6"/>
      <c r="AV1310" s="6"/>
      <c r="AW1310" s="6"/>
      <c r="AX1310" s="6"/>
      <c r="AY1310" s="6"/>
      <c r="AZ1310" s="6"/>
      <c r="BA1310" s="6"/>
      <c r="BB1310" s="6"/>
      <c r="BC1310" s="6"/>
      <c r="BD1310" s="6"/>
      <c r="BE1310" s="6"/>
      <c r="BF1310" s="6"/>
      <c r="BG1310" s="6"/>
      <c r="BH1310" s="6"/>
      <c r="BI1310" s="6"/>
      <c r="BJ1310" s="6"/>
      <c r="BK1310" s="6"/>
      <c r="BL1310" s="6"/>
      <c r="BM1310" s="6"/>
      <c r="BN1310" s="6"/>
      <c r="BO1310" s="6"/>
      <c r="BP1310" s="6"/>
      <c r="BQ1310" s="6"/>
      <c r="BR1310" s="6"/>
      <c r="BS1310" s="6"/>
      <c r="BT1310" s="6"/>
      <c r="BU1310" s="6"/>
      <c r="BV1310" s="6"/>
      <c r="BW1310" s="6"/>
      <c r="BX1310" s="5"/>
      <c r="BY1310" s="7"/>
      <c r="BZ1310" s="7"/>
      <c r="CA1310" s="7"/>
      <c r="CB1310" s="7"/>
      <c r="CC1310" s="874"/>
    </row>
    <row r="1311" spans="1:81" s="400" customFormat="1" ht="14.25" customHeight="1" x14ac:dyDescent="0.25">
      <c r="A1311" s="5"/>
      <c r="B1311" s="5"/>
      <c r="C1311" s="5"/>
      <c r="D1311" s="5"/>
      <c r="E1311" s="5"/>
      <c r="F1311" s="5"/>
      <c r="G1311" s="5"/>
      <c r="H1311" s="5"/>
      <c r="I1311" s="5"/>
      <c r="J1311" s="5"/>
      <c r="K1311" s="5"/>
      <c r="L1311" s="5"/>
      <c r="M1311" s="5"/>
      <c r="N1311" s="5"/>
      <c r="O1311" s="5"/>
      <c r="P1311" s="5"/>
      <c r="Q1311" s="5"/>
      <c r="R1311" s="5"/>
      <c r="S1311" s="5"/>
      <c r="T1311" s="5"/>
      <c r="U1311" s="5"/>
      <c r="V1311" s="5"/>
      <c r="W1311" s="5"/>
      <c r="X1311" s="5"/>
      <c r="Y1311" s="5"/>
      <c r="Z1311" s="5"/>
      <c r="AA1311" s="5"/>
      <c r="AB1311" s="6"/>
      <c r="AC1311" s="6"/>
      <c r="AD1311" s="6"/>
      <c r="AE1311" s="6"/>
      <c r="AF1311" s="6"/>
      <c r="AG1311" s="6"/>
      <c r="AH1311" s="6"/>
      <c r="AI1311" s="6"/>
      <c r="AJ1311" s="6"/>
      <c r="AK1311" s="6"/>
      <c r="AL1311" s="6"/>
      <c r="AM1311" s="6"/>
      <c r="AN1311" s="6"/>
      <c r="AO1311" s="6"/>
      <c r="AP1311" s="6"/>
      <c r="AQ1311" s="6"/>
      <c r="AR1311" s="6"/>
      <c r="AS1311" s="6"/>
      <c r="AT1311" s="6"/>
      <c r="AU1311" s="6"/>
      <c r="AV1311" s="6"/>
      <c r="AW1311" s="6"/>
      <c r="AX1311" s="6"/>
      <c r="AY1311" s="6"/>
      <c r="AZ1311" s="6"/>
      <c r="BA1311" s="6"/>
      <c r="BB1311" s="6"/>
      <c r="BC1311" s="6"/>
      <c r="BD1311" s="6"/>
      <c r="BE1311" s="6"/>
      <c r="BF1311" s="6"/>
      <c r="BG1311" s="6"/>
      <c r="BH1311" s="6"/>
      <c r="BI1311" s="6"/>
      <c r="BJ1311" s="6"/>
      <c r="BK1311" s="6"/>
      <c r="BL1311" s="6"/>
      <c r="BM1311" s="6"/>
      <c r="BN1311" s="6"/>
      <c r="BO1311" s="6"/>
      <c r="BP1311" s="6"/>
      <c r="BQ1311" s="6"/>
      <c r="BR1311" s="6"/>
      <c r="BS1311" s="6"/>
      <c r="BT1311" s="6"/>
      <c r="BU1311" s="6"/>
      <c r="BV1311" s="6"/>
      <c r="BW1311" s="6"/>
      <c r="BX1311" s="5"/>
      <c r="BY1311" s="7"/>
      <c r="BZ1311" s="7"/>
      <c r="CA1311" s="7"/>
      <c r="CB1311" s="7"/>
      <c r="CC1311" s="874"/>
    </row>
    <row r="1312" spans="1:81" s="400" customFormat="1" ht="14.25" customHeight="1" x14ac:dyDescent="0.25">
      <c r="A1312" s="5"/>
      <c r="B1312" s="5"/>
      <c r="C1312" s="5"/>
      <c r="D1312" s="5"/>
      <c r="E1312" s="5"/>
      <c r="F1312" s="5"/>
      <c r="G1312" s="5"/>
      <c r="H1312" s="5"/>
      <c r="I1312" s="5"/>
      <c r="J1312" s="5"/>
      <c r="K1312" s="5"/>
      <c r="L1312" s="5"/>
      <c r="M1312" s="5"/>
      <c r="N1312" s="5"/>
      <c r="O1312" s="5"/>
      <c r="P1312" s="5"/>
      <c r="Q1312" s="5"/>
      <c r="R1312" s="5"/>
      <c r="S1312" s="5"/>
      <c r="T1312" s="5"/>
      <c r="U1312" s="5"/>
      <c r="V1312" s="5"/>
      <c r="W1312" s="5"/>
      <c r="X1312" s="5"/>
      <c r="Y1312" s="5"/>
      <c r="Z1312" s="5"/>
      <c r="AA1312" s="5"/>
      <c r="AB1312" s="6"/>
      <c r="AC1312" s="6"/>
      <c r="AD1312" s="6"/>
      <c r="AE1312" s="6"/>
      <c r="AF1312" s="6"/>
      <c r="AG1312" s="6"/>
      <c r="AH1312" s="6"/>
      <c r="AI1312" s="6"/>
      <c r="AJ1312" s="6"/>
      <c r="AK1312" s="6"/>
      <c r="AL1312" s="6"/>
      <c r="AM1312" s="6"/>
      <c r="AN1312" s="6"/>
      <c r="AO1312" s="6"/>
      <c r="AP1312" s="6"/>
      <c r="AQ1312" s="6"/>
      <c r="AR1312" s="6"/>
      <c r="AS1312" s="6"/>
      <c r="AT1312" s="6"/>
      <c r="AU1312" s="6"/>
      <c r="AV1312" s="6"/>
      <c r="AW1312" s="6"/>
      <c r="AX1312" s="6"/>
      <c r="AY1312" s="6"/>
      <c r="AZ1312" s="6"/>
      <c r="BA1312" s="6"/>
      <c r="BB1312" s="6"/>
      <c r="BC1312" s="6"/>
      <c r="BD1312" s="6"/>
      <c r="BE1312" s="6"/>
      <c r="BF1312" s="6"/>
      <c r="BG1312" s="6"/>
      <c r="BH1312" s="6"/>
      <c r="BI1312" s="6"/>
      <c r="BJ1312" s="6"/>
      <c r="BK1312" s="6"/>
      <c r="BL1312" s="6"/>
      <c r="BM1312" s="6"/>
      <c r="BN1312" s="6"/>
      <c r="BO1312" s="6"/>
      <c r="BP1312" s="6"/>
      <c r="BQ1312" s="6"/>
      <c r="BR1312" s="6"/>
      <c r="BS1312" s="6"/>
      <c r="BT1312" s="6"/>
      <c r="BU1312" s="6"/>
      <c r="BV1312" s="6"/>
      <c r="BW1312" s="6"/>
      <c r="BX1312" s="5"/>
      <c r="BY1312" s="7"/>
      <c r="BZ1312" s="7"/>
      <c r="CA1312" s="7"/>
      <c r="CB1312" s="7"/>
      <c r="CC1312" s="874"/>
    </row>
    <row r="1313" spans="1:81" s="400" customFormat="1" ht="14.25" customHeight="1" x14ac:dyDescent="0.25">
      <c r="A1313" s="5"/>
      <c r="B1313" s="5"/>
      <c r="C1313" s="5"/>
      <c r="D1313" s="5"/>
      <c r="E1313" s="5"/>
      <c r="F1313" s="5"/>
      <c r="G1313" s="5"/>
      <c r="H1313" s="5"/>
      <c r="I1313" s="5"/>
      <c r="J1313" s="5"/>
      <c r="K1313" s="5"/>
      <c r="L1313" s="5"/>
      <c r="M1313" s="5"/>
      <c r="N1313" s="5"/>
      <c r="O1313" s="5"/>
      <c r="P1313" s="5"/>
      <c r="Q1313" s="5"/>
      <c r="R1313" s="5"/>
      <c r="S1313" s="5"/>
      <c r="T1313" s="5"/>
      <c r="U1313" s="5"/>
      <c r="V1313" s="5"/>
      <c r="W1313" s="5"/>
      <c r="X1313" s="5"/>
      <c r="Y1313" s="5"/>
      <c r="Z1313" s="5"/>
      <c r="AA1313" s="5"/>
      <c r="AB1313" s="6"/>
      <c r="AC1313" s="6"/>
      <c r="AD1313" s="6"/>
      <c r="AE1313" s="6"/>
      <c r="AF1313" s="6"/>
      <c r="AG1313" s="6"/>
      <c r="AH1313" s="6"/>
      <c r="AI1313" s="6"/>
      <c r="AJ1313" s="6"/>
      <c r="AK1313" s="6"/>
      <c r="AL1313" s="6"/>
      <c r="AM1313" s="6"/>
      <c r="AN1313" s="6"/>
      <c r="AO1313" s="6"/>
      <c r="AP1313" s="6"/>
      <c r="AQ1313" s="6"/>
      <c r="AR1313" s="6"/>
      <c r="AS1313" s="6"/>
      <c r="AT1313" s="6"/>
      <c r="AU1313" s="6"/>
      <c r="AV1313" s="6"/>
      <c r="AW1313" s="6"/>
      <c r="AX1313" s="6"/>
      <c r="AY1313" s="6"/>
      <c r="AZ1313" s="6"/>
      <c r="BA1313" s="6"/>
      <c r="BB1313" s="6"/>
      <c r="BC1313" s="6"/>
      <c r="BD1313" s="6"/>
      <c r="BE1313" s="6"/>
      <c r="BF1313" s="6"/>
      <c r="BG1313" s="6"/>
      <c r="BH1313" s="6"/>
      <c r="BI1313" s="6"/>
      <c r="BJ1313" s="6"/>
      <c r="BK1313" s="6"/>
      <c r="BL1313" s="6"/>
      <c r="BM1313" s="6"/>
      <c r="BN1313" s="6"/>
      <c r="BO1313" s="6"/>
      <c r="BP1313" s="6"/>
      <c r="BQ1313" s="6"/>
      <c r="BR1313" s="6"/>
      <c r="BS1313" s="6"/>
      <c r="BT1313" s="6"/>
      <c r="BU1313" s="6"/>
      <c r="BV1313" s="6"/>
      <c r="BW1313" s="6"/>
      <c r="BX1313" s="5"/>
      <c r="BY1313" s="7"/>
      <c r="BZ1313" s="7"/>
      <c r="CA1313" s="7"/>
      <c r="CB1313" s="7"/>
      <c r="CC1313" s="874"/>
    </row>
    <row r="1314" spans="1:81" s="400" customFormat="1" ht="14.25" customHeight="1" x14ac:dyDescent="0.25">
      <c r="A1314" s="5"/>
      <c r="B1314" s="5"/>
      <c r="C1314" s="5"/>
      <c r="D1314" s="5"/>
      <c r="E1314" s="5"/>
      <c r="F1314" s="5"/>
      <c r="G1314" s="5"/>
      <c r="H1314" s="5"/>
      <c r="I1314" s="5"/>
      <c r="J1314" s="5"/>
      <c r="K1314" s="5"/>
      <c r="L1314" s="5"/>
      <c r="M1314" s="5"/>
      <c r="N1314" s="5"/>
      <c r="O1314" s="5"/>
      <c r="P1314" s="5"/>
      <c r="Q1314" s="5"/>
      <c r="R1314" s="5"/>
      <c r="S1314" s="5"/>
      <c r="T1314" s="5"/>
      <c r="U1314" s="5"/>
      <c r="V1314" s="5"/>
      <c r="W1314" s="5"/>
      <c r="X1314" s="5"/>
      <c r="Y1314" s="5"/>
      <c r="Z1314" s="5"/>
      <c r="AA1314" s="5"/>
      <c r="AB1314" s="6"/>
      <c r="AC1314" s="6"/>
      <c r="AD1314" s="6"/>
      <c r="AE1314" s="6"/>
      <c r="AF1314" s="6"/>
      <c r="AG1314" s="6"/>
      <c r="AH1314" s="6"/>
      <c r="AI1314" s="6"/>
      <c r="AJ1314" s="6"/>
      <c r="AK1314" s="6"/>
      <c r="AL1314" s="6"/>
      <c r="AM1314" s="6"/>
      <c r="AN1314" s="6"/>
      <c r="AO1314" s="6"/>
      <c r="AP1314" s="6"/>
      <c r="AQ1314" s="6"/>
      <c r="AR1314" s="6"/>
      <c r="AS1314" s="6"/>
      <c r="AT1314" s="6"/>
      <c r="AU1314" s="6"/>
      <c r="AV1314" s="6"/>
      <c r="AW1314" s="6"/>
      <c r="AX1314" s="6"/>
      <c r="AY1314" s="6"/>
      <c r="AZ1314" s="6"/>
      <c r="BA1314" s="6"/>
      <c r="BB1314" s="6"/>
      <c r="BC1314" s="6"/>
      <c r="BD1314" s="6"/>
      <c r="BE1314" s="6"/>
      <c r="BF1314" s="6"/>
      <c r="BG1314" s="6"/>
      <c r="BH1314" s="6"/>
      <c r="BI1314" s="6"/>
      <c r="BJ1314" s="6"/>
      <c r="BK1314" s="6"/>
      <c r="BL1314" s="6"/>
      <c r="BM1314" s="6"/>
      <c r="BN1314" s="6"/>
      <c r="BO1314" s="6"/>
      <c r="BP1314" s="6"/>
      <c r="BQ1314" s="6"/>
      <c r="BR1314" s="6"/>
      <c r="BS1314" s="6"/>
      <c r="BT1314" s="6"/>
      <c r="BU1314" s="6"/>
      <c r="BV1314" s="6"/>
      <c r="BW1314" s="6"/>
      <c r="BX1314" s="5"/>
      <c r="BY1314" s="7"/>
      <c r="BZ1314" s="7"/>
      <c r="CA1314" s="7"/>
      <c r="CB1314" s="7"/>
      <c r="CC1314" s="874"/>
    </row>
    <row r="1315" spans="1:81" s="400" customFormat="1" ht="14.25" customHeight="1" x14ac:dyDescent="0.25">
      <c r="A1315" s="5"/>
      <c r="B1315" s="5"/>
      <c r="C1315" s="5"/>
      <c r="D1315" s="5"/>
      <c r="E1315" s="5"/>
      <c r="F1315" s="5"/>
      <c r="G1315" s="5"/>
      <c r="H1315" s="5"/>
      <c r="I1315" s="5"/>
      <c r="J1315" s="5"/>
      <c r="K1315" s="5"/>
      <c r="L1315" s="5"/>
      <c r="M1315" s="5"/>
      <c r="N1315" s="5"/>
      <c r="O1315" s="5"/>
      <c r="P1315" s="5"/>
      <c r="Q1315" s="5"/>
      <c r="R1315" s="5"/>
      <c r="S1315" s="5"/>
      <c r="T1315" s="5"/>
      <c r="U1315" s="5"/>
      <c r="V1315" s="5"/>
      <c r="W1315" s="5"/>
      <c r="X1315" s="5"/>
      <c r="Y1315" s="5"/>
      <c r="Z1315" s="5"/>
      <c r="AA1315" s="5"/>
      <c r="AB1315" s="6"/>
      <c r="AC1315" s="6"/>
      <c r="AD1315" s="6"/>
      <c r="AE1315" s="6"/>
      <c r="AF1315" s="6"/>
      <c r="AG1315" s="6"/>
      <c r="AH1315" s="6"/>
      <c r="AI1315" s="6"/>
      <c r="AJ1315" s="6"/>
      <c r="AK1315" s="6"/>
      <c r="AL1315" s="6"/>
      <c r="AM1315" s="6"/>
      <c r="AN1315" s="6"/>
      <c r="AO1315" s="6"/>
      <c r="AP1315" s="6"/>
      <c r="AQ1315" s="6"/>
      <c r="AR1315" s="6"/>
      <c r="AS1315" s="6"/>
      <c r="AT1315" s="6"/>
      <c r="AU1315" s="6"/>
      <c r="AV1315" s="6"/>
      <c r="AW1315" s="6"/>
      <c r="AX1315" s="6"/>
      <c r="AY1315" s="6"/>
      <c r="AZ1315" s="6"/>
      <c r="BA1315" s="6"/>
      <c r="BB1315" s="6"/>
      <c r="BC1315" s="6"/>
      <c r="BD1315" s="6"/>
      <c r="BE1315" s="6"/>
      <c r="BF1315" s="6"/>
      <c r="BG1315" s="6"/>
      <c r="BH1315" s="6"/>
      <c r="BI1315" s="6"/>
      <c r="BJ1315" s="6"/>
      <c r="BK1315" s="6"/>
      <c r="BL1315" s="6"/>
      <c r="BM1315" s="6"/>
      <c r="BN1315" s="6"/>
      <c r="BO1315" s="6"/>
      <c r="BP1315" s="6"/>
      <c r="BQ1315" s="6"/>
      <c r="BR1315" s="6"/>
      <c r="BS1315" s="6"/>
      <c r="BT1315" s="6"/>
      <c r="BU1315" s="6"/>
      <c r="BV1315" s="6"/>
      <c r="BW1315" s="6"/>
      <c r="BX1315" s="5"/>
      <c r="BY1315" s="7"/>
      <c r="BZ1315" s="7"/>
      <c r="CA1315" s="7"/>
      <c r="CB1315" s="7"/>
      <c r="CC1315" s="874"/>
    </row>
    <row r="1316" spans="1:81" s="400" customFormat="1" ht="14.25" customHeight="1" x14ac:dyDescent="0.25">
      <c r="A1316" s="5"/>
      <c r="B1316" s="5"/>
      <c r="C1316" s="5"/>
      <c r="D1316" s="5"/>
      <c r="E1316" s="5"/>
      <c r="F1316" s="5"/>
      <c r="G1316" s="5"/>
      <c r="H1316" s="5"/>
      <c r="I1316" s="5"/>
      <c r="J1316" s="5"/>
      <c r="K1316" s="5"/>
      <c r="L1316" s="5"/>
      <c r="M1316" s="5"/>
      <c r="N1316" s="5"/>
      <c r="O1316" s="5"/>
      <c r="P1316" s="5"/>
      <c r="Q1316" s="5"/>
      <c r="R1316" s="5"/>
      <c r="S1316" s="5"/>
      <c r="T1316" s="5"/>
      <c r="U1316" s="5"/>
      <c r="V1316" s="5"/>
      <c r="W1316" s="5"/>
      <c r="X1316" s="5"/>
      <c r="Y1316" s="5"/>
      <c r="Z1316" s="5"/>
      <c r="AA1316" s="5"/>
      <c r="AB1316" s="6"/>
      <c r="AC1316" s="6"/>
      <c r="AD1316" s="6"/>
      <c r="AE1316" s="6"/>
      <c r="AF1316" s="6"/>
      <c r="AG1316" s="6"/>
      <c r="AH1316" s="6"/>
      <c r="AI1316" s="6"/>
      <c r="AJ1316" s="6"/>
      <c r="AK1316" s="6"/>
      <c r="AL1316" s="6"/>
      <c r="AM1316" s="6"/>
      <c r="AN1316" s="6"/>
      <c r="AO1316" s="6"/>
      <c r="AP1316" s="6"/>
      <c r="AQ1316" s="6"/>
      <c r="AR1316" s="6"/>
      <c r="AS1316" s="6"/>
      <c r="AT1316" s="6"/>
      <c r="AU1316" s="6"/>
      <c r="AV1316" s="6"/>
      <c r="AW1316" s="6"/>
      <c r="AX1316" s="6"/>
      <c r="AY1316" s="6"/>
      <c r="AZ1316" s="6"/>
      <c r="BA1316" s="6"/>
      <c r="BB1316" s="6"/>
      <c r="BC1316" s="6"/>
      <c r="BD1316" s="6"/>
      <c r="BE1316" s="6"/>
      <c r="BF1316" s="6"/>
      <c r="BG1316" s="6"/>
      <c r="BH1316" s="6"/>
      <c r="BI1316" s="6"/>
      <c r="BJ1316" s="6"/>
      <c r="BK1316" s="6"/>
      <c r="BL1316" s="6"/>
      <c r="BM1316" s="6"/>
      <c r="BN1316" s="6"/>
      <c r="BO1316" s="6"/>
      <c r="BP1316" s="6"/>
      <c r="BQ1316" s="6"/>
      <c r="BR1316" s="6"/>
      <c r="BS1316" s="6"/>
      <c r="BT1316" s="6"/>
      <c r="BU1316" s="6"/>
      <c r="BV1316" s="6"/>
      <c r="BW1316" s="6"/>
      <c r="BX1316" s="5"/>
      <c r="BY1316" s="7"/>
      <c r="BZ1316" s="7"/>
      <c r="CA1316" s="7"/>
      <c r="CB1316" s="7"/>
      <c r="CC1316" s="874"/>
    </row>
    <row r="1317" spans="1:81" s="400" customFormat="1" ht="14.25" customHeight="1" x14ac:dyDescent="0.25">
      <c r="A1317" s="5"/>
      <c r="B1317" s="5"/>
      <c r="C1317" s="5"/>
      <c r="D1317" s="5"/>
      <c r="E1317" s="5"/>
      <c r="F1317" s="5"/>
      <c r="G1317" s="5"/>
      <c r="H1317" s="5"/>
      <c r="I1317" s="5"/>
      <c r="J1317" s="5"/>
      <c r="K1317" s="5"/>
      <c r="L1317" s="5"/>
      <c r="M1317" s="5"/>
      <c r="N1317" s="5"/>
      <c r="O1317" s="5"/>
      <c r="P1317" s="5"/>
      <c r="Q1317" s="5"/>
      <c r="R1317" s="5"/>
      <c r="S1317" s="5"/>
      <c r="T1317" s="5"/>
      <c r="U1317" s="5"/>
      <c r="V1317" s="5"/>
      <c r="W1317" s="5"/>
      <c r="X1317" s="5"/>
      <c r="Y1317" s="5"/>
      <c r="Z1317" s="5"/>
      <c r="AA1317" s="5"/>
      <c r="AB1317" s="6"/>
      <c r="AC1317" s="6"/>
      <c r="AD1317" s="6"/>
      <c r="AE1317" s="6"/>
      <c r="AF1317" s="6"/>
      <c r="AG1317" s="6"/>
      <c r="AH1317" s="6"/>
      <c r="AI1317" s="6"/>
      <c r="AJ1317" s="6"/>
      <c r="AK1317" s="6"/>
      <c r="AL1317" s="6"/>
      <c r="AM1317" s="6"/>
      <c r="AN1317" s="6"/>
      <c r="AO1317" s="6"/>
      <c r="AP1317" s="6"/>
      <c r="AQ1317" s="6"/>
      <c r="AR1317" s="6"/>
      <c r="AS1317" s="6"/>
      <c r="AT1317" s="6"/>
      <c r="AU1317" s="6"/>
      <c r="AV1317" s="6"/>
      <c r="AW1317" s="6"/>
      <c r="AX1317" s="6"/>
      <c r="AY1317" s="6"/>
      <c r="AZ1317" s="6"/>
      <c r="BA1317" s="6"/>
      <c r="BB1317" s="6"/>
      <c r="BC1317" s="6"/>
      <c r="BD1317" s="6"/>
      <c r="BE1317" s="6"/>
      <c r="BF1317" s="6"/>
      <c r="BG1317" s="6"/>
      <c r="BH1317" s="6"/>
      <c r="BI1317" s="6"/>
      <c r="BJ1317" s="6"/>
      <c r="BK1317" s="6"/>
      <c r="BL1317" s="6"/>
      <c r="BM1317" s="6"/>
      <c r="BN1317" s="6"/>
      <c r="BO1317" s="6"/>
      <c r="BP1317" s="6"/>
      <c r="BQ1317" s="6"/>
      <c r="BR1317" s="6"/>
      <c r="BS1317" s="6"/>
      <c r="BT1317" s="6"/>
      <c r="BU1317" s="6"/>
      <c r="BV1317" s="6"/>
      <c r="BW1317" s="6"/>
      <c r="BX1317" s="5"/>
      <c r="BY1317" s="7"/>
      <c r="BZ1317" s="7"/>
      <c r="CA1317" s="7"/>
      <c r="CB1317" s="7"/>
      <c r="CC1317" s="874"/>
    </row>
    <row r="1318" spans="1:81" s="400" customFormat="1" ht="14.25" customHeight="1" x14ac:dyDescent="0.25">
      <c r="A1318" s="5"/>
      <c r="B1318" s="5"/>
      <c r="C1318" s="5"/>
      <c r="D1318" s="5"/>
      <c r="E1318" s="5"/>
      <c r="F1318" s="5"/>
      <c r="G1318" s="5"/>
      <c r="H1318" s="5"/>
      <c r="I1318" s="5"/>
      <c r="J1318" s="5"/>
      <c r="K1318" s="5"/>
      <c r="L1318" s="5"/>
      <c r="M1318" s="5"/>
      <c r="N1318" s="5"/>
      <c r="O1318" s="5"/>
      <c r="P1318" s="5"/>
      <c r="Q1318" s="5"/>
      <c r="R1318" s="5"/>
      <c r="S1318" s="5"/>
      <c r="T1318" s="5"/>
      <c r="U1318" s="5"/>
      <c r="V1318" s="5"/>
      <c r="W1318" s="5"/>
      <c r="X1318" s="5"/>
      <c r="Y1318" s="5"/>
      <c r="Z1318" s="5"/>
      <c r="AA1318" s="5"/>
      <c r="AB1318" s="6"/>
      <c r="AC1318" s="6"/>
      <c r="AD1318" s="6"/>
      <c r="AE1318" s="6"/>
      <c r="AF1318" s="6"/>
      <c r="AG1318" s="6"/>
      <c r="AH1318" s="6"/>
      <c r="AI1318" s="6"/>
      <c r="AJ1318" s="6"/>
      <c r="AK1318" s="6"/>
      <c r="AL1318" s="6"/>
      <c r="AM1318" s="6"/>
      <c r="AN1318" s="6"/>
      <c r="AO1318" s="6"/>
      <c r="AP1318" s="6"/>
      <c r="AQ1318" s="6"/>
      <c r="AR1318" s="6"/>
      <c r="AS1318" s="6"/>
      <c r="AT1318" s="6"/>
      <c r="AU1318" s="6"/>
      <c r="AV1318" s="6"/>
      <c r="AW1318" s="6"/>
      <c r="AX1318" s="6"/>
      <c r="AY1318" s="6"/>
      <c r="AZ1318" s="6"/>
      <c r="BA1318" s="6"/>
      <c r="BB1318" s="6"/>
      <c r="BC1318" s="6"/>
      <c r="BD1318" s="6"/>
      <c r="BE1318" s="6"/>
      <c r="BF1318" s="6"/>
      <c r="BG1318" s="6"/>
      <c r="BH1318" s="6"/>
      <c r="BI1318" s="6"/>
      <c r="BJ1318" s="6"/>
      <c r="BK1318" s="6"/>
      <c r="BL1318" s="6"/>
      <c r="BM1318" s="6"/>
      <c r="BN1318" s="6"/>
      <c r="BO1318" s="6"/>
      <c r="BP1318" s="6"/>
      <c r="BQ1318" s="6"/>
      <c r="BR1318" s="6"/>
      <c r="BS1318" s="6"/>
      <c r="BT1318" s="6"/>
      <c r="BU1318" s="6"/>
      <c r="BV1318" s="6"/>
      <c r="BW1318" s="6"/>
      <c r="BX1318" s="5"/>
      <c r="BY1318" s="7"/>
      <c r="BZ1318" s="7"/>
      <c r="CA1318" s="7"/>
      <c r="CB1318" s="7"/>
      <c r="CC1318" s="874"/>
    </row>
    <row r="1319" spans="1:81" s="400" customFormat="1" ht="14.25" customHeight="1" x14ac:dyDescent="0.25">
      <c r="A1319" s="5"/>
      <c r="B1319" s="5"/>
      <c r="C1319" s="5"/>
      <c r="D1319" s="5"/>
      <c r="E1319" s="5"/>
      <c r="F1319" s="5"/>
      <c r="G1319" s="5"/>
      <c r="H1319" s="5"/>
      <c r="I1319" s="5"/>
      <c r="J1319" s="5"/>
      <c r="K1319" s="5"/>
      <c r="L1319" s="5"/>
      <c r="M1319" s="5"/>
      <c r="N1319" s="5"/>
      <c r="O1319" s="5"/>
      <c r="P1319" s="5"/>
      <c r="Q1319" s="5"/>
      <c r="R1319" s="5"/>
      <c r="S1319" s="5"/>
      <c r="T1319" s="5"/>
      <c r="U1319" s="5"/>
      <c r="V1319" s="5"/>
      <c r="W1319" s="5"/>
      <c r="X1319" s="5"/>
      <c r="Y1319" s="5"/>
      <c r="Z1319" s="5"/>
      <c r="AA1319" s="5"/>
      <c r="AB1319" s="6"/>
      <c r="AC1319" s="6"/>
      <c r="AD1319" s="6"/>
      <c r="AE1319" s="6"/>
      <c r="AF1319" s="6"/>
      <c r="AG1319" s="6"/>
      <c r="AH1319" s="6"/>
      <c r="AI1319" s="6"/>
      <c r="AJ1319" s="6"/>
      <c r="AK1319" s="6"/>
      <c r="AL1319" s="6"/>
      <c r="AM1319" s="6"/>
      <c r="AN1319" s="6"/>
      <c r="AO1319" s="6"/>
      <c r="AP1319" s="6"/>
      <c r="AQ1319" s="6"/>
      <c r="AR1319" s="6"/>
      <c r="AS1319" s="6"/>
      <c r="AT1319" s="6"/>
      <c r="AU1319" s="6"/>
      <c r="AV1319" s="6"/>
      <c r="AW1319" s="6"/>
      <c r="AX1319" s="6"/>
      <c r="AY1319" s="6"/>
      <c r="AZ1319" s="6"/>
      <c r="BA1319" s="6"/>
      <c r="BB1319" s="6"/>
      <c r="BC1319" s="6"/>
      <c r="BD1319" s="6"/>
      <c r="BE1319" s="6"/>
      <c r="BF1319" s="6"/>
      <c r="BG1319" s="6"/>
      <c r="BH1319" s="6"/>
      <c r="BI1319" s="6"/>
      <c r="BJ1319" s="6"/>
      <c r="BK1319" s="6"/>
      <c r="BL1319" s="6"/>
      <c r="BM1319" s="6"/>
      <c r="BN1319" s="6"/>
      <c r="BO1319" s="6"/>
      <c r="BP1319" s="6"/>
      <c r="BQ1319" s="6"/>
      <c r="BR1319" s="6"/>
      <c r="BS1319" s="6"/>
      <c r="BT1319" s="6"/>
      <c r="BU1319" s="6"/>
      <c r="BV1319" s="6"/>
      <c r="BW1319" s="6"/>
      <c r="BX1319" s="5"/>
      <c r="BY1319" s="7"/>
      <c r="BZ1319" s="7"/>
      <c r="CA1319" s="7"/>
      <c r="CB1319" s="7"/>
      <c r="CC1319" s="874"/>
    </row>
    <row r="1320" spans="1:81" s="400" customFormat="1" ht="14.25" customHeight="1" x14ac:dyDescent="0.25">
      <c r="A1320" s="5"/>
      <c r="B1320" s="5"/>
      <c r="C1320" s="5"/>
      <c r="D1320" s="5"/>
      <c r="E1320" s="5"/>
      <c r="F1320" s="5"/>
      <c r="G1320" s="5"/>
      <c r="H1320" s="5"/>
      <c r="I1320" s="5"/>
      <c r="J1320" s="5"/>
      <c r="K1320" s="5"/>
      <c r="L1320" s="5"/>
      <c r="M1320" s="5"/>
      <c r="N1320" s="5"/>
      <c r="O1320" s="5"/>
      <c r="P1320" s="5"/>
      <c r="Q1320" s="5"/>
      <c r="R1320" s="5"/>
      <c r="S1320" s="5"/>
      <c r="T1320" s="5"/>
      <c r="U1320" s="5"/>
      <c r="V1320" s="5"/>
      <c r="W1320" s="5"/>
      <c r="X1320" s="5"/>
      <c r="Y1320" s="5"/>
      <c r="Z1320" s="5"/>
      <c r="AA1320" s="5"/>
      <c r="AB1320" s="6"/>
      <c r="AC1320" s="6"/>
      <c r="AD1320" s="6"/>
      <c r="AE1320" s="6"/>
      <c r="AF1320" s="6"/>
      <c r="AG1320" s="6"/>
      <c r="AH1320" s="6"/>
      <c r="AI1320" s="6"/>
      <c r="AJ1320" s="6"/>
      <c r="AK1320" s="6"/>
      <c r="AL1320" s="6"/>
      <c r="AM1320" s="6"/>
      <c r="AN1320" s="6"/>
      <c r="AO1320" s="6"/>
      <c r="AP1320" s="6"/>
      <c r="AQ1320" s="6"/>
      <c r="AR1320" s="6"/>
      <c r="AS1320" s="6"/>
      <c r="AT1320" s="6"/>
      <c r="AU1320" s="6"/>
      <c r="AV1320" s="6"/>
      <c r="AW1320" s="6"/>
      <c r="AX1320" s="6"/>
      <c r="AY1320" s="6"/>
      <c r="AZ1320" s="6"/>
      <c r="BA1320" s="6"/>
      <c r="BB1320" s="6"/>
      <c r="BC1320" s="6"/>
      <c r="BD1320" s="6"/>
      <c r="BE1320" s="6"/>
      <c r="BF1320" s="6"/>
      <c r="BG1320" s="6"/>
      <c r="BH1320" s="6"/>
      <c r="BI1320" s="6"/>
      <c r="BJ1320" s="6"/>
      <c r="BK1320" s="6"/>
      <c r="BL1320" s="6"/>
      <c r="BM1320" s="6"/>
      <c r="BN1320" s="6"/>
      <c r="BO1320" s="6"/>
      <c r="BP1320" s="6"/>
      <c r="BQ1320" s="6"/>
      <c r="BR1320" s="6"/>
      <c r="BS1320" s="6"/>
      <c r="BT1320" s="6"/>
      <c r="BU1320" s="6"/>
      <c r="BV1320" s="6"/>
      <c r="BW1320" s="6"/>
      <c r="BX1320" s="5"/>
      <c r="BY1320" s="7"/>
      <c r="BZ1320" s="7"/>
      <c r="CA1320" s="7"/>
      <c r="CB1320" s="7"/>
      <c r="CC1320" s="874"/>
    </row>
    <row r="1321" spans="1:81" s="400" customFormat="1" ht="14.25" customHeight="1" x14ac:dyDescent="0.25">
      <c r="A1321" s="5"/>
      <c r="B1321" s="5"/>
      <c r="C1321" s="5"/>
      <c r="D1321" s="5"/>
      <c r="E1321" s="5"/>
      <c r="F1321" s="5"/>
      <c r="G1321" s="5"/>
      <c r="H1321" s="5"/>
      <c r="I1321" s="5"/>
      <c r="J1321" s="5"/>
      <c r="K1321" s="5"/>
      <c r="L1321" s="5"/>
      <c r="M1321" s="5"/>
      <c r="N1321" s="5"/>
      <c r="O1321" s="5"/>
      <c r="P1321" s="5"/>
      <c r="Q1321" s="5"/>
      <c r="R1321" s="5"/>
      <c r="S1321" s="5"/>
      <c r="T1321" s="5"/>
      <c r="U1321" s="5"/>
      <c r="V1321" s="5"/>
      <c r="W1321" s="5"/>
      <c r="X1321" s="5"/>
      <c r="Y1321" s="5"/>
      <c r="Z1321" s="5"/>
      <c r="AA1321" s="5"/>
      <c r="AB1321" s="6"/>
      <c r="AC1321" s="6"/>
      <c r="AD1321" s="6"/>
      <c r="AE1321" s="6"/>
      <c r="AF1321" s="6"/>
      <c r="AG1321" s="6"/>
      <c r="AH1321" s="6"/>
      <c r="AI1321" s="6"/>
      <c r="AJ1321" s="6"/>
      <c r="AK1321" s="6"/>
      <c r="AL1321" s="6"/>
      <c r="AM1321" s="6"/>
      <c r="AN1321" s="6"/>
      <c r="AO1321" s="6"/>
      <c r="AP1321" s="6"/>
      <c r="AQ1321" s="6"/>
      <c r="AR1321" s="6"/>
      <c r="AS1321" s="6"/>
      <c r="AT1321" s="6"/>
      <c r="AU1321" s="6"/>
      <c r="AV1321" s="6"/>
      <c r="AW1321" s="6"/>
      <c r="AX1321" s="6"/>
      <c r="AY1321" s="6"/>
      <c r="AZ1321" s="6"/>
      <c r="BA1321" s="6"/>
      <c r="BB1321" s="6"/>
      <c r="BC1321" s="6"/>
      <c r="BD1321" s="6"/>
      <c r="BE1321" s="6"/>
      <c r="BF1321" s="6"/>
      <c r="BG1321" s="6"/>
      <c r="BH1321" s="6"/>
      <c r="BI1321" s="6"/>
      <c r="BJ1321" s="6"/>
      <c r="BK1321" s="6"/>
      <c r="BL1321" s="6"/>
      <c r="BM1321" s="6"/>
      <c r="BN1321" s="6"/>
      <c r="BO1321" s="6"/>
      <c r="BP1321" s="6"/>
      <c r="BQ1321" s="6"/>
      <c r="BR1321" s="6"/>
      <c r="BS1321" s="6"/>
      <c r="BT1321" s="6"/>
      <c r="BU1321" s="6"/>
      <c r="BV1321" s="6"/>
      <c r="BW1321" s="6"/>
      <c r="BX1321" s="5"/>
      <c r="BY1321" s="7"/>
      <c r="BZ1321" s="7"/>
      <c r="CA1321" s="7"/>
      <c r="CB1321" s="7"/>
      <c r="CC1321" s="874"/>
    </row>
    <row r="1322" spans="1:81" s="400" customFormat="1" ht="14.25" customHeight="1" x14ac:dyDescent="0.25">
      <c r="A1322" s="5"/>
      <c r="B1322" s="5"/>
      <c r="C1322" s="5"/>
      <c r="D1322" s="5"/>
      <c r="E1322" s="5"/>
      <c r="F1322" s="5"/>
      <c r="G1322" s="5"/>
      <c r="H1322" s="5"/>
      <c r="I1322" s="5"/>
      <c r="J1322" s="5"/>
      <c r="K1322" s="5"/>
      <c r="L1322" s="5"/>
      <c r="M1322" s="5"/>
      <c r="N1322" s="5"/>
      <c r="O1322" s="5"/>
      <c r="P1322" s="5"/>
      <c r="Q1322" s="5"/>
      <c r="R1322" s="5"/>
      <c r="S1322" s="5"/>
      <c r="T1322" s="5"/>
      <c r="U1322" s="5"/>
      <c r="V1322" s="5"/>
      <c r="W1322" s="5"/>
      <c r="X1322" s="5"/>
      <c r="Y1322" s="5"/>
      <c r="Z1322" s="5"/>
      <c r="AA1322" s="5"/>
      <c r="AB1322" s="6"/>
      <c r="AC1322" s="6"/>
      <c r="AD1322" s="6"/>
      <c r="AE1322" s="6"/>
      <c r="AF1322" s="6"/>
      <c r="AG1322" s="6"/>
      <c r="AH1322" s="6"/>
      <c r="AI1322" s="6"/>
      <c r="AJ1322" s="6"/>
      <c r="AK1322" s="6"/>
      <c r="AL1322" s="6"/>
      <c r="AM1322" s="6"/>
      <c r="AN1322" s="6"/>
      <c r="AO1322" s="6"/>
      <c r="AP1322" s="6"/>
      <c r="AQ1322" s="6"/>
      <c r="AR1322" s="6"/>
      <c r="AS1322" s="6"/>
      <c r="AT1322" s="6"/>
      <c r="AU1322" s="6"/>
      <c r="AV1322" s="6"/>
      <c r="AW1322" s="6"/>
      <c r="AX1322" s="6"/>
      <c r="AY1322" s="6"/>
      <c r="AZ1322" s="6"/>
      <c r="BA1322" s="6"/>
      <c r="BB1322" s="6"/>
      <c r="BC1322" s="6"/>
      <c r="BD1322" s="6"/>
      <c r="BE1322" s="6"/>
      <c r="BF1322" s="6"/>
      <c r="BG1322" s="6"/>
      <c r="BH1322" s="6"/>
      <c r="BI1322" s="6"/>
      <c r="BJ1322" s="6"/>
      <c r="BK1322" s="6"/>
      <c r="BL1322" s="6"/>
      <c r="BM1322" s="6"/>
      <c r="BN1322" s="6"/>
      <c r="BO1322" s="6"/>
      <c r="BP1322" s="6"/>
      <c r="BQ1322" s="6"/>
      <c r="BR1322" s="6"/>
      <c r="BS1322" s="6"/>
      <c r="BT1322" s="6"/>
      <c r="BU1322" s="6"/>
      <c r="BV1322" s="6"/>
      <c r="BW1322" s="6"/>
      <c r="BX1322" s="5"/>
      <c r="BY1322" s="7"/>
      <c r="BZ1322" s="7"/>
      <c r="CA1322" s="7"/>
      <c r="CB1322" s="7"/>
      <c r="CC1322" s="874"/>
    </row>
    <row r="1323" spans="1:81" s="400" customFormat="1" ht="14.25" customHeight="1" x14ac:dyDescent="0.25">
      <c r="A1323" s="5"/>
      <c r="B1323" s="5"/>
      <c r="C1323" s="5"/>
      <c r="D1323" s="5"/>
      <c r="E1323" s="5"/>
      <c r="F1323" s="5"/>
      <c r="G1323" s="5"/>
      <c r="H1323" s="5"/>
      <c r="I1323" s="5"/>
      <c r="J1323" s="5"/>
      <c r="K1323" s="5"/>
      <c r="L1323" s="5"/>
      <c r="M1323" s="5"/>
      <c r="N1323" s="5"/>
      <c r="O1323" s="5"/>
      <c r="P1323" s="5"/>
      <c r="Q1323" s="5"/>
      <c r="R1323" s="5"/>
      <c r="S1323" s="5"/>
      <c r="T1323" s="5"/>
      <c r="U1323" s="5"/>
      <c r="V1323" s="5"/>
      <c r="W1323" s="5"/>
      <c r="X1323" s="5"/>
      <c r="Y1323" s="5"/>
      <c r="Z1323" s="5"/>
      <c r="AA1323" s="5"/>
      <c r="AB1323" s="6"/>
      <c r="AC1323" s="6"/>
      <c r="AD1323" s="6"/>
      <c r="AE1323" s="6"/>
      <c r="AF1323" s="6"/>
      <c r="AG1323" s="6"/>
      <c r="AH1323" s="6"/>
      <c r="AI1323" s="6"/>
      <c r="AJ1323" s="6"/>
      <c r="AK1323" s="6"/>
      <c r="AL1323" s="6"/>
      <c r="AM1323" s="6"/>
      <c r="AN1323" s="6"/>
      <c r="AO1323" s="6"/>
      <c r="AP1323" s="6"/>
      <c r="AQ1323" s="6"/>
      <c r="AR1323" s="6"/>
      <c r="AS1323" s="6"/>
      <c r="AT1323" s="6"/>
      <c r="AU1323" s="6"/>
      <c r="AV1323" s="6"/>
      <c r="AW1323" s="6"/>
      <c r="AX1323" s="6"/>
      <c r="AY1323" s="6"/>
      <c r="AZ1323" s="6"/>
      <c r="BA1323" s="6"/>
      <c r="BB1323" s="6"/>
      <c r="BC1323" s="6"/>
      <c r="BD1323" s="6"/>
      <c r="BE1323" s="6"/>
      <c r="BF1323" s="6"/>
      <c r="BG1323" s="6"/>
      <c r="BH1323" s="6"/>
      <c r="BI1323" s="6"/>
      <c r="BJ1323" s="6"/>
      <c r="BK1323" s="6"/>
      <c r="BL1323" s="6"/>
      <c r="BM1323" s="6"/>
      <c r="BN1323" s="6"/>
      <c r="BO1323" s="6"/>
      <c r="BP1323" s="6"/>
      <c r="BQ1323" s="6"/>
      <c r="BR1323" s="6"/>
      <c r="BS1323" s="6"/>
      <c r="BT1323" s="6"/>
      <c r="BU1323" s="6"/>
      <c r="BV1323" s="6"/>
      <c r="BW1323" s="6"/>
      <c r="BX1323" s="5"/>
      <c r="BY1323" s="7"/>
      <c r="BZ1323" s="7"/>
      <c r="CA1323" s="7"/>
      <c r="CB1323" s="7"/>
      <c r="CC1323" s="874"/>
    </row>
    <row r="1324" spans="1:81" s="400" customFormat="1" ht="14.25" customHeight="1" x14ac:dyDescent="0.25">
      <c r="A1324" s="5"/>
      <c r="B1324" s="5"/>
      <c r="C1324" s="5"/>
      <c r="D1324" s="5"/>
      <c r="E1324" s="5"/>
      <c r="F1324" s="5"/>
      <c r="G1324" s="5"/>
      <c r="H1324" s="5"/>
      <c r="I1324" s="5"/>
      <c r="J1324" s="5"/>
      <c r="K1324" s="5"/>
      <c r="L1324" s="5"/>
      <c r="M1324" s="5"/>
      <c r="N1324" s="5"/>
      <c r="O1324" s="5"/>
      <c r="P1324" s="5"/>
      <c r="Q1324" s="5"/>
      <c r="R1324" s="5"/>
      <c r="S1324" s="5"/>
      <c r="T1324" s="5"/>
      <c r="U1324" s="5"/>
      <c r="V1324" s="5"/>
      <c r="W1324" s="5"/>
      <c r="X1324" s="5"/>
      <c r="Y1324" s="5"/>
      <c r="Z1324" s="5"/>
      <c r="AA1324" s="5"/>
      <c r="AB1324" s="6"/>
      <c r="AC1324" s="6"/>
      <c r="AD1324" s="6"/>
      <c r="AE1324" s="6"/>
      <c r="AF1324" s="6"/>
      <c r="AG1324" s="6"/>
      <c r="AH1324" s="6"/>
      <c r="AI1324" s="6"/>
      <c r="AJ1324" s="6"/>
      <c r="AK1324" s="6"/>
      <c r="AL1324" s="6"/>
      <c r="AM1324" s="6"/>
      <c r="AN1324" s="6"/>
      <c r="AO1324" s="6"/>
      <c r="AP1324" s="6"/>
      <c r="AQ1324" s="6"/>
      <c r="AR1324" s="6"/>
      <c r="AS1324" s="6"/>
      <c r="AT1324" s="6"/>
      <c r="AU1324" s="6"/>
      <c r="AV1324" s="6"/>
      <c r="AW1324" s="6"/>
      <c r="AX1324" s="6"/>
      <c r="AY1324" s="6"/>
      <c r="AZ1324" s="6"/>
      <c r="BA1324" s="6"/>
      <c r="BB1324" s="6"/>
      <c r="BC1324" s="6"/>
      <c r="BD1324" s="6"/>
      <c r="BE1324" s="6"/>
      <c r="BF1324" s="6"/>
      <c r="BG1324" s="6"/>
      <c r="BH1324" s="6"/>
      <c r="BI1324" s="6"/>
      <c r="BJ1324" s="6"/>
      <c r="BK1324" s="6"/>
      <c r="BL1324" s="6"/>
      <c r="BM1324" s="6"/>
      <c r="BN1324" s="6"/>
      <c r="BO1324" s="6"/>
      <c r="BP1324" s="6"/>
      <c r="BQ1324" s="6"/>
      <c r="BR1324" s="6"/>
      <c r="BS1324" s="6"/>
      <c r="BT1324" s="6"/>
      <c r="BU1324" s="6"/>
      <c r="BV1324" s="6"/>
      <c r="BW1324" s="6"/>
      <c r="BX1324" s="5"/>
      <c r="BY1324" s="7"/>
      <c r="BZ1324" s="7"/>
      <c r="CA1324" s="7"/>
      <c r="CB1324" s="7"/>
      <c r="CC1324" s="874"/>
    </row>
    <row r="1325" spans="1:81" s="400" customFormat="1" ht="14.25" customHeight="1" x14ac:dyDescent="0.25">
      <c r="A1325" s="5"/>
      <c r="B1325" s="5"/>
      <c r="C1325" s="5"/>
      <c r="D1325" s="5"/>
      <c r="E1325" s="5"/>
      <c r="F1325" s="5"/>
      <c r="G1325" s="5"/>
      <c r="H1325" s="5"/>
      <c r="I1325" s="5"/>
      <c r="J1325" s="5"/>
      <c r="K1325" s="5"/>
      <c r="L1325" s="5"/>
      <c r="M1325" s="5"/>
      <c r="N1325" s="5"/>
      <c r="O1325" s="5"/>
      <c r="P1325" s="5"/>
      <c r="Q1325" s="5"/>
      <c r="R1325" s="5"/>
      <c r="S1325" s="5"/>
      <c r="T1325" s="5"/>
      <c r="U1325" s="5"/>
      <c r="V1325" s="5"/>
      <c r="W1325" s="5"/>
      <c r="X1325" s="5"/>
      <c r="Y1325" s="5"/>
      <c r="Z1325" s="5"/>
      <c r="AA1325" s="5"/>
      <c r="AB1325" s="6"/>
      <c r="AC1325" s="6"/>
      <c r="AD1325" s="6"/>
      <c r="AE1325" s="6"/>
      <c r="AF1325" s="6"/>
      <c r="AG1325" s="6"/>
      <c r="AH1325" s="6"/>
      <c r="AI1325" s="6"/>
      <c r="AJ1325" s="6"/>
      <c r="AK1325" s="6"/>
      <c r="AL1325" s="6"/>
      <c r="AM1325" s="6"/>
      <c r="AN1325" s="6"/>
      <c r="AO1325" s="6"/>
      <c r="AP1325" s="6"/>
      <c r="AQ1325" s="6"/>
      <c r="AR1325" s="6"/>
      <c r="AS1325" s="6"/>
      <c r="AT1325" s="6"/>
      <c r="AU1325" s="6"/>
      <c r="AV1325" s="6"/>
      <c r="AW1325" s="6"/>
      <c r="AX1325" s="6"/>
      <c r="AY1325" s="6"/>
      <c r="AZ1325" s="6"/>
      <c r="BA1325" s="6"/>
      <c r="BB1325" s="6"/>
      <c r="BC1325" s="6"/>
      <c r="BD1325" s="6"/>
      <c r="BE1325" s="6"/>
      <c r="BF1325" s="6"/>
      <c r="BG1325" s="6"/>
      <c r="BH1325" s="6"/>
      <c r="BI1325" s="6"/>
      <c r="BJ1325" s="6"/>
      <c r="BK1325" s="6"/>
      <c r="BL1325" s="6"/>
      <c r="BM1325" s="6"/>
      <c r="BN1325" s="6"/>
      <c r="BO1325" s="6"/>
      <c r="BP1325" s="6"/>
      <c r="BQ1325" s="6"/>
      <c r="BR1325" s="6"/>
      <c r="BS1325" s="6"/>
      <c r="BT1325" s="6"/>
      <c r="BU1325" s="6"/>
      <c r="BV1325" s="6"/>
      <c r="BW1325" s="6"/>
      <c r="BX1325" s="5"/>
      <c r="BY1325" s="7"/>
      <c r="BZ1325" s="7"/>
      <c r="CA1325" s="7"/>
      <c r="CB1325" s="7"/>
      <c r="CC1325" s="874"/>
    </row>
    <row r="1326" spans="1:81" s="400" customFormat="1" ht="14.25" customHeight="1" x14ac:dyDescent="0.25">
      <c r="A1326" s="5"/>
      <c r="B1326" s="5"/>
      <c r="C1326" s="5"/>
      <c r="D1326" s="5"/>
      <c r="E1326" s="5"/>
      <c r="F1326" s="5"/>
      <c r="G1326" s="5"/>
      <c r="H1326" s="5"/>
      <c r="I1326" s="5"/>
      <c r="J1326" s="5"/>
      <c r="K1326" s="5"/>
      <c r="L1326" s="5"/>
      <c r="M1326" s="5"/>
      <c r="N1326" s="5"/>
      <c r="O1326" s="5"/>
      <c r="P1326" s="5"/>
      <c r="Q1326" s="5"/>
      <c r="R1326" s="5"/>
      <c r="S1326" s="5"/>
      <c r="T1326" s="5"/>
      <c r="U1326" s="5"/>
      <c r="V1326" s="5"/>
      <c r="W1326" s="5"/>
      <c r="X1326" s="5"/>
      <c r="Y1326" s="5"/>
      <c r="Z1326" s="5"/>
      <c r="AA1326" s="5"/>
      <c r="AB1326" s="6"/>
      <c r="AC1326" s="6"/>
      <c r="AD1326" s="6"/>
      <c r="AE1326" s="6"/>
      <c r="AF1326" s="6"/>
      <c r="AG1326" s="6"/>
      <c r="AH1326" s="6"/>
      <c r="AI1326" s="6"/>
      <c r="AJ1326" s="6"/>
      <c r="AK1326" s="6"/>
      <c r="AL1326" s="6"/>
      <c r="AM1326" s="6"/>
      <c r="AN1326" s="6"/>
      <c r="AO1326" s="6"/>
      <c r="AP1326" s="6"/>
      <c r="AQ1326" s="6"/>
      <c r="AR1326" s="6"/>
      <c r="AS1326" s="6"/>
      <c r="AT1326" s="6"/>
      <c r="AU1326" s="6"/>
      <c r="AV1326" s="6"/>
      <c r="AW1326" s="6"/>
      <c r="AX1326" s="6"/>
      <c r="AY1326" s="6"/>
      <c r="AZ1326" s="6"/>
      <c r="BA1326" s="6"/>
      <c r="BB1326" s="6"/>
      <c r="BC1326" s="6"/>
      <c r="BD1326" s="6"/>
      <c r="BE1326" s="6"/>
      <c r="BF1326" s="6"/>
      <c r="BG1326" s="6"/>
      <c r="BH1326" s="6"/>
      <c r="BI1326" s="6"/>
      <c r="BJ1326" s="6"/>
      <c r="BK1326" s="6"/>
      <c r="BL1326" s="6"/>
      <c r="BM1326" s="6"/>
      <c r="BN1326" s="6"/>
      <c r="BO1326" s="6"/>
      <c r="BP1326" s="6"/>
      <c r="BQ1326" s="6"/>
      <c r="BR1326" s="6"/>
      <c r="BS1326" s="6"/>
      <c r="BT1326" s="6"/>
      <c r="BU1326" s="6"/>
      <c r="BV1326" s="6"/>
      <c r="BW1326" s="6"/>
      <c r="BX1326" s="5"/>
      <c r="BY1326" s="7"/>
      <c r="BZ1326" s="7"/>
      <c r="CA1326" s="7"/>
      <c r="CB1326" s="7"/>
      <c r="CC1326" s="874"/>
    </row>
    <row r="1327" spans="1:81" s="400" customFormat="1" ht="14.25" customHeight="1" x14ac:dyDescent="0.25">
      <c r="A1327" s="5"/>
      <c r="B1327" s="5"/>
      <c r="C1327" s="5"/>
      <c r="D1327" s="5"/>
      <c r="E1327" s="5"/>
      <c r="F1327" s="5"/>
      <c r="G1327" s="5"/>
      <c r="H1327" s="5"/>
      <c r="I1327" s="5"/>
      <c r="J1327" s="5"/>
      <c r="K1327" s="5"/>
      <c r="L1327" s="5"/>
      <c r="M1327" s="5"/>
      <c r="N1327" s="5"/>
      <c r="O1327" s="5"/>
      <c r="P1327" s="5"/>
      <c r="Q1327" s="5"/>
      <c r="R1327" s="5"/>
      <c r="S1327" s="5"/>
      <c r="T1327" s="5"/>
      <c r="U1327" s="5"/>
      <c r="V1327" s="5"/>
      <c r="W1327" s="5"/>
      <c r="X1327" s="5"/>
      <c r="Y1327" s="5"/>
      <c r="Z1327" s="5"/>
      <c r="AA1327" s="5"/>
      <c r="AB1327" s="6"/>
      <c r="AC1327" s="6"/>
      <c r="AD1327" s="6"/>
      <c r="AE1327" s="6"/>
      <c r="AF1327" s="6"/>
      <c r="AG1327" s="6"/>
      <c r="AH1327" s="6"/>
      <c r="AI1327" s="6"/>
      <c r="AJ1327" s="6"/>
      <c r="AK1327" s="6"/>
      <c r="AL1327" s="6"/>
      <c r="AM1327" s="6"/>
      <c r="AN1327" s="6"/>
      <c r="AO1327" s="6"/>
      <c r="AP1327" s="6"/>
      <c r="AQ1327" s="6"/>
      <c r="AR1327" s="6"/>
      <c r="AS1327" s="6"/>
      <c r="AT1327" s="6"/>
      <c r="AU1327" s="6"/>
      <c r="AV1327" s="6"/>
      <c r="AW1327" s="6"/>
      <c r="AX1327" s="6"/>
      <c r="AY1327" s="6"/>
      <c r="AZ1327" s="6"/>
      <c r="BA1327" s="6"/>
      <c r="BB1327" s="6"/>
      <c r="BC1327" s="6"/>
      <c r="BD1327" s="6"/>
      <c r="BE1327" s="6"/>
      <c r="BF1327" s="6"/>
      <c r="BG1327" s="6"/>
      <c r="BH1327" s="6"/>
      <c r="BI1327" s="6"/>
      <c r="BJ1327" s="6"/>
      <c r="BK1327" s="6"/>
      <c r="BL1327" s="6"/>
      <c r="BM1327" s="6"/>
      <c r="BN1327" s="6"/>
      <c r="BO1327" s="6"/>
      <c r="BP1327" s="6"/>
      <c r="BQ1327" s="6"/>
      <c r="BR1327" s="6"/>
      <c r="BS1327" s="6"/>
      <c r="BT1327" s="6"/>
      <c r="BU1327" s="6"/>
      <c r="BV1327" s="6"/>
      <c r="BW1327" s="6"/>
      <c r="BX1327" s="5"/>
      <c r="BY1327" s="7"/>
      <c r="BZ1327" s="7"/>
      <c r="CA1327" s="7"/>
      <c r="CB1327" s="7"/>
      <c r="CC1327" s="874"/>
    </row>
    <row r="1328" spans="1:81" s="400" customFormat="1" ht="14.25" customHeight="1" x14ac:dyDescent="0.25">
      <c r="A1328" s="5"/>
      <c r="B1328" s="5"/>
      <c r="C1328" s="5"/>
      <c r="D1328" s="5"/>
      <c r="E1328" s="5"/>
      <c r="F1328" s="5"/>
      <c r="G1328" s="5"/>
      <c r="H1328" s="5"/>
      <c r="I1328" s="5"/>
      <c r="J1328" s="5"/>
      <c r="K1328" s="5"/>
      <c r="L1328" s="5"/>
      <c r="M1328" s="5"/>
      <c r="N1328" s="5"/>
      <c r="O1328" s="5"/>
      <c r="P1328" s="5"/>
      <c r="Q1328" s="5"/>
      <c r="R1328" s="5"/>
      <c r="S1328" s="5"/>
      <c r="T1328" s="5"/>
      <c r="U1328" s="5"/>
      <c r="V1328" s="5"/>
      <c r="W1328" s="5"/>
      <c r="X1328" s="5"/>
      <c r="Y1328" s="5"/>
      <c r="Z1328" s="5"/>
      <c r="AA1328" s="5"/>
      <c r="AB1328" s="6"/>
      <c r="AC1328" s="6"/>
      <c r="AD1328" s="6"/>
      <c r="AE1328" s="6"/>
      <c r="AF1328" s="6"/>
      <c r="AG1328" s="6"/>
      <c r="AH1328" s="6"/>
      <c r="AI1328" s="6"/>
      <c r="AJ1328" s="6"/>
      <c r="AK1328" s="6"/>
      <c r="AL1328" s="6"/>
      <c r="AM1328" s="6"/>
      <c r="AN1328" s="6"/>
      <c r="AO1328" s="6"/>
      <c r="AP1328" s="6"/>
      <c r="AQ1328" s="6"/>
      <c r="AR1328" s="6"/>
      <c r="AS1328" s="6"/>
      <c r="AT1328" s="6"/>
      <c r="AU1328" s="6"/>
      <c r="AV1328" s="6"/>
      <c r="AW1328" s="6"/>
      <c r="AX1328" s="6"/>
      <c r="AY1328" s="6"/>
      <c r="AZ1328" s="6"/>
      <c r="BA1328" s="6"/>
      <c r="BB1328" s="6"/>
      <c r="BC1328" s="6"/>
      <c r="BD1328" s="6"/>
      <c r="BE1328" s="6"/>
      <c r="BF1328" s="6"/>
      <c r="BG1328" s="6"/>
      <c r="BH1328" s="6"/>
      <c r="BI1328" s="6"/>
      <c r="BJ1328" s="6"/>
      <c r="BK1328" s="6"/>
      <c r="BL1328" s="6"/>
      <c r="BM1328" s="6"/>
      <c r="BN1328" s="6"/>
      <c r="BO1328" s="6"/>
      <c r="BP1328" s="6"/>
      <c r="BQ1328" s="6"/>
      <c r="BR1328" s="6"/>
      <c r="BS1328" s="6"/>
      <c r="BT1328" s="6"/>
      <c r="BU1328" s="6"/>
      <c r="BV1328" s="6"/>
      <c r="BW1328" s="6"/>
      <c r="BX1328" s="5"/>
      <c r="BY1328" s="7"/>
      <c r="BZ1328" s="7"/>
      <c r="CA1328" s="7"/>
      <c r="CB1328" s="7"/>
      <c r="CC1328" s="874"/>
    </row>
    <row r="1329" spans="1:81" s="400" customFormat="1" ht="14.25" customHeight="1" x14ac:dyDescent="0.25">
      <c r="A1329" s="5"/>
      <c r="B1329" s="5"/>
      <c r="C1329" s="5"/>
      <c r="D1329" s="5"/>
      <c r="E1329" s="5"/>
      <c r="F1329" s="5"/>
      <c r="G1329" s="5"/>
      <c r="H1329" s="5"/>
      <c r="I1329" s="5"/>
      <c r="J1329" s="5"/>
      <c r="K1329" s="5"/>
      <c r="L1329" s="5"/>
      <c r="M1329" s="5"/>
      <c r="N1329" s="5"/>
      <c r="O1329" s="5"/>
      <c r="P1329" s="5"/>
      <c r="Q1329" s="5"/>
      <c r="R1329" s="5"/>
      <c r="S1329" s="5"/>
      <c r="T1329" s="5"/>
      <c r="U1329" s="5"/>
      <c r="V1329" s="5"/>
      <c r="W1329" s="5"/>
      <c r="X1329" s="5"/>
      <c r="Y1329" s="5"/>
      <c r="Z1329" s="5"/>
      <c r="AA1329" s="5"/>
      <c r="AB1329" s="6"/>
      <c r="AC1329" s="6"/>
      <c r="AD1329" s="6"/>
      <c r="AE1329" s="6"/>
      <c r="AF1329" s="6"/>
      <c r="AG1329" s="6"/>
      <c r="AH1329" s="6"/>
      <c r="AI1329" s="6"/>
      <c r="AJ1329" s="6"/>
      <c r="AK1329" s="6"/>
      <c r="AL1329" s="6"/>
      <c r="AM1329" s="6"/>
      <c r="AN1329" s="6"/>
      <c r="AO1329" s="6"/>
      <c r="AP1329" s="6"/>
      <c r="AQ1329" s="6"/>
      <c r="AR1329" s="6"/>
      <c r="AS1329" s="6"/>
      <c r="AT1329" s="6"/>
      <c r="AU1329" s="6"/>
      <c r="AV1329" s="6"/>
      <c r="AW1329" s="6"/>
      <c r="AX1329" s="6"/>
      <c r="AY1329" s="6"/>
      <c r="AZ1329" s="6"/>
      <c r="BA1329" s="6"/>
      <c r="BB1329" s="6"/>
      <c r="BC1329" s="6"/>
      <c r="BD1329" s="6"/>
      <c r="BE1329" s="6"/>
      <c r="BF1329" s="6"/>
      <c r="BG1329" s="6"/>
      <c r="BH1329" s="6"/>
      <c r="BI1329" s="6"/>
      <c r="BJ1329" s="6"/>
      <c r="BK1329" s="6"/>
      <c r="BL1329" s="6"/>
      <c r="BM1329" s="6"/>
      <c r="BN1329" s="6"/>
      <c r="BO1329" s="6"/>
      <c r="BP1329" s="6"/>
      <c r="BQ1329" s="6"/>
      <c r="BR1329" s="6"/>
      <c r="BS1329" s="6"/>
      <c r="BT1329" s="6"/>
      <c r="BU1329" s="6"/>
      <c r="BV1329" s="6"/>
      <c r="BW1329" s="6"/>
      <c r="BX1329" s="5"/>
      <c r="BY1329" s="7"/>
      <c r="BZ1329" s="7"/>
      <c r="CA1329" s="7"/>
      <c r="CB1329" s="7"/>
      <c r="CC1329" s="874"/>
    </row>
    <row r="1330" spans="1:81" s="400" customFormat="1" ht="14.25" customHeight="1" x14ac:dyDescent="0.25">
      <c r="A1330" s="5"/>
      <c r="B1330" s="5"/>
      <c r="C1330" s="5"/>
      <c r="D1330" s="5"/>
      <c r="E1330" s="5"/>
      <c r="F1330" s="5"/>
      <c r="G1330" s="5"/>
      <c r="H1330" s="5"/>
      <c r="I1330" s="5"/>
      <c r="J1330" s="5"/>
      <c r="K1330" s="5"/>
      <c r="L1330" s="5"/>
      <c r="M1330" s="5"/>
      <c r="N1330" s="5"/>
      <c r="O1330" s="5"/>
      <c r="P1330" s="5"/>
      <c r="Q1330" s="5"/>
      <c r="R1330" s="5"/>
      <c r="S1330" s="5"/>
      <c r="T1330" s="5"/>
      <c r="U1330" s="5"/>
      <c r="V1330" s="5"/>
      <c r="W1330" s="5"/>
      <c r="X1330" s="5"/>
      <c r="Y1330" s="5"/>
      <c r="Z1330" s="5"/>
      <c r="AA1330" s="5"/>
      <c r="AB1330" s="6"/>
      <c r="AC1330" s="6"/>
      <c r="AD1330" s="6"/>
      <c r="AE1330" s="6"/>
      <c r="AF1330" s="6"/>
      <c r="AG1330" s="6"/>
      <c r="AH1330" s="6"/>
      <c r="AI1330" s="6"/>
      <c r="AJ1330" s="6"/>
      <c r="AK1330" s="6"/>
      <c r="AL1330" s="6"/>
      <c r="AM1330" s="6"/>
      <c r="AN1330" s="6"/>
      <c r="AO1330" s="6"/>
      <c r="AP1330" s="6"/>
      <c r="AQ1330" s="6"/>
      <c r="AR1330" s="6"/>
      <c r="AS1330" s="6"/>
      <c r="AT1330" s="6"/>
      <c r="AU1330" s="6"/>
      <c r="AV1330" s="6"/>
      <c r="AW1330" s="6"/>
      <c r="AX1330" s="6"/>
      <c r="AY1330" s="6"/>
      <c r="AZ1330" s="6"/>
      <c r="BA1330" s="6"/>
      <c r="BB1330" s="6"/>
      <c r="BC1330" s="6"/>
      <c r="BD1330" s="6"/>
      <c r="BE1330" s="6"/>
      <c r="BF1330" s="6"/>
      <c r="BG1330" s="6"/>
      <c r="BH1330" s="6"/>
      <c r="BI1330" s="6"/>
      <c r="BJ1330" s="6"/>
      <c r="BK1330" s="6"/>
      <c r="BL1330" s="6"/>
      <c r="BM1330" s="6"/>
      <c r="BN1330" s="6"/>
      <c r="BO1330" s="6"/>
      <c r="BP1330" s="6"/>
      <c r="BQ1330" s="6"/>
      <c r="BR1330" s="6"/>
      <c r="BS1330" s="6"/>
      <c r="BT1330" s="6"/>
      <c r="BU1330" s="6"/>
      <c r="BV1330" s="6"/>
      <c r="BW1330" s="6"/>
      <c r="BX1330" s="5"/>
      <c r="BY1330" s="7"/>
      <c r="BZ1330" s="7"/>
      <c r="CA1330" s="7"/>
      <c r="CB1330" s="7"/>
      <c r="CC1330" s="874"/>
    </row>
    <row r="1331" spans="1:81" s="400" customFormat="1" ht="14.25" customHeight="1" x14ac:dyDescent="0.25">
      <c r="A1331" s="5"/>
      <c r="B1331" s="5"/>
      <c r="C1331" s="5"/>
      <c r="D1331" s="5"/>
      <c r="E1331" s="5"/>
      <c r="F1331" s="5"/>
      <c r="G1331" s="5"/>
      <c r="H1331" s="5"/>
      <c r="I1331" s="5"/>
      <c r="J1331" s="5"/>
      <c r="K1331" s="5"/>
      <c r="L1331" s="5"/>
      <c r="M1331" s="5"/>
      <c r="N1331" s="5"/>
      <c r="O1331" s="5"/>
      <c r="P1331" s="5"/>
      <c r="Q1331" s="5"/>
      <c r="R1331" s="5"/>
      <c r="S1331" s="5"/>
      <c r="T1331" s="5"/>
      <c r="U1331" s="5"/>
      <c r="V1331" s="5"/>
      <c r="W1331" s="5"/>
      <c r="X1331" s="5"/>
      <c r="Y1331" s="5"/>
      <c r="Z1331" s="5"/>
      <c r="AA1331" s="5"/>
      <c r="AB1331" s="6"/>
      <c r="AC1331" s="6"/>
      <c r="AD1331" s="6"/>
      <c r="AE1331" s="6"/>
      <c r="AF1331" s="6"/>
      <c r="AG1331" s="6"/>
      <c r="AH1331" s="6"/>
      <c r="AI1331" s="6"/>
      <c r="AJ1331" s="6"/>
      <c r="AK1331" s="6"/>
      <c r="AL1331" s="6"/>
      <c r="AM1331" s="6"/>
      <c r="AN1331" s="6"/>
      <c r="AO1331" s="6"/>
      <c r="AP1331" s="6"/>
      <c r="AQ1331" s="6"/>
      <c r="AR1331" s="6"/>
      <c r="AS1331" s="6"/>
      <c r="AT1331" s="6"/>
      <c r="AU1331" s="6"/>
      <c r="AV1331" s="6"/>
      <c r="AW1331" s="6"/>
      <c r="AX1331" s="6"/>
      <c r="AY1331" s="6"/>
      <c r="AZ1331" s="6"/>
      <c r="BA1331" s="6"/>
      <c r="BB1331" s="6"/>
      <c r="BC1331" s="6"/>
      <c r="BD1331" s="6"/>
      <c r="BE1331" s="6"/>
      <c r="BF1331" s="6"/>
      <c r="BG1331" s="6"/>
      <c r="BH1331" s="6"/>
      <c r="BI1331" s="6"/>
      <c r="BJ1331" s="6"/>
      <c r="BK1331" s="6"/>
      <c r="BL1331" s="6"/>
      <c r="BM1331" s="6"/>
      <c r="BN1331" s="6"/>
      <c r="BO1331" s="6"/>
      <c r="BP1331" s="6"/>
      <c r="BQ1331" s="6"/>
      <c r="BR1331" s="6"/>
      <c r="BS1331" s="6"/>
      <c r="BT1331" s="6"/>
      <c r="BU1331" s="6"/>
      <c r="BV1331" s="6"/>
      <c r="BW1331" s="6"/>
      <c r="BX1331" s="5"/>
      <c r="BY1331" s="7"/>
      <c r="BZ1331" s="7"/>
      <c r="CA1331" s="7"/>
      <c r="CB1331" s="7"/>
      <c r="CC1331" s="874"/>
    </row>
    <row r="1332" spans="1:81" s="400" customFormat="1" ht="14.25" customHeight="1" x14ac:dyDescent="0.25">
      <c r="A1332" s="5"/>
      <c r="B1332" s="5"/>
      <c r="C1332" s="5"/>
      <c r="D1332" s="5"/>
      <c r="E1332" s="5"/>
      <c r="F1332" s="5"/>
      <c r="G1332" s="5"/>
      <c r="H1332" s="5"/>
      <c r="I1332" s="5"/>
      <c r="J1332" s="5"/>
      <c r="K1332" s="5"/>
      <c r="L1332" s="5"/>
      <c r="M1332" s="5"/>
      <c r="N1332" s="5"/>
      <c r="O1332" s="5"/>
      <c r="P1332" s="5"/>
      <c r="Q1332" s="5"/>
      <c r="R1332" s="5"/>
      <c r="S1332" s="5"/>
      <c r="T1332" s="5"/>
      <c r="U1332" s="5"/>
      <c r="V1332" s="5"/>
      <c r="W1332" s="5"/>
      <c r="X1332" s="5"/>
      <c r="Y1332" s="5"/>
      <c r="Z1332" s="5"/>
      <c r="AA1332" s="5"/>
      <c r="AB1332" s="6"/>
      <c r="AC1332" s="6"/>
      <c r="AD1332" s="6"/>
      <c r="AE1332" s="6"/>
      <c r="AF1332" s="6"/>
      <c r="AG1332" s="6"/>
      <c r="AH1332" s="6"/>
      <c r="AI1332" s="6"/>
      <c r="AJ1332" s="6"/>
      <c r="AK1332" s="6"/>
      <c r="AL1332" s="6"/>
      <c r="AM1332" s="6"/>
      <c r="AN1332" s="6"/>
      <c r="AO1332" s="6"/>
      <c r="AP1332" s="6"/>
      <c r="AQ1332" s="6"/>
      <c r="AR1332" s="6"/>
      <c r="AS1332" s="6"/>
      <c r="AT1332" s="6"/>
      <c r="AU1332" s="6"/>
      <c r="AV1332" s="6"/>
      <c r="AW1332" s="6"/>
      <c r="AX1332" s="6"/>
      <c r="AY1332" s="6"/>
      <c r="AZ1332" s="6"/>
      <c r="BA1332" s="6"/>
      <c r="BB1332" s="6"/>
      <c r="BC1332" s="6"/>
      <c r="BD1332" s="6"/>
      <c r="BE1332" s="6"/>
      <c r="BF1332" s="6"/>
      <c r="BG1332" s="6"/>
      <c r="BH1332" s="6"/>
      <c r="BI1332" s="6"/>
      <c r="BJ1332" s="6"/>
      <c r="BK1332" s="6"/>
      <c r="BL1332" s="6"/>
      <c r="BM1332" s="6"/>
      <c r="BN1332" s="6"/>
      <c r="BO1332" s="6"/>
      <c r="BP1332" s="6"/>
      <c r="BQ1332" s="6"/>
      <c r="BR1332" s="6"/>
      <c r="BS1332" s="6"/>
      <c r="BT1332" s="6"/>
      <c r="BU1332" s="6"/>
      <c r="BV1332" s="6"/>
      <c r="BW1332" s="6"/>
      <c r="BX1332" s="5"/>
      <c r="BY1332" s="7"/>
      <c r="BZ1332" s="7"/>
      <c r="CA1332" s="7"/>
      <c r="CB1332" s="7"/>
      <c r="CC1332" s="874"/>
    </row>
    <row r="1333" spans="1:81" s="400" customFormat="1" ht="14.25" customHeight="1" x14ac:dyDescent="0.25">
      <c r="A1333" s="5"/>
      <c r="B1333" s="5"/>
      <c r="C1333" s="5"/>
      <c r="D1333" s="5"/>
      <c r="E1333" s="5"/>
      <c r="F1333" s="5"/>
      <c r="G1333" s="5"/>
      <c r="H1333" s="5"/>
      <c r="I1333" s="5"/>
      <c r="J1333" s="5"/>
      <c r="K1333" s="5"/>
      <c r="L1333" s="5"/>
      <c r="M1333" s="5"/>
      <c r="N1333" s="5"/>
      <c r="O1333" s="5"/>
      <c r="P1333" s="5"/>
      <c r="Q1333" s="5"/>
      <c r="R1333" s="5"/>
      <c r="S1333" s="5"/>
      <c r="T1333" s="5"/>
      <c r="U1333" s="5"/>
      <c r="V1333" s="5"/>
      <c r="W1333" s="5"/>
      <c r="X1333" s="5"/>
      <c r="Y1333" s="5"/>
      <c r="Z1333" s="5"/>
      <c r="AA1333" s="5"/>
      <c r="AB1333" s="6"/>
      <c r="AC1333" s="6"/>
      <c r="AD1333" s="6"/>
      <c r="AE1333" s="6"/>
      <c r="AF1333" s="6"/>
      <c r="AG1333" s="6"/>
      <c r="AH1333" s="6"/>
      <c r="AI1333" s="6"/>
      <c r="AJ1333" s="6"/>
      <c r="AK1333" s="6"/>
      <c r="AL1333" s="6"/>
      <c r="AM1333" s="6"/>
      <c r="AN1333" s="6"/>
      <c r="AO1333" s="6"/>
      <c r="AP1333" s="6"/>
      <c r="AQ1333" s="6"/>
      <c r="AR1333" s="6"/>
      <c r="AS1333" s="6"/>
      <c r="AT1333" s="6"/>
      <c r="AU1333" s="6"/>
      <c r="AV1333" s="6"/>
      <c r="AW1333" s="6"/>
      <c r="AX1333" s="6"/>
      <c r="AY1333" s="6"/>
      <c r="AZ1333" s="6"/>
      <c r="BA1333" s="6"/>
      <c r="BB1333" s="6"/>
      <c r="BC1333" s="6"/>
      <c r="BD1333" s="6"/>
      <c r="BE1333" s="6"/>
      <c r="BF1333" s="6"/>
      <c r="BG1333" s="6"/>
      <c r="BH1333" s="6"/>
      <c r="BI1333" s="6"/>
      <c r="BJ1333" s="6"/>
      <c r="BK1333" s="6"/>
      <c r="BL1333" s="6"/>
      <c r="BM1333" s="6"/>
      <c r="BN1333" s="6"/>
      <c r="BO1333" s="6"/>
      <c r="BP1333" s="6"/>
      <c r="BQ1333" s="6"/>
      <c r="BR1333" s="6"/>
      <c r="BS1333" s="6"/>
      <c r="BT1333" s="6"/>
      <c r="BU1333" s="6"/>
      <c r="BV1333" s="6"/>
      <c r="BW1333" s="6"/>
      <c r="BX1333" s="5"/>
      <c r="BY1333" s="7"/>
      <c r="BZ1333" s="7"/>
      <c r="CA1333" s="7"/>
      <c r="CB1333" s="7"/>
      <c r="CC1333" s="874"/>
    </row>
    <row r="1334" spans="1:81" s="400" customFormat="1" ht="14.25" customHeight="1" x14ac:dyDescent="0.25">
      <c r="A1334" s="5"/>
      <c r="B1334" s="5"/>
      <c r="C1334" s="5"/>
      <c r="D1334" s="5"/>
      <c r="E1334" s="5"/>
      <c r="F1334" s="5"/>
      <c r="G1334" s="5"/>
      <c r="H1334" s="5"/>
      <c r="I1334" s="5"/>
      <c r="J1334" s="5"/>
      <c r="K1334" s="5"/>
      <c r="L1334" s="5"/>
      <c r="M1334" s="5"/>
      <c r="N1334" s="5"/>
      <c r="O1334" s="5"/>
      <c r="P1334" s="5"/>
      <c r="Q1334" s="5"/>
      <c r="R1334" s="5"/>
      <c r="S1334" s="5"/>
      <c r="T1334" s="5"/>
      <c r="U1334" s="5"/>
      <c r="V1334" s="5"/>
      <c r="W1334" s="5"/>
      <c r="X1334" s="5"/>
      <c r="Y1334" s="5"/>
      <c r="Z1334" s="5"/>
      <c r="AA1334" s="5"/>
      <c r="AB1334" s="6"/>
      <c r="AC1334" s="6"/>
      <c r="AD1334" s="6"/>
      <c r="AE1334" s="6"/>
      <c r="AF1334" s="6"/>
      <c r="AG1334" s="6"/>
      <c r="AH1334" s="6"/>
      <c r="AI1334" s="6"/>
      <c r="AJ1334" s="6"/>
      <c r="AK1334" s="6"/>
      <c r="AL1334" s="6"/>
      <c r="AM1334" s="6"/>
      <c r="AN1334" s="6"/>
      <c r="AO1334" s="6"/>
      <c r="AP1334" s="6"/>
      <c r="AQ1334" s="6"/>
      <c r="AR1334" s="6"/>
      <c r="AS1334" s="6"/>
      <c r="AT1334" s="6"/>
      <c r="AU1334" s="6"/>
      <c r="AV1334" s="6"/>
      <c r="AW1334" s="6"/>
      <c r="AX1334" s="6"/>
      <c r="AY1334" s="6"/>
      <c r="AZ1334" s="6"/>
      <c r="BA1334" s="6"/>
      <c r="BB1334" s="6"/>
      <c r="BC1334" s="6"/>
      <c r="BD1334" s="6"/>
      <c r="BE1334" s="6"/>
      <c r="BF1334" s="6"/>
      <c r="BG1334" s="6"/>
      <c r="BH1334" s="6"/>
      <c r="BI1334" s="6"/>
      <c r="BJ1334" s="6"/>
      <c r="BK1334" s="6"/>
      <c r="BL1334" s="6"/>
      <c r="BM1334" s="6"/>
      <c r="BN1334" s="6"/>
      <c r="BO1334" s="6"/>
      <c r="BP1334" s="6"/>
      <c r="BQ1334" s="6"/>
      <c r="BR1334" s="6"/>
      <c r="BS1334" s="6"/>
      <c r="BT1334" s="6"/>
      <c r="BU1334" s="6"/>
      <c r="BV1334" s="6"/>
      <c r="BW1334" s="6"/>
      <c r="BX1334" s="5"/>
      <c r="BY1334" s="7"/>
      <c r="BZ1334" s="7"/>
      <c r="CA1334" s="7"/>
      <c r="CB1334" s="7"/>
      <c r="CC1334" s="874"/>
    </row>
    <row r="1335" spans="1:81" s="400" customFormat="1" ht="14.25" customHeight="1" x14ac:dyDescent="0.25">
      <c r="A1335" s="5"/>
      <c r="B1335" s="5"/>
      <c r="C1335" s="5"/>
      <c r="D1335" s="5"/>
      <c r="E1335" s="5"/>
      <c r="F1335" s="5"/>
      <c r="G1335" s="5"/>
      <c r="H1335" s="5"/>
      <c r="I1335" s="5"/>
      <c r="J1335" s="5"/>
      <c r="K1335" s="5"/>
      <c r="L1335" s="5"/>
      <c r="M1335" s="5"/>
      <c r="N1335" s="5"/>
      <c r="O1335" s="5"/>
      <c r="P1335" s="5"/>
      <c r="Q1335" s="5"/>
      <c r="R1335" s="5"/>
      <c r="S1335" s="5"/>
      <c r="T1335" s="5"/>
      <c r="U1335" s="5"/>
      <c r="V1335" s="5"/>
      <c r="W1335" s="5"/>
      <c r="X1335" s="5"/>
      <c r="Y1335" s="5"/>
      <c r="Z1335" s="5"/>
      <c r="AA1335" s="5"/>
      <c r="AB1335" s="6"/>
      <c r="AC1335" s="6"/>
      <c r="AD1335" s="6"/>
      <c r="AE1335" s="6"/>
      <c r="AF1335" s="6"/>
      <c r="AG1335" s="6"/>
      <c r="AH1335" s="6"/>
      <c r="AI1335" s="6"/>
      <c r="AJ1335" s="6"/>
      <c r="AK1335" s="6"/>
      <c r="AL1335" s="6"/>
      <c r="AM1335" s="6"/>
      <c r="AN1335" s="6"/>
      <c r="AO1335" s="6"/>
      <c r="AP1335" s="6"/>
      <c r="AQ1335" s="6"/>
      <c r="AR1335" s="6"/>
      <c r="AS1335" s="6"/>
      <c r="AT1335" s="6"/>
      <c r="AU1335" s="6"/>
      <c r="AV1335" s="6"/>
      <c r="AW1335" s="6"/>
      <c r="AX1335" s="6"/>
      <c r="AY1335" s="6"/>
      <c r="AZ1335" s="6"/>
      <c r="BA1335" s="6"/>
      <c r="BB1335" s="6"/>
      <c r="BC1335" s="6"/>
      <c r="BD1335" s="6"/>
      <c r="BE1335" s="6"/>
      <c r="BF1335" s="6"/>
      <c r="BG1335" s="6"/>
      <c r="BH1335" s="6"/>
      <c r="BI1335" s="6"/>
      <c r="BJ1335" s="6"/>
      <c r="BK1335" s="6"/>
      <c r="BL1335" s="6"/>
      <c r="BM1335" s="6"/>
      <c r="BN1335" s="6"/>
      <c r="BO1335" s="6"/>
      <c r="BP1335" s="6"/>
      <c r="BQ1335" s="6"/>
      <c r="BR1335" s="6"/>
      <c r="BS1335" s="6"/>
      <c r="BT1335" s="6"/>
      <c r="BU1335" s="6"/>
      <c r="BV1335" s="6"/>
      <c r="BW1335" s="6"/>
      <c r="BX1335" s="5"/>
      <c r="BY1335" s="7"/>
      <c r="BZ1335" s="7"/>
      <c r="CA1335" s="7"/>
      <c r="CB1335" s="7"/>
      <c r="CC1335" s="874"/>
    </row>
    <row r="1336" spans="1:81" s="400" customFormat="1" ht="14.25" customHeight="1" x14ac:dyDescent="0.25">
      <c r="A1336" s="5"/>
      <c r="B1336" s="5"/>
      <c r="C1336" s="5"/>
      <c r="D1336" s="5"/>
      <c r="E1336" s="5"/>
      <c r="F1336" s="5"/>
      <c r="G1336" s="5"/>
      <c r="H1336" s="5"/>
      <c r="I1336" s="5"/>
      <c r="J1336" s="5"/>
      <c r="K1336" s="5"/>
      <c r="L1336" s="5"/>
      <c r="M1336" s="5"/>
      <c r="N1336" s="5"/>
      <c r="O1336" s="5"/>
      <c r="P1336" s="5"/>
      <c r="Q1336" s="5"/>
      <c r="R1336" s="5"/>
      <c r="S1336" s="5"/>
      <c r="T1336" s="5"/>
      <c r="U1336" s="5"/>
      <c r="V1336" s="5"/>
      <c r="W1336" s="5"/>
      <c r="X1336" s="5"/>
      <c r="Y1336" s="5"/>
      <c r="Z1336" s="5"/>
      <c r="AA1336" s="5"/>
      <c r="AB1336" s="6"/>
      <c r="AC1336" s="6"/>
      <c r="AD1336" s="6"/>
      <c r="AE1336" s="6"/>
      <c r="AF1336" s="6"/>
      <c r="AG1336" s="6"/>
      <c r="AH1336" s="6"/>
      <c r="AI1336" s="6"/>
      <c r="AJ1336" s="6"/>
      <c r="AK1336" s="6"/>
      <c r="AL1336" s="6"/>
      <c r="AM1336" s="6"/>
      <c r="AN1336" s="6"/>
      <c r="AO1336" s="6"/>
      <c r="AP1336" s="6"/>
      <c r="AQ1336" s="6"/>
      <c r="AR1336" s="6"/>
      <c r="AS1336" s="6"/>
      <c r="AT1336" s="6"/>
      <c r="AU1336" s="6"/>
      <c r="AV1336" s="6"/>
      <c r="AW1336" s="6"/>
      <c r="AX1336" s="6"/>
      <c r="AY1336" s="6"/>
      <c r="AZ1336" s="6"/>
      <c r="BA1336" s="6"/>
      <c r="BB1336" s="6"/>
      <c r="BC1336" s="6"/>
      <c r="BD1336" s="6"/>
      <c r="BE1336" s="6"/>
      <c r="BF1336" s="6"/>
      <c r="BG1336" s="6"/>
      <c r="BH1336" s="6"/>
      <c r="BI1336" s="6"/>
      <c r="BJ1336" s="6"/>
      <c r="BK1336" s="6"/>
      <c r="BL1336" s="6"/>
      <c r="BM1336" s="6"/>
      <c r="BN1336" s="6"/>
      <c r="BO1336" s="6"/>
      <c r="BP1336" s="6"/>
      <c r="BQ1336" s="6"/>
      <c r="BR1336" s="6"/>
      <c r="BS1336" s="6"/>
      <c r="BT1336" s="6"/>
      <c r="BU1336" s="6"/>
      <c r="BV1336" s="6"/>
      <c r="BW1336" s="6"/>
      <c r="BX1336" s="5"/>
      <c r="BY1336" s="7"/>
      <c r="BZ1336" s="7"/>
      <c r="CA1336" s="7"/>
      <c r="CB1336" s="7"/>
      <c r="CC1336" s="874"/>
    </row>
    <row r="1337" spans="1:81" s="400" customFormat="1" ht="14.25" customHeight="1" x14ac:dyDescent="0.25">
      <c r="A1337" s="5"/>
      <c r="B1337" s="5"/>
      <c r="C1337" s="5"/>
      <c r="D1337" s="5"/>
      <c r="E1337" s="5"/>
      <c r="F1337" s="5"/>
      <c r="G1337" s="5"/>
      <c r="H1337" s="5"/>
      <c r="I1337" s="5"/>
      <c r="J1337" s="5"/>
      <c r="K1337" s="5"/>
      <c r="L1337" s="5"/>
      <c r="M1337" s="5"/>
      <c r="N1337" s="5"/>
      <c r="O1337" s="5"/>
      <c r="P1337" s="5"/>
      <c r="Q1337" s="5"/>
      <c r="R1337" s="5"/>
      <c r="S1337" s="5"/>
      <c r="T1337" s="5"/>
      <c r="U1337" s="5"/>
      <c r="V1337" s="5"/>
      <c r="W1337" s="5"/>
      <c r="X1337" s="5"/>
      <c r="Y1337" s="5"/>
      <c r="Z1337" s="5"/>
      <c r="AA1337" s="5"/>
      <c r="AB1337" s="6"/>
      <c r="AC1337" s="6"/>
      <c r="AD1337" s="6"/>
      <c r="AE1337" s="6"/>
      <c r="AF1337" s="6"/>
      <c r="AG1337" s="6"/>
      <c r="AH1337" s="6"/>
      <c r="AI1337" s="6"/>
      <c r="AJ1337" s="6"/>
      <c r="AK1337" s="6"/>
      <c r="AL1337" s="6"/>
      <c r="AM1337" s="6"/>
      <c r="AN1337" s="6"/>
      <c r="AO1337" s="6"/>
      <c r="AP1337" s="6"/>
      <c r="AQ1337" s="6"/>
      <c r="AR1337" s="6"/>
      <c r="AS1337" s="6"/>
      <c r="AT1337" s="6"/>
      <c r="AU1337" s="6"/>
      <c r="AV1337" s="6"/>
      <c r="AW1337" s="6"/>
      <c r="AX1337" s="6"/>
      <c r="AY1337" s="6"/>
      <c r="AZ1337" s="6"/>
      <c r="BA1337" s="6"/>
      <c r="BB1337" s="6"/>
      <c r="BC1337" s="6"/>
      <c r="BD1337" s="6"/>
      <c r="BE1337" s="6"/>
      <c r="BF1337" s="6"/>
      <c r="BG1337" s="6"/>
      <c r="BH1337" s="6"/>
      <c r="BI1337" s="6"/>
      <c r="BJ1337" s="6"/>
      <c r="BK1337" s="6"/>
      <c r="BL1337" s="6"/>
      <c r="BM1337" s="6"/>
      <c r="BN1337" s="6"/>
      <c r="BO1337" s="6"/>
      <c r="BP1337" s="6"/>
      <c r="BQ1337" s="6"/>
      <c r="BR1337" s="6"/>
      <c r="BS1337" s="6"/>
      <c r="BT1337" s="6"/>
      <c r="BU1337" s="6"/>
      <c r="BV1337" s="6"/>
      <c r="BW1337" s="6"/>
      <c r="BX1337" s="5"/>
      <c r="BY1337" s="7"/>
      <c r="BZ1337" s="7"/>
      <c r="CA1337" s="7"/>
      <c r="CB1337" s="7"/>
      <c r="CC1337" s="874"/>
    </row>
    <row r="1338" spans="1:81" s="400" customFormat="1" ht="14.25" customHeight="1" x14ac:dyDescent="0.25">
      <c r="A1338" s="5"/>
      <c r="B1338" s="5"/>
      <c r="C1338" s="5"/>
      <c r="D1338" s="5"/>
      <c r="E1338" s="5"/>
      <c r="F1338" s="5"/>
      <c r="G1338" s="5"/>
      <c r="H1338" s="5"/>
      <c r="I1338" s="5"/>
      <c r="J1338" s="5"/>
      <c r="K1338" s="5"/>
      <c r="L1338" s="5"/>
      <c r="M1338" s="5"/>
      <c r="N1338" s="5"/>
      <c r="O1338" s="5"/>
      <c r="P1338" s="5"/>
      <c r="Q1338" s="5"/>
      <c r="R1338" s="5"/>
      <c r="S1338" s="5"/>
      <c r="T1338" s="5"/>
      <c r="U1338" s="5"/>
      <c r="V1338" s="5"/>
      <c r="W1338" s="5"/>
      <c r="X1338" s="5"/>
      <c r="Y1338" s="5"/>
      <c r="Z1338" s="5"/>
      <c r="AA1338" s="5"/>
      <c r="AB1338" s="6"/>
      <c r="AC1338" s="6"/>
      <c r="AD1338" s="6"/>
      <c r="AE1338" s="6"/>
      <c r="AF1338" s="6"/>
      <c r="AG1338" s="6"/>
      <c r="AH1338" s="6"/>
      <c r="AI1338" s="6"/>
      <c r="AJ1338" s="6"/>
      <c r="AK1338" s="6"/>
      <c r="AL1338" s="6"/>
      <c r="AM1338" s="6"/>
      <c r="AN1338" s="6"/>
      <c r="AO1338" s="6"/>
      <c r="AP1338" s="6"/>
      <c r="AQ1338" s="6"/>
      <c r="AR1338" s="6"/>
      <c r="AS1338" s="6"/>
      <c r="AT1338" s="6"/>
      <c r="AU1338" s="6"/>
      <c r="AV1338" s="6"/>
      <c r="AW1338" s="6"/>
      <c r="AX1338" s="6"/>
      <c r="AY1338" s="6"/>
      <c r="AZ1338" s="6"/>
      <c r="BA1338" s="6"/>
      <c r="BB1338" s="6"/>
      <c r="BC1338" s="6"/>
      <c r="BD1338" s="6"/>
      <c r="BE1338" s="6"/>
      <c r="BF1338" s="6"/>
      <c r="BG1338" s="6"/>
      <c r="BH1338" s="6"/>
      <c r="BI1338" s="6"/>
      <c r="BJ1338" s="6"/>
      <c r="BK1338" s="6"/>
      <c r="BL1338" s="6"/>
      <c r="BM1338" s="6"/>
      <c r="BN1338" s="6"/>
      <c r="BO1338" s="6"/>
      <c r="BP1338" s="6"/>
      <c r="BQ1338" s="6"/>
      <c r="BR1338" s="6"/>
      <c r="BS1338" s="6"/>
      <c r="BT1338" s="6"/>
      <c r="BU1338" s="6"/>
      <c r="BV1338" s="6"/>
      <c r="BW1338" s="6"/>
      <c r="BX1338" s="5"/>
      <c r="BY1338" s="7"/>
      <c r="BZ1338" s="7"/>
      <c r="CA1338" s="7"/>
      <c r="CB1338" s="7"/>
      <c r="CC1338" s="874"/>
    </row>
    <row r="1339" spans="1:81" s="400" customFormat="1" ht="14.25" customHeight="1" x14ac:dyDescent="0.25">
      <c r="A1339" s="5"/>
      <c r="B1339" s="5"/>
      <c r="C1339" s="5"/>
      <c r="D1339" s="5"/>
      <c r="E1339" s="5"/>
      <c r="F1339" s="5"/>
      <c r="G1339" s="5"/>
      <c r="H1339" s="5"/>
      <c r="I1339" s="5"/>
      <c r="J1339" s="5"/>
      <c r="K1339" s="5"/>
      <c r="L1339" s="5"/>
      <c r="M1339" s="5"/>
      <c r="N1339" s="5"/>
      <c r="O1339" s="5"/>
      <c r="P1339" s="5"/>
      <c r="Q1339" s="5"/>
      <c r="R1339" s="5"/>
      <c r="S1339" s="5"/>
      <c r="T1339" s="5"/>
      <c r="U1339" s="5"/>
      <c r="V1339" s="5"/>
      <c r="W1339" s="5"/>
      <c r="X1339" s="5"/>
      <c r="Y1339" s="5"/>
      <c r="Z1339" s="5"/>
      <c r="AA1339" s="5"/>
      <c r="AB1339" s="6"/>
      <c r="AC1339" s="6"/>
      <c r="AD1339" s="6"/>
      <c r="AE1339" s="6"/>
      <c r="AF1339" s="6"/>
      <c r="AG1339" s="6"/>
      <c r="AH1339" s="6"/>
      <c r="AI1339" s="6"/>
      <c r="AJ1339" s="6"/>
      <c r="AK1339" s="6"/>
      <c r="AL1339" s="6"/>
      <c r="AM1339" s="6"/>
      <c r="AN1339" s="6"/>
      <c r="AO1339" s="6"/>
      <c r="AP1339" s="6"/>
      <c r="AQ1339" s="6"/>
      <c r="AR1339" s="6"/>
      <c r="AS1339" s="6"/>
      <c r="AT1339" s="6"/>
      <c r="AU1339" s="6"/>
      <c r="AV1339" s="6"/>
      <c r="AW1339" s="6"/>
      <c r="AX1339" s="6"/>
      <c r="AY1339" s="6"/>
      <c r="AZ1339" s="6"/>
      <c r="BA1339" s="6"/>
      <c r="BB1339" s="6"/>
      <c r="BC1339" s="6"/>
      <c r="BD1339" s="6"/>
      <c r="BE1339" s="6"/>
      <c r="BF1339" s="6"/>
      <c r="BG1339" s="6"/>
      <c r="BH1339" s="6"/>
      <c r="BI1339" s="6"/>
      <c r="BJ1339" s="6"/>
      <c r="BK1339" s="6"/>
      <c r="BL1339" s="6"/>
      <c r="BM1339" s="6"/>
      <c r="BN1339" s="6"/>
      <c r="BO1339" s="6"/>
      <c r="BP1339" s="6"/>
      <c r="BQ1339" s="6"/>
      <c r="BR1339" s="6"/>
      <c r="BS1339" s="6"/>
      <c r="BT1339" s="6"/>
      <c r="BU1339" s="6"/>
      <c r="BV1339" s="6"/>
      <c r="BW1339" s="6"/>
      <c r="BX1339" s="5"/>
      <c r="BY1339" s="7"/>
      <c r="BZ1339" s="7"/>
      <c r="CA1339" s="7"/>
      <c r="CB1339" s="7"/>
      <c r="CC1339" s="874"/>
    </row>
    <row r="1340" spans="1:81" s="400" customFormat="1" ht="14.25" customHeight="1" x14ac:dyDescent="0.25">
      <c r="A1340" s="5"/>
      <c r="B1340" s="5"/>
      <c r="C1340" s="5"/>
      <c r="D1340" s="5"/>
      <c r="E1340" s="5"/>
      <c r="F1340" s="5"/>
      <c r="G1340" s="5"/>
      <c r="H1340" s="5"/>
      <c r="I1340" s="5"/>
      <c r="J1340" s="5"/>
      <c r="K1340" s="5"/>
      <c r="L1340" s="5"/>
      <c r="M1340" s="5"/>
      <c r="N1340" s="5"/>
      <c r="O1340" s="5"/>
      <c r="P1340" s="5"/>
      <c r="Q1340" s="5"/>
      <c r="R1340" s="5"/>
      <c r="S1340" s="5"/>
      <c r="T1340" s="5"/>
      <c r="U1340" s="5"/>
      <c r="V1340" s="5"/>
      <c r="W1340" s="5"/>
      <c r="X1340" s="5"/>
      <c r="Y1340" s="5"/>
      <c r="Z1340" s="5"/>
      <c r="AA1340" s="5"/>
      <c r="AB1340" s="6"/>
      <c r="AC1340" s="6"/>
      <c r="AD1340" s="6"/>
      <c r="AE1340" s="6"/>
      <c r="AF1340" s="6"/>
      <c r="AG1340" s="6"/>
      <c r="AH1340" s="6"/>
      <c r="AI1340" s="6"/>
      <c r="AJ1340" s="6"/>
      <c r="AK1340" s="6"/>
      <c r="AL1340" s="6"/>
      <c r="AM1340" s="6"/>
      <c r="AN1340" s="6"/>
      <c r="AO1340" s="6"/>
      <c r="AP1340" s="6"/>
      <c r="AQ1340" s="6"/>
      <c r="AR1340" s="6"/>
      <c r="AS1340" s="6"/>
      <c r="AT1340" s="6"/>
      <c r="AU1340" s="6"/>
      <c r="AV1340" s="6"/>
      <c r="AW1340" s="6"/>
      <c r="AX1340" s="6"/>
      <c r="AY1340" s="6"/>
      <c r="AZ1340" s="6"/>
      <c r="BA1340" s="6"/>
      <c r="BB1340" s="6"/>
      <c r="BC1340" s="6"/>
      <c r="BD1340" s="6"/>
      <c r="BE1340" s="6"/>
      <c r="BF1340" s="6"/>
      <c r="BG1340" s="6"/>
      <c r="BH1340" s="6"/>
      <c r="BI1340" s="6"/>
      <c r="BJ1340" s="6"/>
      <c r="BK1340" s="6"/>
      <c r="BL1340" s="6"/>
      <c r="BM1340" s="6"/>
      <c r="BN1340" s="6"/>
      <c r="BO1340" s="6"/>
      <c r="BP1340" s="6"/>
      <c r="BQ1340" s="6"/>
      <c r="BR1340" s="6"/>
      <c r="BS1340" s="6"/>
      <c r="BT1340" s="6"/>
      <c r="BU1340" s="6"/>
      <c r="BV1340" s="6"/>
      <c r="BW1340" s="6"/>
      <c r="BX1340" s="5"/>
      <c r="BY1340" s="7"/>
      <c r="BZ1340" s="7"/>
      <c r="CA1340" s="7"/>
      <c r="CB1340" s="7"/>
      <c r="CC1340" s="874"/>
    </row>
    <row r="1341" spans="1:81" s="400" customFormat="1" ht="14.25" customHeight="1" x14ac:dyDescent="0.25">
      <c r="A1341" s="5"/>
      <c r="B1341" s="5"/>
      <c r="C1341" s="5"/>
      <c r="D1341" s="5"/>
      <c r="E1341" s="5"/>
      <c r="F1341" s="5"/>
      <c r="G1341" s="5"/>
      <c r="H1341" s="5"/>
      <c r="I1341" s="5"/>
      <c r="J1341" s="5"/>
      <c r="K1341" s="5"/>
      <c r="L1341" s="5"/>
      <c r="M1341" s="5"/>
      <c r="N1341" s="5"/>
      <c r="O1341" s="5"/>
      <c r="P1341" s="5"/>
      <c r="Q1341" s="5"/>
      <c r="R1341" s="5"/>
      <c r="S1341" s="5"/>
      <c r="T1341" s="5"/>
      <c r="U1341" s="5"/>
      <c r="V1341" s="5"/>
      <c r="W1341" s="5"/>
      <c r="X1341" s="5"/>
      <c r="Y1341" s="5"/>
      <c r="Z1341" s="5"/>
      <c r="AA1341" s="5"/>
      <c r="AB1341" s="6"/>
      <c r="AC1341" s="6"/>
      <c r="AD1341" s="6"/>
      <c r="AE1341" s="6"/>
      <c r="AF1341" s="6"/>
      <c r="AG1341" s="6"/>
      <c r="AH1341" s="6"/>
      <c r="AI1341" s="6"/>
      <c r="AJ1341" s="6"/>
      <c r="AK1341" s="6"/>
      <c r="AL1341" s="6"/>
      <c r="AM1341" s="6"/>
      <c r="AN1341" s="6"/>
      <c r="AO1341" s="6"/>
      <c r="AP1341" s="6"/>
      <c r="AQ1341" s="6"/>
      <c r="AR1341" s="6"/>
      <c r="AS1341" s="6"/>
      <c r="AT1341" s="6"/>
      <c r="AU1341" s="6"/>
      <c r="AV1341" s="6"/>
      <c r="AW1341" s="6"/>
      <c r="AX1341" s="6"/>
      <c r="AY1341" s="6"/>
      <c r="AZ1341" s="6"/>
      <c r="BA1341" s="6"/>
      <c r="BB1341" s="6"/>
      <c r="BC1341" s="6"/>
      <c r="BD1341" s="6"/>
      <c r="BE1341" s="6"/>
      <c r="BF1341" s="6"/>
      <c r="BG1341" s="6"/>
      <c r="BH1341" s="6"/>
      <c r="BI1341" s="6"/>
      <c r="BJ1341" s="6"/>
      <c r="BK1341" s="6"/>
      <c r="BL1341" s="6"/>
      <c r="BM1341" s="6"/>
      <c r="BN1341" s="6"/>
      <c r="BO1341" s="6"/>
      <c r="BP1341" s="6"/>
      <c r="BQ1341" s="6"/>
      <c r="BR1341" s="6"/>
      <c r="BS1341" s="6"/>
      <c r="BT1341" s="6"/>
      <c r="BU1341" s="6"/>
      <c r="BV1341" s="6"/>
      <c r="BW1341" s="6"/>
      <c r="BX1341" s="5"/>
      <c r="BY1341" s="7"/>
      <c r="BZ1341" s="7"/>
      <c r="CA1341" s="7"/>
      <c r="CB1341" s="7"/>
      <c r="CC1341" s="874"/>
    </row>
    <row r="1342" spans="1:81" s="400" customFormat="1" ht="14.25" customHeight="1" x14ac:dyDescent="0.25">
      <c r="A1342" s="5"/>
      <c r="B1342" s="5"/>
      <c r="C1342" s="5"/>
      <c r="D1342" s="5"/>
      <c r="E1342" s="5"/>
      <c r="F1342" s="5"/>
      <c r="G1342" s="5"/>
      <c r="H1342" s="5"/>
      <c r="I1342" s="5"/>
      <c r="J1342" s="5"/>
      <c r="K1342" s="5"/>
      <c r="L1342" s="5"/>
      <c r="M1342" s="5"/>
      <c r="N1342" s="5"/>
      <c r="O1342" s="5"/>
      <c r="P1342" s="5"/>
      <c r="Q1342" s="5"/>
      <c r="R1342" s="5"/>
      <c r="S1342" s="5"/>
      <c r="T1342" s="5"/>
      <c r="U1342" s="5"/>
      <c r="V1342" s="5"/>
      <c r="W1342" s="5"/>
      <c r="X1342" s="5"/>
      <c r="Y1342" s="5"/>
      <c r="Z1342" s="5"/>
      <c r="AA1342" s="5"/>
      <c r="AB1342" s="6"/>
      <c r="AC1342" s="6"/>
      <c r="AD1342" s="6"/>
      <c r="AE1342" s="6"/>
      <c r="AF1342" s="6"/>
      <c r="AG1342" s="6"/>
      <c r="AH1342" s="6"/>
      <c r="AI1342" s="6"/>
      <c r="AJ1342" s="6"/>
      <c r="AK1342" s="6"/>
      <c r="AL1342" s="6"/>
      <c r="AM1342" s="6"/>
      <c r="AN1342" s="6"/>
      <c r="AO1342" s="6"/>
      <c r="AP1342" s="6"/>
      <c r="AQ1342" s="6"/>
      <c r="AR1342" s="6"/>
      <c r="AS1342" s="6"/>
      <c r="AT1342" s="6"/>
      <c r="AU1342" s="6"/>
      <c r="AV1342" s="6"/>
      <c r="AW1342" s="6"/>
      <c r="AX1342" s="6"/>
      <c r="AY1342" s="6"/>
      <c r="AZ1342" s="6"/>
      <c r="BA1342" s="6"/>
      <c r="BB1342" s="6"/>
      <c r="BC1342" s="6"/>
      <c r="BD1342" s="6"/>
      <c r="BE1342" s="6"/>
      <c r="BF1342" s="6"/>
      <c r="BG1342" s="6"/>
      <c r="BH1342" s="6"/>
      <c r="BI1342" s="6"/>
      <c r="BJ1342" s="6"/>
      <c r="BK1342" s="6"/>
      <c r="BL1342" s="6"/>
      <c r="BM1342" s="6"/>
      <c r="BN1342" s="6"/>
      <c r="BO1342" s="6"/>
      <c r="BP1342" s="6"/>
      <c r="BQ1342" s="6"/>
      <c r="BR1342" s="6"/>
      <c r="BS1342" s="6"/>
      <c r="BT1342" s="6"/>
      <c r="BU1342" s="6"/>
      <c r="BV1342" s="6"/>
      <c r="BW1342" s="6"/>
      <c r="BX1342" s="5"/>
      <c r="BY1342" s="7"/>
      <c r="BZ1342" s="7"/>
      <c r="CA1342" s="7"/>
      <c r="CB1342" s="7"/>
      <c r="CC1342" s="874"/>
    </row>
    <row r="1343" spans="1:81" s="400" customFormat="1" ht="14.25" customHeight="1" x14ac:dyDescent="0.25">
      <c r="A1343" s="5"/>
      <c r="B1343" s="5"/>
      <c r="C1343" s="5"/>
      <c r="D1343" s="5"/>
      <c r="E1343" s="5"/>
      <c r="F1343" s="5"/>
      <c r="G1343" s="5"/>
      <c r="H1343" s="5"/>
      <c r="I1343" s="5"/>
      <c r="J1343" s="5"/>
      <c r="K1343" s="5"/>
      <c r="L1343" s="5"/>
      <c r="M1343" s="5"/>
      <c r="N1343" s="5"/>
      <c r="O1343" s="5"/>
      <c r="P1343" s="5"/>
      <c r="Q1343" s="5"/>
      <c r="R1343" s="5"/>
      <c r="S1343" s="5"/>
      <c r="T1343" s="5"/>
      <c r="U1343" s="5"/>
      <c r="V1343" s="5"/>
      <c r="W1343" s="5"/>
      <c r="X1343" s="5"/>
      <c r="Y1343" s="5"/>
      <c r="Z1343" s="5"/>
      <c r="AA1343" s="5"/>
      <c r="AB1343" s="6"/>
      <c r="AC1343" s="6"/>
      <c r="AD1343" s="6"/>
      <c r="AE1343" s="6"/>
      <c r="AF1343" s="6"/>
      <c r="AG1343" s="6"/>
      <c r="AH1343" s="6"/>
      <c r="AI1343" s="6"/>
      <c r="AJ1343" s="6"/>
      <c r="AK1343" s="6"/>
      <c r="AL1343" s="6"/>
      <c r="AM1343" s="6"/>
      <c r="AN1343" s="6"/>
      <c r="AO1343" s="6"/>
      <c r="AP1343" s="6"/>
      <c r="AQ1343" s="6"/>
      <c r="AR1343" s="6"/>
      <c r="AS1343" s="6"/>
      <c r="AT1343" s="6"/>
      <c r="AU1343" s="6"/>
      <c r="AV1343" s="6"/>
      <c r="AW1343" s="6"/>
      <c r="AX1343" s="6"/>
      <c r="AY1343" s="6"/>
      <c r="AZ1343" s="6"/>
      <c r="BA1343" s="6"/>
      <c r="BB1343" s="6"/>
      <c r="BC1343" s="6"/>
      <c r="BD1343" s="6"/>
      <c r="BE1343" s="6"/>
      <c r="BF1343" s="6"/>
      <c r="BG1343" s="6"/>
      <c r="BH1343" s="6"/>
      <c r="BI1343" s="6"/>
      <c r="BJ1343" s="6"/>
      <c r="BK1343" s="6"/>
      <c r="BL1343" s="6"/>
      <c r="BM1343" s="6"/>
      <c r="BN1343" s="6"/>
      <c r="BO1343" s="6"/>
      <c r="BP1343" s="6"/>
      <c r="BQ1343" s="6"/>
      <c r="BR1343" s="6"/>
      <c r="BS1343" s="6"/>
      <c r="BT1343" s="6"/>
      <c r="BU1343" s="6"/>
      <c r="BV1343" s="6"/>
      <c r="BW1343" s="6"/>
      <c r="BX1343" s="5"/>
      <c r="BY1343" s="7"/>
      <c r="BZ1343" s="7"/>
      <c r="CA1343" s="7"/>
      <c r="CB1343" s="7"/>
      <c r="CC1343" s="874"/>
    </row>
    <row r="1344" spans="1:81" s="400" customFormat="1" ht="14.25" customHeight="1" x14ac:dyDescent="0.25">
      <c r="A1344" s="5"/>
      <c r="B1344" s="5"/>
      <c r="C1344" s="5"/>
      <c r="D1344" s="5"/>
      <c r="E1344" s="5"/>
      <c r="F1344" s="5"/>
      <c r="G1344" s="5"/>
      <c r="H1344" s="5"/>
      <c r="I1344" s="5"/>
      <c r="J1344" s="5"/>
      <c r="K1344" s="5"/>
      <c r="L1344" s="5"/>
      <c r="M1344" s="5"/>
      <c r="N1344" s="5"/>
      <c r="O1344" s="5"/>
      <c r="P1344" s="5"/>
      <c r="Q1344" s="5"/>
      <c r="R1344" s="5"/>
      <c r="S1344" s="5"/>
      <c r="T1344" s="5"/>
      <c r="U1344" s="5"/>
      <c r="V1344" s="5"/>
      <c r="W1344" s="5"/>
      <c r="X1344" s="5"/>
      <c r="Y1344" s="5"/>
      <c r="Z1344" s="5"/>
      <c r="AA1344" s="5"/>
      <c r="AB1344" s="6"/>
      <c r="AC1344" s="6"/>
      <c r="AD1344" s="6"/>
      <c r="AE1344" s="6"/>
      <c r="AF1344" s="6"/>
      <c r="AG1344" s="6"/>
      <c r="AH1344" s="6"/>
      <c r="AI1344" s="6"/>
      <c r="AJ1344" s="6"/>
      <c r="AK1344" s="6"/>
      <c r="AL1344" s="6"/>
      <c r="AM1344" s="6"/>
      <c r="AN1344" s="6"/>
      <c r="AO1344" s="6"/>
      <c r="AP1344" s="6"/>
      <c r="AQ1344" s="6"/>
      <c r="AR1344" s="6"/>
      <c r="AS1344" s="6"/>
      <c r="AT1344" s="6"/>
      <c r="AU1344" s="6"/>
      <c r="AV1344" s="6"/>
      <c r="AW1344" s="6"/>
      <c r="AX1344" s="6"/>
      <c r="AY1344" s="6"/>
      <c r="AZ1344" s="6"/>
      <c r="BA1344" s="6"/>
      <c r="BB1344" s="6"/>
      <c r="BC1344" s="6"/>
      <c r="BD1344" s="6"/>
      <c r="BE1344" s="6"/>
      <c r="BF1344" s="6"/>
      <c r="BG1344" s="6"/>
      <c r="BH1344" s="6"/>
      <c r="BI1344" s="6"/>
      <c r="BJ1344" s="6"/>
      <c r="BK1344" s="6"/>
      <c r="BL1344" s="6"/>
      <c r="BM1344" s="6"/>
      <c r="BN1344" s="6"/>
      <c r="BO1344" s="6"/>
      <c r="BP1344" s="6"/>
      <c r="BQ1344" s="6"/>
      <c r="BR1344" s="6"/>
      <c r="BS1344" s="6"/>
      <c r="BT1344" s="6"/>
      <c r="BU1344" s="6"/>
      <c r="BV1344" s="6"/>
      <c r="BW1344" s="6"/>
      <c r="BX1344" s="5"/>
      <c r="BY1344" s="7"/>
      <c r="BZ1344" s="7"/>
      <c r="CA1344" s="7"/>
      <c r="CB1344" s="7"/>
      <c r="CC1344" s="874"/>
    </row>
    <row r="1345" spans="1:81" s="400" customFormat="1" ht="14.25" customHeight="1" x14ac:dyDescent="0.25">
      <c r="A1345" s="5"/>
      <c r="B1345" s="5"/>
      <c r="C1345" s="5"/>
      <c r="D1345" s="5"/>
      <c r="E1345" s="5"/>
      <c r="F1345" s="5"/>
      <c r="G1345" s="5"/>
      <c r="H1345" s="5"/>
      <c r="I1345" s="5"/>
      <c r="J1345" s="5"/>
      <c r="K1345" s="5"/>
      <c r="L1345" s="5"/>
      <c r="M1345" s="5"/>
      <c r="N1345" s="5"/>
      <c r="O1345" s="5"/>
      <c r="P1345" s="5"/>
      <c r="Q1345" s="5"/>
      <c r="R1345" s="5"/>
      <c r="S1345" s="5"/>
      <c r="T1345" s="5"/>
      <c r="U1345" s="5"/>
      <c r="V1345" s="5"/>
      <c r="W1345" s="5"/>
      <c r="X1345" s="5"/>
      <c r="Y1345" s="5"/>
      <c r="Z1345" s="5"/>
      <c r="AA1345" s="5"/>
      <c r="AB1345" s="6"/>
      <c r="AC1345" s="6"/>
      <c r="AD1345" s="6"/>
      <c r="AE1345" s="6"/>
      <c r="AF1345" s="6"/>
      <c r="AG1345" s="6"/>
      <c r="AH1345" s="6"/>
      <c r="AI1345" s="6"/>
      <c r="AJ1345" s="6"/>
      <c r="AK1345" s="6"/>
      <c r="AL1345" s="6"/>
      <c r="AM1345" s="6"/>
      <c r="AN1345" s="6"/>
      <c r="AO1345" s="6"/>
      <c r="AP1345" s="6"/>
      <c r="AQ1345" s="6"/>
      <c r="AR1345" s="6"/>
      <c r="AS1345" s="6"/>
      <c r="AT1345" s="6"/>
      <c r="AU1345" s="6"/>
      <c r="AV1345" s="6"/>
      <c r="AW1345" s="6"/>
      <c r="AX1345" s="6"/>
      <c r="AY1345" s="6"/>
      <c r="AZ1345" s="6"/>
      <c r="BA1345" s="6"/>
      <c r="BB1345" s="6"/>
      <c r="BC1345" s="6"/>
      <c r="BD1345" s="6"/>
      <c r="BE1345" s="6"/>
      <c r="BF1345" s="6"/>
      <c r="BG1345" s="6"/>
      <c r="BH1345" s="6"/>
      <c r="BI1345" s="6"/>
      <c r="BJ1345" s="6"/>
      <c r="BK1345" s="6"/>
      <c r="BL1345" s="6"/>
      <c r="BM1345" s="6"/>
      <c r="BN1345" s="6"/>
      <c r="BO1345" s="6"/>
      <c r="BP1345" s="6"/>
      <c r="BQ1345" s="6"/>
      <c r="BR1345" s="6"/>
      <c r="BS1345" s="6"/>
      <c r="BT1345" s="6"/>
      <c r="BU1345" s="6"/>
      <c r="BV1345" s="6"/>
      <c r="BW1345" s="6"/>
      <c r="BX1345" s="5"/>
      <c r="BY1345" s="7"/>
      <c r="BZ1345" s="7"/>
      <c r="CA1345" s="7"/>
      <c r="CB1345" s="7"/>
      <c r="CC1345" s="874"/>
    </row>
    <row r="1346" spans="1:81" s="400" customFormat="1" ht="14.25" customHeight="1" x14ac:dyDescent="0.25">
      <c r="A1346" s="5"/>
      <c r="B1346" s="5"/>
      <c r="C1346" s="5"/>
      <c r="D1346" s="5"/>
      <c r="E1346" s="5"/>
      <c r="F1346" s="5"/>
      <c r="G1346" s="5"/>
      <c r="H1346" s="5"/>
      <c r="I1346" s="5"/>
      <c r="J1346" s="5"/>
      <c r="K1346" s="5"/>
      <c r="L1346" s="5"/>
      <c r="M1346" s="5"/>
      <c r="N1346" s="5"/>
      <c r="O1346" s="5"/>
      <c r="P1346" s="5"/>
      <c r="Q1346" s="5"/>
      <c r="R1346" s="5"/>
      <c r="S1346" s="5"/>
      <c r="T1346" s="5"/>
      <c r="U1346" s="5"/>
      <c r="V1346" s="5"/>
      <c r="W1346" s="5"/>
      <c r="X1346" s="5"/>
      <c r="Y1346" s="5"/>
      <c r="Z1346" s="5"/>
      <c r="AA1346" s="5"/>
      <c r="AB1346" s="6"/>
      <c r="AC1346" s="6"/>
      <c r="AD1346" s="6"/>
      <c r="AE1346" s="6"/>
      <c r="AF1346" s="6"/>
      <c r="AG1346" s="6"/>
      <c r="AH1346" s="6"/>
      <c r="AI1346" s="6"/>
      <c r="AJ1346" s="6"/>
      <c r="AK1346" s="6"/>
      <c r="AL1346" s="6"/>
      <c r="AM1346" s="6"/>
      <c r="AN1346" s="6"/>
      <c r="AO1346" s="6"/>
      <c r="AP1346" s="6"/>
      <c r="AQ1346" s="6"/>
      <c r="AR1346" s="6"/>
      <c r="AS1346" s="6"/>
      <c r="AT1346" s="6"/>
      <c r="AU1346" s="6"/>
      <c r="AV1346" s="6"/>
      <c r="AW1346" s="6"/>
      <c r="AX1346" s="6"/>
      <c r="AY1346" s="6"/>
      <c r="AZ1346" s="6"/>
      <c r="BA1346" s="6"/>
      <c r="BB1346" s="6"/>
      <c r="BC1346" s="6"/>
      <c r="BD1346" s="6"/>
      <c r="BE1346" s="6"/>
      <c r="BF1346" s="6"/>
      <c r="BG1346" s="6"/>
      <c r="BH1346" s="6"/>
      <c r="BI1346" s="6"/>
      <c r="BJ1346" s="6"/>
      <c r="BK1346" s="6"/>
      <c r="BL1346" s="6"/>
      <c r="BM1346" s="6"/>
      <c r="BN1346" s="6"/>
      <c r="BO1346" s="6"/>
      <c r="BP1346" s="6"/>
      <c r="BQ1346" s="6"/>
      <c r="BR1346" s="6"/>
      <c r="BS1346" s="6"/>
      <c r="BT1346" s="6"/>
      <c r="BU1346" s="6"/>
      <c r="BV1346" s="6"/>
      <c r="BW1346" s="6"/>
      <c r="BX1346" s="5"/>
      <c r="BY1346" s="7"/>
      <c r="BZ1346" s="7"/>
      <c r="CA1346" s="7"/>
      <c r="CB1346" s="7"/>
      <c r="CC1346" s="874"/>
    </row>
    <row r="1347" spans="1:81" s="400" customFormat="1" ht="14.25" customHeight="1" x14ac:dyDescent="0.25">
      <c r="A1347" s="5"/>
      <c r="B1347" s="5"/>
      <c r="C1347" s="5"/>
      <c r="D1347" s="5"/>
      <c r="E1347" s="5"/>
      <c r="F1347" s="5"/>
      <c r="G1347" s="5"/>
      <c r="H1347" s="5"/>
      <c r="I1347" s="5"/>
      <c r="J1347" s="5"/>
      <c r="K1347" s="5"/>
      <c r="L1347" s="5"/>
      <c r="M1347" s="5"/>
      <c r="N1347" s="5"/>
      <c r="O1347" s="5"/>
      <c r="P1347" s="5"/>
      <c r="Q1347" s="5"/>
      <c r="R1347" s="5"/>
      <c r="S1347" s="5"/>
      <c r="T1347" s="5"/>
      <c r="U1347" s="5"/>
      <c r="V1347" s="5"/>
      <c r="W1347" s="5"/>
      <c r="X1347" s="5"/>
      <c r="Y1347" s="5"/>
      <c r="Z1347" s="5"/>
      <c r="AA1347" s="5"/>
      <c r="AB1347" s="6"/>
      <c r="AC1347" s="6"/>
      <c r="AD1347" s="6"/>
      <c r="AE1347" s="6"/>
      <c r="AF1347" s="6"/>
      <c r="AG1347" s="6"/>
      <c r="AH1347" s="6"/>
      <c r="AI1347" s="6"/>
      <c r="AJ1347" s="6"/>
      <c r="AK1347" s="6"/>
      <c r="AL1347" s="6"/>
      <c r="AM1347" s="6"/>
      <c r="AN1347" s="6"/>
      <c r="AO1347" s="6"/>
      <c r="AP1347" s="6"/>
      <c r="AQ1347" s="6"/>
      <c r="AR1347" s="6"/>
      <c r="AS1347" s="6"/>
      <c r="AT1347" s="6"/>
      <c r="AU1347" s="6"/>
      <c r="AV1347" s="6"/>
      <c r="AW1347" s="6"/>
      <c r="AX1347" s="6"/>
      <c r="AY1347" s="6"/>
      <c r="AZ1347" s="6"/>
      <c r="BA1347" s="6"/>
      <c r="BB1347" s="6"/>
      <c r="BC1347" s="6"/>
      <c r="BD1347" s="6"/>
      <c r="BE1347" s="6"/>
      <c r="BF1347" s="6"/>
      <c r="BG1347" s="6"/>
      <c r="BH1347" s="6"/>
      <c r="BI1347" s="6"/>
      <c r="BJ1347" s="6"/>
      <c r="BK1347" s="6"/>
      <c r="BL1347" s="6"/>
      <c r="BM1347" s="6"/>
      <c r="BN1347" s="6"/>
      <c r="BO1347" s="6"/>
      <c r="BP1347" s="6"/>
      <c r="BQ1347" s="6"/>
      <c r="BR1347" s="6"/>
      <c r="BS1347" s="6"/>
      <c r="BT1347" s="6"/>
      <c r="BU1347" s="6"/>
      <c r="BV1347" s="6"/>
      <c r="BW1347" s="6"/>
      <c r="BX1347" s="5"/>
      <c r="BY1347" s="7"/>
      <c r="BZ1347" s="7"/>
      <c r="CA1347" s="7"/>
      <c r="CB1347" s="7"/>
      <c r="CC1347" s="874"/>
    </row>
    <row r="1348" spans="1:81" s="400" customFormat="1" ht="14.25" customHeight="1" x14ac:dyDescent="0.25">
      <c r="A1348" s="5"/>
      <c r="B1348" s="5"/>
      <c r="C1348" s="5"/>
      <c r="D1348" s="5"/>
      <c r="E1348" s="5"/>
      <c r="F1348" s="5"/>
      <c r="G1348" s="5"/>
      <c r="H1348" s="5"/>
      <c r="I1348" s="5"/>
      <c r="J1348" s="5"/>
      <c r="K1348" s="5"/>
      <c r="L1348" s="5"/>
      <c r="M1348" s="5"/>
      <c r="N1348" s="5"/>
      <c r="O1348" s="5"/>
      <c r="P1348" s="5"/>
      <c r="Q1348" s="5"/>
      <c r="R1348" s="5"/>
      <c r="S1348" s="5"/>
      <c r="T1348" s="5"/>
      <c r="U1348" s="5"/>
      <c r="V1348" s="5"/>
      <c r="W1348" s="5"/>
      <c r="X1348" s="5"/>
      <c r="Y1348" s="5"/>
      <c r="Z1348" s="5"/>
      <c r="AA1348" s="5"/>
      <c r="AB1348" s="6"/>
      <c r="AC1348" s="6"/>
      <c r="AD1348" s="6"/>
      <c r="AE1348" s="6"/>
      <c r="AF1348" s="6"/>
      <c r="AG1348" s="6"/>
      <c r="AH1348" s="6"/>
      <c r="AI1348" s="6"/>
      <c r="AJ1348" s="6"/>
      <c r="AK1348" s="6"/>
      <c r="AL1348" s="6"/>
      <c r="AM1348" s="6"/>
      <c r="AN1348" s="6"/>
      <c r="AO1348" s="6"/>
      <c r="AP1348" s="6"/>
      <c r="AQ1348" s="6"/>
      <c r="AR1348" s="6"/>
      <c r="AS1348" s="6"/>
      <c r="AT1348" s="6"/>
      <c r="AU1348" s="6"/>
      <c r="AV1348" s="6"/>
      <c r="AW1348" s="6"/>
      <c r="AX1348" s="6"/>
      <c r="AY1348" s="6"/>
      <c r="AZ1348" s="6"/>
      <c r="BA1348" s="6"/>
      <c r="BB1348" s="6"/>
      <c r="BC1348" s="6"/>
      <c r="BD1348" s="6"/>
      <c r="BE1348" s="6"/>
      <c r="BF1348" s="6"/>
      <c r="BG1348" s="6"/>
      <c r="BH1348" s="6"/>
      <c r="BI1348" s="6"/>
      <c r="BJ1348" s="6"/>
      <c r="BK1348" s="6"/>
      <c r="BL1348" s="6"/>
      <c r="BM1348" s="6"/>
      <c r="BN1348" s="6"/>
      <c r="BO1348" s="6"/>
      <c r="BP1348" s="6"/>
      <c r="BQ1348" s="6"/>
      <c r="BR1348" s="6"/>
      <c r="BS1348" s="6"/>
      <c r="BT1348" s="6"/>
      <c r="BU1348" s="6"/>
      <c r="BV1348" s="6"/>
      <c r="BW1348" s="6"/>
      <c r="BX1348" s="5"/>
      <c r="BY1348" s="7"/>
      <c r="BZ1348" s="7"/>
      <c r="CA1348" s="7"/>
      <c r="CB1348" s="7"/>
      <c r="CC1348" s="874"/>
    </row>
    <row r="1349" spans="1:81" s="400" customFormat="1" ht="14.25" customHeight="1" x14ac:dyDescent="0.25">
      <c r="A1349" s="5"/>
      <c r="B1349" s="5"/>
      <c r="C1349" s="5"/>
      <c r="D1349" s="5"/>
      <c r="E1349" s="5"/>
      <c r="F1349" s="5"/>
      <c r="G1349" s="5"/>
      <c r="H1349" s="5"/>
      <c r="I1349" s="5"/>
      <c r="J1349" s="5"/>
      <c r="K1349" s="5"/>
      <c r="L1349" s="5"/>
      <c r="M1349" s="5"/>
      <c r="N1349" s="5"/>
      <c r="O1349" s="5"/>
      <c r="P1349" s="5"/>
      <c r="Q1349" s="5"/>
      <c r="R1349" s="5"/>
      <c r="S1349" s="5"/>
      <c r="T1349" s="5"/>
      <c r="U1349" s="5"/>
      <c r="V1349" s="5"/>
      <c r="W1349" s="5"/>
      <c r="X1349" s="5"/>
      <c r="Y1349" s="5"/>
      <c r="Z1349" s="5"/>
      <c r="AA1349" s="5"/>
      <c r="AB1349" s="6"/>
      <c r="AC1349" s="6"/>
      <c r="AD1349" s="6"/>
      <c r="AE1349" s="6"/>
      <c r="AF1349" s="6"/>
      <c r="AG1349" s="6"/>
      <c r="AH1349" s="6"/>
      <c r="AI1349" s="6"/>
      <c r="AJ1349" s="6"/>
      <c r="AK1349" s="6"/>
      <c r="AL1349" s="6"/>
      <c r="AM1349" s="6"/>
      <c r="AN1349" s="6"/>
      <c r="AO1349" s="6"/>
      <c r="AP1349" s="6"/>
      <c r="AQ1349" s="6"/>
      <c r="AR1349" s="6"/>
      <c r="AS1349" s="6"/>
      <c r="AT1349" s="6"/>
      <c r="AU1349" s="6"/>
      <c r="AV1349" s="6"/>
      <c r="AW1349" s="6"/>
      <c r="AX1349" s="6"/>
      <c r="AY1349" s="6"/>
      <c r="AZ1349" s="6"/>
      <c r="BA1349" s="6"/>
      <c r="BB1349" s="6"/>
      <c r="BC1349" s="6"/>
      <c r="BD1349" s="6"/>
      <c r="BE1349" s="6"/>
      <c r="BF1349" s="6"/>
      <c r="BG1349" s="6"/>
      <c r="BH1349" s="6"/>
      <c r="BI1349" s="6"/>
      <c r="BJ1349" s="6"/>
      <c r="BK1349" s="6"/>
      <c r="BL1349" s="6"/>
      <c r="BM1349" s="6"/>
      <c r="BN1349" s="6"/>
      <c r="BO1349" s="6"/>
      <c r="BP1349" s="6"/>
      <c r="BQ1349" s="6"/>
      <c r="BR1349" s="6"/>
      <c r="BS1349" s="6"/>
      <c r="BT1349" s="6"/>
      <c r="BU1349" s="6"/>
      <c r="BV1349" s="6"/>
      <c r="BW1349" s="6"/>
      <c r="BX1349" s="5"/>
      <c r="BY1349" s="7"/>
      <c r="BZ1349" s="7"/>
      <c r="CA1349" s="7"/>
      <c r="CB1349" s="7"/>
      <c r="CC1349" s="874"/>
    </row>
    <row r="1350" spans="1:81" s="400" customFormat="1" ht="14.25" customHeight="1" x14ac:dyDescent="0.25">
      <c r="A1350" s="5"/>
      <c r="B1350" s="5"/>
      <c r="C1350" s="5"/>
      <c r="D1350" s="5"/>
      <c r="E1350" s="5"/>
      <c r="F1350" s="5"/>
      <c r="G1350" s="5"/>
      <c r="H1350" s="5"/>
      <c r="I1350" s="5"/>
      <c r="J1350" s="5"/>
      <c r="K1350" s="5"/>
      <c r="L1350" s="5"/>
      <c r="M1350" s="5"/>
      <c r="N1350" s="5"/>
      <c r="O1350" s="5"/>
      <c r="P1350" s="5"/>
      <c r="Q1350" s="5"/>
      <c r="R1350" s="5"/>
      <c r="S1350" s="5"/>
      <c r="T1350" s="5"/>
      <c r="U1350" s="5"/>
      <c r="V1350" s="5"/>
      <c r="W1350" s="5"/>
      <c r="X1350" s="5"/>
      <c r="Y1350" s="5"/>
      <c r="Z1350" s="5"/>
      <c r="AA1350" s="5"/>
      <c r="AB1350" s="6"/>
      <c r="AC1350" s="6"/>
      <c r="AD1350" s="6"/>
      <c r="AE1350" s="6"/>
      <c r="AF1350" s="6"/>
      <c r="AG1350" s="6"/>
      <c r="AH1350" s="6"/>
      <c r="AI1350" s="6"/>
      <c r="AJ1350" s="6"/>
      <c r="AK1350" s="6"/>
      <c r="AL1350" s="6"/>
      <c r="AM1350" s="6"/>
      <c r="AN1350" s="6"/>
      <c r="AO1350" s="6"/>
      <c r="AP1350" s="6"/>
      <c r="AQ1350" s="6"/>
      <c r="AR1350" s="6"/>
      <c r="AS1350" s="6"/>
      <c r="AT1350" s="6"/>
      <c r="AU1350" s="6"/>
      <c r="AV1350" s="6"/>
      <c r="AW1350" s="6"/>
      <c r="AX1350" s="6"/>
      <c r="AY1350" s="6"/>
      <c r="AZ1350" s="6"/>
      <c r="BA1350" s="6"/>
      <c r="BB1350" s="6"/>
      <c r="BC1350" s="6"/>
      <c r="BD1350" s="6"/>
      <c r="BE1350" s="6"/>
      <c r="BF1350" s="6"/>
      <c r="BG1350" s="6"/>
      <c r="BH1350" s="6"/>
      <c r="BI1350" s="6"/>
      <c r="BJ1350" s="6"/>
      <c r="BK1350" s="6"/>
      <c r="BL1350" s="6"/>
      <c r="BM1350" s="6"/>
      <c r="BN1350" s="6"/>
      <c r="BO1350" s="6"/>
      <c r="BP1350" s="6"/>
      <c r="BQ1350" s="6"/>
      <c r="BR1350" s="6"/>
      <c r="BS1350" s="6"/>
      <c r="BT1350" s="6"/>
      <c r="BU1350" s="6"/>
      <c r="BV1350" s="6"/>
      <c r="BW1350" s="6"/>
      <c r="BX1350" s="5"/>
      <c r="BY1350" s="7"/>
      <c r="BZ1350" s="7"/>
      <c r="CA1350" s="7"/>
      <c r="CB1350" s="7"/>
      <c r="CC1350" s="874"/>
    </row>
    <row r="1351" spans="1:81" s="400" customFormat="1" ht="14.25" customHeight="1" x14ac:dyDescent="0.25">
      <c r="A1351" s="5"/>
      <c r="B1351" s="5"/>
      <c r="C1351" s="5"/>
      <c r="D1351" s="5"/>
      <c r="E1351" s="5"/>
      <c r="F1351" s="5"/>
      <c r="G1351" s="5"/>
      <c r="H1351" s="5"/>
      <c r="I1351" s="5"/>
      <c r="J1351" s="5"/>
      <c r="K1351" s="5"/>
      <c r="L1351" s="5"/>
      <c r="M1351" s="5"/>
      <c r="N1351" s="5"/>
      <c r="O1351" s="5"/>
      <c r="P1351" s="5"/>
      <c r="Q1351" s="5"/>
      <c r="R1351" s="5"/>
      <c r="S1351" s="5"/>
      <c r="T1351" s="5"/>
      <c r="U1351" s="5"/>
      <c r="V1351" s="5"/>
      <c r="W1351" s="5"/>
      <c r="X1351" s="5"/>
      <c r="Y1351" s="5"/>
      <c r="Z1351" s="5"/>
      <c r="AA1351" s="5"/>
      <c r="AB1351" s="6"/>
      <c r="AC1351" s="6"/>
      <c r="AD1351" s="6"/>
      <c r="AE1351" s="6"/>
      <c r="AF1351" s="6"/>
      <c r="AG1351" s="6"/>
      <c r="AH1351" s="6"/>
      <c r="AI1351" s="6"/>
      <c r="AJ1351" s="6"/>
      <c r="AK1351" s="6"/>
      <c r="AL1351" s="6"/>
      <c r="AM1351" s="6"/>
      <c r="AN1351" s="6"/>
      <c r="AO1351" s="6"/>
      <c r="AP1351" s="6"/>
      <c r="AQ1351" s="6"/>
      <c r="AR1351" s="6"/>
      <c r="AS1351" s="6"/>
      <c r="AT1351" s="6"/>
      <c r="AU1351" s="6"/>
      <c r="AV1351" s="6"/>
      <c r="AW1351" s="6"/>
      <c r="AX1351" s="6"/>
      <c r="AY1351" s="6"/>
      <c r="AZ1351" s="6"/>
      <c r="BA1351" s="6"/>
      <c r="BB1351" s="6"/>
      <c r="BC1351" s="6"/>
      <c r="BD1351" s="6"/>
      <c r="BE1351" s="6"/>
      <c r="BF1351" s="6"/>
      <c r="BG1351" s="6"/>
      <c r="BH1351" s="6"/>
      <c r="BI1351" s="6"/>
      <c r="BJ1351" s="6"/>
      <c r="BK1351" s="6"/>
      <c r="BL1351" s="6"/>
      <c r="BM1351" s="6"/>
      <c r="BN1351" s="6"/>
      <c r="BO1351" s="6"/>
      <c r="BP1351" s="6"/>
      <c r="BQ1351" s="6"/>
      <c r="BR1351" s="6"/>
      <c r="BS1351" s="6"/>
      <c r="BT1351" s="6"/>
      <c r="BU1351" s="6"/>
      <c r="BV1351" s="6"/>
      <c r="BW1351" s="6"/>
      <c r="BX1351" s="5"/>
      <c r="BY1351" s="7"/>
      <c r="BZ1351" s="7"/>
      <c r="CA1351" s="7"/>
      <c r="CB1351" s="7"/>
      <c r="CC1351" s="874"/>
    </row>
    <row r="1352" spans="1:81" s="400" customFormat="1" ht="14.25" customHeight="1" x14ac:dyDescent="0.25">
      <c r="A1352" s="5"/>
      <c r="B1352" s="5"/>
      <c r="C1352" s="5"/>
      <c r="D1352" s="5"/>
      <c r="E1352" s="5"/>
      <c r="F1352" s="5"/>
      <c r="G1352" s="5"/>
      <c r="H1352" s="5"/>
      <c r="I1352" s="5"/>
      <c r="J1352" s="5"/>
      <c r="K1352" s="5"/>
      <c r="L1352" s="5"/>
      <c r="M1352" s="5"/>
      <c r="N1352" s="5"/>
      <c r="O1352" s="5"/>
      <c r="P1352" s="5"/>
      <c r="Q1352" s="5"/>
      <c r="R1352" s="5"/>
      <c r="S1352" s="5"/>
      <c r="T1352" s="5"/>
      <c r="U1352" s="5"/>
      <c r="V1352" s="5"/>
      <c r="W1352" s="5"/>
      <c r="X1352" s="5"/>
      <c r="Y1352" s="5"/>
      <c r="Z1352" s="5"/>
      <c r="AA1352" s="5"/>
      <c r="AB1352" s="6"/>
      <c r="AC1352" s="6"/>
      <c r="AD1352" s="6"/>
      <c r="AE1352" s="6"/>
      <c r="AF1352" s="6"/>
      <c r="AG1352" s="6"/>
      <c r="AH1352" s="6"/>
      <c r="AI1352" s="6"/>
      <c r="AJ1352" s="6"/>
      <c r="AK1352" s="6"/>
      <c r="AL1352" s="6"/>
      <c r="AM1352" s="6"/>
      <c r="AN1352" s="6"/>
      <c r="AO1352" s="6"/>
      <c r="AP1352" s="6"/>
      <c r="AQ1352" s="6"/>
      <c r="AR1352" s="6"/>
      <c r="AS1352" s="6"/>
      <c r="AT1352" s="6"/>
      <c r="AU1352" s="6"/>
      <c r="AV1352" s="6"/>
      <c r="AW1352" s="6"/>
      <c r="AX1352" s="6"/>
      <c r="AY1352" s="6"/>
      <c r="AZ1352" s="6"/>
      <c r="BA1352" s="6"/>
      <c r="BB1352" s="6"/>
      <c r="BC1352" s="6"/>
      <c r="BD1352" s="6"/>
      <c r="BE1352" s="6"/>
      <c r="BF1352" s="6"/>
      <c r="BG1352" s="6"/>
      <c r="BH1352" s="6"/>
      <c r="BI1352" s="6"/>
      <c r="BJ1352" s="6"/>
      <c r="BK1352" s="6"/>
      <c r="BL1352" s="6"/>
      <c r="BM1352" s="6"/>
      <c r="BN1352" s="6"/>
      <c r="BO1352" s="6"/>
      <c r="BP1352" s="6"/>
      <c r="BQ1352" s="6"/>
      <c r="BR1352" s="6"/>
      <c r="BS1352" s="6"/>
      <c r="BT1352" s="6"/>
      <c r="BU1352" s="6"/>
      <c r="BV1352" s="6"/>
      <c r="BW1352" s="6"/>
      <c r="BX1352" s="5"/>
      <c r="BY1352" s="7"/>
      <c r="BZ1352" s="7"/>
      <c r="CA1352" s="7"/>
      <c r="CB1352" s="7"/>
      <c r="CC1352" s="874"/>
    </row>
    <row r="1353" spans="1:81" s="400" customFormat="1" ht="14.25" customHeight="1" x14ac:dyDescent="0.25">
      <c r="A1353" s="5"/>
      <c r="B1353" s="5"/>
      <c r="C1353" s="5"/>
      <c r="D1353" s="5"/>
      <c r="E1353" s="5"/>
      <c r="F1353" s="5"/>
      <c r="G1353" s="5"/>
      <c r="H1353" s="5"/>
      <c r="I1353" s="5"/>
      <c r="J1353" s="5"/>
      <c r="K1353" s="5"/>
      <c r="L1353" s="5"/>
      <c r="M1353" s="5"/>
      <c r="N1353" s="5"/>
      <c r="O1353" s="5"/>
      <c r="P1353" s="5"/>
      <c r="Q1353" s="5"/>
      <c r="R1353" s="5"/>
      <c r="S1353" s="5"/>
      <c r="T1353" s="5"/>
      <c r="U1353" s="5"/>
      <c r="V1353" s="5"/>
      <c r="W1353" s="5"/>
      <c r="X1353" s="5"/>
      <c r="Y1353" s="5"/>
      <c r="Z1353" s="5"/>
      <c r="AA1353" s="5"/>
      <c r="AB1353" s="6"/>
      <c r="AC1353" s="6"/>
      <c r="AD1353" s="6"/>
      <c r="AE1353" s="6"/>
      <c r="AF1353" s="6"/>
      <c r="AG1353" s="6"/>
      <c r="AH1353" s="6"/>
      <c r="AI1353" s="6"/>
      <c r="AJ1353" s="6"/>
      <c r="AK1353" s="6"/>
      <c r="AL1353" s="6"/>
      <c r="AM1353" s="6"/>
      <c r="AN1353" s="6"/>
      <c r="AO1353" s="6"/>
      <c r="AP1353" s="6"/>
      <c r="AQ1353" s="6"/>
      <c r="AR1353" s="6"/>
      <c r="AS1353" s="6"/>
      <c r="AT1353" s="6"/>
      <c r="AU1353" s="6"/>
      <c r="AV1353" s="6"/>
      <c r="AW1353" s="6"/>
      <c r="AX1353" s="6"/>
      <c r="AY1353" s="6"/>
      <c r="AZ1353" s="6"/>
      <c r="BA1353" s="6"/>
      <c r="BB1353" s="6"/>
      <c r="BC1353" s="6"/>
      <c r="BD1353" s="6"/>
      <c r="BE1353" s="6"/>
      <c r="BF1353" s="6"/>
      <c r="BG1353" s="6"/>
      <c r="BH1353" s="6"/>
      <c r="BI1353" s="6"/>
      <c r="BJ1353" s="6"/>
      <c r="BK1353" s="6"/>
      <c r="BL1353" s="6"/>
      <c r="BM1353" s="6"/>
      <c r="BN1353" s="6"/>
      <c r="BO1353" s="6"/>
      <c r="BP1353" s="6"/>
      <c r="BQ1353" s="6"/>
      <c r="BR1353" s="6"/>
      <c r="BS1353" s="6"/>
      <c r="BT1353" s="6"/>
      <c r="BU1353" s="6"/>
      <c r="BV1353" s="6"/>
      <c r="BW1353" s="6"/>
      <c r="BX1353" s="5"/>
      <c r="BY1353" s="7"/>
      <c r="BZ1353" s="7"/>
      <c r="CA1353" s="7"/>
      <c r="CB1353" s="7"/>
      <c r="CC1353" s="874"/>
    </row>
    <row r="1354" spans="1:81" s="400" customFormat="1" ht="14.25" customHeight="1" x14ac:dyDescent="0.25">
      <c r="A1354" s="5"/>
      <c r="B1354" s="5"/>
      <c r="C1354" s="5"/>
      <c r="D1354" s="5"/>
      <c r="E1354" s="5"/>
      <c r="F1354" s="5"/>
      <c r="G1354" s="5"/>
      <c r="H1354" s="5"/>
      <c r="I1354" s="5"/>
      <c r="J1354" s="5"/>
      <c r="K1354" s="5"/>
      <c r="L1354" s="5"/>
      <c r="M1354" s="5"/>
      <c r="N1354" s="5"/>
      <c r="O1354" s="5"/>
      <c r="P1354" s="5"/>
      <c r="Q1354" s="5"/>
      <c r="R1354" s="5"/>
      <c r="S1354" s="5"/>
      <c r="T1354" s="5"/>
      <c r="U1354" s="5"/>
      <c r="V1354" s="5"/>
      <c r="W1354" s="5"/>
      <c r="X1354" s="5"/>
      <c r="Y1354" s="5"/>
      <c r="Z1354" s="5"/>
      <c r="AA1354" s="5"/>
      <c r="AB1354" s="6"/>
      <c r="AC1354" s="6"/>
      <c r="AD1354" s="6"/>
      <c r="AE1354" s="6"/>
      <c r="AF1354" s="6"/>
      <c r="AG1354" s="6"/>
      <c r="AH1354" s="6"/>
      <c r="AI1354" s="6"/>
      <c r="AJ1354" s="6"/>
      <c r="AK1354" s="6"/>
      <c r="AL1354" s="6"/>
      <c r="AM1354" s="6"/>
      <c r="AN1354" s="6"/>
      <c r="AO1354" s="6"/>
      <c r="AP1354" s="6"/>
      <c r="AQ1354" s="6"/>
      <c r="AR1354" s="6"/>
      <c r="AS1354" s="6"/>
      <c r="AT1354" s="6"/>
      <c r="AU1354" s="6"/>
      <c r="AV1354" s="6"/>
      <c r="AW1354" s="6"/>
      <c r="AX1354" s="6"/>
      <c r="AY1354" s="6"/>
      <c r="AZ1354" s="6"/>
      <c r="BA1354" s="6"/>
      <c r="BB1354" s="6"/>
      <c r="BC1354" s="6"/>
      <c r="BD1354" s="6"/>
      <c r="BE1354" s="6"/>
      <c r="BF1354" s="6"/>
      <c r="BG1354" s="6"/>
      <c r="BH1354" s="6"/>
      <c r="BI1354" s="6"/>
      <c r="BJ1354" s="6"/>
      <c r="BK1354" s="6"/>
      <c r="BL1354" s="6"/>
      <c r="BM1354" s="6"/>
      <c r="BN1354" s="6"/>
      <c r="BO1354" s="6"/>
      <c r="BP1354" s="6"/>
      <c r="BQ1354" s="6"/>
      <c r="BR1354" s="6"/>
      <c r="BS1354" s="6"/>
      <c r="BT1354" s="6"/>
      <c r="BU1354" s="6"/>
      <c r="BV1354" s="6"/>
      <c r="BW1354" s="6"/>
      <c r="BX1354" s="5"/>
      <c r="BY1354" s="7"/>
      <c r="BZ1354" s="7"/>
      <c r="CA1354" s="7"/>
      <c r="CB1354" s="7"/>
      <c r="CC1354" s="874"/>
    </row>
    <row r="1355" spans="1:81" s="400" customFormat="1" ht="14.25" customHeight="1" x14ac:dyDescent="0.25">
      <c r="A1355" s="5"/>
      <c r="B1355" s="5"/>
      <c r="C1355" s="5"/>
      <c r="D1355" s="5"/>
      <c r="E1355" s="5"/>
      <c r="F1355" s="5"/>
      <c r="G1355" s="5"/>
      <c r="H1355" s="5"/>
      <c r="I1355" s="5"/>
      <c r="J1355" s="5"/>
      <c r="K1355" s="5"/>
      <c r="L1355" s="5"/>
      <c r="M1355" s="5"/>
      <c r="N1355" s="5"/>
      <c r="O1355" s="5"/>
      <c r="P1355" s="5"/>
      <c r="Q1355" s="5"/>
      <c r="R1355" s="5"/>
      <c r="S1355" s="5"/>
      <c r="T1355" s="5"/>
      <c r="U1355" s="5"/>
      <c r="V1355" s="5"/>
      <c r="W1355" s="5"/>
      <c r="X1355" s="5"/>
      <c r="Y1355" s="5"/>
      <c r="Z1355" s="5"/>
      <c r="AA1355" s="5"/>
      <c r="AB1355" s="6"/>
      <c r="AC1355" s="6"/>
      <c r="AD1355" s="6"/>
      <c r="AE1355" s="6"/>
      <c r="AF1355" s="6"/>
      <c r="AG1355" s="6"/>
      <c r="AH1355" s="6"/>
      <c r="AI1355" s="6"/>
      <c r="AJ1355" s="6"/>
      <c r="AK1355" s="6"/>
      <c r="AL1355" s="6"/>
      <c r="AM1355" s="6"/>
      <c r="AN1355" s="6"/>
      <c r="AO1355" s="6"/>
      <c r="AP1355" s="6"/>
      <c r="AQ1355" s="6"/>
      <c r="AR1355" s="6"/>
      <c r="AS1355" s="6"/>
      <c r="AT1355" s="6"/>
      <c r="AU1355" s="6"/>
      <c r="AV1355" s="6"/>
      <c r="AW1355" s="6"/>
      <c r="AX1355" s="6"/>
      <c r="AY1355" s="6"/>
      <c r="AZ1355" s="6"/>
      <c r="BA1355" s="6"/>
      <c r="BB1355" s="6"/>
      <c r="BC1355" s="6"/>
      <c r="BD1355" s="6"/>
      <c r="BE1355" s="6"/>
      <c r="BF1355" s="6"/>
      <c r="BG1355" s="6"/>
      <c r="BH1355" s="6"/>
      <c r="BI1355" s="6"/>
      <c r="BJ1355" s="6"/>
      <c r="BK1355" s="6"/>
      <c r="BL1355" s="6"/>
      <c r="BM1355" s="6"/>
      <c r="BN1355" s="6"/>
      <c r="BO1355" s="6"/>
      <c r="BP1355" s="6"/>
      <c r="BQ1355" s="6"/>
      <c r="BR1355" s="6"/>
      <c r="BS1355" s="6"/>
      <c r="BT1355" s="6"/>
      <c r="BU1355" s="6"/>
      <c r="BV1355" s="6"/>
      <c r="BW1355" s="6"/>
      <c r="BX1355" s="5"/>
      <c r="BY1355" s="7"/>
      <c r="BZ1355" s="7"/>
      <c r="CA1355" s="7"/>
      <c r="CB1355" s="7"/>
      <c r="CC1355" s="874"/>
    </row>
    <row r="1356" spans="1:81" s="400" customFormat="1" ht="14.25" customHeight="1" x14ac:dyDescent="0.25">
      <c r="A1356" s="5"/>
      <c r="B1356" s="5"/>
      <c r="C1356" s="5"/>
      <c r="D1356" s="5"/>
      <c r="E1356" s="5"/>
      <c r="F1356" s="5"/>
      <c r="G1356" s="5"/>
      <c r="H1356" s="5"/>
      <c r="I1356" s="5"/>
      <c r="J1356" s="5"/>
      <c r="K1356" s="5"/>
      <c r="L1356" s="5"/>
      <c r="M1356" s="5"/>
      <c r="N1356" s="5"/>
      <c r="O1356" s="5"/>
      <c r="P1356" s="5"/>
      <c r="Q1356" s="5"/>
      <c r="R1356" s="5"/>
      <c r="S1356" s="5"/>
      <c r="T1356" s="5"/>
      <c r="U1356" s="5"/>
      <c r="V1356" s="5"/>
      <c r="W1356" s="5"/>
      <c r="X1356" s="5"/>
      <c r="Y1356" s="5"/>
      <c r="Z1356" s="5"/>
      <c r="AA1356" s="5"/>
      <c r="AB1356" s="6"/>
      <c r="AC1356" s="6"/>
      <c r="AD1356" s="6"/>
      <c r="AE1356" s="6"/>
      <c r="AF1356" s="6"/>
      <c r="AG1356" s="6"/>
      <c r="AH1356" s="6"/>
      <c r="AI1356" s="6"/>
      <c r="AJ1356" s="6"/>
      <c r="AK1356" s="6"/>
      <c r="AL1356" s="6"/>
      <c r="AM1356" s="6"/>
      <c r="AN1356" s="6"/>
      <c r="AO1356" s="6"/>
      <c r="AP1356" s="6"/>
      <c r="AQ1356" s="6"/>
      <c r="AR1356" s="6"/>
      <c r="AS1356" s="6"/>
      <c r="AT1356" s="6"/>
      <c r="AU1356" s="6"/>
      <c r="AV1356" s="6"/>
      <c r="AW1356" s="6"/>
      <c r="AX1356" s="6"/>
      <c r="AY1356" s="6"/>
      <c r="AZ1356" s="6"/>
      <c r="BA1356" s="6"/>
      <c r="BB1356" s="6"/>
      <c r="BC1356" s="6"/>
      <c r="BD1356" s="6"/>
      <c r="BE1356" s="6"/>
      <c r="BF1356" s="6"/>
      <c r="BG1356" s="6"/>
      <c r="BH1356" s="6"/>
      <c r="BI1356" s="6"/>
      <c r="BJ1356" s="6"/>
      <c r="BK1356" s="6"/>
      <c r="BL1356" s="6"/>
      <c r="BM1356" s="6"/>
      <c r="BN1356" s="6"/>
      <c r="BO1356" s="6"/>
      <c r="BP1356" s="6"/>
      <c r="BQ1356" s="6"/>
      <c r="BR1356" s="6"/>
      <c r="BS1356" s="6"/>
      <c r="BT1356" s="6"/>
      <c r="BU1356" s="6"/>
      <c r="BV1356" s="6"/>
      <c r="BW1356" s="6"/>
      <c r="BX1356" s="5"/>
      <c r="BY1356" s="7"/>
      <c r="BZ1356" s="7"/>
      <c r="CA1356" s="7"/>
      <c r="CB1356" s="7"/>
      <c r="CC1356" s="874"/>
    </row>
    <row r="1357" spans="1:81" s="400" customFormat="1" ht="14.25" customHeight="1" x14ac:dyDescent="0.25">
      <c r="A1357" s="5"/>
      <c r="B1357" s="5"/>
      <c r="C1357" s="5"/>
      <c r="D1357" s="5"/>
      <c r="E1357" s="5"/>
      <c r="F1357" s="5"/>
      <c r="G1357" s="5"/>
      <c r="H1357" s="5"/>
      <c r="I1357" s="5"/>
      <c r="J1357" s="5"/>
      <c r="K1357" s="5"/>
      <c r="L1357" s="5"/>
      <c r="M1357" s="5"/>
      <c r="N1357" s="5"/>
      <c r="O1357" s="5"/>
      <c r="P1357" s="5"/>
      <c r="Q1357" s="5"/>
      <c r="R1357" s="5"/>
      <c r="S1357" s="5"/>
      <c r="T1357" s="5"/>
      <c r="U1357" s="5"/>
      <c r="V1357" s="5"/>
      <c r="W1357" s="5"/>
      <c r="X1357" s="5"/>
      <c r="Y1357" s="5"/>
      <c r="Z1357" s="5"/>
      <c r="AA1357" s="5"/>
      <c r="AB1357" s="6"/>
      <c r="AC1357" s="6"/>
      <c r="AD1357" s="6"/>
      <c r="AE1357" s="6"/>
      <c r="AF1357" s="6"/>
      <c r="AG1357" s="6"/>
      <c r="AH1357" s="6"/>
      <c r="AI1357" s="6"/>
      <c r="AJ1357" s="6"/>
      <c r="AK1357" s="6"/>
      <c r="AL1357" s="6"/>
      <c r="AM1357" s="6"/>
      <c r="AN1357" s="6"/>
      <c r="AO1357" s="6"/>
      <c r="AP1357" s="6"/>
      <c r="AQ1357" s="6"/>
      <c r="AR1357" s="6"/>
      <c r="AS1357" s="6"/>
      <c r="AT1357" s="6"/>
      <c r="AU1357" s="6"/>
      <c r="AV1357" s="6"/>
      <c r="AW1357" s="6"/>
      <c r="AX1357" s="6"/>
      <c r="AY1357" s="6"/>
      <c r="AZ1357" s="6"/>
      <c r="BA1357" s="6"/>
      <c r="BB1357" s="6"/>
      <c r="BC1357" s="6"/>
      <c r="BD1357" s="6"/>
      <c r="BE1357" s="6"/>
      <c r="BF1357" s="6"/>
      <c r="BG1357" s="6"/>
      <c r="BH1357" s="6"/>
      <c r="BI1357" s="6"/>
      <c r="BJ1357" s="6"/>
      <c r="BK1357" s="6"/>
      <c r="BL1357" s="6"/>
      <c r="BM1357" s="6"/>
      <c r="BN1357" s="6"/>
      <c r="BO1357" s="6"/>
      <c r="BP1357" s="6"/>
      <c r="BQ1357" s="6"/>
      <c r="BR1357" s="6"/>
      <c r="BS1357" s="6"/>
      <c r="BT1357" s="6"/>
      <c r="BU1357" s="6"/>
      <c r="BV1357" s="6"/>
      <c r="BW1357" s="6"/>
      <c r="BX1357" s="5"/>
      <c r="BY1357" s="7"/>
      <c r="BZ1357" s="7"/>
      <c r="CA1357" s="7"/>
      <c r="CB1357" s="7"/>
      <c r="CC1357" s="874"/>
    </row>
    <row r="1358" spans="1:81" s="400" customFormat="1" ht="14.25" customHeight="1" x14ac:dyDescent="0.25">
      <c r="A1358" s="5"/>
      <c r="B1358" s="5"/>
      <c r="C1358" s="5"/>
      <c r="D1358" s="5"/>
      <c r="E1358" s="5"/>
      <c r="F1358" s="5"/>
      <c r="G1358" s="5"/>
      <c r="H1358" s="5"/>
      <c r="I1358" s="5"/>
      <c r="J1358" s="5"/>
      <c r="K1358" s="5"/>
      <c r="L1358" s="5"/>
      <c r="M1358" s="5"/>
      <c r="N1358" s="5"/>
      <c r="O1358" s="5"/>
      <c r="P1358" s="5"/>
      <c r="Q1358" s="5"/>
      <c r="R1358" s="5"/>
      <c r="S1358" s="5"/>
      <c r="T1358" s="5"/>
      <c r="U1358" s="5"/>
      <c r="V1358" s="5"/>
      <c r="W1358" s="5"/>
      <c r="X1358" s="5"/>
      <c r="Y1358" s="5"/>
      <c r="Z1358" s="5"/>
      <c r="AA1358" s="5"/>
      <c r="AB1358" s="6"/>
      <c r="AC1358" s="6"/>
      <c r="AD1358" s="6"/>
      <c r="AE1358" s="6"/>
      <c r="AF1358" s="6"/>
      <c r="AG1358" s="6"/>
      <c r="AH1358" s="6"/>
      <c r="AI1358" s="6"/>
      <c r="AJ1358" s="6"/>
      <c r="AK1358" s="6"/>
      <c r="AL1358" s="6"/>
      <c r="AM1358" s="6"/>
      <c r="AN1358" s="6"/>
      <c r="AO1358" s="6"/>
      <c r="AP1358" s="6"/>
      <c r="AQ1358" s="6"/>
      <c r="AR1358" s="6"/>
      <c r="AS1358" s="6"/>
      <c r="AT1358" s="6"/>
      <c r="AU1358" s="6"/>
      <c r="AV1358" s="6"/>
      <c r="AW1358" s="6"/>
      <c r="AX1358" s="6"/>
      <c r="AY1358" s="6"/>
      <c r="AZ1358" s="6"/>
      <c r="BA1358" s="6"/>
      <c r="BB1358" s="6"/>
      <c r="BC1358" s="6"/>
      <c r="BD1358" s="6"/>
      <c r="BE1358" s="6"/>
      <c r="BF1358" s="6"/>
      <c r="BG1358" s="6"/>
      <c r="BH1358" s="6"/>
      <c r="BI1358" s="6"/>
      <c r="BJ1358" s="6"/>
      <c r="BK1358" s="6"/>
      <c r="BL1358" s="6"/>
      <c r="BM1358" s="6"/>
      <c r="BN1358" s="6"/>
      <c r="BO1358" s="6"/>
      <c r="BP1358" s="6"/>
      <c r="BQ1358" s="6"/>
      <c r="BR1358" s="6"/>
      <c r="BS1358" s="6"/>
      <c r="BT1358" s="6"/>
      <c r="BU1358" s="6"/>
      <c r="BV1358" s="6"/>
      <c r="BW1358" s="6"/>
      <c r="BX1358" s="5"/>
      <c r="BY1358" s="7"/>
      <c r="BZ1358" s="7"/>
      <c r="CA1358" s="7"/>
      <c r="CB1358" s="7"/>
      <c r="CC1358" s="874"/>
    </row>
    <row r="1359" spans="1:81" s="400" customFormat="1" ht="14.25" customHeight="1" x14ac:dyDescent="0.25">
      <c r="A1359" s="5"/>
      <c r="B1359" s="5"/>
      <c r="C1359" s="5"/>
      <c r="D1359" s="5"/>
      <c r="E1359" s="5"/>
      <c r="F1359" s="5"/>
      <c r="G1359" s="5"/>
      <c r="H1359" s="5"/>
      <c r="I1359" s="5"/>
      <c r="J1359" s="5"/>
      <c r="K1359" s="5"/>
      <c r="L1359" s="5"/>
      <c r="M1359" s="5"/>
      <c r="N1359" s="5"/>
      <c r="O1359" s="5"/>
      <c r="P1359" s="5"/>
      <c r="Q1359" s="5"/>
      <c r="R1359" s="5"/>
      <c r="S1359" s="5"/>
      <c r="T1359" s="5"/>
      <c r="U1359" s="5"/>
      <c r="V1359" s="5"/>
      <c r="W1359" s="5"/>
      <c r="X1359" s="5"/>
      <c r="Y1359" s="5"/>
      <c r="Z1359" s="5"/>
      <c r="AA1359" s="5"/>
      <c r="AB1359" s="6"/>
      <c r="AC1359" s="6"/>
      <c r="AD1359" s="6"/>
      <c r="AE1359" s="6"/>
      <c r="AF1359" s="6"/>
      <c r="AG1359" s="6"/>
      <c r="AH1359" s="6"/>
      <c r="AI1359" s="6"/>
      <c r="AJ1359" s="6"/>
      <c r="AK1359" s="6"/>
      <c r="AL1359" s="6"/>
      <c r="AM1359" s="6"/>
      <c r="AN1359" s="6"/>
      <c r="AO1359" s="6"/>
      <c r="AP1359" s="6"/>
      <c r="AQ1359" s="6"/>
      <c r="AR1359" s="6"/>
      <c r="AS1359" s="6"/>
      <c r="AT1359" s="6"/>
      <c r="AU1359" s="6"/>
      <c r="AV1359" s="6"/>
      <c r="AW1359" s="6"/>
      <c r="AX1359" s="6"/>
      <c r="AY1359" s="6"/>
      <c r="AZ1359" s="6"/>
      <c r="BA1359" s="6"/>
      <c r="BB1359" s="6"/>
      <c r="BC1359" s="6"/>
      <c r="BD1359" s="6"/>
      <c r="BE1359" s="6"/>
      <c r="BF1359" s="6"/>
      <c r="BG1359" s="6"/>
      <c r="BH1359" s="6"/>
      <c r="BI1359" s="6"/>
      <c r="BJ1359" s="6"/>
      <c r="BK1359" s="6"/>
      <c r="BL1359" s="6"/>
      <c r="BM1359" s="6"/>
      <c r="BN1359" s="6"/>
      <c r="BO1359" s="6"/>
      <c r="BP1359" s="6"/>
      <c r="BQ1359" s="6"/>
      <c r="BR1359" s="6"/>
      <c r="BS1359" s="6"/>
      <c r="BT1359" s="6"/>
      <c r="BU1359" s="6"/>
      <c r="BV1359" s="6"/>
      <c r="BW1359" s="6"/>
      <c r="BX1359" s="5"/>
      <c r="BY1359" s="7"/>
      <c r="BZ1359" s="7"/>
      <c r="CA1359" s="7"/>
      <c r="CB1359" s="7"/>
      <c r="CC1359" s="874"/>
    </row>
    <row r="1360" spans="1:81" s="400" customFormat="1" ht="14.25" customHeight="1" x14ac:dyDescent="0.25">
      <c r="A1360" s="5"/>
      <c r="B1360" s="5"/>
      <c r="C1360" s="5"/>
      <c r="D1360" s="5"/>
      <c r="E1360" s="5"/>
      <c r="F1360" s="5"/>
      <c r="G1360" s="5"/>
      <c r="H1360" s="5"/>
      <c r="I1360" s="5"/>
      <c r="J1360" s="5"/>
      <c r="K1360" s="5"/>
      <c r="L1360" s="5"/>
      <c r="M1360" s="5"/>
      <c r="N1360" s="5"/>
      <c r="O1360" s="5"/>
      <c r="P1360" s="5"/>
      <c r="Q1360" s="5"/>
      <c r="R1360" s="5"/>
      <c r="S1360" s="5"/>
      <c r="T1360" s="5"/>
      <c r="U1360" s="5"/>
      <c r="V1360" s="5"/>
      <c r="W1360" s="5"/>
      <c r="X1360" s="5"/>
      <c r="Y1360" s="5"/>
      <c r="Z1360" s="5"/>
      <c r="AA1360" s="5"/>
      <c r="AB1360" s="6"/>
      <c r="AC1360" s="6"/>
      <c r="AD1360" s="6"/>
      <c r="AE1360" s="6"/>
      <c r="AF1360" s="6"/>
      <c r="AG1360" s="6"/>
      <c r="AH1360" s="6"/>
      <c r="AI1360" s="6"/>
      <c r="AJ1360" s="6"/>
      <c r="AK1360" s="6"/>
      <c r="AL1360" s="6"/>
      <c r="AM1360" s="6"/>
      <c r="AN1360" s="6"/>
      <c r="AO1360" s="6"/>
      <c r="AP1360" s="6"/>
      <c r="AQ1360" s="6"/>
      <c r="AR1360" s="6"/>
      <c r="AS1360" s="6"/>
      <c r="AT1360" s="6"/>
      <c r="AU1360" s="6"/>
      <c r="AV1360" s="6"/>
      <c r="AW1360" s="6"/>
      <c r="AX1360" s="6"/>
      <c r="AY1360" s="6"/>
      <c r="AZ1360" s="6"/>
      <c r="BA1360" s="6"/>
      <c r="BB1360" s="6"/>
      <c r="BC1360" s="6"/>
      <c r="BD1360" s="6"/>
      <c r="BE1360" s="6"/>
      <c r="BF1360" s="6"/>
      <c r="BG1360" s="6"/>
      <c r="BH1360" s="6"/>
      <c r="BI1360" s="6"/>
      <c r="BJ1360" s="6"/>
      <c r="BK1360" s="6"/>
      <c r="BL1360" s="6"/>
      <c r="BM1360" s="6"/>
      <c r="BN1360" s="6"/>
      <c r="BO1360" s="6"/>
      <c r="BP1360" s="6"/>
      <c r="BQ1360" s="6"/>
      <c r="BR1360" s="6"/>
      <c r="BS1360" s="6"/>
      <c r="BT1360" s="6"/>
      <c r="BU1360" s="6"/>
      <c r="BV1360" s="6"/>
      <c r="BW1360" s="6"/>
      <c r="BX1360" s="5"/>
      <c r="BY1360" s="7"/>
      <c r="BZ1360" s="7"/>
      <c r="CA1360" s="7"/>
      <c r="CB1360" s="7"/>
      <c r="CC1360" s="874"/>
    </row>
    <row r="1361" spans="1:81" s="400" customFormat="1" ht="14.25" customHeight="1" x14ac:dyDescent="0.25">
      <c r="A1361" s="5"/>
      <c r="B1361" s="5"/>
      <c r="C1361" s="5"/>
      <c r="D1361" s="5"/>
      <c r="E1361" s="5"/>
      <c r="F1361" s="5"/>
      <c r="G1361" s="5"/>
      <c r="H1361" s="5"/>
      <c r="I1361" s="5"/>
      <c r="J1361" s="5"/>
      <c r="K1361" s="5"/>
      <c r="L1361" s="5"/>
      <c r="M1361" s="5"/>
      <c r="N1361" s="5"/>
      <c r="O1361" s="5"/>
      <c r="P1361" s="5"/>
      <c r="Q1361" s="5"/>
      <c r="R1361" s="5"/>
      <c r="S1361" s="5"/>
      <c r="T1361" s="5"/>
      <c r="U1361" s="5"/>
      <c r="V1361" s="5"/>
      <c r="W1361" s="5"/>
      <c r="X1361" s="5"/>
      <c r="Y1361" s="5"/>
      <c r="Z1361" s="5"/>
      <c r="AA1361" s="5"/>
      <c r="AB1361" s="6"/>
      <c r="AC1361" s="6"/>
      <c r="AD1361" s="6"/>
      <c r="AE1361" s="6"/>
      <c r="AF1361" s="6"/>
      <c r="AG1361" s="6"/>
      <c r="AH1361" s="6"/>
      <c r="AI1361" s="6"/>
      <c r="AJ1361" s="6"/>
      <c r="AK1361" s="6"/>
      <c r="AL1361" s="6"/>
      <c r="AM1361" s="6"/>
      <c r="AN1361" s="6"/>
      <c r="AO1361" s="6"/>
      <c r="AP1361" s="6"/>
      <c r="AQ1361" s="6"/>
      <c r="AR1361" s="6"/>
      <c r="AS1361" s="6"/>
      <c r="AT1361" s="6"/>
      <c r="AU1361" s="6"/>
      <c r="AV1361" s="6"/>
      <c r="AW1361" s="6"/>
      <c r="AX1361" s="6"/>
      <c r="AY1361" s="6"/>
      <c r="AZ1361" s="6"/>
      <c r="BA1361" s="6"/>
      <c r="BB1361" s="6"/>
      <c r="BC1361" s="6"/>
      <c r="BD1361" s="6"/>
      <c r="BE1361" s="6"/>
      <c r="BF1361" s="6"/>
      <c r="BG1361" s="6"/>
      <c r="BH1361" s="6"/>
      <c r="BI1361" s="6"/>
      <c r="BJ1361" s="6"/>
      <c r="BK1361" s="6"/>
      <c r="BL1361" s="6"/>
      <c r="BM1361" s="6"/>
      <c r="BN1361" s="6"/>
      <c r="BO1361" s="6"/>
      <c r="BP1361" s="6"/>
      <c r="BQ1361" s="6"/>
      <c r="BR1361" s="6"/>
      <c r="BS1361" s="6"/>
      <c r="BT1361" s="6"/>
      <c r="BU1361" s="6"/>
      <c r="BV1361" s="6"/>
      <c r="BW1361" s="6"/>
      <c r="BX1361" s="5"/>
      <c r="BY1361" s="7"/>
      <c r="BZ1361" s="7"/>
      <c r="CA1361" s="7"/>
      <c r="CB1361" s="7"/>
      <c r="CC1361" s="874"/>
    </row>
    <row r="1362" spans="1:81" s="400" customFormat="1" ht="14.25" customHeight="1" x14ac:dyDescent="0.25">
      <c r="A1362" s="5"/>
      <c r="B1362" s="5"/>
      <c r="C1362" s="5"/>
      <c r="D1362" s="5"/>
      <c r="E1362" s="5"/>
      <c r="F1362" s="5"/>
      <c r="G1362" s="5"/>
      <c r="H1362" s="5"/>
      <c r="I1362" s="5"/>
      <c r="J1362" s="5"/>
      <c r="K1362" s="5"/>
      <c r="L1362" s="5"/>
      <c r="M1362" s="5"/>
      <c r="N1362" s="5"/>
      <c r="O1362" s="5"/>
      <c r="P1362" s="5"/>
      <c r="Q1362" s="5"/>
      <c r="R1362" s="5"/>
      <c r="S1362" s="5"/>
      <c r="T1362" s="5"/>
      <c r="U1362" s="5"/>
      <c r="V1362" s="5"/>
      <c r="W1362" s="5"/>
      <c r="X1362" s="5"/>
      <c r="Y1362" s="5"/>
      <c r="Z1362" s="5"/>
      <c r="AA1362" s="5"/>
      <c r="AB1362" s="6"/>
      <c r="AC1362" s="6"/>
      <c r="AD1362" s="6"/>
      <c r="AE1362" s="6"/>
      <c r="AF1362" s="6"/>
      <c r="AG1362" s="6"/>
      <c r="AH1362" s="6"/>
      <c r="AI1362" s="6"/>
      <c r="AJ1362" s="6"/>
      <c r="AK1362" s="6"/>
      <c r="AL1362" s="6"/>
      <c r="AM1362" s="6"/>
      <c r="AN1362" s="6"/>
      <c r="AO1362" s="6"/>
      <c r="AP1362" s="6"/>
      <c r="AQ1362" s="6"/>
      <c r="AR1362" s="6"/>
      <c r="AS1362" s="6"/>
      <c r="AT1362" s="6"/>
      <c r="AU1362" s="6"/>
      <c r="AV1362" s="6"/>
      <c r="AW1362" s="6"/>
      <c r="AX1362" s="6"/>
      <c r="AY1362" s="6"/>
      <c r="AZ1362" s="6"/>
      <c r="BA1362" s="6"/>
      <c r="BB1362" s="6"/>
      <c r="BC1362" s="6"/>
      <c r="BD1362" s="6"/>
      <c r="BE1362" s="6"/>
      <c r="BF1362" s="6"/>
      <c r="BG1362" s="6"/>
      <c r="BH1362" s="6"/>
      <c r="BI1362" s="6"/>
      <c r="BJ1362" s="6"/>
      <c r="BK1362" s="6"/>
      <c r="BL1362" s="6"/>
      <c r="BM1362" s="6"/>
      <c r="BN1362" s="6"/>
      <c r="BO1362" s="6"/>
      <c r="BP1362" s="6"/>
      <c r="BQ1362" s="6"/>
      <c r="BR1362" s="6"/>
      <c r="BS1362" s="6"/>
      <c r="BT1362" s="6"/>
      <c r="BU1362" s="6"/>
      <c r="BV1362" s="6"/>
      <c r="BW1362" s="6"/>
      <c r="BX1362" s="5"/>
      <c r="BY1362" s="7"/>
      <c r="BZ1362" s="7"/>
      <c r="CA1362" s="7"/>
      <c r="CB1362" s="7"/>
      <c r="CC1362" s="874"/>
    </row>
    <row r="1363" spans="1:81" s="400" customFormat="1" ht="14.25" customHeight="1" x14ac:dyDescent="0.25">
      <c r="A1363" s="5"/>
      <c r="B1363" s="5"/>
      <c r="C1363" s="5"/>
      <c r="D1363" s="5"/>
      <c r="E1363" s="5"/>
      <c r="F1363" s="5"/>
      <c r="G1363" s="5"/>
      <c r="H1363" s="5"/>
      <c r="I1363" s="5"/>
      <c r="J1363" s="5"/>
      <c r="K1363" s="5"/>
      <c r="L1363" s="5"/>
      <c r="M1363" s="5"/>
      <c r="N1363" s="5"/>
      <c r="O1363" s="5"/>
      <c r="P1363" s="5"/>
      <c r="Q1363" s="5"/>
      <c r="R1363" s="5"/>
      <c r="S1363" s="5"/>
      <c r="T1363" s="5"/>
      <c r="U1363" s="5"/>
      <c r="V1363" s="5"/>
      <c r="W1363" s="5"/>
      <c r="X1363" s="5"/>
      <c r="Y1363" s="5"/>
      <c r="Z1363" s="5"/>
      <c r="AA1363" s="5"/>
      <c r="AB1363" s="6"/>
      <c r="AC1363" s="6"/>
      <c r="AD1363" s="6"/>
      <c r="AE1363" s="6"/>
      <c r="AF1363" s="6"/>
      <c r="AG1363" s="6"/>
      <c r="AH1363" s="6"/>
      <c r="AI1363" s="6"/>
      <c r="AJ1363" s="6"/>
      <c r="AK1363" s="6"/>
      <c r="AL1363" s="6"/>
      <c r="AM1363" s="6"/>
      <c r="AN1363" s="6"/>
      <c r="AO1363" s="6"/>
      <c r="AP1363" s="6"/>
      <c r="AQ1363" s="6"/>
      <c r="AR1363" s="6"/>
      <c r="AS1363" s="6"/>
      <c r="AT1363" s="6"/>
      <c r="AU1363" s="6"/>
      <c r="AV1363" s="6"/>
      <c r="AW1363" s="6"/>
      <c r="AX1363" s="6"/>
      <c r="AY1363" s="6"/>
      <c r="AZ1363" s="6"/>
      <c r="BA1363" s="6"/>
      <c r="BB1363" s="6"/>
      <c r="BC1363" s="6"/>
      <c r="BD1363" s="6"/>
      <c r="BE1363" s="6"/>
      <c r="BF1363" s="6"/>
      <c r="BG1363" s="6"/>
      <c r="BH1363" s="6"/>
      <c r="BI1363" s="6"/>
      <c r="BJ1363" s="6"/>
      <c r="BK1363" s="6"/>
      <c r="BL1363" s="6"/>
      <c r="BM1363" s="6"/>
      <c r="BN1363" s="6"/>
      <c r="BO1363" s="6"/>
      <c r="BP1363" s="6"/>
      <c r="BQ1363" s="6"/>
      <c r="BR1363" s="6"/>
      <c r="BS1363" s="6"/>
      <c r="BT1363" s="6"/>
      <c r="BU1363" s="6"/>
      <c r="BV1363" s="6"/>
      <c r="BW1363" s="6"/>
      <c r="BX1363" s="5"/>
      <c r="BY1363" s="7"/>
      <c r="BZ1363" s="7"/>
      <c r="CA1363" s="7"/>
      <c r="CB1363" s="7"/>
      <c r="CC1363" s="874"/>
    </row>
    <row r="1364" spans="1:81" s="400" customFormat="1" ht="14.25" customHeight="1" x14ac:dyDescent="0.25">
      <c r="A1364" s="5"/>
      <c r="B1364" s="5"/>
      <c r="C1364" s="5"/>
      <c r="D1364" s="5"/>
      <c r="E1364" s="5"/>
      <c r="F1364" s="5"/>
      <c r="G1364" s="5"/>
      <c r="H1364" s="5"/>
      <c r="I1364" s="5"/>
      <c r="J1364" s="5"/>
      <c r="K1364" s="5"/>
      <c r="L1364" s="5"/>
      <c r="M1364" s="5"/>
      <c r="N1364" s="5"/>
      <c r="O1364" s="5"/>
      <c r="P1364" s="5"/>
      <c r="Q1364" s="5"/>
      <c r="R1364" s="5"/>
      <c r="S1364" s="5"/>
      <c r="T1364" s="5"/>
      <c r="U1364" s="5"/>
      <c r="V1364" s="5"/>
      <c r="W1364" s="5"/>
      <c r="X1364" s="5"/>
      <c r="Y1364" s="5"/>
      <c r="Z1364" s="5"/>
      <c r="AA1364" s="5"/>
      <c r="AB1364" s="6"/>
      <c r="AC1364" s="6"/>
      <c r="AD1364" s="6"/>
      <c r="AE1364" s="6"/>
      <c r="AF1364" s="6"/>
      <c r="AG1364" s="6"/>
      <c r="AH1364" s="6"/>
      <c r="AI1364" s="6"/>
      <c r="AJ1364" s="6"/>
      <c r="AK1364" s="6"/>
      <c r="AL1364" s="6"/>
      <c r="AM1364" s="6"/>
      <c r="AN1364" s="6"/>
      <c r="AO1364" s="6"/>
      <c r="AP1364" s="6"/>
      <c r="AQ1364" s="6"/>
      <c r="AR1364" s="6"/>
      <c r="AS1364" s="6"/>
      <c r="AT1364" s="6"/>
      <c r="AU1364" s="6"/>
      <c r="AV1364" s="6"/>
      <c r="AW1364" s="6"/>
      <c r="AX1364" s="6"/>
      <c r="AY1364" s="6"/>
      <c r="AZ1364" s="6"/>
      <c r="BA1364" s="6"/>
      <c r="BB1364" s="6"/>
      <c r="BC1364" s="6"/>
      <c r="BD1364" s="6"/>
      <c r="BE1364" s="6"/>
      <c r="BF1364" s="6"/>
      <c r="BG1364" s="6"/>
      <c r="BH1364" s="6"/>
      <c r="BI1364" s="6"/>
      <c r="BJ1364" s="6"/>
      <c r="BK1364" s="6"/>
      <c r="BL1364" s="6"/>
      <c r="BM1364" s="6"/>
      <c r="BN1364" s="6"/>
      <c r="BO1364" s="6"/>
      <c r="BP1364" s="6"/>
      <c r="BQ1364" s="6"/>
      <c r="BR1364" s="6"/>
      <c r="BS1364" s="6"/>
      <c r="BT1364" s="6"/>
      <c r="BU1364" s="6"/>
      <c r="BV1364" s="6"/>
      <c r="BW1364" s="6"/>
      <c r="BX1364" s="5"/>
      <c r="BY1364" s="7"/>
      <c r="BZ1364" s="7"/>
      <c r="CA1364" s="7"/>
      <c r="CB1364" s="7"/>
      <c r="CC1364" s="874"/>
    </row>
    <row r="1365" spans="1:81" s="400" customFormat="1" ht="14.25" customHeight="1" x14ac:dyDescent="0.25">
      <c r="A1365" s="5"/>
      <c r="B1365" s="5"/>
      <c r="C1365" s="5"/>
      <c r="D1365" s="5"/>
      <c r="E1365" s="5"/>
      <c r="F1365" s="5"/>
      <c r="G1365" s="5"/>
      <c r="H1365" s="5"/>
      <c r="I1365" s="5"/>
      <c r="J1365" s="5"/>
      <c r="K1365" s="5"/>
      <c r="L1365" s="5"/>
      <c r="M1365" s="5"/>
      <c r="N1365" s="5"/>
      <c r="O1365" s="5"/>
      <c r="P1365" s="5"/>
      <c r="Q1365" s="5"/>
      <c r="R1365" s="5"/>
      <c r="S1365" s="5"/>
      <c r="T1365" s="5"/>
      <c r="U1365" s="5"/>
      <c r="V1365" s="5"/>
      <c r="W1365" s="5"/>
      <c r="X1365" s="5"/>
      <c r="Y1365" s="5"/>
      <c r="Z1365" s="5"/>
      <c r="AA1365" s="5"/>
      <c r="AB1365" s="6"/>
      <c r="AC1365" s="6"/>
      <c r="AD1365" s="6"/>
      <c r="AE1365" s="6"/>
      <c r="AF1365" s="6"/>
      <c r="AG1365" s="6"/>
      <c r="AH1365" s="6"/>
      <c r="AI1365" s="6"/>
      <c r="AJ1365" s="6"/>
      <c r="AK1365" s="6"/>
      <c r="AL1365" s="6"/>
      <c r="AM1365" s="6"/>
      <c r="AN1365" s="6"/>
      <c r="AO1365" s="6"/>
      <c r="AP1365" s="6"/>
      <c r="AQ1365" s="6"/>
      <c r="AR1365" s="6"/>
      <c r="AS1365" s="6"/>
      <c r="AT1365" s="6"/>
      <c r="AU1365" s="6"/>
      <c r="AV1365" s="6"/>
      <c r="AW1365" s="6"/>
      <c r="AX1365" s="6"/>
      <c r="AY1365" s="6"/>
      <c r="AZ1365" s="6"/>
      <c r="BA1365" s="6"/>
      <c r="BB1365" s="6"/>
      <c r="BC1365" s="6"/>
      <c r="BD1365" s="6"/>
      <c r="BE1365" s="6"/>
      <c r="BF1365" s="6"/>
      <c r="BG1365" s="6"/>
      <c r="BH1365" s="6"/>
      <c r="BI1365" s="6"/>
      <c r="BJ1365" s="6"/>
      <c r="BK1365" s="6"/>
      <c r="BL1365" s="6"/>
      <c r="BM1365" s="6"/>
      <c r="BN1365" s="6"/>
      <c r="BO1365" s="6"/>
      <c r="BP1365" s="6"/>
      <c r="BQ1365" s="6"/>
      <c r="BR1365" s="6"/>
      <c r="BS1365" s="6"/>
      <c r="BT1365" s="6"/>
      <c r="BU1365" s="6"/>
      <c r="BV1365" s="6"/>
      <c r="BW1365" s="6"/>
      <c r="BX1365" s="5"/>
      <c r="BY1365" s="7"/>
      <c r="BZ1365" s="7"/>
      <c r="CA1365" s="7"/>
      <c r="CB1365" s="7"/>
      <c r="CC1365" s="874"/>
    </row>
    <row r="1366" spans="1:81" s="400" customFormat="1" ht="14.25" customHeight="1" x14ac:dyDescent="0.25">
      <c r="A1366" s="5"/>
      <c r="B1366" s="5"/>
      <c r="C1366" s="5"/>
      <c r="D1366" s="5"/>
      <c r="E1366" s="5"/>
      <c r="F1366" s="5"/>
      <c r="G1366" s="5"/>
      <c r="H1366" s="5"/>
      <c r="I1366" s="5"/>
      <c r="J1366" s="5"/>
      <c r="K1366" s="5"/>
      <c r="L1366" s="5"/>
      <c r="M1366" s="5"/>
      <c r="N1366" s="5"/>
      <c r="O1366" s="5"/>
      <c r="P1366" s="5"/>
      <c r="Q1366" s="5"/>
      <c r="R1366" s="5"/>
      <c r="S1366" s="5"/>
      <c r="T1366" s="5"/>
      <c r="U1366" s="5"/>
      <c r="V1366" s="5"/>
      <c r="W1366" s="5"/>
      <c r="X1366" s="5"/>
      <c r="Y1366" s="5"/>
      <c r="Z1366" s="5"/>
      <c r="AA1366" s="5"/>
      <c r="AB1366" s="6"/>
      <c r="AC1366" s="6"/>
      <c r="AD1366" s="6"/>
      <c r="AE1366" s="6"/>
      <c r="AF1366" s="6"/>
      <c r="AG1366" s="6"/>
      <c r="AH1366" s="6"/>
      <c r="AI1366" s="6"/>
      <c r="AJ1366" s="6"/>
      <c r="AK1366" s="6"/>
      <c r="AL1366" s="6"/>
      <c r="AM1366" s="6"/>
      <c r="AN1366" s="6"/>
      <c r="AO1366" s="6"/>
      <c r="AP1366" s="6"/>
      <c r="AQ1366" s="6"/>
      <c r="AR1366" s="6"/>
      <c r="AS1366" s="6"/>
      <c r="AT1366" s="6"/>
      <c r="AU1366" s="6"/>
      <c r="AV1366" s="6"/>
      <c r="AW1366" s="6"/>
      <c r="AX1366" s="6"/>
      <c r="AY1366" s="6"/>
      <c r="AZ1366" s="6"/>
      <c r="BA1366" s="6"/>
      <c r="BB1366" s="6"/>
      <c r="BC1366" s="6"/>
      <c r="BD1366" s="6"/>
      <c r="BE1366" s="6"/>
      <c r="BF1366" s="6"/>
      <c r="BG1366" s="6"/>
      <c r="BH1366" s="6"/>
      <c r="BI1366" s="6"/>
      <c r="BJ1366" s="6"/>
      <c r="BK1366" s="6"/>
      <c r="BL1366" s="6"/>
      <c r="BM1366" s="6"/>
      <c r="BN1366" s="6"/>
      <c r="BO1366" s="6"/>
      <c r="BP1366" s="6"/>
      <c r="BQ1366" s="6"/>
      <c r="BR1366" s="6"/>
      <c r="BS1366" s="6"/>
      <c r="BT1366" s="6"/>
      <c r="BU1366" s="6"/>
      <c r="BV1366" s="6"/>
      <c r="BW1366" s="6"/>
      <c r="BX1366" s="5"/>
      <c r="BY1366" s="7"/>
      <c r="BZ1366" s="7"/>
      <c r="CA1366" s="7"/>
      <c r="CB1366" s="7"/>
      <c r="CC1366" s="874"/>
    </row>
    <row r="1367" spans="1:81" s="400" customFormat="1" ht="14.25" customHeight="1" x14ac:dyDescent="0.25">
      <c r="A1367" s="5"/>
      <c r="B1367" s="5"/>
      <c r="C1367" s="5"/>
      <c r="D1367" s="5"/>
      <c r="E1367" s="5"/>
      <c r="F1367" s="5"/>
      <c r="G1367" s="5"/>
      <c r="H1367" s="5"/>
      <c r="I1367" s="5"/>
      <c r="J1367" s="5"/>
      <c r="K1367" s="5"/>
      <c r="L1367" s="5"/>
      <c r="M1367" s="5"/>
      <c r="N1367" s="5"/>
      <c r="O1367" s="5"/>
      <c r="P1367" s="5"/>
      <c r="Q1367" s="5"/>
      <c r="R1367" s="5"/>
      <c r="S1367" s="5"/>
      <c r="T1367" s="5"/>
      <c r="U1367" s="5"/>
      <c r="V1367" s="5"/>
      <c r="W1367" s="5"/>
      <c r="X1367" s="5"/>
      <c r="Y1367" s="5"/>
      <c r="Z1367" s="5"/>
      <c r="AA1367" s="5"/>
      <c r="AB1367" s="6"/>
      <c r="AC1367" s="6"/>
      <c r="AD1367" s="6"/>
      <c r="AE1367" s="6"/>
      <c r="AF1367" s="6"/>
      <c r="AG1367" s="6"/>
      <c r="AH1367" s="6"/>
      <c r="AI1367" s="6"/>
      <c r="AJ1367" s="6"/>
      <c r="AK1367" s="6"/>
      <c r="AL1367" s="6"/>
      <c r="AM1367" s="6"/>
      <c r="AN1367" s="6"/>
      <c r="AO1367" s="6"/>
      <c r="AP1367" s="6"/>
      <c r="AQ1367" s="6"/>
      <c r="AR1367" s="6"/>
      <c r="AS1367" s="6"/>
      <c r="AT1367" s="6"/>
      <c r="AU1367" s="6"/>
      <c r="AV1367" s="6"/>
      <c r="AW1367" s="6"/>
      <c r="AX1367" s="6"/>
      <c r="AY1367" s="6"/>
      <c r="AZ1367" s="6"/>
      <c r="BA1367" s="6"/>
      <c r="BB1367" s="6"/>
      <c r="BC1367" s="6"/>
      <c r="BD1367" s="6"/>
      <c r="BE1367" s="6"/>
      <c r="BF1367" s="6"/>
      <c r="BG1367" s="6"/>
      <c r="BH1367" s="6"/>
      <c r="BI1367" s="6"/>
      <c r="BJ1367" s="6"/>
      <c r="BK1367" s="6"/>
      <c r="BL1367" s="6"/>
      <c r="BM1367" s="6"/>
      <c r="BN1367" s="6"/>
      <c r="BO1367" s="6"/>
      <c r="BP1367" s="6"/>
      <c r="BQ1367" s="6"/>
      <c r="BR1367" s="6"/>
      <c r="BS1367" s="6"/>
      <c r="BT1367" s="6"/>
      <c r="BU1367" s="6"/>
      <c r="BV1367" s="6"/>
      <c r="BW1367" s="6"/>
      <c r="BX1367" s="5"/>
      <c r="BY1367" s="7"/>
      <c r="BZ1367" s="7"/>
      <c r="CA1367" s="7"/>
      <c r="CB1367" s="7"/>
      <c r="CC1367" s="874"/>
    </row>
    <row r="1368" spans="1:81" s="400" customFormat="1" ht="14.25" customHeight="1" x14ac:dyDescent="0.25">
      <c r="A1368" s="5"/>
      <c r="B1368" s="5"/>
      <c r="C1368" s="5"/>
      <c r="D1368" s="5"/>
      <c r="E1368" s="5"/>
      <c r="F1368" s="5"/>
      <c r="G1368" s="5"/>
      <c r="H1368" s="5"/>
      <c r="I1368" s="5"/>
      <c r="J1368" s="5"/>
      <c r="K1368" s="5"/>
      <c r="L1368" s="5"/>
      <c r="M1368" s="5"/>
      <c r="N1368" s="5"/>
      <c r="O1368" s="5"/>
      <c r="P1368" s="5"/>
      <c r="Q1368" s="5"/>
      <c r="R1368" s="5"/>
      <c r="S1368" s="5"/>
      <c r="T1368" s="5"/>
      <c r="U1368" s="5"/>
      <c r="V1368" s="5"/>
      <c r="W1368" s="5"/>
      <c r="X1368" s="5"/>
      <c r="Y1368" s="5"/>
      <c r="Z1368" s="5"/>
      <c r="AA1368" s="5"/>
      <c r="AB1368" s="6"/>
      <c r="AC1368" s="6"/>
      <c r="AD1368" s="6"/>
      <c r="AE1368" s="6"/>
      <c r="AF1368" s="6"/>
      <c r="AG1368" s="6"/>
      <c r="AH1368" s="6"/>
      <c r="AI1368" s="6"/>
      <c r="AJ1368" s="6"/>
      <c r="AK1368" s="6"/>
      <c r="AL1368" s="6"/>
      <c r="AM1368" s="6"/>
      <c r="AN1368" s="6"/>
      <c r="AO1368" s="6"/>
      <c r="AP1368" s="6"/>
      <c r="AQ1368" s="6"/>
      <c r="AR1368" s="6"/>
      <c r="AS1368" s="6"/>
      <c r="AT1368" s="6"/>
      <c r="AU1368" s="6"/>
      <c r="AV1368" s="6"/>
      <c r="AW1368" s="6"/>
      <c r="AX1368" s="6"/>
      <c r="AY1368" s="6"/>
      <c r="AZ1368" s="6"/>
      <c r="BA1368" s="6"/>
      <c r="BB1368" s="6"/>
      <c r="BC1368" s="6"/>
      <c r="BD1368" s="6"/>
      <c r="BE1368" s="6"/>
      <c r="BF1368" s="6"/>
      <c r="BG1368" s="6"/>
      <c r="BH1368" s="6"/>
      <c r="BI1368" s="6"/>
      <c r="BJ1368" s="6"/>
      <c r="BK1368" s="6"/>
      <c r="BL1368" s="6"/>
      <c r="BM1368" s="6"/>
      <c r="BN1368" s="6"/>
      <c r="BO1368" s="6"/>
      <c r="BP1368" s="6"/>
      <c r="BQ1368" s="6"/>
      <c r="BR1368" s="6"/>
      <c r="BS1368" s="6"/>
      <c r="BT1368" s="6"/>
      <c r="BU1368" s="6"/>
      <c r="BV1368" s="6"/>
      <c r="BW1368" s="6"/>
      <c r="BX1368" s="5"/>
      <c r="BY1368" s="7"/>
      <c r="BZ1368" s="7"/>
      <c r="CA1368" s="7"/>
      <c r="CB1368" s="7"/>
      <c r="CC1368" s="874"/>
    </row>
    <row r="1369" spans="1:81" s="400" customFormat="1" ht="14.25" customHeight="1" x14ac:dyDescent="0.25">
      <c r="A1369" s="5"/>
      <c r="B1369" s="5"/>
      <c r="C1369" s="5"/>
      <c r="D1369" s="5"/>
      <c r="E1369" s="5"/>
      <c r="F1369" s="5"/>
      <c r="G1369" s="5"/>
      <c r="H1369" s="5"/>
      <c r="I1369" s="5"/>
      <c r="J1369" s="5"/>
      <c r="K1369" s="5"/>
      <c r="L1369" s="5"/>
      <c r="M1369" s="5"/>
      <c r="N1369" s="5"/>
      <c r="O1369" s="5"/>
      <c r="P1369" s="5"/>
      <c r="Q1369" s="5"/>
      <c r="R1369" s="5"/>
      <c r="S1369" s="5"/>
      <c r="T1369" s="5"/>
      <c r="U1369" s="5"/>
      <c r="V1369" s="5"/>
      <c r="W1369" s="5"/>
      <c r="X1369" s="5"/>
      <c r="Y1369" s="5"/>
      <c r="Z1369" s="5"/>
      <c r="AA1369" s="5"/>
      <c r="AB1369" s="6"/>
      <c r="AC1369" s="6"/>
      <c r="AD1369" s="6"/>
      <c r="AE1369" s="6"/>
      <c r="AF1369" s="6"/>
      <c r="AG1369" s="6"/>
      <c r="AH1369" s="6"/>
      <c r="AI1369" s="6"/>
      <c r="AJ1369" s="6"/>
      <c r="AK1369" s="6"/>
      <c r="AL1369" s="6"/>
      <c r="AM1369" s="6"/>
      <c r="AN1369" s="6"/>
      <c r="AO1369" s="6"/>
      <c r="AP1369" s="6"/>
      <c r="AQ1369" s="6"/>
      <c r="AR1369" s="6"/>
      <c r="AS1369" s="6"/>
      <c r="AT1369" s="6"/>
      <c r="AU1369" s="6"/>
      <c r="AV1369" s="6"/>
      <c r="AW1369" s="6"/>
      <c r="AX1369" s="6"/>
      <c r="AY1369" s="6"/>
      <c r="AZ1369" s="6"/>
      <c r="BA1369" s="6"/>
      <c r="BB1369" s="6"/>
      <c r="BC1369" s="6"/>
      <c r="BD1369" s="6"/>
      <c r="BE1369" s="6"/>
      <c r="BF1369" s="6"/>
      <c r="BG1369" s="6"/>
      <c r="BH1369" s="6"/>
      <c r="BI1369" s="6"/>
      <c r="BJ1369" s="6"/>
      <c r="BK1369" s="6"/>
      <c r="BL1369" s="6"/>
      <c r="BM1369" s="6"/>
      <c r="BN1369" s="6"/>
      <c r="BO1369" s="6"/>
      <c r="BP1369" s="6"/>
      <c r="BQ1369" s="6"/>
      <c r="BR1369" s="6"/>
      <c r="BS1369" s="6"/>
      <c r="BT1369" s="6"/>
      <c r="BU1369" s="6"/>
      <c r="BV1369" s="6"/>
      <c r="BW1369" s="6"/>
      <c r="BX1369" s="5"/>
      <c r="BY1369" s="7"/>
      <c r="BZ1369" s="7"/>
      <c r="CA1369" s="7"/>
      <c r="CB1369" s="7"/>
      <c r="CC1369" s="874"/>
    </row>
    <row r="1370" spans="1:81" s="400" customFormat="1" ht="14.25" customHeight="1" x14ac:dyDescent="0.25">
      <c r="A1370" s="5"/>
      <c r="B1370" s="5"/>
      <c r="C1370" s="5"/>
      <c r="D1370" s="5"/>
      <c r="E1370" s="5"/>
      <c r="F1370" s="5"/>
      <c r="G1370" s="5"/>
      <c r="H1370" s="5"/>
      <c r="I1370" s="5"/>
      <c r="J1370" s="5"/>
      <c r="K1370" s="5"/>
      <c r="L1370" s="5"/>
      <c r="M1370" s="5"/>
      <c r="N1370" s="5"/>
      <c r="O1370" s="5"/>
      <c r="P1370" s="5"/>
      <c r="Q1370" s="5"/>
      <c r="R1370" s="5"/>
      <c r="S1370" s="5"/>
      <c r="T1370" s="5"/>
      <c r="U1370" s="5"/>
      <c r="V1370" s="5"/>
      <c r="W1370" s="5"/>
      <c r="X1370" s="5"/>
      <c r="Y1370" s="5"/>
      <c r="Z1370" s="5"/>
      <c r="AA1370" s="5"/>
      <c r="AB1370" s="6"/>
      <c r="AC1370" s="6"/>
      <c r="AD1370" s="6"/>
      <c r="AE1370" s="6"/>
      <c r="AF1370" s="6"/>
      <c r="AG1370" s="6"/>
      <c r="AH1370" s="6"/>
      <c r="AI1370" s="6"/>
      <c r="AJ1370" s="6"/>
      <c r="AK1370" s="6"/>
      <c r="AL1370" s="6"/>
      <c r="AM1370" s="6"/>
      <c r="AN1370" s="6"/>
      <c r="AO1370" s="6"/>
      <c r="AP1370" s="6"/>
      <c r="AQ1370" s="6"/>
      <c r="AR1370" s="6"/>
      <c r="AS1370" s="6"/>
      <c r="AT1370" s="6"/>
      <c r="AU1370" s="6"/>
      <c r="AV1370" s="6"/>
      <c r="AW1370" s="6"/>
      <c r="AX1370" s="6"/>
      <c r="AY1370" s="6"/>
      <c r="AZ1370" s="6"/>
      <c r="BA1370" s="6"/>
      <c r="BB1370" s="6"/>
      <c r="BC1370" s="6"/>
      <c r="BD1370" s="6"/>
      <c r="BE1370" s="6"/>
      <c r="BF1370" s="6"/>
      <c r="BG1370" s="6"/>
      <c r="BH1370" s="6"/>
      <c r="BI1370" s="6"/>
      <c r="BJ1370" s="6"/>
      <c r="BK1370" s="6"/>
      <c r="BL1370" s="6"/>
      <c r="BM1370" s="6"/>
      <c r="BN1370" s="6"/>
      <c r="BO1370" s="6"/>
      <c r="BP1370" s="6"/>
      <c r="BQ1370" s="6"/>
      <c r="BR1370" s="6"/>
      <c r="BS1370" s="6"/>
      <c r="BT1370" s="6"/>
      <c r="BU1370" s="6"/>
      <c r="BV1370" s="6"/>
      <c r="BW1370" s="6"/>
      <c r="BX1370" s="5"/>
      <c r="BY1370" s="7"/>
      <c r="BZ1370" s="7"/>
      <c r="CA1370" s="7"/>
      <c r="CB1370" s="7"/>
      <c r="CC1370" s="874"/>
    </row>
    <row r="1371" spans="1:81" s="400" customFormat="1" ht="14.25" customHeight="1" x14ac:dyDescent="0.25">
      <c r="A1371" s="5"/>
      <c r="B1371" s="5"/>
      <c r="C1371" s="5"/>
      <c r="D1371" s="5"/>
      <c r="E1371" s="5"/>
      <c r="F1371" s="5"/>
      <c r="G1371" s="5"/>
      <c r="H1371" s="5"/>
      <c r="I1371" s="5"/>
      <c r="J1371" s="5"/>
      <c r="K1371" s="5"/>
      <c r="L1371" s="5"/>
      <c r="M1371" s="5"/>
      <c r="N1371" s="5"/>
      <c r="O1371" s="5"/>
      <c r="P1371" s="5"/>
      <c r="Q1371" s="5"/>
      <c r="R1371" s="5"/>
      <c r="S1371" s="5"/>
      <c r="T1371" s="5"/>
      <c r="U1371" s="5"/>
      <c r="V1371" s="5"/>
      <c r="W1371" s="5"/>
      <c r="X1371" s="5"/>
      <c r="Y1371" s="5"/>
      <c r="Z1371" s="5"/>
      <c r="AA1371" s="5"/>
      <c r="AB1371" s="6"/>
      <c r="AC1371" s="6"/>
      <c r="AD1371" s="6"/>
      <c r="AE1371" s="6"/>
      <c r="AF1371" s="6"/>
      <c r="AG1371" s="6"/>
      <c r="AH1371" s="6"/>
      <c r="AI1371" s="6"/>
      <c r="AJ1371" s="6"/>
      <c r="AK1371" s="6"/>
      <c r="AL1371" s="6"/>
      <c r="AM1371" s="6"/>
      <c r="AN1371" s="6"/>
      <c r="AO1371" s="6"/>
      <c r="AP1371" s="6"/>
      <c r="AQ1371" s="6"/>
      <c r="AR1371" s="6"/>
      <c r="AS1371" s="6"/>
      <c r="AT1371" s="6"/>
      <c r="AU1371" s="6"/>
      <c r="AV1371" s="6"/>
      <c r="AW1371" s="6"/>
      <c r="AX1371" s="6"/>
      <c r="AY1371" s="6"/>
      <c r="AZ1371" s="6"/>
      <c r="BA1371" s="6"/>
      <c r="BB1371" s="6"/>
      <c r="BC1371" s="6"/>
      <c r="BD1371" s="6"/>
      <c r="BE1371" s="6"/>
      <c r="BF1371" s="6"/>
      <c r="BG1371" s="6"/>
      <c r="BH1371" s="6"/>
      <c r="BI1371" s="6"/>
      <c r="BJ1371" s="6"/>
      <c r="BK1371" s="6"/>
      <c r="BL1371" s="6"/>
      <c r="BM1371" s="6"/>
      <c r="BN1371" s="6"/>
      <c r="BO1371" s="6"/>
      <c r="BP1371" s="6"/>
      <c r="BQ1371" s="6"/>
      <c r="BR1371" s="6"/>
      <c r="BS1371" s="6"/>
      <c r="BT1371" s="6"/>
      <c r="BU1371" s="6"/>
      <c r="BV1371" s="6"/>
      <c r="BW1371" s="6"/>
      <c r="BX1371" s="5"/>
      <c r="BY1371" s="7"/>
      <c r="BZ1371" s="7"/>
      <c r="CA1371" s="7"/>
      <c r="CB1371" s="7"/>
      <c r="CC1371" s="874"/>
    </row>
    <row r="1372" spans="1:81" s="400" customFormat="1" ht="14.25" customHeight="1" x14ac:dyDescent="0.25">
      <c r="A1372" s="5"/>
      <c r="B1372" s="5"/>
      <c r="C1372" s="5"/>
      <c r="D1372" s="5"/>
      <c r="E1372" s="5"/>
      <c r="F1372" s="5"/>
      <c r="G1372" s="5"/>
      <c r="H1372" s="5"/>
      <c r="I1372" s="5"/>
      <c r="J1372" s="5"/>
      <c r="K1372" s="5"/>
      <c r="L1372" s="5"/>
      <c r="M1372" s="5"/>
      <c r="N1372" s="5"/>
      <c r="O1372" s="5"/>
      <c r="P1372" s="5"/>
      <c r="Q1372" s="5"/>
      <c r="R1372" s="5"/>
      <c r="S1372" s="5"/>
      <c r="T1372" s="5"/>
      <c r="U1372" s="5"/>
      <c r="V1372" s="5"/>
      <c r="W1372" s="5"/>
      <c r="X1372" s="5"/>
      <c r="Y1372" s="5"/>
      <c r="Z1372" s="5"/>
      <c r="AA1372" s="5"/>
      <c r="AB1372" s="6"/>
      <c r="AC1372" s="6"/>
      <c r="AD1372" s="6"/>
      <c r="AE1372" s="6"/>
      <c r="AF1372" s="6"/>
      <c r="AG1372" s="6"/>
      <c r="AH1372" s="6"/>
      <c r="AI1372" s="6"/>
      <c r="AJ1372" s="6"/>
      <c r="AK1372" s="6"/>
      <c r="AL1372" s="6"/>
      <c r="AM1372" s="6"/>
      <c r="AN1372" s="6"/>
      <c r="AO1372" s="6"/>
      <c r="AP1372" s="6"/>
      <c r="AQ1372" s="6"/>
      <c r="AR1372" s="6"/>
      <c r="AS1372" s="6"/>
      <c r="AT1372" s="6"/>
      <c r="AU1372" s="6"/>
      <c r="AV1372" s="6"/>
      <c r="AW1372" s="6"/>
      <c r="AX1372" s="6"/>
      <c r="AY1372" s="6"/>
      <c r="AZ1372" s="6"/>
      <c r="BA1372" s="6"/>
      <c r="BB1372" s="6"/>
      <c r="BC1372" s="6"/>
      <c r="BD1372" s="6"/>
      <c r="BE1372" s="6"/>
      <c r="BF1372" s="6"/>
      <c r="BG1372" s="6"/>
      <c r="BH1372" s="6"/>
      <c r="BI1372" s="6"/>
      <c r="BJ1372" s="6"/>
      <c r="BK1372" s="6"/>
      <c r="BL1372" s="6"/>
      <c r="BM1372" s="6"/>
      <c r="BN1372" s="6"/>
      <c r="BO1372" s="6"/>
      <c r="BP1372" s="6"/>
      <c r="BQ1372" s="6"/>
      <c r="BR1372" s="6"/>
      <c r="BS1372" s="6"/>
      <c r="BT1372" s="6"/>
      <c r="BU1372" s="6"/>
      <c r="BV1372" s="6"/>
      <c r="BW1372" s="6"/>
      <c r="BX1372" s="5"/>
      <c r="BY1372" s="7"/>
      <c r="BZ1372" s="7"/>
      <c r="CA1372" s="7"/>
      <c r="CB1372" s="7"/>
      <c r="CC1372" s="874"/>
    </row>
    <row r="1373" spans="1:81" s="400" customFormat="1" ht="14.25" customHeight="1" x14ac:dyDescent="0.25">
      <c r="A1373" s="5"/>
      <c r="B1373" s="5"/>
      <c r="C1373" s="5"/>
      <c r="D1373" s="5"/>
      <c r="E1373" s="5"/>
      <c r="F1373" s="5"/>
      <c r="G1373" s="5"/>
      <c r="H1373" s="5"/>
      <c r="I1373" s="5"/>
      <c r="J1373" s="5"/>
      <c r="K1373" s="5"/>
      <c r="L1373" s="5"/>
      <c r="M1373" s="5"/>
      <c r="N1373" s="5"/>
      <c r="O1373" s="5"/>
      <c r="P1373" s="5"/>
      <c r="Q1373" s="5"/>
      <c r="R1373" s="5"/>
      <c r="S1373" s="5"/>
      <c r="T1373" s="5"/>
      <c r="U1373" s="5"/>
      <c r="V1373" s="5"/>
      <c r="W1373" s="5"/>
      <c r="X1373" s="5"/>
      <c r="Y1373" s="5"/>
      <c r="Z1373" s="5"/>
      <c r="AA1373" s="5"/>
      <c r="AB1373" s="6"/>
      <c r="AC1373" s="6"/>
      <c r="AD1373" s="6"/>
      <c r="AE1373" s="6"/>
      <c r="AF1373" s="6"/>
      <c r="AG1373" s="6"/>
      <c r="AH1373" s="6"/>
      <c r="AI1373" s="6"/>
      <c r="AJ1373" s="6"/>
      <c r="AK1373" s="6"/>
      <c r="AL1373" s="6"/>
      <c r="AM1373" s="6"/>
      <c r="AN1373" s="6"/>
      <c r="AO1373" s="6"/>
      <c r="AP1373" s="6"/>
      <c r="AQ1373" s="6"/>
      <c r="AR1373" s="6"/>
      <c r="AS1373" s="6"/>
      <c r="AT1373" s="6"/>
      <c r="AU1373" s="6"/>
      <c r="AV1373" s="6"/>
      <c r="AW1373" s="6"/>
      <c r="AX1373" s="6"/>
      <c r="AY1373" s="6"/>
      <c r="AZ1373" s="6"/>
      <c r="BA1373" s="6"/>
      <c r="BB1373" s="6"/>
      <c r="BC1373" s="6"/>
      <c r="BD1373" s="6"/>
      <c r="BE1373" s="6"/>
      <c r="BF1373" s="6"/>
      <c r="BG1373" s="6"/>
      <c r="BH1373" s="6"/>
      <c r="BI1373" s="6"/>
      <c r="BJ1373" s="6"/>
      <c r="BK1373" s="6"/>
      <c r="BL1373" s="6"/>
      <c r="BM1373" s="6"/>
      <c r="BN1373" s="6"/>
      <c r="BO1373" s="6"/>
      <c r="BP1373" s="6"/>
      <c r="BQ1373" s="6"/>
      <c r="BR1373" s="6"/>
      <c r="BS1373" s="6"/>
      <c r="BT1373" s="6"/>
      <c r="BU1373" s="6"/>
      <c r="BV1373" s="6"/>
      <c r="BW1373" s="6"/>
      <c r="BX1373" s="5"/>
      <c r="BY1373" s="7"/>
      <c r="BZ1373" s="7"/>
      <c r="CA1373" s="7"/>
      <c r="CB1373" s="7"/>
      <c r="CC1373" s="874"/>
    </row>
    <row r="1374" spans="1:81" s="400" customFormat="1" ht="14.25" customHeight="1" x14ac:dyDescent="0.25">
      <c r="A1374" s="5"/>
      <c r="B1374" s="5"/>
      <c r="C1374" s="5"/>
      <c r="D1374" s="5"/>
      <c r="E1374" s="5"/>
      <c r="F1374" s="5"/>
      <c r="G1374" s="5"/>
      <c r="H1374" s="5"/>
      <c r="I1374" s="5"/>
      <c r="J1374" s="5"/>
      <c r="K1374" s="5"/>
      <c r="L1374" s="5"/>
      <c r="M1374" s="5"/>
      <c r="N1374" s="5"/>
      <c r="O1374" s="5"/>
      <c r="P1374" s="5"/>
      <c r="Q1374" s="5"/>
      <c r="R1374" s="5"/>
      <c r="S1374" s="5"/>
      <c r="T1374" s="5"/>
      <c r="U1374" s="5"/>
      <c r="V1374" s="5"/>
      <c r="W1374" s="5"/>
      <c r="X1374" s="5"/>
      <c r="Y1374" s="5"/>
      <c r="Z1374" s="5"/>
      <c r="AA1374" s="5"/>
      <c r="AB1374" s="6"/>
      <c r="AC1374" s="6"/>
      <c r="AD1374" s="6"/>
      <c r="AE1374" s="6"/>
      <c r="AF1374" s="6"/>
      <c r="AG1374" s="6"/>
      <c r="AH1374" s="6"/>
      <c r="AI1374" s="6"/>
      <c r="AJ1374" s="6"/>
      <c r="AK1374" s="6"/>
      <c r="AL1374" s="6"/>
      <c r="AM1374" s="6"/>
      <c r="AN1374" s="6"/>
      <c r="AO1374" s="6"/>
      <c r="AP1374" s="6"/>
      <c r="AQ1374" s="6"/>
      <c r="AR1374" s="6"/>
      <c r="AS1374" s="6"/>
      <c r="AT1374" s="6"/>
      <c r="AU1374" s="6"/>
      <c r="AV1374" s="6"/>
      <c r="AW1374" s="6"/>
      <c r="AX1374" s="6"/>
      <c r="AY1374" s="6"/>
      <c r="AZ1374" s="6"/>
      <c r="BA1374" s="6"/>
      <c r="BB1374" s="6"/>
      <c r="BC1374" s="6"/>
      <c r="BD1374" s="6"/>
      <c r="BE1374" s="6"/>
      <c r="BF1374" s="6"/>
      <c r="BG1374" s="6"/>
      <c r="BH1374" s="6"/>
      <c r="BI1374" s="6"/>
      <c r="BJ1374" s="6"/>
      <c r="BK1374" s="6"/>
      <c r="BL1374" s="6"/>
      <c r="BM1374" s="6"/>
      <c r="BN1374" s="6"/>
      <c r="BO1374" s="6"/>
      <c r="BP1374" s="6"/>
      <c r="BQ1374" s="6"/>
      <c r="BR1374" s="6"/>
      <c r="BS1374" s="6"/>
      <c r="BT1374" s="6"/>
      <c r="BU1374" s="6"/>
      <c r="BV1374" s="6"/>
      <c r="BW1374" s="6"/>
      <c r="BX1374" s="5"/>
      <c r="BY1374" s="7"/>
      <c r="BZ1374" s="7"/>
      <c r="CA1374" s="7"/>
      <c r="CB1374" s="7"/>
      <c r="CC1374" s="874"/>
    </row>
    <row r="1375" spans="1:81" s="400" customFormat="1" ht="14.25" customHeight="1" x14ac:dyDescent="0.25">
      <c r="A1375" s="5"/>
      <c r="B1375" s="5"/>
      <c r="C1375" s="5"/>
      <c r="D1375" s="5"/>
      <c r="E1375" s="5"/>
      <c r="F1375" s="5"/>
      <c r="G1375" s="5"/>
      <c r="H1375" s="5"/>
      <c r="I1375" s="5"/>
      <c r="J1375" s="5"/>
      <c r="K1375" s="5"/>
      <c r="L1375" s="5"/>
      <c r="M1375" s="5"/>
      <c r="N1375" s="5"/>
      <c r="O1375" s="5"/>
      <c r="P1375" s="5"/>
      <c r="Q1375" s="5"/>
      <c r="R1375" s="5"/>
      <c r="S1375" s="5"/>
      <c r="T1375" s="5"/>
      <c r="U1375" s="5"/>
      <c r="V1375" s="5"/>
      <c r="W1375" s="5"/>
      <c r="X1375" s="5"/>
      <c r="Y1375" s="5"/>
      <c r="Z1375" s="5"/>
      <c r="AA1375" s="5"/>
      <c r="AB1375" s="6"/>
      <c r="AC1375" s="6"/>
      <c r="AD1375" s="6"/>
      <c r="AE1375" s="6"/>
      <c r="AF1375" s="6"/>
      <c r="AG1375" s="6"/>
      <c r="AH1375" s="6"/>
      <c r="AI1375" s="6"/>
      <c r="AJ1375" s="6"/>
      <c r="AK1375" s="6"/>
      <c r="AL1375" s="6"/>
      <c r="AM1375" s="6"/>
      <c r="AN1375" s="6"/>
      <c r="AO1375" s="6"/>
      <c r="AP1375" s="6"/>
      <c r="AQ1375" s="6"/>
      <c r="AR1375" s="6"/>
      <c r="AS1375" s="6"/>
      <c r="AT1375" s="6"/>
      <c r="AU1375" s="6"/>
      <c r="AV1375" s="6"/>
      <c r="AW1375" s="6"/>
      <c r="AX1375" s="6"/>
      <c r="AY1375" s="6"/>
      <c r="AZ1375" s="6"/>
      <c r="BA1375" s="6"/>
      <c r="BB1375" s="6"/>
      <c r="BC1375" s="6"/>
      <c r="BD1375" s="6"/>
      <c r="BE1375" s="6"/>
      <c r="BF1375" s="6"/>
      <c r="BG1375" s="6"/>
      <c r="BH1375" s="6"/>
      <c r="BI1375" s="6"/>
      <c r="BJ1375" s="6"/>
      <c r="BK1375" s="6"/>
      <c r="BL1375" s="6"/>
      <c r="BM1375" s="6"/>
      <c r="BN1375" s="6"/>
      <c r="BO1375" s="6"/>
      <c r="BP1375" s="6"/>
      <c r="BQ1375" s="6"/>
      <c r="BR1375" s="6"/>
      <c r="BS1375" s="6"/>
      <c r="BT1375" s="6"/>
      <c r="BU1375" s="6"/>
      <c r="BV1375" s="6"/>
      <c r="BW1375" s="6"/>
      <c r="BX1375" s="5"/>
      <c r="BY1375" s="7"/>
      <c r="BZ1375" s="7"/>
      <c r="CA1375" s="7"/>
      <c r="CB1375" s="7"/>
      <c r="CC1375" s="874"/>
    </row>
    <row r="1376" spans="1:81" s="400" customFormat="1" ht="14.25" customHeight="1" x14ac:dyDescent="0.25">
      <c r="A1376" s="5"/>
      <c r="B1376" s="5"/>
      <c r="C1376" s="5"/>
      <c r="D1376" s="5"/>
      <c r="E1376" s="5"/>
      <c r="F1376" s="5"/>
      <c r="G1376" s="5"/>
      <c r="H1376" s="5"/>
      <c r="I1376" s="5"/>
      <c r="J1376" s="5"/>
      <c r="K1376" s="5"/>
      <c r="L1376" s="5"/>
      <c r="M1376" s="5"/>
      <c r="N1376" s="5"/>
      <c r="O1376" s="5"/>
      <c r="P1376" s="5"/>
      <c r="Q1376" s="5"/>
      <c r="R1376" s="5"/>
      <c r="S1376" s="5"/>
      <c r="T1376" s="5"/>
      <c r="U1376" s="5"/>
      <c r="V1376" s="5"/>
      <c r="W1376" s="5"/>
      <c r="X1376" s="5"/>
      <c r="Y1376" s="5"/>
      <c r="Z1376" s="5"/>
      <c r="AA1376" s="5"/>
      <c r="AB1376" s="6"/>
      <c r="AC1376" s="6"/>
      <c r="AD1376" s="6"/>
      <c r="AE1376" s="6"/>
      <c r="AF1376" s="6"/>
      <c r="AG1376" s="6"/>
      <c r="AH1376" s="6"/>
      <c r="AI1376" s="6"/>
      <c r="AJ1376" s="6"/>
      <c r="AK1376" s="6"/>
      <c r="AL1376" s="6"/>
      <c r="AM1376" s="6"/>
      <c r="AN1376" s="6"/>
      <c r="AO1376" s="6"/>
      <c r="AP1376" s="6"/>
      <c r="AQ1376" s="6"/>
      <c r="AR1376" s="6"/>
      <c r="AS1376" s="6"/>
      <c r="AT1376" s="6"/>
      <c r="AU1376" s="6"/>
      <c r="AV1376" s="6"/>
      <c r="AW1376" s="6"/>
      <c r="AX1376" s="6"/>
      <c r="AY1376" s="6"/>
      <c r="AZ1376" s="6"/>
      <c r="BA1376" s="6"/>
      <c r="BB1376" s="6"/>
      <c r="BC1376" s="6"/>
      <c r="BD1376" s="6"/>
      <c r="BE1376" s="6"/>
      <c r="BF1376" s="6"/>
      <c r="BG1376" s="6"/>
      <c r="BH1376" s="6"/>
      <c r="BI1376" s="6"/>
      <c r="BJ1376" s="6"/>
      <c r="BK1376" s="6"/>
      <c r="BL1376" s="6"/>
      <c r="BM1376" s="6"/>
      <c r="BN1376" s="6"/>
      <c r="BO1376" s="6"/>
      <c r="BP1376" s="6"/>
      <c r="BQ1376" s="6"/>
      <c r="BR1376" s="6"/>
      <c r="BS1376" s="6"/>
      <c r="BT1376" s="6"/>
      <c r="BU1376" s="6"/>
      <c r="BV1376" s="6"/>
      <c r="BW1376" s="6"/>
      <c r="BX1376" s="5"/>
      <c r="BY1376" s="7"/>
      <c r="BZ1376" s="7"/>
      <c r="CA1376" s="7"/>
      <c r="CB1376" s="7"/>
      <c r="CC1376" s="874"/>
    </row>
    <row r="1377" spans="1:81" s="400" customFormat="1" ht="14.25" customHeight="1" x14ac:dyDescent="0.25">
      <c r="A1377" s="5"/>
      <c r="B1377" s="5"/>
      <c r="C1377" s="5"/>
      <c r="D1377" s="5"/>
      <c r="E1377" s="5"/>
      <c r="F1377" s="5"/>
      <c r="G1377" s="5"/>
      <c r="H1377" s="5"/>
      <c r="I1377" s="5"/>
      <c r="J1377" s="5"/>
      <c r="K1377" s="5"/>
      <c r="L1377" s="5"/>
      <c r="M1377" s="5"/>
      <c r="N1377" s="5"/>
      <c r="O1377" s="5"/>
      <c r="P1377" s="5"/>
      <c r="Q1377" s="5"/>
      <c r="R1377" s="5"/>
      <c r="S1377" s="5"/>
      <c r="T1377" s="5"/>
      <c r="U1377" s="5"/>
      <c r="V1377" s="5"/>
      <c r="W1377" s="5"/>
      <c r="X1377" s="5"/>
      <c r="Y1377" s="5"/>
      <c r="Z1377" s="5"/>
      <c r="AA1377" s="5"/>
      <c r="AB1377" s="6"/>
      <c r="AC1377" s="6"/>
      <c r="AD1377" s="6"/>
      <c r="AE1377" s="6"/>
      <c r="AF1377" s="6"/>
      <c r="AG1377" s="6"/>
      <c r="AH1377" s="6"/>
      <c r="AI1377" s="6"/>
      <c r="AJ1377" s="6"/>
      <c r="AK1377" s="6"/>
      <c r="AL1377" s="6"/>
      <c r="AM1377" s="6"/>
      <c r="AN1377" s="6"/>
      <c r="AO1377" s="6"/>
      <c r="AP1377" s="6"/>
      <c r="AQ1377" s="6"/>
      <c r="AR1377" s="6"/>
      <c r="AS1377" s="6"/>
      <c r="AT1377" s="6"/>
      <c r="AU1377" s="6"/>
      <c r="AV1377" s="6"/>
      <c r="AW1377" s="6"/>
      <c r="AX1377" s="6"/>
      <c r="AY1377" s="6"/>
      <c r="AZ1377" s="6"/>
      <c r="BA1377" s="6"/>
      <c r="BB1377" s="6"/>
      <c r="BC1377" s="6"/>
      <c r="BD1377" s="6"/>
      <c r="BE1377" s="6"/>
      <c r="BF1377" s="6"/>
      <c r="BG1377" s="6"/>
      <c r="BH1377" s="6"/>
      <c r="BI1377" s="6"/>
      <c r="BJ1377" s="6"/>
      <c r="BK1377" s="6"/>
      <c r="BL1377" s="6"/>
      <c r="BM1377" s="6"/>
      <c r="BN1377" s="6"/>
      <c r="BO1377" s="6"/>
      <c r="BP1377" s="6"/>
      <c r="BQ1377" s="6"/>
      <c r="BR1377" s="6"/>
      <c r="BS1377" s="6"/>
      <c r="BT1377" s="6"/>
      <c r="BU1377" s="6"/>
      <c r="BV1377" s="6"/>
      <c r="BW1377" s="6"/>
      <c r="BX1377" s="5"/>
      <c r="BY1377" s="7"/>
      <c r="BZ1377" s="7"/>
      <c r="CA1377" s="7"/>
      <c r="CB1377" s="7"/>
      <c r="CC1377" s="874"/>
    </row>
    <row r="1378" spans="1:81" s="400" customFormat="1" ht="14.25" customHeight="1" x14ac:dyDescent="0.25">
      <c r="A1378" s="5"/>
      <c r="B1378" s="5"/>
      <c r="C1378" s="5"/>
      <c r="D1378" s="5"/>
      <c r="E1378" s="5"/>
      <c r="F1378" s="5"/>
      <c r="G1378" s="5"/>
      <c r="H1378" s="5"/>
      <c r="I1378" s="5"/>
      <c r="J1378" s="5"/>
      <c r="K1378" s="5"/>
      <c r="L1378" s="5"/>
      <c r="M1378" s="5"/>
      <c r="N1378" s="5"/>
      <c r="O1378" s="5"/>
      <c r="P1378" s="5"/>
      <c r="Q1378" s="5"/>
      <c r="R1378" s="5"/>
      <c r="S1378" s="5"/>
      <c r="T1378" s="5"/>
      <c r="U1378" s="5"/>
      <c r="V1378" s="5"/>
      <c r="W1378" s="5"/>
      <c r="X1378" s="5"/>
      <c r="Y1378" s="5"/>
      <c r="Z1378" s="5"/>
      <c r="AA1378" s="5"/>
      <c r="AB1378" s="6"/>
      <c r="AC1378" s="6"/>
      <c r="AD1378" s="6"/>
      <c r="AE1378" s="6"/>
      <c r="AF1378" s="6"/>
      <c r="AG1378" s="6"/>
      <c r="AH1378" s="6"/>
      <c r="AI1378" s="6"/>
      <c r="AJ1378" s="6"/>
      <c r="AK1378" s="6"/>
      <c r="AL1378" s="6"/>
      <c r="AM1378" s="6"/>
      <c r="AN1378" s="6"/>
      <c r="AO1378" s="6"/>
      <c r="AP1378" s="6"/>
      <c r="AQ1378" s="6"/>
      <c r="AR1378" s="6"/>
      <c r="AS1378" s="6"/>
      <c r="AT1378" s="6"/>
      <c r="AU1378" s="6"/>
      <c r="AV1378" s="6"/>
      <c r="AW1378" s="6"/>
      <c r="AX1378" s="6"/>
      <c r="AY1378" s="6"/>
      <c r="AZ1378" s="6"/>
      <c r="BA1378" s="6"/>
      <c r="BB1378" s="6"/>
      <c r="BC1378" s="6"/>
      <c r="BD1378" s="6"/>
      <c r="BE1378" s="6"/>
      <c r="BF1378" s="6"/>
      <c r="BG1378" s="6"/>
      <c r="BH1378" s="6"/>
      <c r="BI1378" s="6"/>
      <c r="BJ1378" s="6"/>
      <c r="BK1378" s="6"/>
      <c r="BL1378" s="6"/>
      <c r="BM1378" s="6"/>
      <c r="BN1378" s="6"/>
      <c r="BO1378" s="6"/>
      <c r="BP1378" s="6"/>
      <c r="BQ1378" s="6"/>
      <c r="BR1378" s="6"/>
      <c r="BS1378" s="6"/>
      <c r="BT1378" s="6"/>
      <c r="BU1378" s="6"/>
      <c r="BV1378" s="6"/>
      <c r="BW1378" s="6"/>
      <c r="BX1378" s="5"/>
      <c r="BY1378" s="7"/>
      <c r="BZ1378" s="7"/>
      <c r="CA1378" s="7"/>
      <c r="CB1378" s="7"/>
      <c r="CC1378" s="874"/>
    </row>
    <row r="1379" spans="1:81" s="400" customFormat="1" ht="14.25" customHeight="1" x14ac:dyDescent="0.25">
      <c r="A1379" s="5"/>
      <c r="B1379" s="5"/>
      <c r="C1379" s="5"/>
      <c r="D1379" s="5"/>
      <c r="E1379" s="5"/>
      <c r="F1379" s="5"/>
      <c r="G1379" s="5"/>
      <c r="H1379" s="5"/>
      <c r="I1379" s="5"/>
      <c r="J1379" s="5"/>
      <c r="K1379" s="5"/>
      <c r="L1379" s="5"/>
      <c r="M1379" s="5"/>
      <c r="N1379" s="5"/>
      <c r="O1379" s="5"/>
      <c r="P1379" s="5"/>
      <c r="Q1379" s="5"/>
      <c r="R1379" s="5"/>
      <c r="S1379" s="5"/>
      <c r="T1379" s="5"/>
      <c r="U1379" s="5"/>
      <c r="V1379" s="5"/>
      <c r="W1379" s="5"/>
      <c r="X1379" s="5"/>
      <c r="Y1379" s="5"/>
      <c r="Z1379" s="5"/>
      <c r="AA1379" s="5"/>
      <c r="AB1379" s="6"/>
      <c r="AC1379" s="6"/>
      <c r="AD1379" s="6"/>
      <c r="AE1379" s="6"/>
      <c r="AF1379" s="6"/>
      <c r="AG1379" s="6"/>
      <c r="AH1379" s="6"/>
      <c r="AI1379" s="6"/>
      <c r="AJ1379" s="6"/>
      <c r="AK1379" s="6"/>
      <c r="AL1379" s="6"/>
      <c r="AM1379" s="6"/>
      <c r="AN1379" s="6"/>
      <c r="AO1379" s="6"/>
      <c r="AP1379" s="6"/>
      <c r="AQ1379" s="6"/>
      <c r="AR1379" s="6"/>
      <c r="AS1379" s="6"/>
      <c r="AT1379" s="6"/>
      <c r="AU1379" s="6"/>
      <c r="AV1379" s="6"/>
      <c r="AW1379" s="6"/>
      <c r="AX1379" s="6"/>
      <c r="AY1379" s="6"/>
      <c r="AZ1379" s="6"/>
      <c r="BA1379" s="6"/>
      <c r="BB1379" s="6"/>
      <c r="BC1379" s="6"/>
      <c r="BD1379" s="6"/>
      <c r="BE1379" s="6"/>
      <c r="BF1379" s="6"/>
      <c r="BG1379" s="6"/>
      <c r="BH1379" s="6"/>
      <c r="BI1379" s="6"/>
      <c r="BJ1379" s="6"/>
      <c r="BK1379" s="6"/>
      <c r="BL1379" s="6"/>
      <c r="BM1379" s="6"/>
      <c r="BN1379" s="6"/>
      <c r="BO1379" s="6"/>
      <c r="BP1379" s="6"/>
      <c r="BQ1379" s="6"/>
      <c r="BR1379" s="6"/>
      <c r="BS1379" s="6"/>
      <c r="BT1379" s="6"/>
      <c r="BU1379" s="6"/>
      <c r="BV1379" s="6"/>
      <c r="BW1379" s="6"/>
      <c r="BX1379" s="5"/>
      <c r="BY1379" s="7"/>
      <c r="BZ1379" s="7"/>
      <c r="CA1379" s="7"/>
      <c r="CB1379" s="7"/>
      <c r="CC1379" s="874"/>
    </row>
    <row r="1380" spans="1:81" s="400" customFormat="1" ht="14.25" customHeight="1" x14ac:dyDescent="0.25">
      <c r="A1380" s="5"/>
      <c r="B1380" s="5"/>
      <c r="C1380" s="5"/>
      <c r="D1380" s="5"/>
      <c r="E1380" s="5"/>
      <c r="F1380" s="5"/>
      <c r="G1380" s="5"/>
      <c r="H1380" s="5"/>
      <c r="I1380" s="5"/>
      <c r="J1380" s="5"/>
      <c r="K1380" s="5"/>
      <c r="L1380" s="5"/>
      <c r="M1380" s="5"/>
      <c r="N1380" s="5"/>
      <c r="O1380" s="5"/>
      <c r="P1380" s="5"/>
      <c r="Q1380" s="5"/>
      <c r="R1380" s="5"/>
      <c r="S1380" s="5"/>
      <c r="T1380" s="5"/>
      <c r="U1380" s="5"/>
      <c r="V1380" s="5"/>
      <c r="W1380" s="5"/>
      <c r="X1380" s="5"/>
      <c r="Y1380" s="5"/>
      <c r="Z1380" s="5"/>
      <c r="AA1380" s="5"/>
      <c r="AB1380" s="6"/>
      <c r="AC1380" s="6"/>
      <c r="AD1380" s="6"/>
      <c r="AE1380" s="6"/>
      <c r="AF1380" s="6"/>
      <c r="AG1380" s="6"/>
      <c r="AH1380" s="6"/>
      <c r="AI1380" s="6"/>
      <c r="AJ1380" s="6"/>
      <c r="AK1380" s="6"/>
      <c r="AL1380" s="6"/>
      <c r="AM1380" s="6"/>
      <c r="AN1380" s="6"/>
      <c r="AO1380" s="6"/>
      <c r="AP1380" s="6"/>
      <c r="AQ1380" s="6"/>
      <c r="AR1380" s="6"/>
      <c r="AS1380" s="6"/>
      <c r="AT1380" s="6"/>
      <c r="AU1380" s="6"/>
      <c r="AV1380" s="6"/>
      <c r="AW1380" s="6"/>
      <c r="AX1380" s="6"/>
      <c r="AY1380" s="6"/>
      <c r="AZ1380" s="6"/>
      <c r="BA1380" s="6"/>
      <c r="BB1380" s="6"/>
      <c r="BC1380" s="6"/>
      <c r="BD1380" s="6"/>
      <c r="BE1380" s="6"/>
      <c r="BF1380" s="6"/>
      <c r="BG1380" s="6"/>
      <c r="BH1380" s="6"/>
      <c r="BI1380" s="6"/>
      <c r="BJ1380" s="6"/>
      <c r="BK1380" s="6"/>
      <c r="BL1380" s="6"/>
      <c r="BM1380" s="6"/>
      <c r="BN1380" s="6"/>
      <c r="BO1380" s="6"/>
      <c r="BP1380" s="6"/>
      <c r="BQ1380" s="6"/>
      <c r="BR1380" s="6"/>
      <c r="BS1380" s="6"/>
      <c r="BT1380" s="6"/>
      <c r="BU1380" s="6"/>
      <c r="BV1380" s="6"/>
      <c r="BW1380" s="6"/>
      <c r="BX1380" s="5"/>
      <c r="BY1380" s="7"/>
      <c r="BZ1380" s="7"/>
      <c r="CA1380" s="7"/>
      <c r="CB1380" s="7"/>
      <c r="CC1380" s="874"/>
    </row>
    <row r="1381" spans="1:81" s="400" customFormat="1" ht="14.25" customHeight="1" x14ac:dyDescent="0.25">
      <c r="A1381" s="5"/>
      <c r="B1381" s="5"/>
      <c r="C1381" s="5"/>
      <c r="D1381" s="5"/>
      <c r="E1381" s="5"/>
      <c r="F1381" s="5"/>
      <c r="G1381" s="5"/>
      <c r="H1381" s="5"/>
      <c r="I1381" s="5"/>
      <c r="J1381" s="5"/>
      <c r="K1381" s="5"/>
      <c r="L1381" s="5"/>
      <c r="M1381" s="5"/>
      <c r="N1381" s="5"/>
      <c r="O1381" s="5"/>
      <c r="P1381" s="5"/>
      <c r="Q1381" s="5"/>
      <c r="R1381" s="5"/>
      <c r="S1381" s="5"/>
      <c r="T1381" s="5"/>
      <c r="U1381" s="5"/>
      <c r="V1381" s="5"/>
      <c r="W1381" s="5"/>
      <c r="X1381" s="5"/>
      <c r="Y1381" s="5"/>
      <c r="Z1381" s="5"/>
      <c r="AA1381" s="5"/>
      <c r="AB1381" s="6"/>
      <c r="AC1381" s="6"/>
      <c r="AD1381" s="6"/>
      <c r="AE1381" s="6"/>
      <c r="AF1381" s="6"/>
      <c r="AG1381" s="6"/>
      <c r="AH1381" s="6"/>
      <c r="AI1381" s="6"/>
      <c r="AJ1381" s="6"/>
      <c r="AK1381" s="6"/>
      <c r="AL1381" s="6"/>
      <c r="AM1381" s="6"/>
      <c r="AN1381" s="6"/>
      <c r="AO1381" s="6"/>
      <c r="AP1381" s="6"/>
      <c r="AQ1381" s="6"/>
      <c r="AR1381" s="6"/>
      <c r="AS1381" s="6"/>
      <c r="AT1381" s="6"/>
      <c r="AU1381" s="6"/>
      <c r="AV1381" s="6"/>
      <c r="AW1381" s="6"/>
      <c r="AX1381" s="6"/>
      <c r="AY1381" s="6"/>
      <c r="AZ1381" s="6"/>
      <c r="BA1381" s="6"/>
      <c r="BB1381" s="6"/>
      <c r="BC1381" s="6"/>
      <c r="BD1381" s="6"/>
      <c r="BE1381" s="6"/>
      <c r="BF1381" s="6"/>
      <c r="BG1381" s="6"/>
      <c r="BH1381" s="6"/>
      <c r="BI1381" s="6"/>
      <c r="BJ1381" s="6"/>
      <c r="BK1381" s="6"/>
      <c r="BL1381" s="6"/>
      <c r="BM1381" s="6"/>
      <c r="BN1381" s="6"/>
      <c r="BO1381" s="6"/>
      <c r="BP1381" s="6"/>
      <c r="BQ1381" s="6"/>
      <c r="BR1381" s="6"/>
      <c r="BS1381" s="6"/>
      <c r="BT1381" s="6"/>
      <c r="BU1381" s="6"/>
      <c r="BV1381" s="6"/>
      <c r="BW1381" s="6"/>
      <c r="BX1381" s="5"/>
      <c r="BY1381" s="7"/>
      <c r="BZ1381" s="7"/>
      <c r="CA1381" s="7"/>
      <c r="CB1381" s="7"/>
      <c r="CC1381" s="874"/>
    </row>
    <row r="1382" spans="1:81" s="400" customFormat="1" ht="14.25" customHeight="1" x14ac:dyDescent="0.25">
      <c r="A1382" s="5"/>
      <c r="B1382" s="5"/>
      <c r="C1382" s="5"/>
      <c r="D1382" s="5"/>
      <c r="E1382" s="5"/>
      <c r="F1382" s="5"/>
      <c r="G1382" s="5"/>
      <c r="H1382" s="5"/>
      <c r="I1382" s="5"/>
      <c r="J1382" s="5"/>
      <c r="K1382" s="5"/>
      <c r="L1382" s="5"/>
      <c r="M1382" s="5"/>
      <c r="N1382" s="5"/>
      <c r="O1382" s="5"/>
      <c r="P1382" s="5"/>
      <c r="Q1382" s="5"/>
      <c r="R1382" s="5"/>
      <c r="S1382" s="5"/>
      <c r="T1382" s="5"/>
      <c r="U1382" s="5"/>
      <c r="V1382" s="5"/>
      <c r="W1382" s="5"/>
      <c r="X1382" s="5"/>
      <c r="Y1382" s="5"/>
      <c r="Z1382" s="5"/>
      <c r="AA1382" s="5"/>
      <c r="AB1382" s="6"/>
      <c r="AC1382" s="6"/>
      <c r="AD1382" s="6"/>
      <c r="AE1382" s="6"/>
      <c r="AF1382" s="6"/>
      <c r="AG1382" s="6"/>
      <c r="AH1382" s="6"/>
      <c r="AI1382" s="6"/>
      <c r="AJ1382" s="6"/>
      <c r="AK1382" s="6"/>
      <c r="AL1382" s="6"/>
      <c r="AM1382" s="6"/>
      <c r="AN1382" s="6"/>
      <c r="AO1382" s="6"/>
      <c r="AP1382" s="6"/>
      <c r="AQ1382" s="6"/>
      <c r="AR1382" s="6"/>
      <c r="AS1382" s="6"/>
      <c r="AT1382" s="6"/>
      <c r="AU1382" s="6"/>
      <c r="AV1382" s="6"/>
      <c r="AW1382" s="6"/>
      <c r="AX1382" s="6"/>
      <c r="AY1382" s="6"/>
      <c r="AZ1382" s="6"/>
      <c r="BA1382" s="6"/>
      <c r="BB1382" s="6"/>
      <c r="BC1382" s="6"/>
      <c r="BD1382" s="6"/>
      <c r="BE1382" s="6"/>
      <c r="BF1382" s="6"/>
      <c r="BG1382" s="6"/>
      <c r="BH1382" s="6"/>
      <c r="BI1382" s="6"/>
      <c r="BJ1382" s="6"/>
      <c r="BK1382" s="6"/>
      <c r="BL1382" s="6"/>
      <c r="BM1382" s="6"/>
      <c r="BN1382" s="6"/>
      <c r="BO1382" s="6"/>
      <c r="BP1382" s="6"/>
      <c r="BQ1382" s="6"/>
      <c r="BR1382" s="6"/>
      <c r="BS1382" s="6"/>
      <c r="BT1382" s="6"/>
      <c r="BU1382" s="6"/>
      <c r="BV1382" s="6"/>
      <c r="BW1382" s="6"/>
      <c r="BX1382" s="5"/>
      <c r="BY1382" s="7"/>
      <c r="BZ1382" s="7"/>
      <c r="CA1382" s="7"/>
      <c r="CB1382" s="7"/>
      <c r="CC1382" s="874"/>
    </row>
    <row r="1383" spans="1:81" s="400" customFormat="1" ht="14.25" customHeight="1" x14ac:dyDescent="0.25">
      <c r="A1383" s="5"/>
      <c r="B1383" s="5"/>
      <c r="C1383" s="5"/>
      <c r="D1383" s="5"/>
      <c r="E1383" s="5"/>
      <c r="F1383" s="5"/>
      <c r="G1383" s="5"/>
      <c r="H1383" s="5"/>
      <c r="I1383" s="5"/>
      <c r="J1383" s="5"/>
      <c r="K1383" s="5"/>
      <c r="L1383" s="5"/>
      <c r="M1383" s="5"/>
      <c r="N1383" s="5"/>
      <c r="O1383" s="5"/>
      <c r="P1383" s="5"/>
      <c r="Q1383" s="5"/>
      <c r="R1383" s="5"/>
      <c r="S1383" s="5"/>
      <c r="T1383" s="5"/>
      <c r="U1383" s="5"/>
      <c r="V1383" s="5"/>
      <c r="W1383" s="5"/>
      <c r="X1383" s="5"/>
      <c r="Y1383" s="5"/>
      <c r="Z1383" s="5"/>
      <c r="AA1383" s="5"/>
      <c r="AB1383" s="6"/>
      <c r="AC1383" s="6"/>
      <c r="AD1383" s="6"/>
      <c r="AE1383" s="6"/>
      <c r="AF1383" s="6"/>
      <c r="AG1383" s="6"/>
      <c r="AH1383" s="6"/>
      <c r="AI1383" s="6"/>
      <c r="AJ1383" s="6"/>
      <c r="AK1383" s="6"/>
      <c r="AL1383" s="6"/>
      <c r="AM1383" s="6"/>
      <c r="AN1383" s="6"/>
      <c r="AO1383" s="6"/>
      <c r="AP1383" s="6"/>
      <c r="AQ1383" s="6"/>
      <c r="AR1383" s="6"/>
      <c r="AS1383" s="6"/>
      <c r="AT1383" s="6"/>
      <c r="AU1383" s="6"/>
      <c r="AV1383" s="6"/>
      <c r="AW1383" s="6"/>
      <c r="AX1383" s="6"/>
      <c r="AY1383" s="6"/>
      <c r="AZ1383" s="6"/>
      <c r="BA1383" s="6"/>
      <c r="BB1383" s="6"/>
      <c r="BC1383" s="6"/>
      <c r="BD1383" s="6"/>
      <c r="BE1383" s="6"/>
      <c r="BF1383" s="6"/>
      <c r="BG1383" s="6"/>
      <c r="BH1383" s="6"/>
      <c r="BI1383" s="6"/>
      <c r="BJ1383" s="6"/>
      <c r="BK1383" s="6"/>
      <c r="BL1383" s="6"/>
      <c r="BM1383" s="6"/>
      <c r="BN1383" s="6"/>
      <c r="BO1383" s="6"/>
      <c r="BP1383" s="6"/>
      <c r="BQ1383" s="6"/>
      <c r="BR1383" s="6"/>
      <c r="BS1383" s="6"/>
      <c r="BT1383" s="6"/>
      <c r="BU1383" s="6"/>
      <c r="BV1383" s="6"/>
      <c r="BW1383" s="6"/>
      <c r="BX1383" s="5"/>
      <c r="BY1383" s="7"/>
      <c r="BZ1383" s="7"/>
      <c r="CA1383" s="7"/>
      <c r="CB1383" s="7"/>
      <c r="CC1383" s="874"/>
    </row>
    <row r="1384" spans="1:81" s="400" customFormat="1" ht="14.25" customHeight="1" x14ac:dyDescent="0.25">
      <c r="A1384" s="5"/>
      <c r="B1384" s="5"/>
      <c r="C1384" s="5"/>
      <c r="D1384" s="5"/>
      <c r="E1384" s="5"/>
      <c r="F1384" s="5"/>
      <c r="G1384" s="5"/>
      <c r="H1384" s="5"/>
      <c r="I1384" s="5"/>
      <c r="J1384" s="5"/>
      <c r="K1384" s="5"/>
      <c r="L1384" s="5"/>
      <c r="M1384" s="5"/>
      <c r="N1384" s="5"/>
      <c r="O1384" s="5"/>
      <c r="P1384" s="5"/>
      <c r="Q1384" s="5"/>
      <c r="R1384" s="5"/>
      <c r="S1384" s="5"/>
      <c r="T1384" s="5"/>
      <c r="U1384" s="5"/>
      <c r="V1384" s="5"/>
      <c r="W1384" s="5"/>
      <c r="X1384" s="5"/>
      <c r="Y1384" s="5"/>
      <c r="Z1384" s="5"/>
      <c r="AA1384" s="5"/>
      <c r="AB1384" s="6"/>
      <c r="AC1384" s="6"/>
      <c r="AD1384" s="6"/>
      <c r="AE1384" s="6"/>
      <c r="AF1384" s="6"/>
      <c r="AG1384" s="6"/>
      <c r="AH1384" s="6"/>
      <c r="AI1384" s="6"/>
      <c r="AJ1384" s="6"/>
      <c r="AK1384" s="6"/>
      <c r="AL1384" s="6"/>
      <c r="AM1384" s="6"/>
      <c r="AN1384" s="6"/>
      <c r="AO1384" s="6"/>
      <c r="AP1384" s="6"/>
      <c r="AQ1384" s="6"/>
      <c r="AR1384" s="6"/>
      <c r="AS1384" s="6"/>
      <c r="AT1384" s="6"/>
      <c r="AU1384" s="6"/>
      <c r="AV1384" s="6"/>
      <c r="AW1384" s="6"/>
      <c r="AX1384" s="6"/>
      <c r="AY1384" s="6"/>
      <c r="AZ1384" s="6"/>
      <c r="BA1384" s="6"/>
      <c r="BB1384" s="6"/>
      <c r="BC1384" s="6"/>
      <c r="BD1384" s="6"/>
      <c r="BE1384" s="6"/>
      <c r="BF1384" s="6"/>
      <c r="BG1384" s="6"/>
      <c r="BH1384" s="6"/>
      <c r="BI1384" s="6"/>
      <c r="BJ1384" s="6"/>
      <c r="BK1384" s="6"/>
      <c r="BL1384" s="6"/>
      <c r="BM1384" s="6"/>
      <c r="BN1384" s="6"/>
      <c r="BO1384" s="6"/>
      <c r="BP1384" s="6"/>
      <c r="BQ1384" s="6"/>
      <c r="BR1384" s="6"/>
      <c r="BS1384" s="6"/>
      <c r="BT1384" s="6"/>
      <c r="BU1384" s="6"/>
      <c r="BV1384" s="6"/>
      <c r="BW1384" s="6"/>
      <c r="BX1384" s="5"/>
      <c r="BY1384" s="7"/>
      <c r="BZ1384" s="7"/>
      <c r="CA1384" s="7"/>
      <c r="CB1384" s="7"/>
      <c r="CC1384" s="874"/>
    </row>
    <row r="1385" spans="1:81" s="400" customFormat="1" ht="14.25" customHeight="1" x14ac:dyDescent="0.25">
      <c r="A1385" s="5"/>
      <c r="B1385" s="5"/>
      <c r="C1385" s="5"/>
      <c r="D1385" s="5"/>
      <c r="E1385" s="5"/>
      <c r="F1385" s="5"/>
      <c r="G1385" s="5"/>
      <c r="H1385" s="5"/>
      <c r="I1385" s="5"/>
      <c r="J1385" s="5"/>
      <c r="K1385" s="5"/>
      <c r="L1385" s="5"/>
      <c r="M1385" s="5"/>
      <c r="N1385" s="5"/>
      <c r="O1385" s="5"/>
      <c r="P1385" s="5"/>
      <c r="Q1385" s="5"/>
      <c r="R1385" s="5"/>
      <c r="S1385" s="5"/>
      <c r="T1385" s="5"/>
      <c r="U1385" s="5"/>
      <c r="V1385" s="5"/>
      <c r="W1385" s="5"/>
      <c r="X1385" s="5"/>
      <c r="Y1385" s="5"/>
      <c r="Z1385" s="5"/>
      <c r="AA1385" s="5"/>
      <c r="AB1385" s="6"/>
      <c r="AC1385" s="6"/>
      <c r="AD1385" s="6"/>
      <c r="AE1385" s="6"/>
      <c r="AF1385" s="6"/>
      <c r="AG1385" s="6"/>
      <c r="AH1385" s="6"/>
      <c r="AI1385" s="6"/>
      <c r="AJ1385" s="6"/>
      <c r="AK1385" s="6"/>
      <c r="AL1385" s="6"/>
      <c r="AM1385" s="6"/>
      <c r="AN1385" s="6"/>
      <c r="AO1385" s="6"/>
      <c r="AP1385" s="6"/>
      <c r="AQ1385" s="6"/>
      <c r="AR1385" s="6"/>
      <c r="AS1385" s="6"/>
      <c r="AT1385" s="6"/>
      <c r="AU1385" s="6"/>
      <c r="AV1385" s="6"/>
      <c r="AW1385" s="6"/>
      <c r="AX1385" s="6"/>
      <c r="AY1385" s="6"/>
      <c r="AZ1385" s="6"/>
      <c r="BA1385" s="6"/>
      <c r="BB1385" s="6"/>
      <c r="BC1385" s="6"/>
      <c r="BD1385" s="6"/>
      <c r="BE1385" s="6"/>
      <c r="BF1385" s="6"/>
      <c r="BG1385" s="6"/>
      <c r="BH1385" s="6"/>
      <c r="BI1385" s="6"/>
      <c r="BJ1385" s="6"/>
      <c r="BK1385" s="6"/>
      <c r="BL1385" s="6"/>
      <c r="BM1385" s="6"/>
      <c r="BN1385" s="6"/>
      <c r="BO1385" s="6"/>
      <c r="BP1385" s="6"/>
      <c r="BQ1385" s="6"/>
      <c r="BR1385" s="6"/>
      <c r="BS1385" s="6"/>
      <c r="BT1385" s="6"/>
      <c r="BU1385" s="6"/>
      <c r="BV1385" s="6"/>
      <c r="BW1385" s="6"/>
      <c r="BX1385" s="5"/>
      <c r="BY1385" s="7"/>
      <c r="BZ1385" s="7"/>
      <c r="CA1385" s="7"/>
      <c r="CB1385" s="7"/>
      <c r="CC1385" s="874"/>
    </row>
    <row r="1386" spans="1:81" s="400" customFormat="1" ht="14.25" customHeight="1" x14ac:dyDescent="0.25">
      <c r="A1386" s="5"/>
      <c r="B1386" s="5"/>
      <c r="C1386" s="5"/>
      <c r="D1386" s="5"/>
      <c r="E1386" s="5"/>
      <c r="F1386" s="5"/>
      <c r="G1386" s="5"/>
      <c r="H1386" s="5"/>
      <c r="I1386" s="5"/>
      <c r="J1386" s="5"/>
      <c r="K1386" s="5"/>
      <c r="L1386" s="5"/>
      <c r="M1386" s="5"/>
      <c r="N1386" s="5"/>
      <c r="O1386" s="5"/>
      <c r="P1386" s="5"/>
      <c r="Q1386" s="5"/>
      <c r="R1386" s="5"/>
      <c r="S1386" s="5"/>
      <c r="T1386" s="5"/>
      <c r="U1386" s="5"/>
      <c r="V1386" s="5"/>
      <c r="W1386" s="5"/>
      <c r="X1386" s="5"/>
      <c r="Y1386" s="5"/>
      <c r="Z1386" s="5"/>
      <c r="AA1386" s="5"/>
      <c r="AB1386" s="6"/>
      <c r="AC1386" s="6"/>
      <c r="AD1386" s="6"/>
      <c r="AE1386" s="6"/>
      <c r="AF1386" s="6"/>
      <c r="AG1386" s="6"/>
      <c r="AH1386" s="6"/>
      <c r="AI1386" s="6"/>
      <c r="AJ1386" s="6"/>
      <c r="AK1386" s="6"/>
      <c r="AL1386" s="6"/>
      <c r="AM1386" s="6"/>
      <c r="AN1386" s="6"/>
      <c r="AO1386" s="6"/>
      <c r="AP1386" s="6"/>
      <c r="AQ1386" s="6"/>
      <c r="AR1386" s="6"/>
      <c r="AS1386" s="6"/>
      <c r="AT1386" s="6"/>
      <c r="AU1386" s="6"/>
      <c r="AV1386" s="6"/>
      <c r="AW1386" s="6"/>
      <c r="AX1386" s="6"/>
      <c r="AY1386" s="6"/>
      <c r="AZ1386" s="6"/>
      <c r="BA1386" s="6"/>
      <c r="BB1386" s="6"/>
      <c r="BC1386" s="6"/>
      <c r="BD1386" s="6"/>
      <c r="BE1386" s="6"/>
      <c r="BF1386" s="6"/>
      <c r="BG1386" s="6"/>
      <c r="BH1386" s="6"/>
      <c r="BI1386" s="6"/>
      <c r="BJ1386" s="6"/>
      <c r="BK1386" s="6"/>
      <c r="BL1386" s="6"/>
      <c r="BM1386" s="6"/>
      <c r="BN1386" s="6"/>
      <c r="BO1386" s="6"/>
      <c r="BP1386" s="6"/>
      <c r="BQ1386" s="6"/>
      <c r="BR1386" s="6"/>
      <c r="BS1386" s="6"/>
      <c r="BT1386" s="6"/>
      <c r="BU1386" s="6"/>
      <c r="BV1386" s="6"/>
      <c r="BW1386" s="6"/>
      <c r="BX1386" s="5"/>
      <c r="BY1386" s="7"/>
      <c r="BZ1386" s="7"/>
      <c r="CA1386" s="7"/>
      <c r="CB1386" s="7"/>
      <c r="CC1386" s="874"/>
    </row>
    <row r="1387" spans="1:81" s="400" customFormat="1" ht="14.25" customHeight="1" x14ac:dyDescent="0.25">
      <c r="A1387" s="5"/>
      <c r="B1387" s="5"/>
      <c r="C1387" s="5"/>
      <c r="D1387" s="5"/>
      <c r="E1387" s="5"/>
      <c r="F1387" s="5"/>
      <c r="G1387" s="5"/>
      <c r="H1387" s="5"/>
      <c r="I1387" s="5"/>
      <c r="J1387" s="5"/>
      <c r="K1387" s="5"/>
      <c r="L1387" s="5"/>
      <c r="M1387" s="5"/>
      <c r="N1387" s="5"/>
      <c r="O1387" s="5"/>
      <c r="P1387" s="5"/>
      <c r="Q1387" s="5"/>
      <c r="R1387" s="5"/>
      <c r="S1387" s="5"/>
      <c r="T1387" s="5"/>
      <c r="U1387" s="5"/>
      <c r="V1387" s="5"/>
      <c r="W1387" s="5"/>
      <c r="X1387" s="5"/>
      <c r="Y1387" s="5"/>
      <c r="Z1387" s="5"/>
      <c r="AA1387" s="5"/>
      <c r="AB1387" s="6"/>
      <c r="AC1387" s="6"/>
      <c r="AD1387" s="6"/>
      <c r="AE1387" s="6"/>
      <c r="AF1387" s="6"/>
      <c r="AG1387" s="6"/>
      <c r="AH1387" s="6"/>
      <c r="AI1387" s="6"/>
      <c r="AJ1387" s="6"/>
      <c r="AK1387" s="6"/>
      <c r="AL1387" s="6"/>
      <c r="AM1387" s="6"/>
      <c r="AN1387" s="6"/>
      <c r="AO1387" s="6"/>
      <c r="AP1387" s="6"/>
      <c r="AQ1387" s="6"/>
      <c r="AR1387" s="6"/>
      <c r="AS1387" s="6"/>
      <c r="AT1387" s="6"/>
      <c r="AU1387" s="6"/>
      <c r="AV1387" s="6"/>
      <c r="AW1387" s="6"/>
      <c r="AX1387" s="6"/>
      <c r="AY1387" s="6"/>
      <c r="AZ1387" s="6"/>
      <c r="BA1387" s="6"/>
      <c r="BB1387" s="6"/>
      <c r="BC1387" s="6"/>
      <c r="BD1387" s="6"/>
      <c r="BE1387" s="6"/>
      <c r="BF1387" s="6"/>
      <c r="BG1387" s="6"/>
      <c r="BH1387" s="6"/>
      <c r="BI1387" s="6"/>
      <c r="BJ1387" s="6"/>
      <c r="BK1387" s="6"/>
      <c r="BL1387" s="6"/>
      <c r="BM1387" s="6"/>
      <c r="BN1387" s="6"/>
      <c r="BO1387" s="6"/>
      <c r="BP1387" s="6"/>
      <c r="BQ1387" s="6"/>
      <c r="BR1387" s="6"/>
      <c r="BS1387" s="6"/>
      <c r="BT1387" s="6"/>
      <c r="BU1387" s="6"/>
      <c r="BV1387" s="6"/>
      <c r="BW1387" s="6"/>
      <c r="BX1387" s="5"/>
      <c r="BY1387" s="7"/>
      <c r="BZ1387" s="7"/>
      <c r="CA1387" s="7"/>
      <c r="CB1387" s="7"/>
      <c r="CC1387" s="874"/>
    </row>
    <row r="1388" spans="1:81" s="400" customFormat="1" ht="14.25" customHeight="1" x14ac:dyDescent="0.25">
      <c r="A1388" s="5"/>
      <c r="B1388" s="5"/>
      <c r="C1388" s="5"/>
      <c r="D1388" s="5"/>
      <c r="E1388" s="5"/>
      <c r="F1388" s="5"/>
      <c r="G1388" s="5"/>
      <c r="H1388" s="5"/>
      <c r="I1388" s="5"/>
      <c r="J1388" s="5"/>
      <c r="K1388" s="5"/>
      <c r="L1388" s="5"/>
      <c r="M1388" s="5"/>
      <c r="N1388" s="5"/>
      <c r="O1388" s="5"/>
      <c r="P1388" s="5"/>
      <c r="Q1388" s="5"/>
      <c r="R1388" s="5"/>
      <c r="S1388" s="5"/>
      <c r="T1388" s="5"/>
      <c r="U1388" s="5"/>
      <c r="V1388" s="5"/>
      <c r="W1388" s="5"/>
      <c r="X1388" s="5"/>
      <c r="Y1388" s="5"/>
      <c r="Z1388" s="5"/>
      <c r="AA1388" s="5"/>
      <c r="AB1388" s="6"/>
      <c r="AC1388" s="6"/>
      <c r="AD1388" s="6"/>
      <c r="AE1388" s="6"/>
      <c r="AF1388" s="6"/>
      <c r="AG1388" s="6"/>
      <c r="AH1388" s="6"/>
      <c r="AI1388" s="6"/>
      <c r="AJ1388" s="6"/>
      <c r="AK1388" s="6"/>
      <c r="AL1388" s="6"/>
      <c r="AM1388" s="6"/>
      <c r="AN1388" s="6"/>
      <c r="AO1388" s="6"/>
      <c r="AP1388" s="6"/>
      <c r="AQ1388" s="6"/>
      <c r="AR1388" s="6"/>
      <c r="AS1388" s="6"/>
      <c r="AT1388" s="6"/>
      <c r="AU1388" s="6"/>
      <c r="AV1388" s="6"/>
      <c r="AW1388" s="6"/>
      <c r="AX1388" s="6"/>
      <c r="AY1388" s="6"/>
      <c r="AZ1388" s="6"/>
      <c r="BA1388" s="6"/>
      <c r="BB1388" s="6"/>
      <c r="BC1388" s="6"/>
      <c r="BD1388" s="6"/>
      <c r="BE1388" s="6"/>
      <c r="BF1388" s="6"/>
      <c r="BG1388" s="6"/>
      <c r="BH1388" s="6"/>
      <c r="BI1388" s="6"/>
      <c r="BJ1388" s="6"/>
      <c r="BK1388" s="6"/>
      <c r="BL1388" s="6"/>
      <c r="BM1388" s="6"/>
      <c r="BN1388" s="6"/>
      <c r="BO1388" s="6"/>
      <c r="BP1388" s="6"/>
      <c r="BQ1388" s="6"/>
      <c r="BR1388" s="6"/>
      <c r="BS1388" s="6"/>
      <c r="BT1388" s="6"/>
      <c r="BU1388" s="6"/>
      <c r="BV1388" s="6"/>
      <c r="BW1388" s="6"/>
      <c r="BX1388" s="5"/>
      <c r="BY1388" s="7"/>
      <c r="BZ1388" s="7"/>
      <c r="CA1388" s="7"/>
      <c r="CB1388" s="7"/>
      <c r="CC1388" s="874"/>
    </row>
    <row r="1389" spans="1:81" s="400" customFormat="1" ht="14.25" customHeight="1" x14ac:dyDescent="0.25">
      <c r="A1389" s="5"/>
      <c r="B1389" s="5"/>
      <c r="C1389" s="5"/>
      <c r="D1389" s="5"/>
      <c r="E1389" s="5"/>
      <c r="F1389" s="5"/>
      <c r="G1389" s="5"/>
      <c r="H1389" s="5"/>
      <c r="I1389" s="5"/>
      <c r="J1389" s="5"/>
      <c r="K1389" s="5"/>
      <c r="L1389" s="5"/>
      <c r="M1389" s="5"/>
      <c r="N1389" s="5"/>
      <c r="O1389" s="5"/>
      <c r="P1389" s="5"/>
      <c r="Q1389" s="5"/>
      <c r="R1389" s="5"/>
      <c r="S1389" s="5"/>
      <c r="T1389" s="5"/>
      <c r="U1389" s="5"/>
      <c r="V1389" s="5"/>
      <c r="W1389" s="5"/>
      <c r="X1389" s="5"/>
      <c r="Y1389" s="5"/>
      <c r="Z1389" s="5"/>
      <c r="AA1389" s="5"/>
      <c r="AB1389" s="6"/>
      <c r="AC1389" s="6"/>
      <c r="AD1389" s="6"/>
      <c r="AE1389" s="6"/>
      <c r="AF1389" s="6"/>
      <c r="AG1389" s="6"/>
      <c r="AH1389" s="6"/>
      <c r="AI1389" s="6"/>
      <c r="AJ1389" s="6"/>
      <c r="AK1389" s="6"/>
      <c r="AL1389" s="6"/>
      <c r="AM1389" s="6"/>
      <c r="AN1389" s="6"/>
      <c r="AO1389" s="6"/>
      <c r="AP1389" s="6"/>
      <c r="AQ1389" s="6"/>
      <c r="AR1389" s="6"/>
      <c r="AS1389" s="6"/>
      <c r="AT1389" s="6"/>
      <c r="AU1389" s="6"/>
      <c r="AV1389" s="6"/>
      <c r="AW1389" s="6"/>
      <c r="AX1389" s="6"/>
      <c r="AY1389" s="6"/>
      <c r="AZ1389" s="6"/>
      <c r="BA1389" s="6"/>
      <c r="BB1389" s="6"/>
      <c r="BC1389" s="6"/>
      <c r="BD1389" s="6"/>
      <c r="BE1389" s="6"/>
      <c r="BF1389" s="6"/>
      <c r="BG1389" s="6"/>
      <c r="BH1389" s="6"/>
      <c r="BI1389" s="6"/>
      <c r="BJ1389" s="6"/>
      <c r="BK1389" s="6"/>
      <c r="BL1389" s="6"/>
      <c r="BM1389" s="6"/>
      <c r="BN1389" s="6"/>
      <c r="BO1389" s="6"/>
      <c r="BP1389" s="6"/>
      <c r="BQ1389" s="6"/>
      <c r="BR1389" s="6"/>
      <c r="BS1389" s="6"/>
      <c r="BT1389" s="6"/>
      <c r="BU1389" s="6"/>
      <c r="BV1389" s="6"/>
      <c r="BW1389" s="6"/>
      <c r="BX1389" s="5"/>
      <c r="BY1389" s="7"/>
      <c r="BZ1389" s="7"/>
      <c r="CA1389" s="7"/>
      <c r="CB1389" s="7"/>
      <c r="CC1389" s="874"/>
    </row>
    <row r="1390" spans="1:81" s="400" customFormat="1" ht="14.25" customHeight="1" x14ac:dyDescent="0.25">
      <c r="A1390" s="5"/>
      <c r="B1390" s="5"/>
      <c r="C1390" s="5"/>
      <c r="D1390" s="5"/>
      <c r="E1390" s="5"/>
      <c r="F1390" s="5"/>
      <c r="G1390" s="5"/>
      <c r="H1390" s="5"/>
      <c r="I1390" s="5"/>
      <c r="J1390" s="5"/>
      <c r="K1390" s="5"/>
      <c r="L1390" s="5"/>
      <c r="M1390" s="5"/>
      <c r="N1390" s="5"/>
      <c r="O1390" s="5"/>
      <c r="P1390" s="5"/>
      <c r="Q1390" s="5"/>
      <c r="R1390" s="5"/>
      <c r="S1390" s="5"/>
      <c r="T1390" s="5"/>
      <c r="U1390" s="5"/>
      <c r="V1390" s="5"/>
      <c r="W1390" s="5"/>
      <c r="X1390" s="5"/>
      <c r="Y1390" s="5"/>
      <c r="Z1390" s="5"/>
      <c r="AA1390" s="5"/>
      <c r="AB1390" s="6"/>
      <c r="AC1390" s="6"/>
      <c r="AD1390" s="6"/>
      <c r="AE1390" s="6"/>
      <c r="AF1390" s="6"/>
      <c r="AG1390" s="6"/>
      <c r="AH1390" s="6"/>
      <c r="AI1390" s="6"/>
      <c r="AJ1390" s="6"/>
      <c r="AK1390" s="6"/>
      <c r="AL1390" s="6"/>
      <c r="AM1390" s="6"/>
      <c r="AN1390" s="6"/>
      <c r="AO1390" s="6"/>
      <c r="AP1390" s="6"/>
      <c r="AQ1390" s="6"/>
      <c r="AR1390" s="6"/>
      <c r="AS1390" s="6"/>
      <c r="AT1390" s="6"/>
      <c r="AU1390" s="6"/>
      <c r="AV1390" s="6"/>
      <c r="AW1390" s="6"/>
      <c r="AX1390" s="6"/>
      <c r="AY1390" s="6"/>
      <c r="AZ1390" s="6"/>
      <c r="BA1390" s="6"/>
      <c r="BB1390" s="6"/>
      <c r="BC1390" s="6"/>
      <c r="BD1390" s="6"/>
      <c r="BE1390" s="6"/>
      <c r="BF1390" s="6"/>
      <c r="BG1390" s="6"/>
      <c r="BH1390" s="6"/>
      <c r="BI1390" s="6"/>
      <c r="BJ1390" s="6"/>
      <c r="BK1390" s="6"/>
      <c r="BL1390" s="6"/>
      <c r="BM1390" s="6"/>
      <c r="BN1390" s="6"/>
      <c r="BO1390" s="6"/>
      <c r="BP1390" s="6"/>
      <c r="BQ1390" s="6"/>
      <c r="BR1390" s="6"/>
      <c r="BS1390" s="6"/>
      <c r="BT1390" s="6"/>
      <c r="BU1390" s="6"/>
      <c r="BV1390" s="6"/>
      <c r="BW1390" s="6"/>
      <c r="BX1390" s="5"/>
      <c r="BY1390" s="7"/>
      <c r="BZ1390" s="7"/>
      <c r="CA1390" s="7"/>
      <c r="CB1390" s="7"/>
      <c r="CC1390" s="874"/>
    </row>
    <row r="1391" spans="1:81" s="400" customFormat="1" ht="14.25" customHeight="1" x14ac:dyDescent="0.25">
      <c r="A1391" s="5"/>
      <c r="B1391" s="5"/>
      <c r="C1391" s="5"/>
      <c r="D1391" s="5"/>
      <c r="E1391" s="5"/>
      <c r="F1391" s="5"/>
      <c r="G1391" s="5"/>
      <c r="H1391" s="5"/>
      <c r="I1391" s="5"/>
      <c r="J1391" s="5"/>
      <c r="K1391" s="5"/>
      <c r="L1391" s="5"/>
      <c r="M1391" s="5"/>
      <c r="N1391" s="5"/>
      <c r="O1391" s="5"/>
      <c r="P1391" s="5"/>
      <c r="Q1391" s="5"/>
      <c r="R1391" s="5"/>
      <c r="S1391" s="5"/>
      <c r="T1391" s="5"/>
      <c r="U1391" s="5"/>
      <c r="V1391" s="5"/>
      <c r="W1391" s="5"/>
      <c r="X1391" s="5"/>
      <c r="Y1391" s="5"/>
      <c r="Z1391" s="5"/>
      <c r="AA1391" s="5"/>
      <c r="AB1391" s="6"/>
      <c r="AC1391" s="6"/>
      <c r="AD1391" s="6"/>
      <c r="AE1391" s="6"/>
      <c r="AF1391" s="6"/>
      <c r="AG1391" s="6"/>
      <c r="AH1391" s="6"/>
      <c r="AI1391" s="6"/>
      <c r="AJ1391" s="6"/>
      <c r="AK1391" s="6"/>
      <c r="AL1391" s="6"/>
      <c r="AM1391" s="6"/>
      <c r="AN1391" s="6"/>
      <c r="AO1391" s="6"/>
      <c r="AP1391" s="6"/>
      <c r="AQ1391" s="6"/>
      <c r="AR1391" s="6"/>
      <c r="AS1391" s="6"/>
      <c r="AT1391" s="6"/>
      <c r="AU1391" s="6"/>
      <c r="AV1391" s="6"/>
      <c r="AW1391" s="6"/>
      <c r="AX1391" s="6"/>
      <c r="AY1391" s="6"/>
      <c r="AZ1391" s="6"/>
      <c r="BA1391" s="6"/>
      <c r="BB1391" s="6"/>
      <c r="BC1391" s="6"/>
      <c r="BD1391" s="6"/>
      <c r="BE1391" s="6"/>
      <c r="BF1391" s="6"/>
      <c r="BG1391" s="6"/>
      <c r="BH1391" s="6"/>
      <c r="BI1391" s="6"/>
      <c r="BJ1391" s="6"/>
      <c r="BK1391" s="6"/>
      <c r="BL1391" s="6"/>
      <c r="BM1391" s="6"/>
      <c r="BN1391" s="6"/>
      <c r="BO1391" s="6"/>
      <c r="BP1391" s="6"/>
      <c r="BQ1391" s="6"/>
      <c r="BR1391" s="6"/>
      <c r="BS1391" s="6"/>
      <c r="BT1391" s="6"/>
      <c r="BU1391" s="6"/>
      <c r="BV1391" s="6"/>
      <c r="BW1391" s="6"/>
      <c r="BX1391" s="5"/>
      <c r="BY1391" s="7"/>
      <c r="BZ1391" s="7"/>
      <c r="CA1391" s="7"/>
      <c r="CB1391" s="7"/>
      <c r="CC1391" s="874"/>
    </row>
    <row r="1392" spans="1:81" s="400" customFormat="1" ht="14.25" customHeight="1" x14ac:dyDescent="0.25">
      <c r="A1392" s="5"/>
      <c r="B1392" s="5"/>
      <c r="C1392" s="5"/>
      <c r="D1392" s="5"/>
      <c r="E1392" s="5"/>
      <c r="F1392" s="5"/>
      <c r="G1392" s="5"/>
      <c r="H1392" s="5"/>
      <c r="I1392" s="5"/>
      <c r="J1392" s="5"/>
      <c r="K1392" s="5"/>
      <c r="L1392" s="5"/>
      <c r="M1392" s="5"/>
      <c r="N1392" s="5"/>
      <c r="O1392" s="5"/>
      <c r="P1392" s="5"/>
      <c r="Q1392" s="5"/>
      <c r="R1392" s="5"/>
      <c r="S1392" s="5"/>
      <c r="T1392" s="5"/>
      <c r="U1392" s="5"/>
      <c r="V1392" s="5"/>
      <c r="W1392" s="5"/>
      <c r="X1392" s="5"/>
      <c r="Y1392" s="5"/>
      <c r="Z1392" s="5"/>
      <c r="AA1392" s="5"/>
      <c r="AB1392" s="6"/>
      <c r="AC1392" s="6"/>
      <c r="AD1392" s="6"/>
      <c r="AE1392" s="6"/>
      <c r="AF1392" s="6"/>
      <c r="AG1392" s="6"/>
      <c r="AH1392" s="6"/>
      <c r="AI1392" s="6"/>
      <c r="AJ1392" s="6"/>
      <c r="AK1392" s="6"/>
      <c r="AL1392" s="6"/>
      <c r="AM1392" s="6"/>
      <c r="AN1392" s="6"/>
      <c r="AO1392" s="6"/>
      <c r="AP1392" s="6"/>
      <c r="AQ1392" s="6"/>
      <c r="AR1392" s="6"/>
      <c r="AS1392" s="6"/>
      <c r="AT1392" s="6"/>
      <c r="AU1392" s="6"/>
      <c r="AV1392" s="6"/>
      <c r="AW1392" s="6"/>
      <c r="AX1392" s="6"/>
      <c r="AY1392" s="6"/>
      <c r="AZ1392" s="6"/>
      <c r="BA1392" s="6"/>
      <c r="BB1392" s="6"/>
      <c r="BC1392" s="6"/>
      <c r="BD1392" s="6"/>
      <c r="BE1392" s="6"/>
      <c r="BF1392" s="6"/>
      <c r="BG1392" s="6"/>
      <c r="BH1392" s="6"/>
      <c r="BI1392" s="6"/>
      <c r="BJ1392" s="6"/>
      <c r="BK1392" s="6"/>
      <c r="BL1392" s="6"/>
      <c r="BM1392" s="6"/>
      <c r="BN1392" s="6"/>
      <c r="BO1392" s="6"/>
      <c r="BP1392" s="6"/>
      <c r="BQ1392" s="6"/>
      <c r="BR1392" s="6"/>
      <c r="BS1392" s="6"/>
      <c r="BT1392" s="6"/>
      <c r="BU1392" s="6"/>
      <c r="BV1392" s="6"/>
      <c r="BW1392" s="6"/>
      <c r="BX1392" s="5"/>
      <c r="BY1392" s="7"/>
      <c r="BZ1392" s="7"/>
      <c r="CA1392" s="7"/>
      <c r="CB1392" s="7"/>
      <c r="CC1392" s="874"/>
    </row>
    <row r="1393" spans="1:81" s="400" customFormat="1" ht="14.25" customHeight="1" x14ac:dyDescent="0.25">
      <c r="A1393" s="5"/>
      <c r="B1393" s="5"/>
      <c r="C1393" s="5"/>
      <c r="D1393" s="5"/>
      <c r="E1393" s="5"/>
      <c r="F1393" s="5"/>
      <c r="G1393" s="5"/>
      <c r="H1393" s="5"/>
      <c r="I1393" s="5"/>
      <c r="J1393" s="5"/>
      <c r="K1393" s="5"/>
      <c r="L1393" s="5"/>
      <c r="M1393" s="5"/>
      <c r="N1393" s="5"/>
      <c r="O1393" s="5"/>
      <c r="P1393" s="5"/>
      <c r="Q1393" s="5"/>
      <c r="R1393" s="5"/>
      <c r="S1393" s="5"/>
      <c r="T1393" s="5"/>
      <c r="U1393" s="5"/>
      <c r="V1393" s="5"/>
      <c r="W1393" s="5"/>
      <c r="X1393" s="5"/>
      <c r="Y1393" s="5"/>
      <c r="Z1393" s="5"/>
      <c r="AA1393" s="5"/>
      <c r="AB1393" s="6"/>
      <c r="AC1393" s="6"/>
      <c r="AD1393" s="6"/>
      <c r="AE1393" s="6"/>
      <c r="AF1393" s="6"/>
      <c r="AG1393" s="6"/>
      <c r="AH1393" s="6"/>
      <c r="AI1393" s="6"/>
      <c r="AJ1393" s="6"/>
      <c r="AK1393" s="6"/>
      <c r="AL1393" s="6"/>
      <c r="AM1393" s="6"/>
      <c r="AN1393" s="6"/>
      <c r="AO1393" s="6"/>
      <c r="AP1393" s="6"/>
      <c r="AQ1393" s="6"/>
      <c r="AR1393" s="6"/>
      <c r="AS1393" s="6"/>
      <c r="AT1393" s="6"/>
      <c r="AU1393" s="6"/>
      <c r="AV1393" s="6"/>
      <c r="AW1393" s="6"/>
      <c r="AX1393" s="6"/>
      <c r="AY1393" s="6"/>
      <c r="AZ1393" s="6"/>
      <c r="BA1393" s="6"/>
      <c r="BB1393" s="6"/>
      <c r="BC1393" s="6"/>
      <c r="BD1393" s="6"/>
      <c r="BE1393" s="6"/>
      <c r="BF1393" s="6"/>
      <c r="BG1393" s="6"/>
      <c r="BH1393" s="6"/>
      <c r="BI1393" s="6"/>
      <c r="BJ1393" s="6"/>
      <c r="BK1393" s="6"/>
      <c r="BL1393" s="6"/>
      <c r="BM1393" s="6"/>
      <c r="BN1393" s="6"/>
      <c r="BO1393" s="6"/>
      <c r="BP1393" s="6"/>
      <c r="BQ1393" s="6"/>
      <c r="BR1393" s="6"/>
      <c r="BS1393" s="6"/>
      <c r="BT1393" s="6"/>
      <c r="BU1393" s="6"/>
      <c r="BV1393" s="6"/>
      <c r="BW1393" s="6"/>
      <c r="BX1393" s="5"/>
      <c r="BY1393" s="7"/>
      <c r="BZ1393" s="7"/>
      <c r="CA1393" s="7"/>
      <c r="CB1393" s="7"/>
      <c r="CC1393" s="874"/>
    </row>
    <row r="1394" spans="1:81" s="400" customFormat="1" ht="14.25" customHeight="1" x14ac:dyDescent="0.25">
      <c r="A1394" s="5"/>
      <c r="B1394" s="5"/>
      <c r="C1394" s="5"/>
      <c r="D1394" s="5"/>
      <c r="E1394" s="5"/>
      <c r="F1394" s="5"/>
      <c r="G1394" s="5"/>
      <c r="H1394" s="5"/>
      <c r="I1394" s="5"/>
      <c r="J1394" s="5"/>
      <c r="K1394" s="5"/>
      <c r="L1394" s="5"/>
      <c r="M1394" s="5"/>
      <c r="N1394" s="5"/>
      <c r="O1394" s="5"/>
      <c r="P1394" s="5"/>
      <c r="Q1394" s="5"/>
      <c r="R1394" s="5"/>
      <c r="S1394" s="5"/>
      <c r="T1394" s="5"/>
      <c r="U1394" s="5"/>
      <c r="V1394" s="5"/>
      <c r="W1394" s="5"/>
      <c r="X1394" s="5"/>
      <c r="Y1394" s="5"/>
      <c r="Z1394" s="5"/>
      <c r="AA1394" s="5"/>
      <c r="AB1394" s="6"/>
      <c r="AC1394" s="6"/>
      <c r="AD1394" s="6"/>
      <c r="AE1394" s="6"/>
      <c r="AF1394" s="6"/>
      <c r="AG1394" s="6"/>
      <c r="AH1394" s="6"/>
      <c r="AI1394" s="6"/>
      <c r="AJ1394" s="6"/>
      <c r="AK1394" s="6"/>
      <c r="AL1394" s="6"/>
      <c r="AM1394" s="6"/>
      <c r="AN1394" s="6"/>
      <c r="AO1394" s="6"/>
      <c r="AP1394" s="6"/>
      <c r="AQ1394" s="6"/>
      <c r="AR1394" s="6"/>
      <c r="AS1394" s="6"/>
      <c r="AT1394" s="6"/>
      <c r="AU1394" s="6"/>
      <c r="AV1394" s="6"/>
      <c r="AW1394" s="6"/>
      <c r="AX1394" s="6"/>
      <c r="AY1394" s="6"/>
      <c r="AZ1394" s="6"/>
      <c r="BA1394" s="6"/>
      <c r="BB1394" s="6"/>
      <c r="BC1394" s="6"/>
      <c r="BD1394" s="6"/>
      <c r="BE1394" s="6"/>
      <c r="BF1394" s="6"/>
      <c r="BG1394" s="6"/>
      <c r="BH1394" s="6"/>
      <c r="BI1394" s="6"/>
      <c r="BJ1394" s="6"/>
      <c r="BK1394" s="6"/>
      <c r="BL1394" s="6"/>
      <c r="BM1394" s="6"/>
      <c r="BN1394" s="6"/>
      <c r="BO1394" s="6"/>
      <c r="BP1394" s="6"/>
      <c r="BQ1394" s="6"/>
      <c r="BR1394" s="6"/>
      <c r="BS1394" s="6"/>
      <c r="BT1394" s="6"/>
      <c r="BU1394" s="6"/>
      <c r="BV1394" s="6"/>
      <c r="BW1394" s="6"/>
      <c r="BX1394" s="5"/>
      <c r="BY1394" s="7"/>
      <c r="BZ1394" s="7"/>
      <c r="CA1394" s="7"/>
      <c r="CB1394" s="7"/>
      <c r="CC1394" s="874"/>
    </row>
    <row r="1395" spans="1:81" s="400" customFormat="1" ht="14.25" customHeight="1" x14ac:dyDescent="0.25">
      <c r="A1395" s="5"/>
      <c r="B1395" s="5"/>
      <c r="C1395" s="5"/>
      <c r="D1395" s="5"/>
      <c r="E1395" s="5"/>
      <c r="F1395" s="5"/>
      <c r="G1395" s="5"/>
      <c r="H1395" s="5"/>
      <c r="I1395" s="5"/>
      <c r="J1395" s="5"/>
      <c r="K1395" s="5"/>
      <c r="L1395" s="5"/>
      <c r="M1395" s="5"/>
      <c r="N1395" s="5"/>
      <c r="O1395" s="5"/>
      <c r="P1395" s="5"/>
      <c r="Q1395" s="5"/>
      <c r="R1395" s="5"/>
      <c r="S1395" s="5"/>
      <c r="T1395" s="5"/>
      <c r="U1395" s="5"/>
      <c r="V1395" s="5"/>
      <c r="W1395" s="5"/>
      <c r="X1395" s="5"/>
      <c r="Y1395" s="5"/>
      <c r="Z1395" s="5"/>
      <c r="AA1395" s="5"/>
      <c r="AB1395" s="6"/>
      <c r="AC1395" s="6"/>
      <c r="AD1395" s="6"/>
      <c r="AE1395" s="6"/>
      <c r="AF1395" s="6"/>
      <c r="AG1395" s="6"/>
      <c r="AH1395" s="6"/>
      <c r="AI1395" s="6"/>
      <c r="AJ1395" s="6"/>
      <c r="AK1395" s="6"/>
      <c r="AL1395" s="6"/>
      <c r="AM1395" s="6"/>
      <c r="AN1395" s="6"/>
      <c r="AO1395" s="6"/>
      <c r="AP1395" s="6"/>
      <c r="AQ1395" s="6"/>
      <c r="AR1395" s="6"/>
      <c r="AS1395" s="6"/>
      <c r="AT1395" s="6"/>
      <c r="AU1395" s="6"/>
      <c r="AV1395" s="6"/>
      <c r="AW1395" s="6"/>
      <c r="AX1395" s="6"/>
      <c r="AY1395" s="6"/>
      <c r="AZ1395" s="6"/>
      <c r="BA1395" s="6"/>
      <c r="BB1395" s="6"/>
      <c r="BC1395" s="6"/>
      <c r="BD1395" s="6"/>
      <c r="BE1395" s="6"/>
      <c r="BF1395" s="6"/>
      <c r="BG1395" s="6"/>
      <c r="BH1395" s="6"/>
      <c r="BI1395" s="6"/>
      <c r="BJ1395" s="6"/>
      <c r="BK1395" s="6"/>
      <c r="BL1395" s="6"/>
      <c r="BM1395" s="6"/>
      <c r="BN1395" s="6"/>
      <c r="BO1395" s="6"/>
      <c r="BP1395" s="6"/>
      <c r="BQ1395" s="6"/>
      <c r="BR1395" s="6"/>
      <c r="BS1395" s="6"/>
      <c r="BT1395" s="6"/>
      <c r="BU1395" s="6"/>
      <c r="BV1395" s="6"/>
      <c r="BW1395" s="6"/>
      <c r="BX1395" s="5"/>
      <c r="BY1395" s="7"/>
      <c r="BZ1395" s="7"/>
      <c r="CA1395" s="7"/>
      <c r="CB1395" s="7"/>
      <c r="CC1395" s="874"/>
    </row>
    <row r="1396" spans="1:81" s="400" customFormat="1" ht="14.25" customHeight="1" x14ac:dyDescent="0.25">
      <c r="A1396" s="5"/>
      <c r="B1396" s="5"/>
      <c r="C1396" s="5"/>
      <c r="D1396" s="5"/>
      <c r="E1396" s="5"/>
      <c r="F1396" s="5"/>
      <c r="G1396" s="5"/>
      <c r="H1396" s="5"/>
      <c r="I1396" s="5"/>
      <c r="J1396" s="5"/>
      <c r="K1396" s="5"/>
      <c r="L1396" s="5"/>
      <c r="M1396" s="5"/>
      <c r="N1396" s="5"/>
      <c r="O1396" s="5"/>
      <c r="P1396" s="5"/>
      <c r="Q1396" s="5"/>
      <c r="R1396" s="5"/>
      <c r="S1396" s="5"/>
      <c r="T1396" s="5"/>
      <c r="U1396" s="5"/>
      <c r="V1396" s="5"/>
      <c r="W1396" s="5"/>
      <c r="X1396" s="5"/>
      <c r="Y1396" s="5"/>
      <c r="Z1396" s="5"/>
      <c r="AA1396" s="5"/>
      <c r="AB1396" s="6"/>
      <c r="AC1396" s="6"/>
      <c r="AD1396" s="6"/>
      <c r="AE1396" s="6"/>
      <c r="AF1396" s="6"/>
      <c r="AG1396" s="6"/>
      <c r="AH1396" s="6"/>
      <c r="AI1396" s="6"/>
      <c r="AJ1396" s="6"/>
      <c r="AK1396" s="6"/>
      <c r="AL1396" s="6"/>
      <c r="AM1396" s="6"/>
      <c r="AN1396" s="6"/>
      <c r="AO1396" s="6"/>
      <c r="AP1396" s="6"/>
      <c r="AQ1396" s="6"/>
      <c r="AR1396" s="6"/>
      <c r="AS1396" s="6"/>
      <c r="AT1396" s="6"/>
      <c r="AU1396" s="6"/>
      <c r="AV1396" s="6"/>
      <c r="AW1396" s="6"/>
      <c r="AX1396" s="6"/>
      <c r="AY1396" s="6"/>
      <c r="AZ1396" s="6"/>
      <c r="BA1396" s="6"/>
      <c r="BB1396" s="6"/>
      <c r="BC1396" s="6"/>
      <c r="BD1396" s="6"/>
      <c r="BE1396" s="6"/>
      <c r="BF1396" s="6"/>
      <c r="BG1396" s="6"/>
      <c r="BH1396" s="6"/>
      <c r="BI1396" s="6"/>
      <c r="BJ1396" s="6"/>
      <c r="BK1396" s="6"/>
      <c r="BL1396" s="6"/>
      <c r="BM1396" s="6"/>
      <c r="BN1396" s="6"/>
      <c r="BO1396" s="6"/>
      <c r="BP1396" s="6"/>
      <c r="BQ1396" s="6"/>
      <c r="BR1396" s="6"/>
      <c r="BS1396" s="6"/>
      <c r="BT1396" s="6"/>
      <c r="BU1396" s="6"/>
      <c r="BV1396" s="6"/>
      <c r="BW1396" s="6"/>
      <c r="BX1396" s="5"/>
      <c r="BY1396" s="7"/>
      <c r="BZ1396" s="7"/>
      <c r="CA1396" s="7"/>
      <c r="CB1396" s="7"/>
      <c r="CC1396" s="874"/>
    </row>
    <row r="1397" spans="1:81" s="400" customFormat="1" ht="14.25" customHeight="1" x14ac:dyDescent="0.25">
      <c r="A1397" s="5"/>
      <c r="B1397" s="5"/>
      <c r="C1397" s="5"/>
      <c r="D1397" s="5"/>
      <c r="E1397" s="5"/>
      <c r="F1397" s="5"/>
      <c r="G1397" s="5"/>
      <c r="H1397" s="5"/>
      <c r="I1397" s="5"/>
      <c r="J1397" s="5"/>
      <c r="K1397" s="5"/>
      <c r="L1397" s="5"/>
      <c r="M1397" s="5"/>
      <c r="N1397" s="5"/>
      <c r="O1397" s="5"/>
      <c r="P1397" s="5"/>
      <c r="Q1397" s="5"/>
      <c r="R1397" s="5"/>
      <c r="S1397" s="5"/>
      <c r="T1397" s="5"/>
      <c r="U1397" s="5"/>
      <c r="V1397" s="5"/>
      <c r="W1397" s="5"/>
      <c r="X1397" s="5"/>
      <c r="Y1397" s="5"/>
      <c r="Z1397" s="5"/>
      <c r="AA1397" s="5"/>
      <c r="AB1397" s="6"/>
      <c r="AC1397" s="6"/>
      <c r="AD1397" s="6"/>
      <c r="AE1397" s="6"/>
      <c r="AF1397" s="6"/>
      <c r="AG1397" s="6"/>
      <c r="AH1397" s="6"/>
      <c r="AI1397" s="6"/>
      <c r="AJ1397" s="6"/>
      <c r="AK1397" s="6"/>
      <c r="AL1397" s="6"/>
      <c r="AM1397" s="6"/>
      <c r="AN1397" s="6"/>
      <c r="AO1397" s="6"/>
      <c r="AP1397" s="6"/>
      <c r="AQ1397" s="6"/>
      <c r="AR1397" s="6"/>
      <c r="AS1397" s="6"/>
      <c r="AT1397" s="6"/>
      <c r="AU1397" s="6"/>
      <c r="AV1397" s="6"/>
      <c r="AW1397" s="6"/>
      <c r="AX1397" s="6"/>
      <c r="AY1397" s="6"/>
      <c r="AZ1397" s="6"/>
      <c r="BA1397" s="6"/>
      <c r="BB1397" s="6"/>
      <c r="BC1397" s="6"/>
      <c r="BD1397" s="6"/>
      <c r="BE1397" s="6"/>
      <c r="BF1397" s="6"/>
      <c r="BG1397" s="6"/>
      <c r="BH1397" s="6"/>
      <c r="BI1397" s="6"/>
      <c r="BJ1397" s="6"/>
      <c r="BK1397" s="6"/>
      <c r="BL1397" s="6"/>
      <c r="BM1397" s="6"/>
      <c r="BN1397" s="6"/>
      <c r="BO1397" s="6"/>
      <c r="BP1397" s="6"/>
      <c r="BQ1397" s="6"/>
      <c r="BR1397" s="6"/>
      <c r="BS1397" s="6"/>
      <c r="BT1397" s="6"/>
      <c r="BU1397" s="6"/>
      <c r="BV1397" s="6"/>
      <c r="BW1397" s="6"/>
      <c r="BX1397" s="5"/>
      <c r="BY1397" s="7"/>
      <c r="BZ1397" s="7"/>
      <c r="CA1397" s="7"/>
      <c r="CB1397" s="7"/>
      <c r="CC1397" s="874"/>
    </row>
    <row r="1398" spans="1:81" s="400" customFormat="1" ht="14.25" customHeight="1" x14ac:dyDescent="0.25">
      <c r="A1398" s="5"/>
      <c r="B1398" s="5"/>
      <c r="C1398" s="5"/>
      <c r="D1398" s="5"/>
      <c r="E1398" s="5"/>
      <c r="F1398" s="5"/>
      <c r="G1398" s="5"/>
      <c r="H1398" s="5"/>
      <c r="I1398" s="5"/>
      <c r="J1398" s="5"/>
      <c r="K1398" s="5"/>
      <c r="L1398" s="5"/>
      <c r="M1398" s="5"/>
      <c r="N1398" s="5"/>
      <c r="O1398" s="5"/>
      <c r="P1398" s="5"/>
      <c r="Q1398" s="5"/>
      <c r="R1398" s="5"/>
      <c r="S1398" s="5"/>
      <c r="T1398" s="5"/>
      <c r="U1398" s="5"/>
      <c r="V1398" s="5"/>
      <c r="W1398" s="5"/>
      <c r="X1398" s="5"/>
      <c r="Y1398" s="5"/>
      <c r="Z1398" s="5"/>
      <c r="AA1398" s="5"/>
      <c r="AB1398" s="6"/>
      <c r="AC1398" s="6"/>
      <c r="AD1398" s="6"/>
      <c r="AE1398" s="6"/>
      <c r="AF1398" s="6"/>
      <c r="AG1398" s="6"/>
      <c r="AH1398" s="6"/>
      <c r="AI1398" s="6"/>
      <c r="AJ1398" s="6"/>
      <c r="AK1398" s="6"/>
      <c r="AL1398" s="6"/>
      <c r="AM1398" s="6"/>
      <c r="AN1398" s="6"/>
      <c r="AO1398" s="6"/>
      <c r="AP1398" s="6"/>
      <c r="AQ1398" s="6"/>
      <c r="AR1398" s="6"/>
      <c r="AS1398" s="6"/>
      <c r="AT1398" s="6"/>
      <c r="AU1398" s="6"/>
      <c r="AV1398" s="6"/>
      <c r="AW1398" s="6"/>
      <c r="AX1398" s="6"/>
      <c r="AY1398" s="6"/>
      <c r="AZ1398" s="6"/>
      <c r="BA1398" s="6"/>
      <c r="BB1398" s="6"/>
      <c r="BC1398" s="6"/>
      <c r="BD1398" s="6"/>
      <c r="BE1398" s="6"/>
      <c r="BF1398" s="6"/>
      <c r="BG1398" s="6"/>
      <c r="BH1398" s="6"/>
      <c r="BI1398" s="6"/>
      <c r="BJ1398" s="6"/>
      <c r="BK1398" s="6"/>
      <c r="BL1398" s="6"/>
      <c r="BM1398" s="6"/>
      <c r="BN1398" s="6"/>
      <c r="BO1398" s="6"/>
      <c r="BP1398" s="6"/>
      <c r="BQ1398" s="6"/>
      <c r="BR1398" s="6"/>
      <c r="BS1398" s="6"/>
      <c r="BT1398" s="6"/>
      <c r="BU1398" s="6"/>
      <c r="BV1398" s="6"/>
      <c r="BW1398" s="6"/>
      <c r="BX1398" s="5"/>
      <c r="BY1398" s="7"/>
      <c r="BZ1398" s="7"/>
      <c r="CA1398" s="7"/>
      <c r="CB1398" s="7"/>
      <c r="CC1398" s="874"/>
    </row>
    <row r="1399" spans="1:81" s="400" customFormat="1" ht="14.25" customHeight="1" x14ac:dyDescent="0.25">
      <c r="A1399" s="5"/>
      <c r="B1399" s="5"/>
      <c r="C1399" s="5"/>
      <c r="D1399" s="5"/>
      <c r="E1399" s="5"/>
      <c r="F1399" s="5"/>
      <c r="G1399" s="5"/>
      <c r="H1399" s="5"/>
      <c r="I1399" s="5"/>
      <c r="J1399" s="5"/>
      <c r="K1399" s="5"/>
      <c r="L1399" s="5"/>
      <c r="M1399" s="5"/>
      <c r="N1399" s="5"/>
      <c r="O1399" s="5"/>
      <c r="P1399" s="5"/>
      <c r="Q1399" s="5"/>
      <c r="R1399" s="5"/>
      <c r="S1399" s="5"/>
      <c r="T1399" s="5"/>
      <c r="U1399" s="5"/>
      <c r="V1399" s="5"/>
      <c r="W1399" s="5"/>
      <c r="X1399" s="5"/>
      <c r="Y1399" s="5"/>
      <c r="Z1399" s="5"/>
      <c r="AA1399" s="5"/>
      <c r="AB1399" s="6"/>
      <c r="AC1399" s="6"/>
      <c r="AD1399" s="6"/>
      <c r="AE1399" s="6"/>
      <c r="AF1399" s="6"/>
      <c r="AG1399" s="6"/>
      <c r="AH1399" s="6"/>
      <c r="AI1399" s="6"/>
      <c r="AJ1399" s="6"/>
      <c r="AK1399" s="6"/>
      <c r="AL1399" s="6"/>
      <c r="AM1399" s="6"/>
      <c r="AN1399" s="6"/>
      <c r="AO1399" s="6"/>
      <c r="AP1399" s="6"/>
      <c r="AQ1399" s="6"/>
      <c r="AR1399" s="6"/>
      <c r="AS1399" s="6"/>
      <c r="AT1399" s="6"/>
      <c r="AU1399" s="6"/>
      <c r="AV1399" s="6"/>
      <c r="AW1399" s="6"/>
      <c r="AX1399" s="6"/>
      <c r="AY1399" s="6"/>
      <c r="AZ1399" s="6"/>
      <c r="BA1399" s="6"/>
      <c r="BB1399" s="6"/>
      <c r="BC1399" s="6"/>
      <c r="BD1399" s="6"/>
      <c r="BE1399" s="6"/>
      <c r="BF1399" s="6"/>
      <c r="BG1399" s="6"/>
      <c r="BH1399" s="6"/>
      <c r="BI1399" s="6"/>
      <c r="BJ1399" s="6"/>
      <c r="BK1399" s="6"/>
      <c r="BL1399" s="6"/>
      <c r="BM1399" s="6"/>
      <c r="BN1399" s="6"/>
      <c r="BO1399" s="6"/>
      <c r="BP1399" s="6"/>
      <c r="BQ1399" s="6"/>
      <c r="BR1399" s="6"/>
      <c r="BS1399" s="6"/>
      <c r="BT1399" s="6"/>
      <c r="BU1399" s="6"/>
      <c r="BV1399" s="6"/>
      <c r="BW1399" s="6"/>
      <c r="BX1399" s="5"/>
      <c r="BY1399" s="7"/>
      <c r="BZ1399" s="7"/>
      <c r="CA1399" s="7"/>
      <c r="CB1399" s="7"/>
      <c r="CC1399" s="874"/>
    </row>
    <row r="1400" spans="1:81" s="400" customFormat="1" ht="14.25" customHeight="1" x14ac:dyDescent="0.25">
      <c r="A1400" s="5"/>
      <c r="B1400" s="5"/>
      <c r="C1400" s="5"/>
      <c r="D1400" s="5"/>
      <c r="E1400" s="5"/>
      <c r="F1400" s="5"/>
      <c r="G1400" s="5"/>
      <c r="H1400" s="5"/>
      <c r="I1400" s="5"/>
      <c r="J1400" s="5"/>
      <c r="K1400" s="5"/>
      <c r="L1400" s="5"/>
      <c r="M1400" s="5"/>
      <c r="N1400" s="5"/>
      <c r="O1400" s="5"/>
      <c r="P1400" s="5"/>
      <c r="Q1400" s="5"/>
      <c r="R1400" s="5"/>
      <c r="S1400" s="5"/>
      <c r="T1400" s="5"/>
      <c r="U1400" s="5"/>
      <c r="V1400" s="5"/>
      <c r="W1400" s="5"/>
      <c r="X1400" s="5"/>
      <c r="Y1400" s="5"/>
      <c r="Z1400" s="5"/>
      <c r="AA1400" s="5"/>
      <c r="AB1400" s="6"/>
      <c r="AC1400" s="6"/>
      <c r="AD1400" s="6"/>
      <c r="AE1400" s="6"/>
      <c r="AF1400" s="6"/>
      <c r="AG1400" s="6"/>
      <c r="AH1400" s="6"/>
      <c r="AI1400" s="6"/>
      <c r="AJ1400" s="6"/>
      <c r="AK1400" s="6"/>
      <c r="AL1400" s="6"/>
      <c r="AM1400" s="6"/>
      <c r="AN1400" s="6"/>
      <c r="AO1400" s="6"/>
      <c r="AP1400" s="6"/>
      <c r="AQ1400" s="6"/>
      <c r="AR1400" s="6"/>
      <c r="AS1400" s="6"/>
      <c r="AT1400" s="6"/>
      <c r="AU1400" s="6"/>
      <c r="AV1400" s="6"/>
      <c r="AW1400" s="6"/>
      <c r="AX1400" s="6"/>
      <c r="AY1400" s="6"/>
      <c r="AZ1400" s="6"/>
      <c r="BA1400" s="6"/>
      <c r="BB1400" s="6"/>
      <c r="BC1400" s="6"/>
      <c r="BD1400" s="6"/>
      <c r="BE1400" s="6"/>
      <c r="BF1400" s="6"/>
      <c r="BG1400" s="6"/>
      <c r="BH1400" s="6"/>
      <c r="BI1400" s="6"/>
      <c r="BJ1400" s="6"/>
      <c r="BK1400" s="6"/>
      <c r="BL1400" s="6"/>
      <c r="BM1400" s="6"/>
      <c r="BN1400" s="6"/>
      <c r="BO1400" s="6"/>
      <c r="BP1400" s="6"/>
      <c r="BQ1400" s="6"/>
      <c r="BR1400" s="6"/>
      <c r="BS1400" s="6"/>
      <c r="BT1400" s="6"/>
      <c r="BU1400" s="6"/>
      <c r="BV1400" s="6"/>
      <c r="BW1400" s="6"/>
      <c r="BX1400" s="5"/>
      <c r="BY1400" s="7"/>
      <c r="BZ1400" s="7"/>
      <c r="CA1400" s="7"/>
      <c r="CB1400" s="7"/>
      <c r="CC1400" s="874"/>
    </row>
    <row r="1401" spans="1:81" s="400" customFormat="1" ht="14.25" customHeight="1" x14ac:dyDescent="0.25">
      <c r="A1401" s="5"/>
      <c r="B1401" s="5"/>
      <c r="C1401" s="5"/>
      <c r="D1401" s="5"/>
      <c r="E1401" s="5"/>
      <c r="F1401" s="5"/>
      <c r="G1401" s="5"/>
      <c r="H1401" s="5"/>
      <c r="I1401" s="5"/>
      <c r="J1401" s="5"/>
      <c r="K1401" s="5"/>
      <c r="L1401" s="5"/>
      <c r="M1401" s="5"/>
      <c r="N1401" s="5"/>
      <c r="O1401" s="5"/>
      <c r="P1401" s="5"/>
      <c r="Q1401" s="5"/>
      <c r="R1401" s="5"/>
      <c r="S1401" s="5"/>
      <c r="T1401" s="5"/>
      <c r="U1401" s="5"/>
      <c r="V1401" s="5"/>
      <c r="W1401" s="5"/>
      <c r="X1401" s="5"/>
      <c r="Y1401" s="5"/>
      <c r="Z1401" s="5"/>
      <c r="AA1401" s="5"/>
      <c r="AB1401" s="6"/>
      <c r="AC1401" s="6"/>
      <c r="AD1401" s="6"/>
      <c r="AE1401" s="6"/>
      <c r="AF1401" s="6"/>
      <c r="AG1401" s="6"/>
      <c r="AH1401" s="6"/>
      <c r="AI1401" s="6"/>
      <c r="AJ1401" s="6"/>
      <c r="AK1401" s="6"/>
      <c r="AL1401" s="6"/>
      <c r="AM1401" s="6"/>
      <c r="AN1401" s="6"/>
      <c r="AO1401" s="6"/>
      <c r="AP1401" s="6"/>
      <c r="AQ1401" s="6"/>
      <c r="AR1401" s="6"/>
      <c r="AS1401" s="6"/>
      <c r="AT1401" s="6"/>
      <c r="AU1401" s="6"/>
      <c r="AV1401" s="6"/>
      <c r="AW1401" s="6"/>
      <c r="AX1401" s="6"/>
      <c r="AY1401" s="6"/>
      <c r="AZ1401" s="6"/>
      <c r="BA1401" s="6"/>
      <c r="BB1401" s="6"/>
      <c r="BC1401" s="6"/>
      <c r="BD1401" s="6"/>
      <c r="BE1401" s="6"/>
      <c r="BF1401" s="6"/>
      <c r="BG1401" s="6"/>
      <c r="BH1401" s="6"/>
      <c r="BI1401" s="6"/>
      <c r="BJ1401" s="6"/>
      <c r="BK1401" s="6"/>
      <c r="BL1401" s="6"/>
      <c r="BM1401" s="6"/>
      <c r="BN1401" s="6"/>
      <c r="BO1401" s="6"/>
      <c r="BP1401" s="6"/>
      <c r="BQ1401" s="6"/>
      <c r="BR1401" s="6"/>
      <c r="BS1401" s="6"/>
      <c r="BT1401" s="6"/>
      <c r="BU1401" s="6"/>
      <c r="BV1401" s="6"/>
      <c r="BW1401" s="6"/>
      <c r="BX1401" s="5"/>
      <c r="BY1401" s="7"/>
      <c r="BZ1401" s="7"/>
      <c r="CA1401" s="7"/>
      <c r="CB1401" s="7"/>
      <c r="CC1401" s="874"/>
    </row>
    <row r="1402" spans="1:81" s="400" customFormat="1" ht="14.25" customHeight="1" x14ac:dyDescent="0.25">
      <c r="A1402" s="5"/>
      <c r="B1402" s="5"/>
      <c r="C1402" s="5"/>
      <c r="D1402" s="5"/>
      <c r="E1402" s="5"/>
      <c r="F1402" s="5"/>
      <c r="G1402" s="5"/>
      <c r="H1402" s="5"/>
      <c r="I1402" s="5"/>
      <c r="J1402" s="5"/>
      <c r="K1402" s="5"/>
      <c r="L1402" s="5"/>
      <c r="M1402" s="5"/>
      <c r="N1402" s="5"/>
      <c r="O1402" s="5"/>
      <c r="P1402" s="5"/>
      <c r="Q1402" s="5"/>
      <c r="R1402" s="5"/>
      <c r="S1402" s="5"/>
      <c r="T1402" s="5"/>
      <c r="U1402" s="5"/>
      <c r="V1402" s="5"/>
      <c r="W1402" s="5"/>
      <c r="X1402" s="5"/>
      <c r="Y1402" s="5"/>
      <c r="Z1402" s="5"/>
      <c r="AA1402" s="5"/>
      <c r="AB1402" s="6"/>
      <c r="AC1402" s="6"/>
      <c r="AD1402" s="6"/>
      <c r="AE1402" s="6"/>
      <c r="AF1402" s="6"/>
      <c r="AG1402" s="6"/>
      <c r="AH1402" s="6"/>
      <c r="AI1402" s="6"/>
      <c r="AJ1402" s="6"/>
      <c r="AK1402" s="6"/>
      <c r="AL1402" s="6"/>
      <c r="AM1402" s="6"/>
      <c r="AN1402" s="6"/>
      <c r="AO1402" s="6"/>
      <c r="AP1402" s="6"/>
      <c r="AQ1402" s="6"/>
      <c r="AR1402" s="6"/>
      <c r="AS1402" s="6"/>
      <c r="AT1402" s="6"/>
      <c r="AU1402" s="6"/>
      <c r="AV1402" s="6"/>
      <c r="AW1402" s="6"/>
      <c r="AX1402" s="6"/>
      <c r="AY1402" s="6"/>
      <c r="AZ1402" s="6"/>
      <c r="BA1402" s="6"/>
      <c r="BB1402" s="6"/>
      <c r="BC1402" s="6"/>
      <c r="BD1402" s="6"/>
      <c r="BE1402" s="6"/>
      <c r="BF1402" s="6"/>
      <c r="BG1402" s="6"/>
      <c r="BH1402" s="6"/>
      <c r="BI1402" s="6"/>
      <c r="BJ1402" s="6"/>
      <c r="BK1402" s="6"/>
      <c r="BL1402" s="6"/>
      <c r="BM1402" s="6"/>
      <c r="BN1402" s="6"/>
      <c r="BO1402" s="6"/>
      <c r="BP1402" s="6"/>
      <c r="BQ1402" s="6"/>
      <c r="BR1402" s="6"/>
      <c r="BS1402" s="6"/>
      <c r="BT1402" s="6"/>
      <c r="BU1402" s="6"/>
      <c r="BV1402" s="6"/>
      <c r="BW1402" s="6"/>
      <c r="BX1402" s="5"/>
      <c r="BY1402" s="7"/>
      <c r="BZ1402" s="7"/>
      <c r="CA1402" s="7"/>
      <c r="CB1402" s="7"/>
      <c r="CC1402" s="874"/>
    </row>
    <row r="1403" spans="1:81" s="400" customFormat="1" ht="14.25" customHeight="1" x14ac:dyDescent="0.25">
      <c r="A1403" s="5"/>
      <c r="B1403" s="5"/>
      <c r="C1403" s="5"/>
      <c r="D1403" s="5"/>
      <c r="E1403" s="5"/>
      <c r="F1403" s="5"/>
      <c r="G1403" s="5"/>
      <c r="H1403" s="5"/>
      <c r="I1403" s="5"/>
      <c r="J1403" s="5"/>
      <c r="K1403" s="5"/>
      <c r="L1403" s="5"/>
      <c r="M1403" s="5"/>
      <c r="N1403" s="5"/>
      <c r="O1403" s="5"/>
      <c r="P1403" s="5"/>
      <c r="Q1403" s="5"/>
      <c r="R1403" s="5"/>
      <c r="S1403" s="5"/>
      <c r="T1403" s="5"/>
      <c r="U1403" s="5"/>
      <c r="V1403" s="5"/>
      <c r="W1403" s="5"/>
      <c r="X1403" s="5"/>
      <c r="Y1403" s="5"/>
      <c r="Z1403" s="5"/>
      <c r="AA1403" s="5"/>
      <c r="AB1403" s="6"/>
      <c r="AC1403" s="6"/>
      <c r="AD1403" s="6"/>
      <c r="AE1403" s="6"/>
      <c r="AF1403" s="6"/>
      <c r="AG1403" s="6"/>
      <c r="AH1403" s="6"/>
      <c r="AI1403" s="6"/>
      <c r="AJ1403" s="6"/>
      <c r="AK1403" s="6"/>
      <c r="AL1403" s="6"/>
      <c r="AM1403" s="6"/>
      <c r="AN1403" s="6"/>
      <c r="AO1403" s="6"/>
      <c r="AP1403" s="6"/>
      <c r="AQ1403" s="6"/>
      <c r="AR1403" s="6"/>
      <c r="AS1403" s="6"/>
      <c r="AT1403" s="6"/>
      <c r="AU1403" s="6"/>
      <c r="AV1403" s="6"/>
      <c r="AW1403" s="6"/>
      <c r="AX1403" s="6"/>
      <c r="AY1403" s="6"/>
      <c r="AZ1403" s="6"/>
      <c r="BA1403" s="6"/>
      <c r="BB1403" s="6"/>
      <c r="BC1403" s="6"/>
      <c r="BD1403" s="6"/>
      <c r="BE1403" s="6"/>
      <c r="BF1403" s="6"/>
      <c r="BG1403" s="6"/>
      <c r="BH1403" s="6"/>
      <c r="BI1403" s="6"/>
      <c r="BJ1403" s="6"/>
      <c r="BK1403" s="6"/>
      <c r="BL1403" s="6"/>
      <c r="BM1403" s="6"/>
      <c r="BN1403" s="6"/>
      <c r="BO1403" s="6"/>
      <c r="BP1403" s="6"/>
      <c r="BQ1403" s="6"/>
      <c r="BR1403" s="6"/>
      <c r="BS1403" s="6"/>
      <c r="BT1403" s="6"/>
      <c r="BU1403" s="6"/>
      <c r="BV1403" s="6"/>
      <c r="BW1403" s="6"/>
      <c r="BX1403" s="5"/>
      <c r="BY1403" s="7"/>
      <c r="BZ1403" s="7"/>
      <c r="CA1403" s="7"/>
      <c r="CB1403" s="7"/>
      <c r="CC1403" s="874"/>
    </row>
    <row r="1404" spans="1:81" s="400" customFormat="1" ht="14.25" customHeight="1" x14ac:dyDescent="0.25">
      <c r="A1404" s="5"/>
      <c r="B1404" s="5"/>
      <c r="C1404" s="5"/>
      <c r="D1404" s="5"/>
      <c r="E1404" s="5"/>
      <c r="F1404" s="5"/>
      <c r="G1404" s="5"/>
      <c r="H1404" s="5"/>
      <c r="I1404" s="5"/>
      <c r="J1404" s="5"/>
      <c r="K1404" s="5"/>
      <c r="L1404" s="5"/>
      <c r="M1404" s="5"/>
      <c r="N1404" s="5"/>
      <c r="O1404" s="5"/>
      <c r="P1404" s="5"/>
      <c r="Q1404" s="5"/>
      <c r="R1404" s="5"/>
      <c r="S1404" s="5"/>
      <c r="T1404" s="5"/>
      <c r="U1404" s="5"/>
      <c r="V1404" s="5"/>
      <c r="W1404" s="5"/>
      <c r="X1404" s="5"/>
      <c r="Y1404" s="5"/>
      <c r="Z1404" s="5"/>
      <c r="AA1404" s="5"/>
      <c r="AB1404" s="6"/>
      <c r="AC1404" s="6"/>
      <c r="AD1404" s="6"/>
      <c r="AE1404" s="6"/>
      <c r="AF1404" s="6"/>
      <c r="AG1404" s="6"/>
      <c r="AH1404" s="6"/>
      <c r="AI1404" s="6"/>
      <c r="AJ1404" s="6"/>
      <c r="AK1404" s="6"/>
      <c r="AL1404" s="6"/>
      <c r="AM1404" s="6"/>
      <c r="AN1404" s="6"/>
      <c r="AO1404" s="6"/>
      <c r="AP1404" s="6"/>
      <c r="AQ1404" s="6"/>
      <c r="AR1404" s="6"/>
      <c r="AS1404" s="6"/>
      <c r="AT1404" s="6"/>
      <c r="AU1404" s="6"/>
      <c r="AV1404" s="6"/>
      <c r="AW1404" s="6"/>
      <c r="AX1404" s="6"/>
      <c r="AY1404" s="6"/>
      <c r="AZ1404" s="6"/>
      <c r="BA1404" s="6"/>
      <c r="BB1404" s="6"/>
      <c r="BC1404" s="6"/>
      <c r="BD1404" s="6"/>
      <c r="BE1404" s="6"/>
      <c r="BF1404" s="6"/>
      <c r="BG1404" s="6"/>
      <c r="BH1404" s="6"/>
      <c r="BI1404" s="6"/>
      <c r="BJ1404" s="6"/>
      <c r="BK1404" s="6"/>
      <c r="BL1404" s="6"/>
      <c r="BM1404" s="6"/>
      <c r="BN1404" s="6"/>
      <c r="BO1404" s="6"/>
      <c r="BP1404" s="6"/>
      <c r="BQ1404" s="6"/>
      <c r="BR1404" s="6"/>
      <c r="BS1404" s="6"/>
      <c r="BT1404" s="6"/>
      <c r="BU1404" s="6"/>
      <c r="BV1404" s="6"/>
      <c r="BW1404" s="6"/>
      <c r="BX1404" s="5"/>
      <c r="BY1404" s="7"/>
      <c r="BZ1404" s="7"/>
      <c r="CA1404" s="7"/>
      <c r="CB1404" s="7"/>
      <c r="CC1404" s="874"/>
    </row>
    <row r="1405" spans="1:81" s="400" customFormat="1" ht="14.25" customHeight="1" x14ac:dyDescent="0.25">
      <c r="A1405" s="5"/>
      <c r="B1405" s="5"/>
      <c r="C1405" s="5"/>
      <c r="D1405" s="5"/>
      <c r="E1405" s="5"/>
      <c r="F1405" s="5"/>
      <c r="G1405" s="5"/>
      <c r="H1405" s="5"/>
      <c r="I1405" s="5"/>
      <c r="J1405" s="5"/>
      <c r="K1405" s="5"/>
      <c r="L1405" s="5"/>
      <c r="M1405" s="5"/>
      <c r="N1405" s="5"/>
      <c r="O1405" s="5"/>
      <c r="P1405" s="5"/>
      <c r="Q1405" s="5"/>
      <c r="R1405" s="5"/>
      <c r="S1405" s="5"/>
      <c r="T1405" s="5"/>
      <c r="U1405" s="5"/>
      <c r="V1405" s="5"/>
      <c r="W1405" s="5"/>
      <c r="X1405" s="5"/>
      <c r="Y1405" s="5"/>
      <c r="Z1405" s="5"/>
      <c r="AA1405" s="5"/>
      <c r="AB1405" s="6"/>
      <c r="AC1405" s="6"/>
      <c r="AD1405" s="6"/>
      <c r="AE1405" s="6"/>
      <c r="AF1405" s="6"/>
      <c r="AG1405" s="6"/>
      <c r="AH1405" s="6"/>
      <c r="AI1405" s="6"/>
      <c r="AJ1405" s="6"/>
      <c r="AK1405" s="6"/>
      <c r="AL1405" s="6"/>
      <c r="AM1405" s="6"/>
      <c r="AN1405" s="6"/>
      <c r="AO1405" s="6"/>
      <c r="AP1405" s="6"/>
      <c r="AQ1405" s="6"/>
      <c r="AR1405" s="6"/>
      <c r="AS1405" s="6"/>
      <c r="AT1405" s="6"/>
      <c r="AU1405" s="6"/>
      <c r="AV1405" s="6"/>
      <c r="AW1405" s="6"/>
      <c r="AX1405" s="6"/>
      <c r="AY1405" s="6"/>
      <c r="AZ1405" s="6"/>
      <c r="BA1405" s="6"/>
      <c r="BB1405" s="6"/>
      <c r="BC1405" s="6"/>
      <c r="BD1405" s="6"/>
      <c r="BE1405" s="6"/>
      <c r="BF1405" s="6"/>
      <c r="BG1405" s="6"/>
      <c r="BH1405" s="6"/>
      <c r="BI1405" s="6"/>
      <c r="BJ1405" s="6"/>
      <c r="BK1405" s="6"/>
      <c r="BL1405" s="6"/>
      <c r="BM1405" s="6"/>
      <c r="BN1405" s="6"/>
      <c r="BO1405" s="6"/>
      <c r="BP1405" s="6"/>
      <c r="BQ1405" s="6"/>
      <c r="BR1405" s="6"/>
      <c r="BS1405" s="6"/>
      <c r="BT1405" s="6"/>
      <c r="BU1405" s="6"/>
      <c r="BV1405" s="6"/>
      <c r="BW1405" s="6"/>
      <c r="BX1405" s="5"/>
      <c r="BY1405" s="7"/>
      <c r="BZ1405" s="7"/>
      <c r="CA1405" s="7"/>
      <c r="CB1405" s="7"/>
      <c r="CC1405" s="874"/>
    </row>
    <row r="1406" spans="1:81" s="400" customFormat="1" ht="14.25" customHeight="1" x14ac:dyDescent="0.25">
      <c r="A1406" s="5"/>
      <c r="B1406" s="5"/>
      <c r="C1406" s="5"/>
      <c r="D1406" s="5"/>
      <c r="E1406" s="5"/>
      <c r="F1406" s="5"/>
      <c r="G1406" s="5"/>
      <c r="H1406" s="5"/>
      <c r="I1406" s="5"/>
      <c r="J1406" s="5"/>
      <c r="K1406" s="5"/>
      <c r="L1406" s="5"/>
      <c r="M1406" s="5"/>
      <c r="N1406" s="5"/>
      <c r="O1406" s="5"/>
      <c r="P1406" s="5"/>
      <c r="Q1406" s="5"/>
      <c r="R1406" s="5"/>
      <c r="S1406" s="5"/>
      <c r="T1406" s="5"/>
      <c r="U1406" s="5"/>
      <c r="V1406" s="5"/>
      <c r="W1406" s="5"/>
      <c r="X1406" s="5"/>
      <c r="Y1406" s="5"/>
      <c r="Z1406" s="5"/>
      <c r="AA1406" s="5"/>
      <c r="AB1406" s="6"/>
      <c r="AC1406" s="6"/>
      <c r="AD1406" s="6"/>
      <c r="AE1406" s="6"/>
      <c r="AF1406" s="6"/>
      <c r="AG1406" s="6"/>
      <c r="AH1406" s="6"/>
      <c r="AI1406" s="6"/>
      <c r="AJ1406" s="6"/>
      <c r="AK1406" s="6"/>
      <c r="AL1406" s="6"/>
      <c r="AM1406" s="6"/>
      <c r="AN1406" s="6"/>
      <c r="AO1406" s="6"/>
      <c r="AP1406" s="6"/>
      <c r="AQ1406" s="6"/>
      <c r="AR1406" s="6"/>
      <c r="AS1406" s="6"/>
      <c r="AT1406" s="6"/>
      <c r="AU1406" s="6"/>
      <c r="AV1406" s="6"/>
      <c r="AW1406" s="6"/>
      <c r="AX1406" s="6"/>
      <c r="AY1406" s="6"/>
      <c r="AZ1406" s="6"/>
      <c r="BA1406" s="6"/>
      <c r="BB1406" s="6"/>
      <c r="BC1406" s="6"/>
      <c r="BD1406" s="6"/>
      <c r="BE1406" s="6"/>
      <c r="BF1406" s="6"/>
      <c r="BG1406" s="6"/>
      <c r="BH1406" s="6"/>
      <c r="BI1406" s="6"/>
      <c r="BJ1406" s="6"/>
      <c r="BK1406" s="6"/>
      <c r="BL1406" s="6"/>
      <c r="BM1406" s="6"/>
      <c r="BN1406" s="6"/>
      <c r="BO1406" s="6"/>
      <c r="BP1406" s="6"/>
      <c r="BQ1406" s="6"/>
      <c r="BR1406" s="6"/>
      <c r="BS1406" s="6"/>
      <c r="BT1406" s="6"/>
      <c r="BU1406" s="6"/>
      <c r="BV1406" s="6"/>
      <c r="BW1406" s="6"/>
      <c r="BX1406" s="5"/>
      <c r="BY1406" s="7"/>
      <c r="BZ1406" s="7"/>
      <c r="CA1406" s="7"/>
      <c r="CB1406" s="7"/>
      <c r="CC1406" s="874"/>
    </row>
    <row r="1407" spans="1:81" s="400" customFormat="1" ht="14.25" customHeight="1" x14ac:dyDescent="0.25">
      <c r="A1407" s="5"/>
      <c r="B1407" s="5"/>
      <c r="C1407" s="5"/>
      <c r="D1407" s="5"/>
      <c r="E1407" s="5"/>
      <c r="F1407" s="5"/>
      <c r="G1407" s="5"/>
      <c r="H1407" s="5"/>
      <c r="I1407" s="5"/>
      <c r="J1407" s="5"/>
      <c r="K1407" s="5"/>
      <c r="L1407" s="5"/>
      <c r="M1407" s="5"/>
      <c r="N1407" s="5"/>
      <c r="O1407" s="5"/>
      <c r="P1407" s="5"/>
      <c r="Q1407" s="5"/>
      <c r="R1407" s="5"/>
      <c r="S1407" s="5"/>
      <c r="T1407" s="5"/>
      <c r="U1407" s="5"/>
      <c r="V1407" s="5"/>
      <c r="W1407" s="5"/>
      <c r="X1407" s="5"/>
      <c r="Y1407" s="5"/>
      <c r="Z1407" s="5"/>
      <c r="AA1407" s="5"/>
      <c r="AB1407" s="6"/>
      <c r="AC1407" s="6"/>
      <c r="AD1407" s="6"/>
      <c r="AE1407" s="6"/>
      <c r="AF1407" s="6"/>
      <c r="AG1407" s="6"/>
      <c r="AH1407" s="6"/>
      <c r="AI1407" s="6"/>
      <c r="AJ1407" s="6"/>
      <c r="AK1407" s="6"/>
      <c r="AL1407" s="6"/>
      <c r="AM1407" s="6"/>
      <c r="AN1407" s="6"/>
      <c r="AO1407" s="6"/>
      <c r="AP1407" s="6"/>
      <c r="AQ1407" s="6"/>
      <c r="AR1407" s="6"/>
      <c r="AS1407" s="6"/>
      <c r="AT1407" s="6"/>
      <c r="AU1407" s="6"/>
      <c r="AV1407" s="6"/>
      <c r="AW1407" s="6"/>
      <c r="AX1407" s="6"/>
      <c r="AY1407" s="6"/>
      <c r="AZ1407" s="6"/>
      <c r="BA1407" s="6"/>
      <c r="BB1407" s="6"/>
      <c r="BC1407" s="6"/>
      <c r="BD1407" s="6"/>
      <c r="BE1407" s="6"/>
      <c r="BF1407" s="6"/>
      <c r="BG1407" s="6"/>
      <c r="BH1407" s="6"/>
      <c r="BI1407" s="6"/>
      <c r="BJ1407" s="6"/>
      <c r="BK1407" s="6"/>
      <c r="BL1407" s="6"/>
      <c r="BM1407" s="6"/>
      <c r="BN1407" s="6"/>
      <c r="BO1407" s="6"/>
      <c r="BP1407" s="6"/>
      <c r="BQ1407" s="6"/>
      <c r="BR1407" s="6"/>
      <c r="BS1407" s="6"/>
      <c r="BT1407" s="6"/>
      <c r="BU1407" s="6"/>
      <c r="BV1407" s="6"/>
      <c r="BW1407" s="6"/>
      <c r="BX1407" s="5"/>
      <c r="BY1407" s="7"/>
      <c r="BZ1407" s="7"/>
      <c r="CA1407" s="7"/>
      <c r="CB1407" s="7"/>
      <c r="CC1407" s="874"/>
    </row>
    <row r="1408" spans="1:81" s="400" customFormat="1" ht="14.25" customHeight="1" x14ac:dyDescent="0.25">
      <c r="A1408" s="5"/>
      <c r="B1408" s="5"/>
      <c r="C1408" s="5"/>
      <c r="D1408" s="5"/>
      <c r="E1408" s="5"/>
      <c r="F1408" s="5"/>
      <c r="G1408" s="5"/>
      <c r="H1408" s="5"/>
      <c r="I1408" s="5"/>
      <c r="J1408" s="5"/>
      <c r="K1408" s="5"/>
      <c r="L1408" s="5"/>
      <c r="M1408" s="5"/>
      <c r="N1408" s="5"/>
      <c r="O1408" s="5"/>
      <c r="P1408" s="5"/>
      <c r="Q1408" s="5"/>
      <c r="R1408" s="5"/>
      <c r="S1408" s="5"/>
      <c r="T1408" s="5"/>
      <c r="U1408" s="5"/>
      <c r="V1408" s="5"/>
      <c r="W1408" s="5"/>
      <c r="X1408" s="5"/>
      <c r="Y1408" s="5"/>
      <c r="Z1408" s="5"/>
      <c r="AA1408" s="5"/>
      <c r="AB1408" s="6"/>
      <c r="AC1408" s="6"/>
      <c r="AD1408" s="6"/>
      <c r="AE1408" s="6"/>
      <c r="AF1408" s="6"/>
      <c r="AG1408" s="6"/>
      <c r="AH1408" s="6"/>
      <c r="AI1408" s="6"/>
      <c r="AJ1408" s="6"/>
      <c r="AK1408" s="6"/>
      <c r="AL1408" s="6"/>
      <c r="AM1408" s="6"/>
      <c r="AN1408" s="6"/>
      <c r="AO1408" s="6"/>
      <c r="AP1408" s="6"/>
      <c r="AQ1408" s="6"/>
      <c r="AR1408" s="6"/>
      <c r="AS1408" s="6"/>
      <c r="AT1408" s="6"/>
      <c r="AU1408" s="6"/>
      <c r="AV1408" s="6"/>
      <c r="AW1408" s="6"/>
      <c r="AX1408" s="6"/>
      <c r="AY1408" s="6"/>
      <c r="AZ1408" s="6"/>
      <c r="BA1408" s="6"/>
      <c r="BB1408" s="6"/>
      <c r="BC1408" s="6"/>
      <c r="BD1408" s="6"/>
      <c r="BE1408" s="6"/>
      <c r="BF1408" s="6"/>
      <c r="BG1408" s="6"/>
      <c r="BH1408" s="6"/>
      <c r="BI1408" s="6"/>
      <c r="BJ1408" s="6"/>
      <c r="BK1408" s="6"/>
      <c r="BL1408" s="6"/>
      <c r="BM1408" s="6"/>
      <c r="BN1408" s="6"/>
      <c r="BO1408" s="6"/>
      <c r="BP1408" s="6"/>
      <c r="BQ1408" s="6"/>
      <c r="BR1408" s="6"/>
      <c r="BS1408" s="6"/>
      <c r="BT1408" s="6"/>
      <c r="BU1408" s="6"/>
      <c r="BV1408" s="6"/>
      <c r="BW1408" s="6"/>
      <c r="BX1408" s="5"/>
      <c r="BY1408" s="7"/>
      <c r="BZ1408" s="7"/>
      <c r="CA1408" s="7"/>
      <c r="CB1408" s="7"/>
      <c r="CC1408" s="874"/>
    </row>
    <row r="1409" spans="1:81" s="400" customFormat="1" ht="14.25" customHeight="1" x14ac:dyDescent="0.25">
      <c r="A1409" s="5"/>
      <c r="B1409" s="5"/>
      <c r="C1409" s="5"/>
      <c r="D1409" s="5"/>
      <c r="E1409" s="5"/>
      <c r="F1409" s="5"/>
      <c r="G1409" s="5"/>
      <c r="H1409" s="5"/>
      <c r="I1409" s="5"/>
      <c r="J1409" s="5"/>
      <c r="K1409" s="5"/>
      <c r="L1409" s="5"/>
      <c r="M1409" s="5"/>
      <c r="N1409" s="5"/>
      <c r="O1409" s="5"/>
      <c r="P1409" s="5"/>
      <c r="Q1409" s="5"/>
      <c r="R1409" s="5"/>
      <c r="S1409" s="5"/>
      <c r="T1409" s="5"/>
      <c r="U1409" s="5"/>
      <c r="V1409" s="5"/>
      <c r="W1409" s="5"/>
      <c r="X1409" s="5"/>
      <c r="Y1409" s="5"/>
      <c r="Z1409" s="5"/>
      <c r="AA1409" s="5"/>
      <c r="AB1409" s="6"/>
      <c r="AC1409" s="6"/>
      <c r="AD1409" s="6"/>
      <c r="AE1409" s="6"/>
      <c r="AF1409" s="6"/>
      <c r="AG1409" s="6"/>
      <c r="AH1409" s="6"/>
      <c r="AI1409" s="6"/>
      <c r="AJ1409" s="6"/>
      <c r="AK1409" s="6"/>
      <c r="AL1409" s="6"/>
      <c r="AM1409" s="6"/>
      <c r="AN1409" s="6"/>
      <c r="AO1409" s="6"/>
      <c r="AP1409" s="6"/>
      <c r="AQ1409" s="6"/>
      <c r="AR1409" s="6"/>
      <c r="AS1409" s="6"/>
      <c r="AT1409" s="6"/>
      <c r="AU1409" s="6"/>
      <c r="AV1409" s="6"/>
      <c r="AW1409" s="6"/>
      <c r="AX1409" s="6"/>
      <c r="AY1409" s="6"/>
      <c r="AZ1409" s="6"/>
      <c r="BA1409" s="6"/>
      <c r="BB1409" s="6"/>
      <c r="BC1409" s="6"/>
      <c r="BD1409" s="6"/>
      <c r="BE1409" s="6"/>
      <c r="BF1409" s="6"/>
      <c r="BG1409" s="6"/>
      <c r="BH1409" s="6"/>
      <c r="BI1409" s="6"/>
      <c r="BJ1409" s="6"/>
      <c r="BK1409" s="6"/>
      <c r="BL1409" s="6"/>
      <c r="BM1409" s="6"/>
      <c r="BN1409" s="6"/>
      <c r="BO1409" s="6"/>
      <c r="BP1409" s="6"/>
      <c r="BQ1409" s="6"/>
      <c r="BR1409" s="6"/>
      <c r="BS1409" s="6"/>
      <c r="BT1409" s="6"/>
      <c r="BU1409" s="6"/>
      <c r="BV1409" s="6"/>
      <c r="BW1409" s="6"/>
      <c r="BX1409" s="5"/>
      <c r="BY1409" s="7"/>
      <c r="BZ1409" s="7"/>
      <c r="CA1409" s="7"/>
      <c r="CB1409" s="7"/>
      <c r="CC1409" s="874"/>
    </row>
    <row r="1410" spans="1:81" s="400" customFormat="1" ht="14.25" customHeight="1" x14ac:dyDescent="0.25">
      <c r="A1410" s="5"/>
      <c r="B1410" s="5"/>
      <c r="C1410" s="5"/>
      <c r="D1410" s="5"/>
      <c r="E1410" s="5"/>
      <c r="F1410" s="5"/>
      <c r="G1410" s="5"/>
      <c r="H1410" s="5"/>
      <c r="I1410" s="5"/>
      <c r="J1410" s="5"/>
      <c r="K1410" s="5"/>
      <c r="L1410" s="5"/>
      <c r="M1410" s="5"/>
      <c r="N1410" s="5"/>
      <c r="O1410" s="5"/>
      <c r="P1410" s="5"/>
      <c r="Q1410" s="5"/>
      <c r="R1410" s="5"/>
      <c r="S1410" s="5"/>
      <c r="T1410" s="5"/>
      <c r="U1410" s="5"/>
      <c r="V1410" s="5"/>
      <c r="W1410" s="5"/>
      <c r="X1410" s="5"/>
      <c r="Y1410" s="5"/>
      <c r="Z1410" s="5"/>
      <c r="AA1410" s="5"/>
      <c r="AB1410" s="6"/>
      <c r="AC1410" s="6"/>
      <c r="AD1410" s="6"/>
      <c r="AE1410" s="6"/>
      <c r="AF1410" s="6"/>
      <c r="AG1410" s="6"/>
      <c r="AH1410" s="6"/>
      <c r="AI1410" s="6"/>
      <c r="AJ1410" s="6"/>
      <c r="AK1410" s="6"/>
      <c r="AL1410" s="6"/>
      <c r="AM1410" s="6"/>
      <c r="AN1410" s="6"/>
      <c r="AO1410" s="6"/>
      <c r="AP1410" s="6"/>
      <c r="AQ1410" s="6"/>
      <c r="AR1410" s="6"/>
      <c r="AS1410" s="6"/>
      <c r="AT1410" s="6"/>
      <c r="AU1410" s="6"/>
      <c r="AV1410" s="6"/>
      <c r="AW1410" s="6"/>
      <c r="AX1410" s="6"/>
      <c r="AY1410" s="6"/>
      <c r="AZ1410" s="6"/>
      <c r="BA1410" s="6"/>
      <c r="BB1410" s="6"/>
      <c r="BC1410" s="6"/>
      <c r="BD1410" s="6"/>
      <c r="BE1410" s="6"/>
      <c r="BF1410" s="6"/>
      <c r="BG1410" s="6"/>
      <c r="BH1410" s="6"/>
      <c r="BI1410" s="6"/>
      <c r="BJ1410" s="6"/>
      <c r="BK1410" s="6"/>
      <c r="BL1410" s="6"/>
      <c r="BM1410" s="6"/>
      <c r="BN1410" s="6"/>
      <c r="BO1410" s="6"/>
      <c r="BP1410" s="6"/>
      <c r="BQ1410" s="6"/>
      <c r="BR1410" s="6"/>
      <c r="BS1410" s="6"/>
      <c r="BT1410" s="6"/>
      <c r="BU1410" s="6"/>
      <c r="BV1410" s="6"/>
      <c r="BW1410" s="6"/>
      <c r="BX1410" s="5"/>
      <c r="BY1410" s="7"/>
      <c r="BZ1410" s="7"/>
      <c r="CA1410" s="7"/>
      <c r="CB1410" s="7"/>
      <c r="CC1410" s="874"/>
    </row>
    <row r="1411" spans="1:81" s="400" customFormat="1" ht="14.25" customHeight="1" x14ac:dyDescent="0.25">
      <c r="A1411" s="5"/>
      <c r="B1411" s="5"/>
      <c r="C1411" s="5"/>
      <c r="D1411" s="5"/>
      <c r="E1411" s="5"/>
      <c r="F1411" s="5"/>
      <c r="G1411" s="5"/>
      <c r="H1411" s="5"/>
      <c r="I1411" s="5"/>
      <c r="J1411" s="5"/>
      <c r="K1411" s="5"/>
      <c r="L1411" s="5"/>
      <c r="M1411" s="5"/>
      <c r="N1411" s="5"/>
      <c r="O1411" s="5"/>
      <c r="P1411" s="5"/>
      <c r="Q1411" s="5"/>
      <c r="R1411" s="5"/>
      <c r="S1411" s="5"/>
      <c r="T1411" s="5"/>
      <c r="U1411" s="5"/>
      <c r="V1411" s="5"/>
      <c r="W1411" s="5"/>
      <c r="X1411" s="5"/>
      <c r="Y1411" s="5"/>
      <c r="Z1411" s="5"/>
      <c r="AA1411" s="5"/>
      <c r="AB1411" s="6"/>
      <c r="AC1411" s="6"/>
      <c r="AD1411" s="6"/>
      <c r="AE1411" s="6"/>
      <c r="AF1411" s="6"/>
      <c r="AG1411" s="6"/>
      <c r="AH1411" s="6"/>
      <c r="AI1411" s="6"/>
      <c r="AJ1411" s="6"/>
      <c r="AK1411" s="6"/>
      <c r="AL1411" s="6"/>
      <c r="AM1411" s="6"/>
      <c r="AN1411" s="6"/>
      <c r="AO1411" s="6"/>
      <c r="AP1411" s="6"/>
      <c r="AQ1411" s="6"/>
      <c r="AR1411" s="6"/>
      <c r="AS1411" s="6"/>
      <c r="AT1411" s="6"/>
      <c r="AU1411" s="6"/>
      <c r="AV1411" s="6"/>
      <c r="AW1411" s="6"/>
      <c r="AX1411" s="6"/>
      <c r="AY1411" s="6"/>
      <c r="AZ1411" s="6"/>
      <c r="BA1411" s="6"/>
      <c r="BB1411" s="6"/>
      <c r="BC1411" s="6"/>
      <c r="BD1411" s="6"/>
      <c r="BE1411" s="6"/>
      <c r="BF1411" s="6"/>
      <c r="BG1411" s="6"/>
      <c r="BH1411" s="6"/>
      <c r="BI1411" s="6"/>
      <c r="BJ1411" s="6"/>
      <c r="BK1411" s="6"/>
      <c r="BL1411" s="6"/>
      <c r="BM1411" s="6"/>
      <c r="BN1411" s="6"/>
      <c r="BO1411" s="6"/>
      <c r="BP1411" s="6"/>
      <c r="BQ1411" s="6"/>
      <c r="BR1411" s="6"/>
      <c r="BS1411" s="6"/>
      <c r="BT1411" s="6"/>
      <c r="BU1411" s="6"/>
      <c r="BV1411" s="6"/>
      <c r="BW1411" s="6"/>
      <c r="BX1411" s="5"/>
      <c r="BY1411" s="7"/>
      <c r="BZ1411" s="7"/>
      <c r="CA1411" s="7"/>
      <c r="CB1411" s="7"/>
      <c r="CC1411" s="874"/>
    </row>
    <row r="1412" spans="1:81" s="400" customFormat="1" ht="14.25" customHeight="1" x14ac:dyDescent="0.25">
      <c r="A1412" s="5"/>
      <c r="B1412" s="5"/>
      <c r="C1412" s="5"/>
      <c r="D1412" s="5"/>
      <c r="E1412" s="5"/>
      <c r="F1412" s="5"/>
      <c r="G1412" s="5"/>
      <c r="H1412" s="5"/>
      <c r="I1412" s="5"/>
      <c r="J1412" s="5"/>
      <c r="K1412" s="5"/>
      <c r="L1412" s="5"/>
      <c r="M1412" s="5"/>
      <c r="N1412" s="5"/>
      <c r="O1412" s="5"/>
      <c r="P1412" s="5"/>
      <c r="Q1412" s="5"/>
      <c r="R1412" s="5"/>
      <c r="S1412" s="5"/>
      <c r="T1412" s="5"/>
      <c r="U1412" s="5"/>
      <c r="V1412" s="5"/>
      <c r="W1412" s="5"/>
      <c r="X1412" s="5"/>
      <c r="Y1412" s="5"/>
      <c r="Z1412" s="5"/>
      <c r="AA1412" s="5"/>
      <c r="AB1412" s="6"/>
      <c r="AC1412" s="6"/>
      <c r="AD1412" s="6"/>
      <c r="AE1412" s="6"/>
      <c r="AF1412" s="6"/>
      <c r="AG1412" s="6"/>
      <c r="AH1412" s="6"/>
      <c r="AI1412" s="6"/>
      <c r="AJ1412" s="6"/>
      <c r="AK1412" s="6"/>
      <c r="AL1412" s="6"/>
      <c r="AM1412" s="6"/>
      <c r="AN1412" s="6"/>
      <c r="AO1412" s="6"/>
      <c r="AP1412" s="6"/>
      <c r="AQ1412" s="6"/>
      <c r="AR1412" s="6"/>
      <c r="AS1412" s="6"/>
      <c r="AT1412" s="6"/>
      <c r="AU1412" s="6"/>
      <c r="AV1412" s="6"/>
      <c r="AW1412" s="6"/>
      <c r="AX1412" s="6"/>
      <c r="AY1412" s="6"/>
      <c r="AZ1412" s="6"/>
      <c r="BA1412" s="6"/>
      <c r="BB1412" s="6"/>
      <c r="BC1412" s="6"/>
      <c r="BD1412" s="6"/>
      <c r="BE1412" s="6"/>
      <c r="BF1412" s="6"/>
      <c r="BG1412" s="6"/>
      <c r="BH1412" s="6"/>
      <c r="BI1412" s="6"/>
      <c r="BJ1412" s="6"/>
      <c r="BK1412" s="6"/>
      <c r="BL1412" s="6"/>
      <c r="BM1412" s="6"/>
      <c r="BN1412" s="6"/>
      <c r="BO1412" s="6"/>
      <c r="BP1412" s="6"/>
      <c r="BQ1412" s="6"/>
      <c r="BR1412" s="6"/>
      <c r="BS1412" s="6"/>
      <c r="BT1412" s="6"/>
      <c r="BU1412" s="6"/>
      <c r="BV1412" s="6"/>
      <c r="BW1412" s="6"/>
      <c r="BX1412" s="5"/>
      <c r="BY1412" s="7"/>
      <c r="BZ1412" s="7"/>
      <c r="CA1412" s="7"/>
      <c r="CB1412" s="7"/>
      <c r="CC1412" s="874"/>
    </row>
    <row r="1413" spans="1:81" s="400" customFormat="1" ht="14.25" customHeight="1" x14ac:dyDescent="0.25">
      <c r="A1413" s="5"/>
      <c r="B1413" s="5"/>
      <c r="C1413" s="5"/>
      <c r="D1413" s="5"/>
      <c r="E1413" s="5"/>
      <c r="F1413" s="5"/>
      <c r="G1413" s="5"/>
      <c r="H1413" s="5"/>
      <c r="I1413" s="5"/>
      <c r="J1413" s="5"/>
      <c r="K1413" s="5"/>
      <c r="L1413" s="5"/>
      <c r="M1413" s="5"/>
      <c r="N1413" s="5"/>
      <c r="O1413" s="5"/>
      <c r="P1413" s="5"/>
      <c r="Q1413" s="5"/>
      <c r="R1413" s="5"/>
      <c r="S1413" s="5"/>
      <c r="T1413" s="5"/>
      <c r="U1413" s="5"/>
      <c r="V1413" s="5"/>
      <c r="W1413" s="5"/>
      <c r="X1413" s="5"/>
      <c r="Y1413" s="5"/>
      <c r="Z1413" s="5"/>
      <c r="AA1413" s="5"/>
      <c r="AB1413" s="6"/>
      <c r="AC1413" s="6"/>
      <c r="AD1413" s="6"/>
      <c r="AE1413" s="6"/>
      <c r="AF1413" s="6"/>
      <c r="AG1413" s="6"/>
      <c r="AH1413" s="6"/>
      <c r="AI1413" s="6"/>
      <c r="AJ1413" s="6"/>
      <c r="AK1413" s="6"/>
      <c r="AL1413" s="6"/>
      <c r="AM1413" s="6"/>
      <c r="AN1413" s="6"/>
      <c r="AO1413" s="6"/>
      <c r="AP1413" s="6"/>
      <c r="AQ1413" s="6"/>
      <c r="AR1413" s="6"/>
      <c r="AS1413" s="6"/>
      <c r="AT1413" s="6"/>
      <c r="AU1413" s="6"/>
      <c r="AV1413" s="6"/>
      <c r="AW1413" s="6"/>
      <c r="AX1413" s="6"/>
      <c r="AY1413" s="6"/>
      <c r="AZ1413" s="6"/>
      <c r="BA1413" s="6"/>
      <c r="BB1413" s="6"/>
      <c r="BC1413" s="6"/>
      <c r="BD1413" s="6"/>
      <c r="BE1413" s="6"/>
      <c r="BF1413" s="6"/>
      <c r="BG1413" s="6"/>
      <c r="BH1413" s="6"/>
      <c r="BI1413" s="6"/>
      <c r="BJ1413" s="6"/>
      <c r="BK1413" s="6"/>
      <c r="BL1413" s="6"/>
      <c r="BM1413" s="6"/>
      <c r="BN1413" s="6"/>
      <c r="BO1413" s="6"/>
      <c r="BP1413" s="6"/>
      <c r="BQ1413" s="6"/>
      <c r="BR1413" s="6"/>
      <c r="BS1413" s="6"/>
      <c r="BT1413" s="6"/>
      <c r="BU1413" s="6"/>
      <c r="BV1413" s="6"/>
      <c r="BW1413" s="6"/>
      <c r="BX1413" s="5"/>
      <c r="BY1413" s="7"/>
      <c r="BZ1413" s="7"/>
      <c r="CA1413" s="7"/>
      <c r="CB1413" s="7"/>
      <c r="CC1413" s="874"/>
    </row>
    <row r="1414" spans="1:81" s="400" customFormat="1" ht="14.25" customHeight="1" x14ac:dyDescent="0.25">
      <c r="A1414" s="5"/>
      <c r="B1414" s="5"/>
      <c r="C1414" s="5"/>
      <c r="D1414" s="5"/>
      <c r="E1414" s="5"/>
      <c r="F1414" s="5"/>
      <c r="G1414" s="5"/>
      <c r="H1414" s="5"/>
      <c r="I1414" s="5"/>
      <c r="J1414" s="5"/>
      <c r="K1414" s="5"/>
      <c r="L1414" s="5"/>
      <c r="M1414" s="5"/>
      <c r="N1414" s="5"/>
      <c r="O1414" s="5"/>
      <c r="P1414" s="5"/>
      <c r="Q1414" s="5"/>
      <c r="R1414" s="5"/>
      <c r="S1414" s="5"/>
      <c r="T1414" s="5"/>
      <c r="U1414" s="5"/>
      <c r="V1414" s="5"/>
      <c r="W1414" s="5"/>
      <c r="X1414" s="5"/>
      <c r="Y1414" s="5"/>
      <c r="Z1414" s="5"/>
      <c r="AA1414" s="5"/>
      <c r="AB1414" s="6"/>
      <c r="AC1414" s="6"/>
      <c r="AD1414" s="6"/>
      <c r="AE1414" s="6"/>
      <c r="AF1414" s="6"/>
      <c r="AG1414" s="6"/>
      <c r="AH1414" s="6"/>
      <c r="AI1414" s="6"/>
      <c r="AJ1414" s="6"/>
      <c r="AK1414" s="6"/>
      <c r="AL1414" s="6"/>
      <c r="AM1414" s="6"/>
      <c r="AN1414" s="6"/>
      <c r="AO1414" s="6"/>
      <c r="AP1414" s="6"/>
      <c r="AQ1414" s="6"/>
      <c r="AR1414" s="6"/>
      <c r="AS1414" s="6"/>
      <c r="AT1414" s="6"/>
      <c r="AU1414" s="6"/>
      <c r="AV1414" s="6"/>
      <c r="AW1414" s="6"/>
      <c r="AX1414" s="6"/>
      <c r="AY1414" s="6"/>
      <c r="AZ1414" s="6"/>
      <c r="BA1414" s="6"/>
      <c r="BB1414" s="6"/>
      <c r="BC1414" s="6"/>
      <c r="BD1414" s="6"/>
      <c r="BE1414" s="6"/>
      <c r="BF1414" s="6"/>
      <c r="BG1414" s="6"/>
      <c r="BH1414" s="6"/>
      <c r="BI1414" s="6"/>
      <c r="BJ1414" s="6"/>
      <c r="BK1414" s="6"/>
      <c r="BL1414" s="6"/>
      <c r="BM1414" s="6"/>
      <c r="BN1414" s="6"/>
      <c r="BO1414" s="6"/>
      <c r="BP1414" s="6"/>
      <c r="BQ1414" s="6"/>
      <c r="BR1414" s="6"/>
      <c r="BS1414" s="6"/>
      <c r="BT1414" s="6"/>
      <c r="BU1414" s="6"/>
      <c r="BV1414" s="6"/>
      <c r="BW1414" s="6"/>
      <c r="BX1414" s="5"/>
      <c r="BY1414" s="7"/>
      <c r="BZ1414" s="7"/>
      <c r="CA1414" s="7"/>
      <c r="CB1414" s="7"/>
      <c r="CC1414" s="874"/>
    </row>
    <row r="1415" spans="1:81" s="400" customFormat="1" ht="14.25" customHeight="1" x14ac:dyDescent="0.25">
      <c r="A1415" s="5"/>
      <c r="B1415" s="5"/>
      <c r="C1415" s="5"/>
      <c r="D1415" s="5"/>
      <c r="E1415" s="5"/>
      <c r="F1415" s="5"/>
      <c r="G1415" s="5"/>
      <c r="H1415" s="5"/>
      <c r="I1415" s="5"/>
      <c r="J1415" s="5"/>
      <c r="K1415" s="5"/>
      <c r="L1415" s="5"/>
      <c r="M1415" s="5"/>
      <c r="N1415" s="5"/>
      <c r="O1415" s="5"/>
      <c r="P1415" s="5"/>
      <c r="Q1415" s="5"/>
      <c r="R1415" s="5"/>
      <c r="S1415" s="5"/>
      <c r="T1415" s="5"/>
      <c r="U1415" s="5"/>
      <c r="V1415" s="5"/>
      <c r="W1415" s="5"/>
      <c r="X1415" s="5"/>
      <c r="Y1415" s="5"/>
      <c r="Z1415" s="5"/>
      <c r="AA1415" s="5"/>
      <c r="AB1415" s="6"/>
      <c r="AC1415" s="6"/>
      <c r="AD1415" s="6"/>
      <c r="AE1415" s="6"/>
      <c r="AF1415" s="6"/>
      <c r="AG1415" s="6"/>
      <c r="AH1415" s="6"/>
      <c r="AI1415" s="6"/>
      <c r="AJ1415" s="6"/>
      <c r="AK1415" s="6"/>
      <c r="AL1415" s="6"/>
      <c r="AM1415" s="6"/>
      <c r="AN1415" s="6"/>
      <c r="AO1415" s="6"/>
      <c r="AP1415" s="6"/>
      <c r="AQ1415" s="6"/>
      <c r="AR1415" s="6"/>
      <c r="AS1415" s="6"/>
      <c r="AT1415" s="6"/>
      <c r="AU1415" s="6"/>
      <c r="AV1415" s="6"/>
      <c r="AW1415" s="6"/>
      <c r="AX1415" s="6"/>
      <c r="AY1415" s="6"/>
      <c r="AZ1415" s="6"/>
      <c r="BA1415" s="6"/>
      <c r="BB1415" s="6"/>
      <c r="BC1415" s="6"/>
      <c r="BD1415" s="6"/>
      <c r="BE1415" s="6"/>
      <c r="BF1415" s="6"/>
      <c r="BG1415" s="6"/>
      <c r="BH1415" s="6"/>
      <c r="BI1415" s="6"/>
      <c r="BJ1415" s="6"/>
      <c r="BK1415" s="6"/>
      <c r="BL1415" s="6"/>
      <c r="BM1415" s="6"/>
      <c r="BN1415" s="6"/>
      <c r="BO1415" s="6"/>
      <c r="BP1415" s="6"/>
      <c r="BQ1415" s="6"/>
      <c r="BR1415" s="6"/>
      <c r="BS1415" s="6"/>
      <c r="BT1415" s="6"/>
      <c r="BU1415" s="6"/>
      <c r="BV1415" s="6"/>
      <c r="BW1415" s="6"/>
      <c r="BX1415" s="5"/>
      <c r="BY1415" s="7"/>
      <c r="BZ1415" s="7"/>
      <c r="CA1415" s="7"/>
      <c r="CB1415" s="7"/>
      <c r="CC1415" s="874"/>
    </row>
    <row r="1416" spans="1:81" s="400" customFormat="1" ht="14.25" customHeight="1" x14ac:dyDescent="0.25">
      <c r="A1416" s="5"/>
      <c r="B1416" s="5"/>
      <c r="C1416" s="5"/>
      <c r="D1416" s="5"/>
      <c r="E1416" s="5"/>
      <c r="F1416" s="5"/>
      <c r="G1416" s="5"/>
      <c r="H1416" s="5"/>
      <c r="I1416" s="5"/>
      <c r="J1416" s="5"/>
      <c r="K1416" s="5"/>
      <c r="L1416" s="5"/>
      <c r="M1416" s="5"/>
      <c r="N1416" s="5"/>
      <c r="O1416" s="5"/>
      <c r="P1416" s="5"/>
      <c r="Q1416" s="5"/>
      <c r="R1416" s="5"/>
      <c r="S1416" s="5"/>
      <c r="T1416" s="5"/>
      <c r="U1416" s="5"/>
      <c r="V1416" s="5"/>
      <c r="W1416" s="5"/>
      <c r="X1416" s="5"/>
      <c r="Y1416" s="5"/>
      <c r="Z1416" s="5"/>
      <c r="AA1416" s="5"/>
      <c r="AB1416" s="6"/>
      <c r="AC1416" s="6"/>
      <c r="AD1416" s="6"/>
      <c r="AE1416" s="6"/>
      <c r="AF1416" s="6"/>
      <c r="AG1416" s="6"/>
      <c r="AH1416" s="6"/>
      <c r="AI1416" s="6"/>
      <c r="AJ1416" s="6"/>
      <c r="AK1416" s="6"/>
      <c r="AL1416" s="6"/>
      <c r="AM1416" s="6"/>
      <c r="AN1416" s="6"/>
      <c r="AO1416" s="6"/>
      <c r="AP1416" s="6"/>
      <c r="AQ1416" s="6"/>
      <c r="AR1416" s="6"/>
      <c r="AS1416" s="6"/>
      <c r="AT1416" s="6"/>
      <c r="AU1416" s="6"/>
      <c r="AV1416" s="6"/>
      <c r="AW1416" s="6"/>
      <c r="AX1416" s="6"/>
      <c r="AY1416" s="6"/>
      <c r="AZ1416" s="6"/>
      <c r="BA1416" s="6"/>
      <c r="BB1416" s="6"/>
      <c r="BC1416" s="6"/>
      <c r="BD1416" s="6"/>
      <c r="BE1416" s="6"/>
      <c r="BF1416" s="6"/>
      <c r="BG1416" s="6"/>
      <c r="BH1416" s="6"/>
      <c r="BI1416" s="6"/>
      <c r="BJ1416" s="6"/>
      <c r="BK1416" s="6"/>
      <c r="BL1416" s="6"/>
      <c r="BM1416" s="6"/>
      <c r="BN1416" s="6"/>
      <c r="BO1416" s="6"/>
      <c r="BP1416" s="6"/>
      <c r="BQ1416" s="6"/>
      <c r="BR1416" s="6"/>
      <c r="BS1416" s="6"/>
      <c r="BT1416" s="6"/>
      <c r="BU1416" s="6"/>
      <c r="BV1416" s="6"/>
      <c r="BW1416" s="6"/>
      <c r="BX1416" s="5"/>
      <c r="BY1416" s="7"/>
      <c r="BZ1416" s="7"/>
      <c r="CA1416" s="7"/>
      <c r="CB1416" s="7"/>
      <c r="CC1416" s="874"/>
    </row>
    <row r="1417" spans="1:81" s="400" customFormat="1" ht="14.25" customHeight="1" x14ac:dyDescent="0.25">
      <c r="A1417" s="5"/>
      <c r="B1417" s="5"/>
      <c r="C1417" s="5"/>
      <c r="D1417" s="5"/>
      <c r="E1417" s="5"/>
      <c r="F1417" s="5"/>
      <c r="G1417" s="5"/>
      <c r="H1417" s="5"/>
      <c r="I1417" s="5"/>
      <c r="J1417" s="5"/>
      <c r="K1417" s="5"/>
      <c r="L1417" s="5"/>
      <c r="M1417" s="5"/>
      <c r="N1417" s="5"/>
      <c r="O1417" s="5"/>
      <c r="P1417" s="5"/>
      <c r="Q1417" s="5"/>
      <c r="R1417" s="5"/>
      <c r="S1417" s="5"/>
      <c r="T1417" s="5"/>
      <c r="U1417" s="5"/>
      <c r="V1417" s="5"/>
      <c r="W1417" s="5"/>
      <c r="X1417" s="5"/>
      <c r="Y1417" s="5"/>
      <c r="Z1417" s="5"/>
      <c r="AA1417" s="5"/>
      <c r="AB1417" s="6"/>
      <c r="AC1417" s="6"/>
      <c r="AD1417" s="6"/>
      <c r="AE1417" s="6"/>
      <c r="AF1417" s="6"/>
      <c r="AG1417" s="6"/>
      <c r="AH1417" s="6"/>
      <c r="AI1417" s="6"/>
      <c r="AJ1417" s="6"/>
      <c r="AK1417" s="6"/>
      <c r="AL1417" s="6"/>
      <c r="AM1417" s="6"/>
      <c r="AN1417" s="6"/>
      <c r="AO1417" s="6"/>
      <c r="AP1417" s="6"/>
      <c r="AQ1417" s="6"/>
      <c r="AR1417" s="6"/>
      <c r="AS1417" s="6"/>
      <c r="AT1417" s="6"/>
      <c r="AU1417" s="6"/>
      <c r="AV1417" s="6"/>
      <c r="AW1417" s="6"/>
      <c r="AX1417" s="6"/>
      <c r="AY1417" s="6"/>
      <c r="AZ1417" s="6"/>
      <c r="BA1417" s="6"/>
      <c r="BB1417" s="6"/>
      <c r="BC1417" s="6"/>
      <c r="BD1417" s="6"/>
      <c r="BE1417" s="6"/>
      <c r="BF1417" s="6"/>
      <c r="BG1417" s="6"/>
      <c r="BH1417" s="6"/>
      <c r="BI1417" s="6"/>
      <c r="BJ1417" s="6"/>
      <c r="BK1417" s="6"/>
      <c r="BL1417" s="6"/>
      <c r="BM1417" s="6"/>
      <c r="BN1417" s="6"/>
      <c r="BO1417" s="6"/>
      <c r="BP1417" s="6"/>
      <c r="BQ1417" s="6"/>
      <c r="BR1417" s="6"/>
      <c r="BS1417" s="6"/>
      <c r="BT1417" s="6"/>
      <c r="BU1417" s="6"/>
      <c r="BV1417" s="6"/>
      <c r="BW1417" s="6"/>
      <c r="BX1417" s="5"/>
      <c r="BY1417" s="7"/>
      <c r="BZ1417" s="7"/>
      <c r="CA1417" s="7"/>
      <c r="CB1417" s="7"/>
      <c r="CC1417" s="874"/>
    </row>
    <row r="1418" spans="1:81" s="400" customFormat="1" ht="14.25" customHeight="1" x14ac:dyDescent="0.25">
      <c r="A1418" s="5"/>
      <c r="B1418" s="5"/>
      <c r="C1418" s="5"/>
      <c r="D1418" s="5"/>
      <c r="E1418" s="5"/>
      <c r="F1418" s="5"/>
      <c r="G1418" s="5"/>
      <c r="H1418" s="5"/>
      <c r="I1418" s="5"/>
      <c r="J1418" s="5"/>
      <c r="K1418" s="5"/>
      <c r="L1418" s="5"/>
      <c r="M1418" s="5"/>
      <c r="N1418" s="5"/>
      <c r="O1418" s="5"/>
      <c r="P1418" s="5"/>
      <c r="Q1418" s="5"/>
      <c r="R1418" s="5"/>
      <c r="S1418" s="5"/>
      <c r="T1418" s="5"/>
      <c r="U1418" s="5"/>
      <c r="V1418" s="5"/>
      <c r="W1418" s="5"/>
      <c r="X1418" s="5"/>
      <c r="Y1418" s="5"/>
      <c r="Z1418" s="5"/>
      <c r="AA1418" s="5"/>
      <c r="AB1418" s="6"/>
      <c r="AC1418" s="6"/>
      <c r="AD1418" s="6"/>
      <c r="AE1418" s="6"/>
      <c r="AF1418" s="6"/>
      <c r="AG1418" s="6"/>
      <c r="AH1418" s="6"/>
      <c r="AI1418" s="6"/>
      <c r="AJ1418" s="6"/>
      <c r="AK1418" s="6"/>
      <c r="AL1418" s="6"/>
      <c r="AM1418" s="6"/>
      <c r="AN1418" s="6"/>
      <c r="AO1418" s="6"/>
      <c r="AP1418" s="6"/>
      <c r="AQ1418" s="6"/>
      <c r="AR1418" s="6"/>
      <c r="AS1418" s="6"/>
      <c r="AT1418" s="6"/>
      <c r="AU1418" s="6"/>
      <c r="AV1418" s="6"/>
      <c r="AW1418" s="6"/>
      <c r="AX1418" s="6"/>
      <c r="AY1418" s="6"/>
      <c r="AZ1418" s="6"/>
      <c r="BA1418" s="6"/>
      <c r="BB1418" s="6"/>
      <c r="BC1418" s="6"/>
      <c r="BD1418" s="6"/>
      <c r="BE1418" s="6"/>
      <c r="BF1418" s="6"/>
      <c r="BG1418" s="6"/>
      <c r="BH1418" s="6"/>
      <c r="BI1418" s="6"/>
      <c r="BJ1418" s="6"/>
      <c r="BK1418" s="6"/>
      <c r="BL1418" s="6"/>
      <c r="BM1418" s="6"/>
      <c r="BN1418" s="6"/>
      <c r="BO1418" s="6"/>
      <c r="BP1418" s="6"/>
      <c r="BQ1418" s="6"/>
      <c r="BR1418" s="6"/>
      <c r="BS1418" s="6"/>
      <c r="BT1418" s="6"/>
      <c r="BU1418" s="6"/>
      <c r="BV1418" s="6"/>
      <c r="BW1418" s="6"/>
      <c r="BX1418" s="5"/>
      <c r="BY1418" s="7"/>
      <c r="BZ1418" s="7"/>
      <c r="CA1418" s="7"/>
      <c r="CB1418" s="7"/>
      <c r="CC1418" s="874"/>
    </row>
    <row r="1419" spans="1:81" s="400" customFormat="1" ht="14.25" customHeight="1" x14ac:dyDescent="0.25">
      <c r="A1419" s="5"/>
      <c r="B1419" s="5"/>
      <c r="C1419" s="5"/>
      <c r="D1419" s="5"/>
      <c r="E1419" s="5"/>
      <c r="F1419" s="5"/>
      <c r="G1419" s="5"/>
      <c r="H1419" s="5"/>
      <c r="I1419" s="5"/>
      <c r="J1419" s="5"/>
      <c r="K1419" s="5"/>
      <c r="L1419" s="5"/>
      <c r="M1419" s="5"/>
      <c r="N1419" s="5"/>
      <c r="O1419" s="5"/>
      <c r="P1419" s="5"/>
      <c r="Q1419" s="5"/>
      <c r="R1419" s="5"/>
      <c r="S1419" s="5"/>
      <c r="T1419" s="5"/>
      <c r="U1419" s="5"/>
      <c r="V1419" s="5"/>
      <c r="W1419" s="5"/>
      <c r="X1419" s="5"/>
      <c r="Y1419" s="5"/>
      <c r="Z1419" s="5"/>
      <c r="AA1419" s="5"/>
      <c r="AB1419" s="6"/>
      <c r="AC1419" s="6"/>
      <c r="AD1419" s="6"/>
      <c r="AE1419" s="6"/>
      <c r="AF1419" s="6"/>
      <c r="AG1419" s="6"/>
      <c r="AH1419" s="6"/>
      <c r="AI1419" s="6"/>
      <c r="AJ1419" s="6"/>
      <c r="AK1419" s="6"/>
      <c r="AL1419" s="6"/>
      <c r="AM1419" s="6"/>
      <c r="AN1419" s="6"/>
      <c r="AO1419" s="6"/>
      <c r="AP1419" s="6"/>
      <c r="AQ1419" s="6"/>
      <c r="AR1419" s="6"/>
      <c r="AS1419" s="6"/>
      <c r="AT1419" s="6"/>
      <c r="AU1419" s="6"/>
      <c r="AV1419" s="6"/>
      <c r="AW1419" s="6"/>
      <c r="AX1419" s="6"/>
      <c r="AY1419" s="6"/>
      <c r="AZ1419" s="6"/>
      <c r="BA1419" s="6"/>
      <c r="BB1419" s="6"/>
      <c r="BC1419" s="6"/>
      <c r="BD1419" s="6"/>
      <c r="BE1419" s="6"/>
      <c r="BF1419" s="6"/>
      <c r="BG1419" s="6"/>
      <c r="BH1419" s="6"/>
      <c r="BI1419" s="6"/>
      <c r="BJ1419" s="6"/>
      <c r="BK1419" s="6"/>
      <c r="BL1419" s="6"/>
      <c r="BM1419" s="6"/>
      <c r="BN1419" s="6"/>
      <c r="BO1419" s="6"/>
      <c r="BP1419" s="6"/>
      <c r="BQ1419" s="6"/>
      <c r="BR1419" s="6"/>
      <c r="BS1419" s="6"/>
      <c r="BT1419" s="6"/>
      <c r="BU1419" s="6"/>
      <c r="BV1419" s="6"/>
      <c r="BW1419" s="6"/>
      <c r="BX1419" s="5"/>
      <c r="BY1419" s="7"/>
      <c r="BZ1419" s="7"/>
      <c r="CA1419" s="7"/>
      <c r="CB1419" s="7"/>
      <c r="CC1419" s="874"/>
    </row>
    <row r="1420" spans="1:81" s="400" customFormat="1" ht="14.25" customHeight="1" x14ac:dyDescent="0.25">
      <c r="A1420" s="5"/>
      <c r="B1420" s="5"/>
      <c r="C1420" s="5"/>
      <c r="D1420" s="5"/>
      <c r="E1420" s="5"/>
      <c r="F1420" s="5"/>
      <c r="G1420" s="5"/>
      <c r="H1420" s="5"/>
      <c r="I1420" s="5"/>
      <c r="J1420" s="5"/>
      <c r="K1420" s="5"/>
      <c r="L1420" s="5"/>
      <c r="M1420" s="5"/>
      <c r="N1420" s="5"/>
      <c r="O1420" s="5"/>
      <c r="P1420" s="5"/>
      <c r="Q1420" s="5"/>
      <c r="R1420" s="5"/>
      <c r="S1420" s="5"/>
      <c r="T1420" s="5"/>
      <c r="U1420" s="5"/>
      <c r="V1420" s="5"/>
      <c r="W1420" s="5"/>
      <c r="X1420" s="5"/>
      <c r="Y1420" s="5"/>
      <c r="Z1420" s="5"/>
      <c r="AA1420" s="5"/>
      <c r="AB1420" s="6"/>
      <c r="AC1420" s="6"/>
      <c r="AD1420" s="6"/>
      <c r="AE1420" s="6"/>
      <c r="AF1420" s="6"/>
      <c r="AG1420" s="6"/>
      <c r="AH1420" s="6"/>
      <c r="AI1420" s="6"/>
      <c r="AJ1420" s="6"/>
      <c r="AK1420" s="6"/>
      <c r="AL1420" s="6"/>
      <c r="AM1420" s="6"/>
      <c r="AN1420" s="6"/>
      <c r="AO1420" s="6"/>
      <c r="AP1420" s="6"/>
      <c r="AQ1420" s="6"/>
      <c r="AR1420" s="6"/>
      <c r="AS1420" s="6"/>
      <c r="AT1420" s="6"/>
      <c r="AU1420" s="6"/>
      <c r="AV1420" s="6"/>
      <c r="AW1420" s="6"/>
      <c r="AX1420" s="6"/>
      <c r="AY1420" s="6"/>
      <c r="AZ1420" s="6"/>
      <c r="BA1420" s="6"/>
      <c r="BB1420" s="6"/>
      <c r="BC1420" s="6"/>
      <c r="BD1420" s="6"/>
      <c r="BE1420" s="6"/>
      <c r="BF1420" s="6"/>
      <c r="BG1420" s="6"/>
      <c r="BH1420" s="6"/>
      <c r="BI1420" s="6"/>
      <c r="BJ1420" s="6"/>
      <c r="BK1420" s="6"/>
      <c r="BL1420" s="6"/>
      <c r="BM1420" s="6"/>
      <c r="BN1420" s="6"/>
      <c r="BO1420" s="6"/>
      <c r="BP1420" s="6"/>
      <c r="BQ1420" s="6"/>
      <c r="BR1420" s="6"/>
      <c r="BS1420" s="6"/>
      <c r="BT1420" s="6"/>
      <c r="BU1420" s="6"/>
      <c r="BV1420" s="6"/>
      <c r="BW1420" s="6"/>
      <c r="BX1420" s="5"/>
      <c r="BY1420" s="7"/>
      <c r="BZ1420" s="7"/>
      <c r="CA1420" s="7"/>
      <c r="CB1420" s="7"/>
      <c r="CC1420" s="874"/>
    </row>
    <row r="1421" spans="1:81" s="400" customFormat="1" ht="14.25" customHeight="1" x14ac:dyDescent="0.25">
      <c r="A1421" s="5"/>
      <c r="B1421" s="5"/>
      <c r="C1421" s="5"/>
      <c r="D1421" s="5"/>
      <c r="E1421" s="5"/>
      <c r="F1421" s="5"/>
      <c r="G1421" s="5"/>
      <c r="H1421" s="5"/>
      <c r="I1421" s="5"/>
      <c r="J1421" s="5"/>
      <c r="K1421" s="5"/>
      <c r="L1421" s="5"/>
      <c r="M1421" s="5"/>
      <c r="N1421" s="5"/>
      <c r="O1421" s="5"/>
      <c r="P1421" s="5"/>
      <c r="Q1421" s="5"/>
      <c r="R1421" s="5"/>
      <c r="S1421" s="5"/>
      <c r="T1421" s="5"/>
      <c r="U1421" s="5"/>
      <c r="V1421" s="5"/>
      <c r="W1421" s="5"/>
      <c r="X1421" s="5"/>
      <c r="Y1421" s="5"/>
      <c r="Z1421" s="5"/>
      <c r="AA1421" s="5"/>
      <c r="AB1421" s="6"/>
      <c r="AC1421" s="6"/>
      <c r="AD1421" s="6"/>
      <c r="AE1421" s="6"/>
      <c r="AF1421" s="6"/>
      <c r="AG1421" s="6"/>
      <c r="AH1421" s="6"/>
      <c r="AI1421" s="6"/>
      <c r="AJ1421" s="6"/>
      <c r="AK1421" s="6"/>
      <c r="AL1421" s="6"/>
      <c r="AM1421" s="6"/>
      <c r="AN1421" s="6"/>
      <c r="AO1421" s="6"/>
      <c r="AP1421" s="6"/>
      <c r="AQ1421" s="6"/>
      <c r="AR1421" s="6"/>
      <c r="AS1421" s="6"/>
      <c r="AT1421" s="6"/>
      <c r="AU1421" s="6"/>
      <c r="AV1421" s="6"/>
      <c r="AW1421" s="6"/>
      <c r="AX1421" s="6"/>
      <c r="AY1421" s="6"/>
      <c r="AZ1421" s="6"/>
      <c r="BA1421" s="6"/>
      <c r="BB1421" s="6"/>
      <c r="BC1421" s="6"/>
      <c r="BD1421" s="6"/>
      <c r="BE1421" s="6"/>
      <c r="BF1421" s="6"/>
      <c r="BG1421" s="6"/>
      <c r="BH1421" s="6"/>
      <c r="BI1421" s="6"/>
      <c r="BJ1421" s="6"/>
      <c r="BK1421" s="6"/>
      <c r="BL1421" s="6"/>
      <c r="BM1421" s="6"/>
      <c r="BN1421" s="6"/>
      <c r="BO1421" s="6"/>
      <c r="BP1421" s="6"/>
      <c r="BQ1421" s="6"/>
      <c r="BR1421" s="6"/>
      <c r="BS1421" s="6"/>
      <c r="BT1421" s="6"/>
      <c r="BU1421" s="6"/>
      <c r="BV1421" s="6"/>
      <c r="BW1421" s="6"/>
      <c r="BX1421" s="5"/>
      <c r="BY1421" s="7"/>
      <c r="BZ1421" s="7"/>
      <c r="CA1421" s="7"/>
      <c r="CB1421" s="7"/>
      <c r="CC1421" s="874"/>
    </row>
    <row r="1422" spans="1:81" s="400" customFormat="1" ht="14.25" customHeight="1" x14ac:dyDescent="0.25">
      <c r="A1422" s="5"/>
      <c r="B1422" s="5"/>
      <c r="C1422" s="5"/>
      <c r="D1422" s="5"/>
      <c r="E1422" s="5"/>
      <c r="F1422" s="5"/>
      <c r="G1422" s="5"/>
      <c r="H1422" s="5"/>
      <c r="I1422" s="5"/>
      <c r="J1422" s="5"/>
      <c r="K1422" s="5"/>
      <c r="L1422" s="5"/>
      <c r="M1422" s="5"/>
      <c r="N1422" s="5"/>
      <c r="O1422" s="5"/>
      <c r="P1422" s="5"/>
      <c r="Q1422" s="5"/>
      <c r="R1422" s="5"/>
      <c r="S1422" s="5"/>
      <c r="T1422" s="5"/>
      <c r="U1422" s="5"/>
      <c r="V1422" s="5"/>
      <c r="W1422" s="5"/>
      <c r="X1422" s="5"/>
      <c r="Y1422" s="5"/>
      <c r="Z1422" s="5"/>
      <c r="AA1422" s="5"/>
      <c r="AB1422" s="6"/>
      <c r="AC1422" s="6"/>
      <c r="AD1422" s="6"/>
      <c r="AE1422" s="6"/>
      <c r="AF1422" s="6"/>
      <c r="AG1422" s="6"/>
      <c r="AH1422" s="6"/>
      <c r="AI1422" s="6"/>
      <c r="AJ1422" s="6"/>
      <c r="AK1422" s="6"/>
      <c r="AL1422" s="6"/>
      <c r="AM1422" s="6"/>
      <c r="AN1422" s="6"/>
      <c r="AO1422" s="6"/>
      <c r="AP1422" s="6"/>
      <c r="AQ1422" s="6"/>
      <c r="AR1422" s="6"/>
      <c r="AS1422" s="6"/>
      <c r="AT1422" s="6"/>
      <c r="AU1422" s="6"/>
      <c r="AV1422" s="6"/>
      <c r="AW1422" s="6"/>
      <c r="AX1422" s="6"/>
      <c r="AY1422" s="6"/>
      <c r="AZ1422" s="6"/>
      <c r="BA1422" s="6"/>
      <c r="BB1422" s="6"/>
      <c r="BC1422" s="6"/>
      <c r="BD1422" s="6"/>
      <c r="BE1422" s="6"/>
      <c r="BF1422" s="6"/>
      <c r="BG1422" s="6"/>
      <c r="BH1422" s="6"/>
      <c r="BI1422" s="6"/>
      <c r="BJ1422" s="6"/>
      <c r="BK1422" s="6"/>
      <c r="BL1422" s="6"/>
      <c r="BM1422" s="6"/>
      <c r="BN1422" s="6"/>
      <c r="BO1422" s="6"/>
      <c r="BP1422" s="6"/>
      <c r="BQ1422" s="6"/>
      <c r="BR1422" s="6"/>
      <c r="BS1422" s="6"/>
      <c r="BT1422" s="6"/>
      <c r="BU1422" s="6"/>
      <c r="BV1422" s="6"/>
      <c r="BW1422" s="6"/>
      <c r="BX1422" s="5"/>
      <c r="BY1422" s="7"/>
      <c r="BZ1422" s="7"/>
      <c r="CA1422" s="7"/>
      <c r="CB1422" s="7"/>
      <c r="CC1422" s="874"/>
    </row>
    <row r="1423" spans="1:81" s="400" customFormat="1" ht="14.25" customHeight="1" x14ac:dyDescent="0.25">
      <c r="A1423" s="5"/>
      <c r="B1423" s="5"/>
      <c r="C1423" s="5"/>
      <c r="D1423" s="5"/>
      <c r="E1423" s="5"/>
      <c r="F1423" s="5"/>
      <c r="G1423" s="5"/>
      <c r="H1423" s="5"/>
      <c r="I1423" s="5"/>
      <c r="J1423" s="5"/>
      <c r="K1423" s="5"/>
      <c r="L1423" s="5"/>
      <c r="M1423" s="5"/>
      <c r="N1423" s="5"/>
      <c r="O1423" s="5"/>
      <c r="P1423" s="5"/>
      <c r="Q1423" s="5"/>
      <c r="R1423" s="5"/>
      <c r="S1423" s="5"/>
      <c r="T1423" s="5"/>
      <c r="U1423" s="5"/>
      <c r="V1423" s="5"/>
      <c r="W1423" s="5"/>
      <c r="X1423" s="5"/>
      <c r="Y1423" s="5"/>
      <c r="Z1423" s="5"/>
      <c r="AA1423" s="5"/>
      <c r="AB1423" s="6"/>
      <c r="AC1423" s="6"/>
      <c r="AD1423" s="6"/>
      <c r="AE1423" s="6"/>
      <c r="AF1423" s="6"/>
      <c r="AG1423" s="6"/>
      <c r="AH1423" s="6"/>
      <c r="AI1423" s="6"/>
      <c r="AJ1423" s="6"/>
      <c r="AK1423" s="6"/>
      <c r="AL1423" s="6"/>
      <c r="AM1423" s="6"/>
      <c r="AN1423" s="6"/>
      <c r="AO1423" s="6"/>
      <c r="AP1423" s="6"/>
      <c r="AQ1423" s="6"/>
      <c r="AR1423" s="6"/>
      <c r="AS1423" s="6"/>
      <c r="AT1423" s="6"/>
      <c r="AU1423" s="6"/>
      <c r="AV1423" s="6"/>
      <c r="AW1423" s="6"/>
      <c r="AX1423" s="6"/>
      <c r="AY1423" s="6"/>
      <c r="AZ1423" s="6"/>
      <c r="BA1423" s="6"/>
      <c r="BB1423" s="6"/>
      <c r="BC1423" s="6"/>
      <c r="BD1423" s="6"/>
      <c r="BE1423" s="6"/>
      <c r="BF1423" s="6"/>
      <c r="BG1423" s="6"/>
      <c r="BH1423" s="6"/>
      <c r="BI1423" s="6"/>
      <c r="BJ1423" s="6"/>
      <c r="BK1423" s="6"/>
      <c r="BL1423" s="6"/>
      <c r="BM1423" s="6"/>
      <c r="BN1423" s="6"/>
      <c r="BO1423" s="6"/>
      <c r="BP1423" s="6"/>
      <c r="BQ1423" s="6"/>
      <c r="BR1423" s="6"/>
      <c r="BS1423" s="6"/>
      <c r="BT1423" s="6"/>
      <c r="BU1423" s="6"/>
      <c r="BV1423" s="6"/>
      <c r="BW1423" s="6"/>
      <c r="BX1423" s="5"/>
      <c r="BY1423" s="7"/>
      <c r="BZ1423" s="7"/>
      <c r="CA1423" s="7"/>
      <c r="CB1423" s="7"/>
      <c r="CC1423" s="874"/>
    </row>
    <row r="1424" spans="1:81" s="400" customFormat="1" ht="14.25" customHeight="1" x14ac:dyDescent="0.25">
      <c r="A1424" s="5"/>
      <c r="B1424" s="5"/>
      <c r="C1424" s="5"/>
      <c r="D1424" s="5"/>
      <c r="E1424" s="5"/>
      <c r="F1424" s="5"/>
      <c r="G1424" s="5"/>
      <c r="H1424" s="5"/>
      <c r="I1424" s="5"/>
      <c r="J1424" s="5"/>
      <c r="K1424" s="5"/>
      <c r="L1424" s="5"/>
      <c r="M1424" s="5"/>
      <c r="N1424" s="5"/>
      <c r="O1424" s="5"/>
      <c r="P1424" s="5"/>
      <c r="Q1424" s="5"/>
      <c r="R1424" s="5"/>
      <c r="S1424" s="5"/>
      <c r="T1424" s="5"/>
      <c r="U1424" s="5"/>
      <c r="V1424" s="5"/>
      <c r="W1424" s="5"/>
      <c r="X1424" s="5"/>
      <c r="Y1424" s="5"/>
      <c r="Z1424" s="5"/>
      <c r="AA1424" s="5"/>
      <c r="AB1424" s="6"/>
      <c r="AC1424" s="6"/>
      <c r="AD1424" s="6"/>
      <c r="AE1424" s="6"/>
      <c r="AF1424" s="6"/>
      <c r="AG1424" s="6"/>
      <c r="AH1424" s="6"/>
      <c r="AI1424" s="6"/>
      <c r="AJ1424" s="6"/>
      <c r="AK1424" s="6"/>
      <c r="AL1424" s="6"/>
      <c r="AM1424" s="6"/>
      <c r="AN1424" s="6"/>
      <c r="AO1424" s="6"/>
      <c r="AP1424" s="6"/>
      <c r="AQ1424" s="6"/>
      <c r="AR1424" s="6"/>
      <c r="AS1424" s="6"/>
      <c r="AT1424" s="6"/>
      <c r="AU1424" s="6"/>
      <c r="AV1424" s="6"/>
      <c r="AW1424" s="6"/>
      <c r="AX1424" s="6"/>
      <c r="AY1424" s="6"/>
      <c r="AZ1424" s="6"/>
      <c r="BA1424" s="6"/>
      <c r="BB1424" s="6"/>
      <c r="BC1424" s="6"/>
      <c r="BD1424" s="6"/>
      <c r="BE1424" s="6"/>
      <c r="BF1424" s="6"/>
      <c r="BG1424" s="6"/>
      <c r="BH1424" s="6"/>
      <c r="BI1424" s="6"/>
      <c r="BJ1424" s="6"/>
      <c r="BK1424" s="6"/>
      <c r="BL1424" s="6"/>
      <c r="BM1424" s="6"/>
      <c r="BN1424" s="6"/>
      <c r="BO1424" s="6"/>
      <c r="BP1424" s="6"/>
      <c r="BQ1424" s="6"/>
      <c r="BR1424" s="6"/>
      <c r="BS1424" s="6"/>
      <c r="BT1424" s="6"/>
      <c r="BU1424" s="6"/>
      <c r="BV1424" s="6"/>
      <c r="BW1424" s="6"/>
      <c r="BX1424" s="5"/>
      <c r="BY1424" s="7"/>
      <c r="BZ1424" s="7"/>
      <c r="CA1424" s="7"/>
      <c r="CB1424" s="7"/>
      <c r="CC1424" s="874"/>
    </row>
    <row r="1425" spans="1:81" s="400" customFormat="1" ht="14.25" customHeight="1" x14ac:dyDescent="0.25">
      <c r="A1425" s="5"/>
      <c r="B1425" s="5"/>
      <c r="C1425" s="5"/>
      <c r="D1425" s="5"/>
      <c r="E1425" s="5"/>
      <c r="F1425" s="5"/>
      <c r="G1425" s="5"/>
      <c r="H1425" s="5"/>
      <c r="I1425" s="5"/>
      <c r="J1425" s="5"/>
      <c r="K1425" s="5"/>
      <c r="L1425" s="5"/>
      <c r="M1425" s="5"/>
      <c r="N1425" s="5"/>
      <c r="O1425" s="5"/>
      <c r="P1425" s="5"/>
      <c r="Q1425" s="5"/>
      <c r="R1425" s="5"/>
      <c r="S1425" s="5"/>
      <c r="T1425" s="5"/>
      <c r="U1425" s="5"/>
      <c r="V1425" s="5"/>
      <c r="W1425" s="5"/>
      <c r="X1425" s="5"/>
      <c r="Y1425" s="5"/>
      <c r="Z1425" s="5"/>
      <c r="AA1425" s="5"/>
      <c r="AB1425" s="6"/>
      <c r="AC1425" s="6"/>
      <c r="AD1425" s="6"/>
      <c r="AE1425" s="6"/>
      <c r="AF1425" s="6"/>
      <c r="AG1425" s="6"/>
      <c r="AH1425" s="6"/>
      <c r="AI1425" s="6"/>
      <c r="AJ1425" s="6"/>
      <c r="AK1425" s="6"/>
      <c r="AL1425" s="6"/>
      <c r="AM1425" s="6"/>
      <c r="AN1425" s="6"/>
      <c r="AO1425" s="6"/>
      <c r="AP1425" s="6"/>
      <c r="AQ1425" s="6"/>
      <c r="AR1425" s="6"/>
      <c r="AS1425" s="6"/>
      <c r="AT1425" s="6"/>
      <c r="AU1425" s="6"/>
      <c r="AV1425" s="6"/>
      <c r="AW1425" s="6"/>
      <c r="AX1425" s="6"/>
      <c r="AY1425" s="6"/>
      <c r="AZ1425" s="6"/>
      <c r="BA1425" s="6"/>
      <c r="BB1425" s="6"/>
      <c r="BC1425" s="6"/>
      <c r="BD1425" s="6"/>
      <c r="BE1425" s="6"/>
      <c r="BF1425" s="6"/>
      <c r="BG1425" s="6"/>
      <c r="BH1425" s="6"/>
      <c r="BI1425" s="6"/>
      <c r="BJ1425" s="6"/>
      <c r="BK1425" s="6"/>
      <c r="BL1425" s="6"/>
      <c r="BM1425" s="6"/>
      <c r="BN1425" s="6"/>
      <c r="BO1425" s="6"/>
      <c r="BP1425" s="6"/>
      <c r="BQ1425" s="6"/>
      <c r="BR1425" s="6"/>
      <c r="BS1425" s="6"/>
      <c r="BT1425" s="6"/>
      <c r="BU1425" s="6"/>
      <c r="BV1425" s="6"/>
      <c r="BW1425" s="6"/>
      <c r="BX1425" s="5"/>
      <c r="BY1425" s="7"/>
      <c r="BZ1425" s="7"/>
      <c r="CA1425" s="7"/>
      <c r="CB1425" s="7"/>
      <c r="CC1425" s="874"/>
    </row>
    <row r="1426" spans="1:81" s="400" customFormat="1" ht="14.25" customHeight="1" x14ac:dyDescent="0.25">
      <c r="A1426" s="5"/>
      <c r="B1426" s="5"/>
      <c r="C1426" s="5"/>
      <c r="D1426" s="5"/>
      <c r="E1426" s="5"/>
      <c r="F1426" s="5"/>
      <c r="G1426" s="5"/>
      <c r="H1426" s="5"/>
      <c r="I1426" s="5"/>
      <c r="J1426" s="5"/>
      <c r="K1426" s="5"/>
      <c r="L1426" s="5"/>
      <c r="M1426" s="5"/>
      <c r="N1426" s="5"/>
      <c r="O1426" s="5"/>
      <c r="P1426" s="5"/>
      <c r="Q1426" s="5"/>
      <c r="R1426" s="5"/>
      <c r="S1426" s="5"/>
      <c r="T1426" s="5"/>
      <c r="U1426" s="5"/>
      <c r="V1426" s="5"/>
      <c r="W1426" s="5"/>
      <c r="X1426" s="5"/>
      <c r="Y1426" s="5"/>
      <c r="Z1426" s="5"/>
      <c r="AA1426" s="5"/>
      <c r="AB1426" s="6"/>
      <c r="AC1426" s="6"/>
      <c r="AD1426" s="6"/>
      <c r="AE1426" s="6"/>
      <c r="AF1426" s="6"/>
      <c r="AG1426" s="6"/>
      <c r="AH1426" s="6"/>
      <c r="AI1426" s="6"/>
      <c r="AJ1426" s="6"/>
      <c r="AK1426" s="6"/>
      <c r="AL1426" s="6"/>
      <c r="AM1426" s="6"/>
      <c r="AN1426" s="6"/>
      <c r="AO1426" s="6"/>
      <c r="AP1426" s="6"/>
      <c r="AQ1426" s="6"/>
      <c r="AR1426" s="6"/>
      <c r="AS1426" s="6"/>
      <c r="AT1426" s="6"/>
      <c r="AU1426" s="6"/>
      <c r="AV1426" s="6"/>
      <c r="AW1426" s="6"/>
      <c r="AX1426" s="6"/>
      <c r="AY1426" s="6"/>
      <c r="AZ1426" s="6"/>
      <c r="BA1426" s="6"/>
      <c r="BB1426" s="6"/>
      <c r="BC1426" s="6"/>
      <c r="BD1426" s="6"/>
      <c r="BE1426" s="6"/>
      <c r="BF1426" s="6"/>
      <c r="BG1426" s="6"/>
      <c r="BH1426" s="6"/>
      <c r="BI1426" s="6"/>
      <c r="BJ1426" s="6"/>
      <c r="BK1426" s="6"/>
      <c r="BL1426" s="6"/>
      <c r="BM1426" s="6"/>
      <c r="BN1426" s="6"/>
      <c r="BO1426" s="6"/>
      <c r="BP1426" s="6"/>
      <c r="BQ1426" s="6"/>
      <c r="BR1426" s="6"/>
      <c r="BS1426" s="6"/>
      <c r="BT1426" s="6"/>
      <c r="BU1426" s="6"/>
      <c r="BV1426" s="6"/>
      <c r="BW1426" s="6"/>
      <c r="BX1426" s="5"/>
      <c r="BY1426" s="7"/>
      <c r="BZ1426" s="7"/>
      <c r="CA1426" s="7"/>
      <c r="CB1426" s="7"/>
      <c r="CC1426" s="874"/>
    </row>
    <row r="1427" spans="1:81" s="400" customFormat="1" ht="14.25" customHeight="1" x14ac:dyDescent="0.25">
      <c r="A1427" s="5"/>
      <c r="B1427" s="5"/>
      <c r="C1427" s="5"/>
      <c r="D1427" s="5"/>
      <c r="E1427" s="5"/>
      <c r="F1427" s="5"/>
      <c r="G1427" s="5"/>
      <c r="H1427" s="5"/>
      <c r="I1427" s="5"/>
      <c r="J1427" s="5"/>
      <c r="K1427" s="5"/>
      <c r="L1427" s="5"/>
      <c r="M1427" s="5"/>
      <c r="N1427" s="5"/>
      <c r="O1427" s="5"/>
      <c r="P1427" s="5"/>
      <c r="Q1427" s="5"/>
      <c r="R1427" s="5"/>
      <c r="S1427" s="5"/>
      <c r="T1427" s="5"/>
      <c r="U1427" s="5"/>
      <c r="V1427" s="5"/>
      <c r="W1427" s="5"/>
      <c r="X1427" s="5"/>
      <c r="Y1427" s="5"/>
      <c r="Z1427" s="5"/>
      <c r="AA1427" s="5"/>
      <c r="AB1427" s="6"/>
      <c r="AC1427" s="6"/>
      <c r="AD1427" s="6"/>
      <c r="AE1427" s="6"/>
      <c r="AF1427" s="6"/>
      <c r="AG1427" s="6"/>
      <c r="AH1427" s="6"/>
      <c r="AI1427" s="6"/>
      <c r="AJ1427" s="6"/>
      <c r="AK1427" s="6"/>
      <c r="AL1427" s="6"/>
      <c r="AM1427" s="6"/>
      <c r="AN1427" s="6"/>
      <c r="AO1427" s="6"/>
      <c r="AP1427" s="6"/>
      <c r="AQ1427" s="6"/>
      <c r="AR1427" s="6"/>
      <c r="AS1427" s="6"/>
      <c r="AT1427" s="6"/>
      <c r="AU1427" s="6"/>
      <c r="AV1427" s="6"/>
      <c r="AW1427" s="6"/>
      <c r="AX1427" s="6"/>
      <c r="AY1427" s="6"/>
      <c r="AZ1427" s="6"/>
      <c r="BA1427" s="6"/>
      <c r="BB1427" s="6"/>
      <c r="BC1427" s="6"/>
      <c r="BD1427" s="6"/>
      <c r="BE1427" s="6"/>
      <c r="BF1427" s="6"/>
      <c r="BG1427" s="6"/>
      <c r="BH1427" s="6"/>
      <c r="BI1427" s="6"/>
      <c r="BJ1427" s="6"/>
      <c r="BK1427" s="6"/>
      <c r="BL1427" s="6"/>
      <c r="BM1427" s="6"/>
      <c r="BN1427" s="6"/>
      <c r="BO1427" s="6"/>
      <c r="BP1427" s="6"/>
      <c r="BQ1427" s="6"/>
      <c r="BR1427" s="6"/>
      <c r="BS1427" s="6"/>
      <c r="BT1427" s="6"/>
      <c r="BU1427" s="6"/>
      <c r="BV1427" s="6"/>
      <c r="BW1427" s="6"/>
      <c r="BX1427" s="5"/>
      <c r="BY1427" s="7"/>
      <c r="BZ1427" s="7"/>
      <c r="CA1427" s="7"/>
      <c r="CB1427" s="7"/>
      <c r="CC1427" s="874"/>
    </row>
    <row r="1428" spans="1:81" s="400" customFormat="1" ht="14.25" customHeight="1" x14ac:dyDescent="0.25">
      <c r="A1428" s="5"/>
      <c r="B1428" s="5"/>
      <c r="C1428" s="5"/>
      <c r="D1428" s="5"/>
      <c r="E1428" s="5"/>
      <c r="F1428" s="5"/>
      <c r="G1428" s="5"/>
      <c r="H1428" s="5"/>
      <c r="I1428" s="5"/>
      <c r="J1428" s="5"/>
      <c r="K1428" s="5"/>
      <c r="L1428" s="5"/>
      <c r="M1428" s="5"/>
      <c r="N1428" s="5"/>
      <c r="O1428" s="5"/>
      <c r="P1428" s="5"/>
      <c r="Q1428" s="5"/>
      <c r="R1428" s="5"/>
      <c r="S1428" s="5"/>
      <c r="T1428" s="5"/>
      <c r="U1428" s="5"/>
      <c r="V1428" s="5"/>
      <c r="W1428" s="5"/>
      <c r="X1428" s="5"/>
      <c r="Y1428" s="5"/>
      <c r="Z1428" s="5"/>
      <c r="AA1428" s="5"/>
      <c r="AB1428" s="6"/>
      <c r="AC1428" s="6"/>
      <c r="AD1428" s="6"/>
      <c r="AE1428" s="6"/>
      <c r="AF1428" s="6"/>
      <c r="AG1428" s="6"/>
      <c r="AH1428" s="6"/>
      <c r="AI1428" s="6"/>
      <c r="AJ1428" s="6"/>
      <c r="AK1428" s="6"/>
      <c r="AL1428" s="6"/>
      <c r="AM1428" s="6"/>
      <c r="AN1428" s="6"/>
      <c r="AO1428" s="6"/>
      <c r="AP1428" s="6"/>
      <c r="AQ1428" s="6"/>
      <c r="AR1428" s="6"/>
      <c r="AS1428" s="6"/>
      <c r="AT1428" s="6"/>
      <c r="AU1428" s="6"/>
      <c r="AV1428" s="6"/>
      <c r="AW1428" s="6"/>
      <c r="AX1428" s="6"/>
      <c r="AY1428" s="6"/>
      <c r="AZ1428" s="6"/>
      <c r="BA1428" s="6"/>
      <c r="BB1428" s="6"/>
      <c r="BC1428" s="6"/>
      <c r="BD1428" s="6"/>
      <c r="BE1428" s="6"/>
      <c r="BF1428" s="6"/>
      <c r="BG1428" s="6"/>
      <c r="BH1428" s="6"/>
      <c r="BI1428" s="6"/>
      <c r="BJ1428" s="6"/>
      <c r="BK1428" s="6"/>
      <c r="BL1428" s="6"/>
      <c r="BM1428" s="6"/>
      <c r="BN1428" s="6"/>
      <c r="BO1428" s="6"/>
      <c r="BP1428" s="6"/>
      <c r="BQ1428" s="6"/>
      <c r="BR1428" s="6"/>
      <c r="BS1428" s="6"/>
      <c r="BT1428" s="6"/>
      <c r="BU1428" s="6"/>
      <c r="BV1428" s="6"/>
      <c r="BW1428" s="6"/>
      <c r="BX1428" s="5"/>
      <c r="BY1428" s="7"/>
      <c r="BZ1428" s="7"/>
      <c r="CA1428" s="7"/>
      <c r="CB1428" s="7"/>
      <c r="CC1428" s="874"/>
    </row>
    <row r="1429" spans="1:81" s="400" customFormat="1" ht="14.25" customHeight="1" x14ac:dyDescent="0.25">
      <c r="A1429" s="5"/>
      <c r="B1429" s="5"/>
      <c r="C1429" s="5"/>
      <c r="D1429" s="5"/>
      <c r="E1429" s="5"/>
      <c r="F1429" s="5"/>
      <c r="G1429" s="5"/>
      <c r="H1429" s="5"/>
      <c r="I1429" s="5"/>
      <c r="J1429" s="5"/>
      <c r="K1429" s="5"/>
      <c r="L1429" s="5"/>
      <c r="M1429" s="5"/>
      <c r="N1429" s="5"/>
      <c r="O1429" s="5"/>
      <c r="P1429" s="5"/>
      <c r="Q1429" s="5"/>
      <c r="R1429" s="5"/>
      <c r="S1429" s="5"/>
      <c r="T1429" s="5"/>
      <c r="U1429" s="5"/>
      <c r="V1429" s="5"/>
      <c r="W1429" s="5"/>
      <c r="X1429" s="5"/>
      <c r="Y1429" s="5"/>
      <c r="Z1429" s="5"/>
      <c r="AA1429" s="5"/>
      <c r="AB1429" s="6"/>
      <c r="AC1429" s="6"/>
      <c r="AD1429" s="6"/>
      <c r="AE1429" s="6"/>
      <c r="AF1429" s="6"/>
      <c r="AG1429" s="6"/>
      <c r="AH1429" s="6"/>
      <c r="AI1429" s="6"/>
      <c r="AJ1429" s="6"/>
      <c r="AK1429" s="6"/>
      <c r="AL1429" s="6"/>
      <c r="AM1429" s="6"/>
      <c r="AN1429" s="6"/>
      <c r="AO1429" s="6"/>
      <c r="AP1429" s="6"/>
      <c r="AQ1429" s="6"/>
      <c r="AR1429" s="6"/>
      <c r="AS1429" s="6"/>
      <c r="AT1429" s="6"/>
      <c r="AU1429" s="6"/>
      <c r="AV1429" s="6"/>
      <c r="AW1429" s="6"/>
      <c r="AX1429" s="6"/>
      <c r="AY1429" s="6"/>
      <c r="AZ1429" s="6"/>
      <c r="BA1429" s="6"/>
      <c r="BB1429" s="6"/>
      <c r="BC1429" s="6"/>
      <c r="BD1429" s="6"/>
      <c r="BE1429" s="6"/>
      <c r="BF1429" s="6"/>
      <c r="BG1429" s="6"/>
      <c r="BH1429" s="6"/>
      <c r="BI1429" s="6"/>
      <c r="BJ1429" s="6"/>
      <c r="BK1429" s="6"/>
      <c r="BL1429" s="6"/>
      <c r="BM1429" s="6"/>
      <c r="BN1429" s="6"/>
      <c r="BO1429" s="6"/>
      <c r="BP1429" s="6"/>
      <c r="BQ1429" s="6"/>
      <c r="BR1429" s="6"/>
      <c r="BS1429" s="6"/>
      <c r="BT1429" s="6"/>
      <c r="BU1429" s="6"/>
      <c r="BV1429" s="6"/>
      <c r="BW1429" s="6"/>
      <c r="BX1429" s="5"/>
      <c r="BY1429" s="7"/>
      <c r="BZ1429" s="7"/>
      <c r="CA1429" s="7"/>
      <c r="CB1429" s="7"/>
      <c r="CC1429" s="874"/>
    </row>
    <row r="1430" spans="1:81" s="400" customFormat="1" ht="14.25" customHeight="1" x14ac:dyDescent="0.25">
      <c r="A1430" s="5"/>
      <c r="B1430" s="5"/>
      <c r="C1430" s="5"/>
      <c r="D1430" s="5"/>
      <c r="E1430" s="5"/>
      <c r="F1430" s="5"/>
      <c r="G1430" s="5"/>
      <c r="H1430" s="5"/>
      <c r="I1430" s="5"/>
      <c r="J1430" s="5"/>
      <c r="K1430" s="5"/>
      <c r="L1430" s="5"/>
      <c r="M1430" s="5"/>
      <c r="N1430" s="5"/>
      <c r="O1430" s="5"/>
      <c r="P1430" s="5"/>
      <c r="Q1430" s="5"/>
      <c r="R1430" s="5"/>
      <c r="S1430" s="5"/>
      <c r="T1430" s="5"/>
      <c r="U1430" s="5"/>
      <c r="V1430" s="5"/>
      <c r="W1430" s="5"/>
      <c r="X1430" s="5"/>
      <c r="Y1430" s="5"/>
      <c r="Z1430" s="5"/>
      <c r="AA1430" s="5"/>
      <c r="AB1430" s="6"/>
      <c r="AC1430" s="6"/>
      <c r="AD1430" s="6"/>
      <c r="AE1430" s="6"/>
      <c r="AF1430" s="6"/>
      <c r="AG1430" s="6"/>
      <c r="AH1430" s="6"/>
      <c r="AI1430" s="6"/>
      <c r="AJ1430" s="6"/>
      <c r="AK1430" s="6"/>
      <c r="AL1430" s="6"/>
      <c r="AM1430" s="6"/>
      <c r="AN1430" s="6"/>
      <c r="AO1430" s="6"/>
      <c r="AP1430" s="6"/>
      <c r="AQ1430" s="6"/>
      <c r="AR1430" s="6"/>
      <c r="AS1430" s="6"/>
      <c r="AT1430" s="6"/>
      <c r="AU1430" s="6"/>
      <c r="AV1430" s="6"/>
      <c r="AW1430" s="6"/>
      <c r="AX1430" s="6"/>
      <c r="AY1430" s="6"/>
      <c r="AZ1430" s="6"/>
      <c r="BA1430" s="6"/>
      <c r="BB1430" s="6"/>
      <c r="BC1430" s="6"/>
      <c r="BD1430" s="6"/>
      <c r="BE1430" s="6"/>
      <c r="BF1430" s="6"/>
      <c r="BG1430" s="6"/>
      <c r="BH1430" s="6"/>
      <c r="BI1430" s="6"/>
      <c r="BJ1430" s="6"/>
      <c r="BK1430" s="6"/>
      <c r="BL1430" s="6"/>
      <c r="BM1430" s="6"/>
      <c r="BN1430" s="6"/>
      <c r="BO1430" s="6"/>
      <c r="BP1430" s="6"/>
      <c r="BQ1430" s="6"/>
      <c r="BR1430" s="6"/>
      <c r="BS1430" s="6"/>
      <c r="BT1430" s="6"/>
      <c r="BU1430" s="6"/>
      <c r="BV1430" s="6"/>
      <c r="BW1430" s="6"/>
      <c r="BX1430" s="5"/>
      <c r="BY1430" s="7"/>
      <c r="BZ1430" s="7"/>
      <c r="CA1430" s="7"/>
      <c r="CB1430" s="7"/>
      <c r="CC1430" s="874"/>
    </row>
    <row r="1431" spans="1:81" s="400" customFormat="1" ht="14.25" customHeight="1" x14ac:dyDescent="0.25">
      <c r="A1431" s="5"/>
      <c r="B1431" s="5"/>
      <c r="C1431" s="5"/>
      <c r="D1431" s="5"/>
      <c r="E1431" s="5"/>
      <c r="F1431" s="5"/>
      <c r="G1431" s="5"/>
      <c r="H1431" s="5"/>
      <c r="I1431" s="5"/>
      <c r="J1431" s="5"/>
      <c r="K1431" s="5"/>
      <c r="L1431" s="5"/>
      <c r="M1431" s="5"/>
      <c r="N1431" s="5"/>
      <c r="O1431" s="5"/>
      <c r="P1431" s="5"/>
      <c r="Q1431" s="5"/>
      <c r="R1431" s="5"/>
      <c r="S1431" s="5"/>
      <c r="T1431" s="5"/>
      <c r="U1431" s="5"/>
      <c r="V1431" s="5"/>
      <c r="W1431" s="5"/>
      <c r="X1431" s="5"/>
      <c r="Y1431" s="5"/>
      <c r="Z1431" s="5"/>
      <c r="AA1431" s="5"/>
      <c r="AB1431" s="6"/>
      <c r="AC1431" s="6"/>
      <c r="AD1431" s="6"/>
      <c r="AE1431" s="6"/>
      <c r="AF1431" s="6"/>
      <c r="AG1431" s="6"/>
      <c r="AH1431" s="6"/>
      <c r="AI1431" s="6"/>
      <c r="AJ1431" s="6"/>
      <c r="AK1431" s="6"/>
      <c r="AL1431" s="6"/>
      <c r="AM1431" s="6"/>
      <c r="AN1431" s="6"/>
      <c r="AO1431" s="6"/>
      <c r="AP1431" s="6"/>
      <c r="AQ1431" s="6"/>
      <c r="AR1431" s="6"/>
      <c r="AS1431" s="6"/>
      <c r="AT1431" s="6"/>
      <c r="AU1431" s="6"/>
      <c r="AV1431" s="6"/>
      <c r="AW1431" s="6"/>
      <c r="AX1431" s="6"/>
      <c r="AY1431" s="6"/>
      <c r="AZ1431" s="6"/>
      <c r="BA1431" s="6"/>
      <c r="BB1431" s="6"/>
      <c r="BC1431" s="6"/>
      <c r="BD1431" s="6"/>
      <c r="BE1431" s="6"/>
      <c r="BF1431" s="6"/>
      <c r="BG1431" s="6"/>
      <c r="BH1431" s="6"/>
      <c r="BI1431" s="6"/>
      <c r="BJ1431" s="6"/>
      <c r="BK1431" s="6"/>
      <c r="BL1431" s="6"/>
      <c r="BM1431" s="6"/>
      <c r="BN1431" s="6"/>
      <c r="BO1431" s="6"/>
      <c r="BP1431" s="6"/>
      <c r="BQ1431" s="6"/>
      <c r="BR1431" s="6"/>
      <c r="BS1431" s="6"/>
      <c r="BT1431" s="6"/>
      <c r="BU1431" s="6"/>
      <c r="BV1431" s="6"/>
      <c r="BW1431" s="6"/>
      <c r="BX1431" s="5"/>
      <c r="BY1431" s="7"/>
      <c r="BZ1431" s="7"/>
      <c r="CA1431" s="7"/>
      <c r="CB1431" s="7"/>
      <c r="CC1431" s="874"/>
    </row>
    <row r="1432" spans="1:81" s="400" customFormat="1" ht="14.25" customHeight="1" x14ac:dyDescent="0.25">
      <c r="A1432" s="5"/>
      <c r="B1432" s="5"/>
      <c r="C1432" s="5"/>
      <c r="D1432" s="5"/>
      <c r="E1432" s="5"/>
      <c r="F1432" s="5"/>
      <c r="G1432" s="5"/>
      <c r="H1432" s="5"/>
      <c r="I1432" s="5"/>
      <c r="J1432" s="5"/>
      <c r="K1432" s="5"/>
      <c r="L1432" s="5"/>
      <c r="M1432" s="5"/>
      <c r="N1432" s="5"/>
      <c r="O1432" s="5"/>
      <c r="P1432" s="5"/>
      <c r="Q1432" s="5"/>
      <c r="R1432" s="5"/>
      <c r="S1432" s="5"/>
      <c r="T1432" s="5"/>
      <c r="U1432" s="5"/>
      <c r="V1432" s="5"/>
      <c r="W1432" s="5"/>
      <c r="X1432" s="5"/>
      <c r="Y1432" s="5"/>
      <c r="Z1432" s="5"/>
      <c r="AA1432" s="5"/>
      <c r="AB1432" s="6"/>
      <c r="AC1432" s="6"/>
      <c r="AD1432" s="6"/>
      <c r="AE1432" s="6"/>
      <c r="AF1432" s="6"/>
      <c r="AG1432" s="6"/>
      <c r="AH1432" s="6"/>
      <c r="AI1432" s="6"/>
      <c r="AJ1432" s="6"/>
      <c r="AK1432" s="6"/>
      <c r="AL1432" s="6"/>
      <c r="AM1432" s="6"/>
      <c r="AN1432" s="6"/>
      <c r="AO1432" s="6"/>
      <c r="AP1432" s="6"/>
      <c r="AQ1432" s="6"/>
      <c r="AR1432" s="6"/>
      <c r="AS1432" s="6"/>
      <c r="AT1432" s="6"/>
      <c r="AU1432" s="6"/>
      <c r="AV1432" s="6"/>
      <c r="AW1432" s="6"/>
      <c r="AX1432" s="6"/>
      <c r="AY1432" s="6"/>
      <c r="AZ1432" s="6"/>
      <c r="BA1432" s="6"/>
      <c r="BB1432" s="6"/>
      <c r="BC1432" s="6"/>
      <c r="BD1432" s="6"/>
      <c r="BE1432" s="6"/>
      <c r="BF1432" s="6"/>
      <c r="BG1432" s="6"/>
      <c r="BH1432" s="6"/>
      <c r="BI1432" s="6"/>
      <c r="BJ1432" s="6"/>
      <c r="BK1432" s="6"/>
      <c r="BL1432" s="6"/>
      <c r="BM1432" s="6"/>
      <c r="BN1432" s="6"/>
      <c r="BO1432" s="6"/>
      <c r="BP1432" s="6"/>
      <c r="BQ1432" s="6"/>
      <c r="BR1432" s="6"/>
      <c r="BS1432" s="6"/>
      <c r="BT1432" s="6"/>
      <c r="BU1432" s="6"/>
      <c r="BV1432" s="6"/>
      <c r="BW1432" s="6"/>
      <c r="BX1432" s="5"/>
      <c r="BY1432" s="7"/>
      <c r="BZ1432" s="7"/>
      <c r="CA1432" s="7"/>
      <c r="CB1432" s="7"/>
      <c r="CC1432" s="874"/>
    </row>
    <row r="1433" spans="1:81" s="400" customFormat="1" ht="14.25" customHeight="1" x14ac:dyDescent="0.25">
      <c r="A1433" s="5"/>
      <c r="B1433" s="5"/>
      <c r="C1433" s="5"/>
      <c r="D1433" s="5"/>
      <c r="E1433" s="5"/>
      <c r="F1433" s="5"/>
      <c r="G1433" s="5"/>
      <c r="H1433" s="5"/>
      <c r="I1433" s="5"/>
      <c r="J1433" s="5"/>
      <c r="K1433" s="5"/>
      <c r="L1433" s="5"/>
      <c r="M1433" s="5"/>
      <c r="N1433" s="5"/>
      <c r="O1433" s="5"/>
      <c r="P1433" s="5"/>
      <c r="Q1433" s="5"/>
      <c r="R1433" s="5"/>
      <c r="S1433" s="5"/>
      <c r="T1433" s="5"/>
      <c r="U1433" s="5"/>
      <c r="V1433" s="5"/>
      <c r="W1433" s="5"/>
      <c r="X1433" s="5"/>
      <c r="Y1433" s="5"/>
      <c r="Z1433" s="5"/>
      <c r="AA1433" s="5"/>
      <c r="AB1433" s="6"/>
      <c r="AC1433" s="6"/>
      <c r="AD1433" s="6"/>
      <c r="AE1433" s="6"/>
      <c r="AF1433" s="6"/>
      <c r="AG1433" s="6"/>
      <c r="AH1433" s="6"/>
      <c r="AI1433" s="6"/>
      <c r="AJ1433" s="6"/>
      <c r="AK1433" s="6"/>
      <c r="AL1433" s="6"/>
      <c r="AM1433" s="6"/>
      <c r="AN1433" s="6"/>
      <c r="AO1433" s="6"/>
      <c r="AP1433" s="6"/>
      <c r="AQ1433" s="6"/>
      <c r="AR1433" s="6"/>
      <c r="AS1433" s="6"/>
      <c r="AT1433" s="6"/>
      <c r="AU1433" s="6"/>
      <c r="AV1433" s="6"/>
      <c r="AW1433" s="6"/>
      <c r="AX1433" s="6"/>
      <c r="AY1433" s="6"/>
      <c r="AZ1433" s="6"/>
      <c r="BA1433" s="6"/>
      <c r="BB1433" s="6"/>
      <c r="BC1433" s="6"/>
      <c r="BD1433" s="6"/>
      <c r="BE1433" s="6"/>
      <c r="BF1433" s="6"/>
      <c r="BG1433" s="6"/>
      <c r="BH1433" s="6"/>
      <c r="BI1433" s="6"/>
      <c r="BJ1433" s="6"/>
      <c r="BK1433" s="6"/>
      <c r="BL1433" s="6"/>
      <c r="BM1433" s="6"/>
      <c r="BN1433" s="6"/>
      <c r="BO1433" s="6"/>
      <c r="BP1433" s="6"/>
      <c r="BQ1433" s="6"/>
      <c r="BR1433" s="6"/>
      <c r="BS1433" s="6"/>
      <c r="BT1433" s="6"/>
      <c r="BU1433" s="6"/>
      <c r="BV1433" s="6"/>
      <c r="BW1433" s="6"/>
      <c r="BX1433" s="5"/>
      <c r="BY1433" s="7"/>
      <c r="BZ1433" s="7"/>
      <c r="CA1433" s="7"/>
      <c r="CB1433" s="7"/>
      <c r="CC1433" s="874"/>
    </row>
    <row r="1434" spans="1:81" s="400" customFormat="1" ht="14.25" customHeight="1" x14ac:dyDescent="0.25">
      <c r="A1434" s="5"/>
      <c r="B1434" s="5"/>
      <c r="C1434" s="5"/>
      <c r="D1434" s="5"/>
      <c r="E1434" s="5"/>
      <c r="F1434" s="5"/>
      <c r="G1434" s="5"/>
      <c r="H1434" s="5"/>
      <c r="I1434" s="5"/>
      <c r="J1434" s="5"/>
      <c r="K1434" s="5"/>
      <c r="L1434" s="5"/>
      <c r="M1434" s="5"/>
      <c r="N1434" s="5"/>
      <c r="O1434" s="5"/>
      <c r="P1434" s="5"/>
      <c r="Q1434" s="5"/>
      <c r="R1434" s="5"/>
      <c r="S1434" s="5"/>
      <c r="T1434" s="5"/>
      <c r="U1434" s="5"/>
      <c r="V1434" s="5"/>
      <c r="W1434" s="5"/>
      <c r="X1434" s="5"/>
      <c r="Y1434" s="5"/>
      <c r="Z1434" s="5"/>
      <c r="AA1434" s="5"/>
      <c r="AB1434" s="6"/>
      <c r="AC1434" s="6"/>
      <c r="AD1434" s="6"/>
      <c r="AE1434" s="6"/>
      <c r="AF1434" s="6"/>
      <c r="AG1434" s="6"/>
      <c r="AH1434" s="6"/>
      <c r="AI1434" s="6"/>
      <c r="AJ1434" s="6"/>
      <c r="AK1434" s="6"/>
      <c r="AL1434" s="6"/>
      <c r="AM1434" s="6"/>
      <c r="AN1434" s="6"/>
      <c r="AO1434" s="6"/>
      <c r="AP1434" s="6"/>
      <c r="AQ1434" s="6"/>
      <c r="AR1434" s="6"/>
      <c r="AS1434" s="6"/>
      <c r="AT1434" s="6"/>
      <c r="AU1434" s="6"/>
      <c r="AV1434" s="6"/>
      <c r="AW1434" s="6"/>
      <c r="AX1434" s="6"/>
      <c r="AY1434" s="6"/>
      <c r="AZ1434" s="6"/>
      <c r="BA1434" s="6"/>
      <c r="BB1434" s="6"/>
      <c r="BC1434" s="6"/>
      <c r="BD1434" s="6"/>
      <c r="BE1434" s="6"/>
      <c r="BF1434" s="6"/>
      <c r="BG1434" s="6"/>
      <c r="BH1434" s="6"/>
      <c r="BI1434" s="6"/>
      <c r="BJ1434" s="6"/>
      <c r="BK1434" s="6"/>
      <c r="BL1434" s="6"/>
      <c r="BM1434" s="6"/>
      <c r="BN1434" s="6"/>
      <c r="BO1434" s="6"/>
      <c r="BP1434" s="6"/>
      <c r="BQ1434" s="6"/>
      <c r="BR1434" s="6"/>
      <c r="BS1434" s="6"/>
      <c r="BT1434" s="6"/>
      <c r="BU1434" s="6"/>
      <c r="BV1434" s="6"/>
      <c r="BW1434" s="6"/>
      <c r="BX1434" s="5"/>
      <c r="BY1434" s="7"/>
      <c r="BZ1434" s="7"/>
      <c r="CA1434" s="7"/>
      <c r="CB1434" s="7"/>
      <c r="CC1434" s="874"/>
    </row>
    <row r="1435" spans="1:81" s="400" customFormat="1" ht="14.25" customHeight="1" x14ac:dyDescent="0.25">
      <c r="A1435" s="5"/>
      <c r="B1435" s="5"/>
      <c r="C1435" s="5"/>
      <c r="D1435" s="5"/>
      <c r="E1435" s="5"/>
      <c r="F1435" s="5"/>
      <c r="G1435" s="5"/>
      <c r="H1435" s="5"/>
      <c r="I1435" s="5"/>
      <c r="J1435" s="5"/>
      <c r="K1435" s="5"/>
      <c r="L1435" s="5"/>
      <c r="M1435" s="5"/>
      <c r="N1435" s="5"/>
      <c r="O1435" s="5"/>
      <c r="P1435" s="5"/>
      <c r="Q1435" s="5"/>
      <c r="R1435" s="5"/>
      <c r="S1435" s="5"/>
      <c r="T1435" s="5"/>
      <c r="U1435" s="5"/>
      <c r="V1435" s="5"/>
      <c r="W1435" s="5"/>
      <c r="X1435" s="5"/>
      <c r="Y1435" s="5"/>
      <c r="Z1435" s="5"/>
      <c r="AA1435" s="5"/>
      <c r="AB1435" s="6"/>
      <c r="AC1435" s="6"/>
      <c r="AD1435" s="6"/>
      <c r="AE1435" s="6"/>
      <c r="AF1435" s="6"/>
      <c r="AG1435" s="6"/>
      <c r="AH1435" s="6"/>
      <c r="AI1435" s="6"/>
      <c r="AJ1435" s="6"/>
      <c r="AK1435" s="6"/>
      <c r="AL1435" s="6"/>
      <c r="AM1435" s="6"/>
      <c r="AN1435" s="6"/>
      <c r="AO1435" s="6"/>
      <c r="AP1435" s="6"/>
      <c r="AQ1435" s="6"/>
      <c r="AR1435" s="6"/>
      <c r="AS1435" s="6"/>
      <c r="AT1435" s="6"/>
      <c r="AU1435" s="6"/>
      <c r="AV1435" s="6"/>
      <c r="AW1435" s="6"/>
      <c r="AX1435" s="6"/>
      <c r="AY1435" s="6"/>
      <c r="AZ1435" s="6"/>
      <c r="BA1435" s="6"/>
      <c r="BB1435" s="6"/>
      <c r="BC1435" s="6"/>
      <c r="BD1435" s="6"/>
      <c r="BE1435" s="6"/>
      <c r="BF1435" s="6"/>
      <c r="BG1435" s="6"/>
      <c r="BH1435" s="6"/>
      <c r="BI1435" s="6"/>
      <c r="BJ1435" s="6"/>
      <c r="BK1435" s="6"/>
      <c r="BL1435" s="6"/>
      <c r="BM1435" s="6"/>
      <c r="BN1435" s="6"/>
      <c r="BO1435" s="6"/>
      <c r="BP1435" s="6"/>
      <c r="BQ1435" s="6"/>
      <c r="BR1435" s="6"/>
      <c r="BS1435" s="6"/>
      <c r="BT1435" s="6"/>
      <c r="BU1435" s="6"/>
      <c r="BV1435" s="6"/>
      <c r="BW1435" s="6"/>
      <c r="BX1435" s="5"/>
      <c r="BY1435" s="7"/>
      <c r="BZ1435" s="7"/>
      <c r="CA1435" s="7"/>
      <c r="CB1435" s="7"/>
      <c r="CC1435" s="874"/>
    </row>
    <row r="1436" spans="1:81" s="400" customFormat="1" ht="14.25" customHeight="1" x14ac:dyDescent="0.25">
      <c r="A1436" s="5"/>
      <c r="B1436" s="5"/>
      <c r="C1436" s="5"/>
      <c r="D1436" s="5"/>
      <c r="E1436" s="5"/>
      <c r="F1436" s="5"/>
      <c r="G1436" s="5"/>
      <c r="H1436" s="5"/>
      <c r="I1436" s="5"/>
      <c r="J1436" s="5"/>
      <c r="K1436" s="5"/>
      <c r="L1436" s="5"/>
      <c r="M1436" s="5"/>
      <c r="N1436" s="5"/>
      <c r="O1436" s="5"/>
      <c r="P1436" s="5"/>
      <c r="Q1436" s="5"/>
      <c r="R1436" s="5"/>
      <c r="S1436" s="5"/>
      <c r="T1436" s="5"/>
      <c r="U1436" s="5"/>
      <c r="V1436" s="5"/>
      <c r="W1436" s="5"/>
      <c r="X1436" s="5"/>
      <c r="Y1436" s="5"/>
      <c r="Z1436" s="5"/>
      <c r="AA1436" s="5"/>
      <c r="AB1436" s="6"/>
      <c r="AC1436" s="6"/>
      <c r="AD1436" s="6"/>
      <c r="AE1436" s="6"/>
      <c r="AF1436" s="6"/>
      <c r="AG1436" s="6"/>
      <c r="AH1436" s="6"/>
      <c r="AI1436" s="6"/>
      <c r="AJ1436" s="6"/>
      <c r="AK1436" s="6"/>
      <c r="AL1436" s="6"/>
      <c r="AM1436" s="6"/>
      <c r="AN1436" s="6"/>
      <c r="AO1436" s="6"/>
      <c r="AP1436" s="6"/>
      <c r="AQ1436" s="6"/>
      <c r="AR1436" s="6"/>
      <c r="AS1436" s="6"/>
      <c r="AT1436" s="6"/>
      <c r="AU1436" s="6"/>
      <c r="AV1436" s="6"/>
      <c r="AW1436" s="6"/>
      <c r="AX1436" s="6"/>
      <c r="AY1436" s="6"/>
      <c r="AZ1436" s="6"/>
      <c r="BA1436" s="6"/>
      <c r="BB1436" s="6"/>
      <c r="BC1436" s="6"/>
      <c r="BD1436" s="6"/>
      <c r="BE1436" s="6"/>
      <c r="BF1436" s="6"/>
      <c r="BG1436" s="6"/>
      <c r="BH1436" s="6"/>
      <c r="BI1436" s="6"/>
      <c r="BJ1436" s="6"/>
      <c r="BK1436" s="6"/>
      <c r="BL1436" s="6"/>
      <c r="BM1436" s="6"/>
      <c r="BN1436" s="6"/>
      <c r="BO1436" s="6"/>
      <c r="BP1436" s="6"/>
      <c r="BQ1436" s="6"/>
      <c r="BR1436" s="6"/>
      <c r="BS1436" s="6"/>
      <c r="BT1436" s="6"/>
      <c r="BU1436" s="6"/>
      <c r="BV1436" s="6"/>
      <c r="BW1436" s="6"/>
      <c r="BX1436" s="5"/>
      <c r="BY1436" s="7"/>
      <c r="BZ1436" s="7"/>
      <c r="CA1436" s="7"/>
      <c r="CB1436" s="7"/>
      <c r="CC1436" s="874"/>
    </row>
    <row r="1437" spans="1:81" s="400" customFormat="1" ht="14.25" customHeight="1" x14ac:dyDescent="0.25">
      <c r="A1437" s="5"/>
      <c r="B1437" s="5"/>
      <c r="C1437" s="5"/>
      <c r="D1437" s="5"/>
      <c r="E1437" s="5"/>
      <c r="F1437" s="5"/>
      <c r="G1437" s="5"/>
      <c r="H1437" s="5"/>
      <c r="I1437" s="5"/>
      <c r="J1437" s="5"/>
      <c r="K1437" s="5"/>
      <c r="L1437" s="5"/>
      <c r="M1437" s="5"/>
      <c r="N1437" s="5"/>
      <c r="O1437" s="5"/>
      <c r="P1437" s="5"/>
      <c r="Q1437" s="5"/>
      <c r="R1437" s="5"/>
      <c r="S1437" s="5"/>
      <c r="T1437" s="5"/>
      <c r="U1437" s="5"/>
      <c r="V1437" s="5"/>
      <c r="W1437" s="5"/>
      <c r="X1437" s="5"/>
      <c r="Y1437" s="5"/>
      <c r="Z1437" s="5"/>
      <c r="AA1437" s="5"/>
      <c r="AB1437" s="6"/>
      <c r="AC1437" s="6"/>
      <c r="AD1437" s="6"/>
      <c r="AE1437" s="6"/>
      <c r="AF1437" s="6"/>
      <c r="AG1437" s="6"/>
      <c r="AH1437" s="6"/>
      <c r="AI1437" s="6"/>
      <c r="AJ1437" s="6"/>
      <c r="AK1437" s="6"/>
      <c r="AL1437" s="6"/>
      <c r="AM1437" s="6"/>
      <c r="AN1437" s="6"/>
      <c r="AO1437" s="6"/>
      <c r="AP1437" s="6"/>
      <c r="AQ1437" s="6"/>
      <c r="AR1437" s="6"/>
      <c r="AS1437" s="6"/>
      <c r="AT1437" s="6"/>
      <c r="AU1437" s="6"/>
      <c r="AV1437" s="6"/>
      <c r="AW1437" s="6"/>
      <c r="AX1437" s="6"/>
      <c r="AY1437" s="6"/>
      <c r="AZ1437" s="6"/>
      <c r="BA1437" s="6"/>
      <c r="BB1437" s="6"/>
      <c r="BC1437" s="6"/>
      <c r="BD1437" s="6"/>
      <c r="BE1437" s="6"/>
      <c r="BF1437" s="6"/>
      <c r="BG1437" s="6"/>
      <c r="BH1437" s="6"/>
      <c r="BI1437" s="6"/>
      <c r="BJ1437" s="6"/>
      <c r="BK1437" s="6"/>
      <c r="BL1437" s="6"/>
      <c r="BM1437" s="6"/>
      <c r="BN1437" s="6"/>
      <c r="BO1437" s="6"/>
      <c r="BP1437" s="6"/>
      <c r="BQ1437" s="6"/>
      <c r="BR1437" s="6"/>
      <c r="BS1437" s="6"/>
      <c r="BT1437" s="6"/>
      <c r="BU1437" s="6"/>
      <c r="BV1437" s="6"/>
      <c r="BW1437" s="6"/>
      <c r="BX1437" s="5"/>
      <c r="BY1437" s="7"/>
      <c r="BZ1437" s="7"/>
      <c r="CA1437" s="7"/>
      <c r="CB1437" s="7"/>
      <c r="CC1437" s="874"/>
    </row>
    <row r="1438" spans="1:81" s="400" customFormat="1" ht="14.25" customHeight="1" x14ac:dyDescent="0.25">
      <c r="A1438" s="5"/>
      <c r="B1438" s="5"/>
      <c r="C1438" s="5"/>
      <c r="D1438" s="5"/>
      <c r="E1438" s="5"/>
      <c r="F1438" s="5"/>
      <c r="G1438" s="5"/>
      <c r="H1438" s="5"/>
      <c r="I1438" s="5"/>
      <c r="J1438" s="5"/>
      <c r="K1438" s="5"/>
      <c r="L1438" s="5"/>
      <c r="M1438" s="5"/>
      <c r="N1438" s="5"/>
      <c r="O1438" s="5"/>
      <c r="P1438" s="5"/>
      <c r="Q1438" s="5"/>
      <c r="R1438" s="5"/>
      <c r="S1438" s="5"/>
      <c r="T1438" s="5"/>
      <c r="U1438" s="5"/>
      <c r="V1438" s="5"/>
      <c r="W1438" s="5"/>
      <c r="X1438" s="5"/>
      <c r="Y1438" s="5"/>
      <c r="Z1438" s="5"/>
      <c r="AA1438" s="5"/>
      <c r="AB1438" s="6"/>
      <c r="AC1438" s="6"/>
      <c r="AD1438" s="6"/>
      <c r="AE1438" s="6"/>
      <c r="AF1438" s="6"/>
      <c r="AG1438" s="6"/>
      <c r="AH1438" s="6"/>
      <c r="AI1438" s="6"/>
      <c r="AJ1438" s="6"/>
      <c r="AK1438" s="6"/>
      <c r="AL1438" s="6"/>
      <c r="AM1438" s="6"/>
      <c r="AN1438" s="6"/>
      <c r="AO1438" s="6"/>
      <c r="AP1438" s="6"/>
      <c r="AQ1438" s="6"/>
      <c r="AR1438" s="6"/>
      <c r="AS1438" s="6"/>
      <c r="AT1438" s="6"/>
      <c r="AU1438" s="6"/>
      <c r="AV1438" s="6"/>
      <c r="AW1438" s="6"/>
      <c r="AX1438" s="6"/>
      <c r="AY1438" s="6"/>
      <c r="AZ1438" s="6"/>
      <c r="BA1438" s="6"/>
      <c r="BB1438" s="6"/>
      <c r="BC1438" s="6"/>
      <c r="BD1438" s="6"/>
      <c r="BE1438" s="6"/>
      <c r="BF1438" s="6"/>
      <c r="BG1438" s="6"/>
      <c r="BH1438" s="6"/>
      <c r="BI1438" s="6"/>
      <c r="BJ1438" s="6"/>
      <c r="BK1438" s="6"/>
      <c r="BL1438" s="6"/>
      <c r="BM1438" s="6"/>
      <c r="BN1438" s="6"/>
      <c r="BO1438" s="6"/>
      <c r="BP1438" s="6"/>
      <c r="BQ1438" s="6"/>
      <c r="BR1438" s="6"/>
      <c r="BS1438" s="6"/>
      <c r="BT1438" s="6"/>
      <c r="BU1438" s="6"/>
      <c r="BV1438" s="6"/>
      <c r="BW1438" s="6"/>
      <c r="BX1438" s="5"/>
      <c r="BY1438" s="7"/>
      <c r="BZ1438" s="7"/>
      <c r="CA1438" s="7"/>
      <c r="CB1438" s="7"/>
      <c r="CC1438" s="874"/>
    </row>
    <row r="1439" spans="1:81" s="400" customFormat="1" ht="14.25" customHeight="1" x14ac:dyDescent="0.25">
      <c r="A1439" s="5"/>
      <c r="B1439" s="5"/>
      <c r="C1439" s="5"/>
      <c r="D1439" s="5"/>
      <c r="E1439" s="5"/>
      <c r="F1439" s="5"/>
      <c r="G1439" s="5"/>
      <c r="H1439" s="5"/>
      <c r="I1439" s="5"/>
      <c r="J1439" s="5"/>
      <c r="K1439" s="5"/>
      <c r="L1439" s="5"/>
      <c r="M1439" s="5"/>
      <c r="N1439" s="5"/>
      <c r="O1439" s="5"/>
      <c r="P1439" s="5"/>
      <c r="Q1439" s="5"/>
      <c r="R1439" s="5"/>
      <c r="S1439" s="5"/>
      <c r="T1439" s="5"/>
      <c r="U1439" s="5"/>
      <c r="V1439" s="5"/>
      <c r="W1439" s="5"/>
      <c r="X1439" s="5"/>
      <c r="Y1439" s="5"/>
      <c r="Z1439" s="5"/>
      <c r="AA1439" s="5"/>
      <c r="AB1439" s="6"/>
      <c r="AC1439" s="6"/>
      <c r="AD1439" s="6"/>
      <c r="AE1439" s="6"/>
      <c r="AF1439" s="6"/>
      <c r="AG1439" s="6"/>
      <c r="AH1439" s="6"/>
      <c r="AI1439" s="6"/>
      <c r="AJ1439" s="6"/>
      <c r="AK1439" s="6"/>
      <c r="AL1439" s="6"/>
      <c r="AM1439" s="6"/>
      <c r="AN1439" s="6"/>
      <c r="AO1439" s="6"/>
      <c r="AP1439" s="6"/>
      <c r="AQ1439" s="6"/>
      <c r="AR1439" s="6"/>
      <c r="AS1439" s="6"/>
      <c r="AT1439" s="6"/>
      <c r="AU1439" s="6"/>
      <c r="AV1439" s="6"/>
      <c r="AW1439" s="6"/>
      <c r="AX1439" s="6"/>
      <c r="AY1439" s="6"/>
      <c r="AZ1439" s="6"/>
      <c r="BA1439" s="6"/>
      <c r="BB1439" s="6"/>
      <c r="BC1439" s="6"/>
      <c r="BD1439" s="6"/>
      <c r="BE1439" s="6"/>
      <c r="BF1439" s="6"/>
      <c r="BG1439" s="6"/>
      <c r="BH1439" s="6"/>
      <c r="BI1439" s="6"/>
      <c r="BJ1439" s="6"/>
      <c r="BK1439" s="6"/>
      <c r="BL1439" s="6"/>
      <c r="BM1439" s="6"/>
      <c r="BN1439" s="6"/>
      <c r="BO1439" s="6"/>
      <c r="BP1439" s="6"/>
      <c r="BQ1439" s="6"/>
      <c r="BR1439" s="6"/>
      <c r="BS1439" s="6"/>
      <c r="BT1439" s="6"/>
      <c r="BU1439" s="6"/>
      <c r="BV1439" s="6"/>
      <c r="BW1439" s="6"/>
      <c r="BX1439" s="5"/>
      <c r="BY1439" s="7"/>
      <c r="BZ1439" s="7"/>
      <c r="CA1439" s="7"/>
      <c r="CB1439" s="7"/>
      <c r="CC1439" s="874"/>
    </row>
    <row r="1440" spans="1:81" s="400" customFormat="1" ht="14.25" customHeight="1" x14ac:dyDescent="0.25">
      <c r="A1440" s="5"/>
      <c r="B1440" s="5"/>
      <c r="C1440" s="5"/>
      <c r="D1440" s="5"/>
      <c r="E1440" s="5"/>
      <c r="F1440" s="5"/>
      <c r="G1440" s="5"/>
      <c r="H1440" s="5"/>
      <c r="I1440" s="5"/>
      <c r="J1440" s="5"/>
      <c r="K1440" s="5"/>
      <c r="L1440" s="5"/>
      <c r="M1440" s="5"/>
      <c r="N1440" s="5"/>
      <c r="O1440" s="5"/>
      <c r="P1440" s="5"/>
      <c r="Q1440" s="5"/>
      <c r="R1440" s="5"/>
      <c r="S1440" s="5"/>
      <c r="T1440" s="5"/>
      <c r="U1440" s="5"/>
      <c r="V1440" s="5"/>
      <c r="W1440" s="5"/>
      <c r="X1440" s="5"/>
      <c r="Y1440" s="5"/>
      <c r="Z1440" s="5"/>
      <c r="AA1440" s="5"/>
      <c r="AB1440" s="6"/>
      <c r="AC1440" s="6"/>
      <c r="AD1440" s="6"/>
      <c r="AE1440" s="6"/>
      <c r="AF1440" s="6"/>
      <c r="AG1440" s="6"/>
      <c r="AH1440" s="6"/>
      <c r="AI1440" s="6"/>
      <c r="AJ1440" s="6"/>
      <c r="AK1440" s="6"/>
      <c r="AL1440" s="6"/>
      <c r="AM1440" s="6"/>
      <c r="AN1440" s="6"/>
      <c r="AO1440" s="6"/>
      <c r="AP1440" s="6"/>
      <c r="AQ1440" s="6"/>
      <c r="AR1440" s="6"/>
      <c r="AS1440" s="6"/>
      <c r="AT1440" s="6"/>
      <c r="AU1440" s="6"/>
      <c r="AV1440" s="6"/>
      <c r="AW1440" s="6"/>
      <c r="AX1440" s="6"/>
      <c r="AY1440" s="6"/>
      <c r="AZ1440" s="6"/>
      <c r="BA1440" s="6"/>
      <c r="BB1440" s="6"/>
      <c r="BC1440" s="6"/>
      <c r="BD1440" s="6"/>
      <c r="BE1440" s="6"/>
      <c r="BF1440" s="6"/>
      <c r="BG1440" s="6"/>
      <c r="BH1440" s="6"/>
      <c r="BI1440" s="6"/>
      <c r="BJ1440" s="6"/>
      <c r="BK1440" s="6"/>
      <c r="BL1440" s="6"/>
      <c r="BM1440" s="6"/>
      <c r="BN1440" s="6"/>
      <c r="BO1440" s="6"/>
      <c r="BP1440" s="6"/>
      <c r="BQ1440" s="6"/>
      <c r="BR1440" s="6"/>
      <c r="BS1440" s="6"/>
      <c r="BT1440" s="6"/>
      <c r="BU1440" s="6"/>
      <c r="BV1440" s="6"/>
      <c r="BW1440" s="6"/>
      <c r="BX1440" s="5"/>
      <c r="BY1440" s="7"/>
      <c r="BZ1440" s="7"/>
      <c r="CA1440" s="7"/>
      <c r="CB1440" s="7"/>
      <c r="CC1440" s="874"/>
    </row>
    <row r="1441" spans="1:81" s="400" customFormat="1" ht="14.25" customHeight="1" x14ac:dyDescent="0.25">
      <c r="A1441" s="5"/>
      <c r="B1441" s="5"/>
      <c r="C1441" s="5"/>
      <c r="D1441" s="5"/>
      <c r="E1441" s="5"/>
      <c r="F1441" s="5"/>
      <c r="G1441" s="5"/>
      <c r="H1441" s="5"/>
      <c r="I1441" s="5"/>
      <c r="J1441" s="5"/>
      <c r="K1441" s="5"/>
      <c r="L1441" s="5"/>
      <c r="M1441" s="5"/>
      <c r="N1441" s="5"/>
      <c r="O1441" s="5"/>
      <c r="P1441" s="5"/>
      <c r="Q1441" s="5"/>
      <c r="R1441" s="5"/>
      <c r="S1441" s="5"/>
      <c r="T1441" s="5"/>
      <c r="U1441" s="5"/>
      <c r="V1441" s="5"/>
      <c r="W1441" s="5"/>
      <c r="X1441" s="5"/>
      <c r="Y1441" s="5"/>
      <c r="Z1441" s="5"/>
      <c r="AA1441" s="5"/>
      <c r="AB1441" s="6"/>
      <c r="AC1441" s="6"/>
      <c r="AD1441" s="6"/>
      <c r="AE1441" s="6"/>
      <c r="AF1441" s="6"/>
      <c r="AG1441" s="6"/>
      <c r="AH1441" s="6"/>
      <c r="AI1441" s="6"/>
      <c r="AJ1441" s="6"/>
      <c r="AK1441" s="6"/>
      <c r="AL1441" s="6"/>
      <c r="AM1441" s="6"/>
      <c r="AN1441" s="6"/>
      <c r="AO1441" s="6"/>
      <c r="AP1441" s="6"/>
      <c r="AQ1441" s="6"/>
      <c r="AR1441" s="6"/>
      <c r="AS1441" s="6"/>
      <c r="AT1441" s="6"/>
      <c r="AU1441" s="6"/>
      <c r="AV1441" s="6"/>
      <c r="AW1441" s="6"/>
      <c r="AX1441" s="6"/>
      <c r="AY1441" s="6"/>
      <c r="AZ1441" s="6"/>
      <c r="BA1441" s="6"/>
      <c r="BB1441" s="6"/>
      <c r="BC1441" s="6"/>
      <c r="BD1441" s="6"/>
      <c r="BE1441" s="6"/>
      <c r="BF1441" s="6"/>
      <c r="BG1441" s="6"/>
      <c r="BH1441" s="6"/>
      <c r="BI1441" s="6"/>
      <c r="BJ1441" s="6"/>
      <c r="BK1441" s="6"/>
      <c r="BL1441" s="6"/>
      <c r="BM1441" s="6"/>
      <c r="BN1441" s="6"/>
      <c r="BO1441" s="6"/>
      <c r="BP1441" s="6"/>
      <c r="BQ1441" s="6"/>
      <c r="BR1441" s="6"/>
      <c r="BS1441" s="6"/>
      <c r="BT1441" s="6"/>
      <c r="BU1441" s="6"/>
      <c r="BV1441" s="6"/>
      <c r="BW1441" s="6"/>
      <c r="BX1441" s="5"/>
      <c r="BY1441" s="7"/>
      <c r="BZ1441" s="7"/>
      <c r="CA1441" s="7"/>
      <c r="CB1441" s="7"/>
      <c r="CC1441" s="874"/>
    </row>
    <row r="1442" spans="1:81" s="400" customFormat="1" ht="14.25" customHeight="1" x14ac:dyDescent="0.25">
      <c r="A1442" s="5"/>
      <c r="B1442" s="5"/>
      <c r="C1442" s="5"/>
      <c r="D1442" s="5"/>
      <c r="E1442" s="5"/>
      <c r="F1442" s="5"/>
      <c r="G1442" s="5"/>
      <c r="H1442" s="5"/>
      <c r="I1442" s="5"/>
      <c r="J1442" s="5"/>
      <c r="K1442" s="5"/>
      <c r="L1442" s="5"/>
      <c r="M1442" s="5"/>
      <c r="N1442" s="5"/>
      <c r="O1442" s="5"/>
      <c r="P1442" s="5"/>
      <c r="Q1442" s="5"/>
      <c r="R1442" s="5"/>
      <c r="S1442" s="5"/>
      <c r="T1442" s="5"/>
      <c r="U1442" s="5"/>
      <c r="V1442" s="5"/>
      <c r="W1442" s="5"/>
      <c r="X1442" s="5"/>
      <c r="Y1442" s="5"/>
      <c r="Z1442" s="5"/>
      <c r="AA1442" s="5"/>
      <c r="AB1442" s="6"/>
      <c r="AC1442" s="6"/>
      <c r="AD1442" s="6"/>
      <c r="AE1442" s="6"/>
      <c r="AF1442" s="6"/>
      <c r="AG1442" s="6"/>
      <c r="AH1442" s="6"/>
      <c r="AI1442" s="6"/>
      <c r="AJ1442" s="6"/>
      <c r="AK1442" s="6"/>
      <c r="AL1442" s="6"/>
      <c r="AM1442" s="6"/>
      <c r="AN1442" s="6"/>
      <c r="AO1442" s="6"/>
      <c r="AP1442" s="6"/>
      <c r="AQ1442" s="6"/>
      <c r="AR1442" s="6"/>
      <c r="AS1442" s="6"/>
      <c r="AT1442" s="6"/>
      <c r="AU1442" s="6"/>
      <c r="AV1442" s="6"/>
      <c r="AW1442" s="6"/>
      <c r="AX1442" s="6"/>
      <c r="AY1442" s="6"/>
      <c r="AZ1442" s="6"/>
      <c r="BA1442" s="6"/>
      <c r="BB1442" s="6"/>
      <c r="BC1442" s="6"/>
      <c r="BD1442" s="6"/>
      <c r="BE1442" s="6"/>
      <c r="BF1442" s="6"/>
      <c r="BG1442" s="6"/>
      <c r="BH1442" s="6"/>
      <c r="BI1442" s="6"/>
      <c r="BJ1442" s="6"/>
      <c r="BK1442" s="6"/>
      <c r="BL1442" s="6"/>
      <c r="BM1442" s="6"/>
      <c r="BN1442" s="6"/>
      <c r="BO1442" s="6"/>
      <c r="BP1442" s="6"/>
      <c r="BQ1442" s="6"/>
      <c r="BR1442" s="6"/>
      <c r="BS1442" s="6"/>
      <c r="BT1442" s="6"/>
      <c r="BU1442" s="6"/>
      <c r="BV1442" s="6"/>
      <c r="BW1442" s="6"/>
      <c r="BX1442" s="5"/>
      <c r="BY1442" s="7"/>
      <c r="BZ1442" s="7"/>
      <c r="CA1442" s="7"/>
      <c r="CB1442" s="7"/>
      <c r="CC1442" s="874"/>
    </row>
    <row r="1443" spans="1:81" s="400" customFormat="1" ht="14.25" customHeight="1" x14ac:dyDescent="0.25">
      <c r="A1443" s="5"/>
      <c r="B1443" s="5"/>
      <c r="C1443" s="5"/>
      <c r="D1443" s="5"/>
      <c r="E1443" s="5"/>
      <c r="F1443" s="5"/>
      <c r="G1443" s="5"/>
      <c r="H1443" s="5"/>
      <c r="I1443" s="5"/>
      <c r="J1443" s="5"/>
      <c r="K1443" s="5"/>
      <c r="L1443" s="5"/>
      <c r="M1443" s="5"/>
      <c r="N1443" s="5"/>
      <c r="O1443" s="5"/>
      <c r="P1443" s="5"/>
      <c r="Q1443" s="5"/>
      <c r="R1443" s="5"/>
      <c r="S1443" s="5"/>
      <c r="T1443" s="5"/>
      <c r="U1443" s="5"/>
      <c r="V1443" s="5"/>
      <c r="W1443" s="5"/>
      <c r="X1443" s="5"/>
      <c r="Y1443" s="5"/>
      <c r="Z1443" s="5"/>
      <c r="AA1443" s="5"/>
      <c r="AB1443" s="6"/>
      <c r="AC1443" s="6"/>
      <c r="AD1443" s="6"/>
      <c r="AE1443" s="6"/>
      <c r="AF1443" s="6"/>
      <c r="AG1443" s="6"/>
      <c r="AH1443" s="6"/>
      <c r="AI1443" s="6"/>
      <c r="AJ1443" s="6"/>
      <c r="AK1443" s="6"/>
      <c r="AL1443" s="6"/>
      <c r="AM1443" s="6"/>
      <c r="AN1443" s="6"/>
      <c r="AO1443" s="6"/>
      <c r="AP1443" s="6"/>
      <c r="AQ1443" s="6"/>
      <c r="AR1443" s="6"/>
      <c r="AS1443" s="6"/>
      <c r="AT1443" s="6"/>
      <c r="AU1443" s="6"/>
      <c r="AV1443" s="6"/>
      <c r="AW1443" s="6"/>
      <c r="AX1443" s="6"/>
      <c r="AY1443" s="6"/>
      <c r="AZ1443" s="6"/>
      <c r="BA1443" s="6"/>
      <c r="BB1443" s="6"/>
      <c r="BC1443" s="6"/>
      <c r="BD1443" s="6"/>
      <c r="BE1443" s="6"/>
      <c r="BF1443" s="6"/>
      <c r="BG1443" s="6"/>
      <c r="BH1443" s="6"/>
      <c r="BI1443" s="6"/>
      <c r="BJ1443" s="6"/>
      <c r="BK1443" s="6"/>
      <c r="BL1443" s="6"/>
      <c r="BM1443" s="6"/>
      <c r="BN1443" s="6"/>
      <c r="BO1443" s="6"/>
      <c r="BP1443" s="6"/>
      <c r="BQ1443" s="6"/>
      <c r="BR1443" s="6"/>
      <c r="BS1443" s="6"/>
      <c r="BT1443" s="6"/>
      <c r="BU1443" s="6"/>
      <c r="BV1443" s="6"/>
      <c r="BW1443" s="6"/>
      <c r="BX1443" s="5"/>
      <c r="BY1443" s="7"/>
      <c r="BZ1443" s="7"/>
      <c r="CA1443" s="7"/>
      <c r="CB1443" s="7"/>
      <c r="CC1443" s="874"/>
    </row>
    <row r="1444" spans="1:81" s="400" customFormat="1" ht="14.25" customHeight="1" x14ac:dyDescent="0.25">
      <c r="A1444" s="5"/>
      <c r="B1444" s="5"/>
      <c r="C1444" s="5"/>
      <c r="D1444" s="5"/>
      <c r="E1444" s="5"/>
      <c r="F1444" s="5"/>
      <c r="G1444" s="5"/>
      <c r="H1444" s="5"/>
      <c r="I1444" s="5"/>
      <c r="J1444" s="5"/>
      <c r="K1444" s="5"/>
      <c r="L1444" s="5"/>
      <c r="M1444" s="5"/>
      <c r="N1444" s="5"/>
      <c r="O1444" s="5"/>
      <c r="P1444" s="5"/>
      <c r="Q1444" s="5"/>
      <c r="R1444" s="5"/>
      <c r="S1444" s="5"/>
      <c r="T1444" s="5"/>
      <c r="U1444" s="5"/>
      <c r="V1444" s="5"/>
      <c r="W1444" s="5"/>
      <c r="X1444" s="5"/>
      <c r="Y1444" s="5"/>
      <c r="Z1444" s="5"/>
      <c r="AA1444" s="5"/>
      <c r="AB1444" s="6"/>
      <c r="AC1444" s="6"/>
      <c r="AD1444" s="6"/>
      <c r="AE1444" s="6"/>
      <c r="AF1444" s="6"/>
      <c r="AG1444" s="6"/>
      <c r="AH1444" s="6"/>
      <c r="AI1444" s="6"/>
      <c r="AJ1444" s="6"/>
      <c r="AK1444" s="6"/>
      <c r="AL1444" s="6"/>
      <c r="AM1444" s="6"/>
      <c r="AN1444" s="6"/>
      <c r="AO1444" s="6"/>
      <c r="AP1444" s="6"/>
      <c r="AQ1444" s="6"/>
      <c r="AR1444" s="6"/>
      <c r="AS1444" s="6"/>
      <c r="AT1444" s="6"/>
      <c r="AU1444" s="6"/>
      <c r="AV1444" s="6"/>
      <c r="AW1444" s="6"/>
      <c r="AX1444" s="6"/>
      <c r="AY1444" s="6"/>
      <c r="AZ1444" s="6"/>
      <c r="BA1444" s="6"/>
      <c r="BB1444" s="6"/>
      <c r="BC1444" s="6"/>
      <c r="BD1444" s="6"/>
      <c r="BE1444" s="6"/>
      <c r="BF1444" s="6"/>
      <c r="BG1444" s="6"/>
      <c r="BH1444" s="6"/>
      <c r="BI1444" s="6"/>
      <c r="BJ1444" s="6"/>
      <c r="BK1444" s="6"/>
      <c r="BL1444" s="6"/>
      <c r="BM1444" s="6"/>
      <c r="BN1444" s="6"/>
      <c r="BO1444" s="6"/>
      <c r="BP1444" s="6"/>
      <c r="BQ1444" s="6"/>
      <c r="BR1444" s="6"/>
      <c r="BS1444" s="6"/>
      <c r="BT1444" s="6"/>
      <c r="BU1444" s="6"/>
      <c r="BV1444" s="6"/>
      <c r="BW1444" s="6"/>
      <c r="BX1444" s="5"/>
      <c r="BY1444" s="7"/>
      <c r="BZ1444" s="7"/>
      <c r="CA1444" s="7"/>
      <c r="CB1444" s="7"/>
      <c r="CC1444" s="874"/>
    </row>
    <row r="1445" spans="1:81" s="400" customFormat="1" ht="14.25" customHeight="1" x14ac:dyDescent="0.25">
      <c r="A1445" s="5"/>
      <c r="B1445" s="5"/>
      <c r="C1445" s="5"/>
      <c r="D1445" s="5"/>
      <c r="E1445" s="5"/>
      <c r="F1445" s="5"/>
      <c r="G1445" s="5"/>
      <c r="H1445" s="5"/>
      <c r="I1445" s="5"/>
      <c r="J1445" s="5"/>
      <c r="K1445" s="5"/>
      <c r="L1445" s="5"/>
      <c r="M1445" s="5"/>
      <c r="N1445" s="5"/>
      <c r="O1445" s="5"/>
      <c r="P1445" s="5"/>
      <c r="Q1445" s="5"/>
      <c r="R1445" s="5"/>
      <c r="S1445" s="5"/>
      <c r="T1445" s="5"/>
      <c r="U1445" s="5"/>
      <c r="V1445" s="5"/>
      <c r="W1445" s="5"/>
      <c r="X1445" s="5"/>
      <c r="Y1445" s="5"/>
      <c r="Z1445" s="5"/>
      <c r="AA1445" s="5"/>
      <c r="AB1445" s="6"/>
      <c r="AC1445" s="6"/>
      <c r="AD1445" s="6"/>
      <c r="AE1445" s="6"/>
      <c r="AF1445" s="6"/>
      <c r="AG1445" s="6"/>
      <c r="AH1445" s="6"/>
      <c r="AI1445" s="6"/>
      <c r="AJ1445" s="6"/>
      <c r="AK1445" s="6"/>
      <c r="AL1445" s="6"/>
      <c r="AM1445" s="6"/>
      <c r="AN1445" s="6"/>
      <c r="AO1445" s="6"/>
      <c r="AP1445" s="6"/>
      <c r="AQ1445" s="6"/>
      <c r="AR1445" s="6"/>
      <c r="AS1445" s="6"/>
      <c r="AT1445" s="6"/>
      <c r="AU1445" s="6"/>
      <c r="AV1445" s="6"/>
      <c r="AW1445" s="6"/>
      <c r="AX1445" s="6"/>
      <c r="AY1445" s="6"/>
      <c r="AZ1445" s="6"/>
      <c r="BA1445" s="6"/>
      <c r="BB1445" s="6"/>
      <c r="BC1445" s="6"/>
      <c r="BD1445" s="6"/>
      <c r="BE1445" s="6"/>
      <c r="BF1445" s="6"/>
      <c r="BG1445" s="6"/>
      <c r="BH1445" s="6"/>
      <c r="BI1445" s="6"/>
      <c r="BJ1445" s="6"/>
      <c r="BK1445" s="6"/>
      <c r="BL1445" s="6"/>
      <c r="BM1445" s="6"/>
      <c r="BN1445" s="6"/>
      <c r="BO1445" s="6"/>
      <c r="BP1445" s="6"/>
      <c r="BQ1445" s="6"/>
      <c r="BR1445" s="6"/>
      <c r="BS1445" s="6"/>
      <c r="BT1445" s="6"/>
      <c r="BU1445" s="6"/>
      <c r="BV1445" s="6"/>
      <c r="BW1445" s="6"/>
      <c r="BX1445" s="5"/>
      <c r="BY1445" s="7"/>
      <c r="BZ1445" s="7"/>
      <c r="CA1445" s="7"/>
      <c r="CB1445" s="7"/>
      <c r="CC1445" s="874"/>
    </row>
    <row r="1446" spans="1:81" s="400" customFormat="1" ht="14.25" customHeight="1" x14ac:dyDescent="0.25">
      <c r="A1446" s="5"/>
      <c r="B1446" s="5"/>
      <c r="C1446" s="5"/>
      <c r="D1446" s="5"/>
      <c r="E1446" s="5"/>
      <c r="F1446" s="5"/>
      <c r="G1446" s="5"/>
      <c r="H1446" s="5"/>
      <c r="I1446" s="5"/>
      <c r="J1446" s="5"/>
      <c r="K1446" s="5"/>
      <c r="L1446" s="5"/>
      <c r="M1446" s="5"/>
      <c r="N1446" s="5"/>
      <c r="O1446" s="5"/>
      <c r="P1446" s="5"/>
      <c r="Q1446" s="5"/>
      <c r="R1446" s="5"/>
      <c r="S1446" s="5"/>
      <c r="T1446" s="5"/>
      <c r="U1446" s="5"/>
      <c r="V1446" s="5"/>
      <c r="W1446" s="5"/>
      <c r="X1446" s="5"/>
      <c r="Y1446" s="5"/>
      <c r="Z1446" s="5"/>
      <c r="AA1446" s="5"/>
      <c r="AB1446" s="6"/>
      <c r="AC1446" s="6"/>
      <c r="AD1446" s="6"/>
      <c r="AE1446" s="6"/>
      <c r="AF1446" s="6"/>
      <c r="AG1446" s="6"/>
      <c r="AH1446" s="6"/>
      <c r="AI1446" s="6"/>
      <c r="AJ1446" s="6"/>
      <c r="AK1446" s="6"/>
      <c r="AL1446" s="6"/>
      <c r="AM1446" s="6"/>
      <c r="AN1446" s="6"/>
      <c r="AO1446" s="6"/>
      <c r="AP1446" s="6"/>
      <c r="AQ1446" s="6"/>
      <c r="AR1446" s="6"/>
      <c r="AS1446" s="6"/>
      <c r="AT1446" s="6"/>
      <c r="AU1446" s="6"/>
      <c r="AV1446" s="6"/>
      <c r="AW1446" s="6"/>
      <c r="AX1446" s="6"/>
      <c r="AY1446" s="6"/>
      <c r="AZ1446" s="6"/>
      <c r="BA1446" s="6"/>
      <c r="BB1446" s="6"/>
      <c r="BC1446" s="6"/>
      <c r="BD1446" s="6"/>
      <c r="BE1446" s="6"/>
      <c r="BF1446" s="6"/>
      <c r="BG1446" s="6"/>
      <c r="BH1446" s="6"/>
      <c r="BI1446" s="6"/>
      <c r="BJ1446" s="6"/>
      <c r="BK1446" s="6"/>
      <c r="BL1446" s="6"/>
      <c r="BM1446" s="6"/>
      <c r="BN1446" s="6"/>
      <c r="BO1446" s="6"/>
      <c r="BP1446" s="6"/>
      <c r="BQ1446" s="6"/>
      <c r="BR1446" s="6"/>
      <c r="BS1446" s="6"/>
      <c r="BT1446" s="6"/>
      <c r="BU1446" s="6"/>
      <c r="BV1446" s="6"/>
      <c r="BW1446" s="6"/>
      <c r="BX1446" s="5"/>
      <c r="BY1446" s="7"/>
      <c r="BZ1446" s="7"/>
      <c r="CA1446" s="7"/>
      <c r="CB1446" s="7"/>
      <c r="CC1446" s="874"/>
    </row>
    <row r="1447" spans="1:81" s="400" customFormat="1" ht="14.25" customHeight="1" x14ac:dyDescent="0.25">
      <c r="A1447" s="5"/>
      <c r="B1447" s="5"/>
      <c r="C1447" s="5"/>
      <c r="D1447" s="5"/>
      <c r="E1447" s="5"/>
      <c r="F1447" s="5"/>
      <c r="G1447" s="5"/>
      <c r="H1447" s="5"/>
      <c r="I1447" s="5"/>
      <c r="J1447" s="5"/>
      <c r="K1447" s="5"/>
      <c r="L1447" s="5"/>
      <c r="M1447" s="5"/>
      <c r="N1447" s="5"/>
      <c r="O1447" s="5"/>
      <c r="P1447" s="5"/>
      <c r="Q1447" s="5"/>
      <c r="R1447" s="5"/>
      <c r="S1447" s="5"/>
      <c r="T1447" s="5"/>
      <c r="U1447" s="5"/>
      <c r="V1447" s="5"/>
      <c r="W1447" s="5"/>
      <c r="X1447" s="5"/>
      <c r="Y1447" s="5"/>
      <c r="Z1447" s="5"/>
      <c r="AA1447" s="5"/>
      <c r="AB1447" s="6"/>
      <c r="AC1447" s="6"/>
      <c r="AD1447" s="6"/>
      <c r="AE1447" s="6"/>
      <c r="AF1447" s="6"/>
      <c r="AG1447" s="6"/>
      <c r="AH1447" s="6"/>
      <c r="AI1447" s="6"/>
      <c r="AJ1447" s="6"/>
      <c r="AK1447" s="6"/>
      <c r="AL1447" s="6"/>
      <c r="AM1447" s="6"/>
      <c r="AN1447" s="6"/>
      <c r="AO1447" s="6"/>
      <c r="AP1447" s="6"/>
      <c r="AQ1447" s="6"/>
      <c r="AR1447" s="6"/>
      <c r="AS1447" s="6"/>
      <c r="AT1447" s="6"/>
      <c r="AU1447" s="6"/>
      <c r="AV1447" s="6"/>
      <c r="AW1447" s="6"/>
      <c r="AX1447" s="6"/>
      <c r="AY1447" s="6"/>
      <c r="AZ1447" s="6"/>
      <c r="BA1447" s="6"/>
      <c r="BB1447" s="6"/>
      <c r="BC1447" s="6"/>
      <c r="BD1447" s="6"/>
      <c r="BE1447" s="6"/>
      <c r="BF1447" s="6"/>
      <c r="BG1447" s="6"/>
      <c r="BH1447" s="6"/>
      <c r="BI1447" s="6"/>
      <c r="BJ1447" s="6"/>
      <c r="BK1447" s="6"/>
      <c r="BL1447" s="6"/>
      <c r="BM1447" s="6"/>
      <c r="BN1447" s="6"/>
      <c r="BO1447" s="6"/>
      <c r="BP1447" s="6"/>
      <c r="BQ1447" s="6"/>
      <c r="BR1447" s="6"/>
      <c r="BS1447" s="6"/>
      <c r="BT1447" s="6"/>
      <c r="BU1447" s="6"/>
      <c r="BV1447" s="6"/>
      <c r="BW1447" s="6"/>
      <c r="BX1447" s="5"/>
      <c r="BY1447" s="7"/>
      <c r="BZ1447" s="7"/>
      <c r="CA1447" s="7"/>
      <c r="CB1447" s="7"/>
      <c r="CC1447" s="874"/>
    </row>
    <row r="1448" spans="1:81" s="400" customFormat="1" ht="14.25" customHeight="1" x14ac:dyDescent="0.25">
      <c r="A1448" s="5"/>
      <c r="B1448" s="5"/>
      <c r="C1448" s="5"/>
      <c r="D1448" s="5"/>
      <c r="E1448" s="5"/>
      <c r="F1448" s="5"/>
      <c r="G1448" s="5"/>
      <c r="H1448" s="5"/>
      <c r="I1448" s="5"/>
      <c r="J1448" s="5"/>
      <c r="K1448" s="5"/>
      <c r="L1448" s="5"/>
      <c r="M1448" s="5"/>
      <c r="N1448" s="5"/>
      <c r="O1448" s="5"/>
      <c r="P1448" s="5"/>
      <c r="Q1448" s="5"/>
      <c r="R1448" s="5"/>
      <c r="S1448" s="5"/>
      <c r="T1448" s="5"/>
      <c r="U1448" s="5"/>
      <c r="V1448" s="5"/>
      <c r="W1448" s="5"/>
      <c r="X1448" s="5"/>
      <c r="Y1448" s="5"/>
      <c r="Z1448" s="5"/>
      <c r="AA1448" s="5"/>
      <c r="AB1448" s="6"/>
      <c r="AC1448" s="6"/>
      <c r="AD1448" s="6"/>
      <c r="AE1448" s="6"/>
      <c r="AF1448" s="6"/>
      <c r="AG1448" s="6"/>
      <c r="AH1448" s="6"/>
      <c r="AI1448" s="6"/>
      <c r="AJ1448" s="6"/>
      <c r="AK1448" s="6"/>
      <c r="AL1448" s="6"/>
      <c r="AM1448" s="6"/>
      <c r="AN1448" s="6"/>
      <c r="AO1448" s="6"/>
      <c r="AP1448" s="6"/>
      <c r="AQ1448" s="6"/>
      <c r="AR1448" s="6"/>
      <c r="AS1448" s="6"/>
      <c r="AT1448" s="6"/>
      <c r="AU1448" s="6"/>
      <c r="AV1448" s="6"/>
      <c r="AW1448" s="6"/>
      <c r="AX1448" s="6"/>
      <c r="AY1448" s="6"/>
      <c r="AZ1448" s="6"/>
      <c r="BA1448" s="6"/>
      <c r="BB1448" s="6"/>
      <c r="BC1448" s="6"/>
      <c r="BD1448" s="6"/>
      <c r="BE1448" s="6"/>
      <c r="BF1448" s="6"/>
      <c r="BG1448" s="6"/>
      <c r="BH1448" s="6"/>
      <c r="BI1448" s="6"/>
      <c r="BJ1448" s="6"/>
      <c r="BK1448" s="6"/>
      <c r="BL1448" s="6"/>
      <c r="BM1448" s="6"/>
      <c r="BN1448" s="6"/>
      <c r="BO1448" s="6"/>
      <c r="BP1448" s="6"/>
      <c r="BQ1448" s="6"/>
      <c r="BR1448" s="6"/>
      <c r="BS1448" s="6"/>
      <c r="BT1448" s="6"/>
      <c r="BU1448" s="6"/>
      <c r="BV1448" s="6"/>
      <c r="BW1448" s="6"/>
      <c r="BX1448" s="5"/>
      <c r="BY1448" s="7"/>
      <c r="BZ1448" s="7"/>
      <c r="CA1448" s="7"/>
      <c r="CB1448" s="7"/>
      <c r="CC1448" s="874"/>
    </row>
    <row r="1449" spans="1:81" s="400" customFormat="1" ht="14.25" customHeight="1" x14ac:dyDescent="0.25">
      <c r="A1449" s="5"/>
      <c r="B1449" s="5"/>
      <c r="C1449" s="5"/>
      <c r="D1449" s="5"/>
      <c r="E1449" s="5"/>
      <c r="F1449" s="5"/>
      <c r="G1449" s="5"/>
      <c r="H1449" s="5"/>
      <c r="I1449" s="5"/>
      <c r="J1449" s="5"/>
      <c r="K1449" s="5"/>
      <c r="L1449" s="5"/>
      <c r="M1449" s="5"/>
      <c r="N1449" s="5"/>
      <c r="O1449" s="5"/>
      <c r="P1449" s="5"/>
      <c r="Q1449" s="5"/>
      <c r="R1449" s="5"/>
      <c r="S1449" s="5"/>
      <c r="T1449" s="5"/>
      <c r="U1449" s="5"/>
      <c r="V1449" s="5"/>
      <c r="W1449" s="5"/>
      <c r="X1449" s="5"/>
      <c r="Y1449" s="5"/>
      <c r="Z1449" s="5"/>
      <c r="AA1449" s="5"/>
      <c r="AB1449" s="6"/>
      <c r="AC1449" s="6"/>
      <c r="AD1449" s="6"/>
      <c r="AE1449" s="6"/>
      <c r="AF1449" s="6"/>
      <c r="AG1449" s="6"/>
      <c r="AH1449" s="6"/>
      <c r="AI1449" s="6"/>
      <c r="AJ1449" s="6"/>
      <c r="AK1449" s="6"/>
      <c r="AL1449" s="6"/>
      <c r="AM1449" s="6"/>
      <c r="AN1449" s="6"/>
      <c r="AO1449" s="6"/>
      <c r="AP1449" s="6"/>
      <c r="AQ1449" s="6"/>
      <c r="AR1449" s="6"/>
      <c r="AS1449" s="6"/>
      <c r="AT1449" s="6"/>
      <c r="AU1449" s="6"/>
      <c r="AV1449" s="6"/>
      <c r="AW1449" s="6"/>
      <c r="AX1449" s="6"/>
      <c r="AY1449" s="6"/>
      <c r="AZ1449" s="6"/>
      <c r="BA1449" s="6"/>
      <c r="BB1449" s="6"/>
      <c r="BC1449" s="6"/>
      <c r="BD1449" s="6"/>
      <c r="BE1449" s="6"/>
      <c r="BF1449" s="6"/>
      <c r="BG1449" s="6"/>
      <c r="BH1449" s="6"/>
      <c r="BI1449" s="6"/>
      <c r="BJ1449" s="6"/>
      <c r="BK1449" s="6"/>
      <c r="BL1449" s="6"/>
      <c r="BM1449" s="6"/>
      <c r="BN1449" s="6"/>
      <c r="BO1449" s="6"/>
      <c r="BP1449" s="6"/>
      <c r="BQ1449" s="6"/>
      <c r="BR1449" s="6"/>
      <c r="BS1449" s="6"/>
      <c r="BT1449" s="6"/>
      <c r="BU1449" s="6"/>
      <c r="BV1449" s="6"/>
      <c r="BW1449" s="6"/>
      <c r="BX1449" s="5"/>
      <c r="BY1449" s="7"/>
      <c r="BZ1449" s="7"/>
      <c r="CA1449" s="7"/>
      <c r="CB1449" s="7"/>
      <c r="CC1449" s="874"/>
    </row>
    <row r="1450" spans="1:81" s="400" customFormat="1" ht="14.25" customHeight="1" x14ac:dyDescent="0.25">
      <c r="A1450" s="5"/>
      <c r="B1450" s="5"/>
      <c r="C1450" s="5"/>
      <c r="D1450" s="5"/>
      <c r="E1450" s="5"/>
      <c r="F1450" s="5"/>
      <c r="G1450" s="5"/>
      <c r="H1450" s="5"/>
      <c r="I1450" s="5"/>
      <c r="J1450" s="5"/>
      <c r="K1450" s="5"/>
      <c r="L1450" s="5"/>
      <c r="M1450" s="5"/>
      <c r="N1450" s="5"/>
      <c r="O1450" s="5"/>
      <c r="P1450" s="5"/>
      <c r="Q1450" s="5"/>
      <c r="R1450" s="5"/>
      <c r="S1450" s="5"/>
      <c r="T1450" s="5"/>
      <c r="U1450" s="5"/>
      <c r="V1450" s="5"/>
      <c r="W1450" s="5"/>
      <c r="X1450" s="5"/>
      <c r="Y1450" s="5"/>
      <c r="Z1450" s="5"/>
      <c r="AA1450" s="5"/>
      <c r="AB1450" s="6"/>
      <c r="AC1450" s="6"/>
      <c r="AD1450" s="6"/>
      <c r="AE1450" s="6"/>
      <c r="AF1450" s="6"/>
      <c r="AG1450" s="6"/>
      <c r="AH1450" s="6"/>
      <c r="AI1450" s="6"/>
      <c r="AJ1450" s="6"/>
      <c r="AK1450" s="6"/>
      <c r="AL1450" s="6"/>
      <c r="AM1450" s="6"/>
      <c r="AN1450" s="6"/>
      <c r="AO1450" s="6"/>
      <c r="AP1450" s="6"/>
      <c r="AQ1450" s="6"/>
      <c r="AR1450" s="6"/>
      <c r="AS1450" s="6"/>
      <c r="AT1450" s="6"/>
      <c r="AU1450" s="6"/>
      <c r="AV1450" s="6"/>
      <c r="AW1450" s="6"/>
      <c r="AX1450" s="6"/>
      <c r="AY1450" s="6"/>
      <c r="AZ1450" s="6"/>
      <c r="BA1450" s="6"/>
      <c r="BB1450" s="6"/>
      <c r="BC1450" s="6"/>
      <c r="BD1450" s="6"/>
      <c r="BE1450" s="6"/>
      <c r="BF1450" s="6"/>
      <c r="BG1450" s="6"/>
      <c r="BH1450" s="6"/>
      <c r="BI1450" s="6"/>
      <c r="BJ1450" s="6"/>
      <c r="BK1450" s="6"/>
      <c r="BL1450" s="6"/>
      <c r="BM1450" s="6"/>
      <c r="BN1450" s="6"/>
      <c r="BO1450" s="6"/>
      <c r="BP1450" s="6"/>
      <c r="BQ1450" s="6"/>
      <c r="BR1450" s="6"/>
      <c r="BS1450" s="6"/>
      <c r="BT1450" s="6"/>
      <c r="BU1450" s="6"/>
      <c r="BV1450" s="6"/>
      <c r="BW1450" s="6"/>
      <c r="BX1450" s="5"/>
      <c r="BY1450" s="7"/>
      <c r="BZ1450" s="7"/>
      <c r="CA1450" s="7"/>
      <c r="CB1450" s="7"/>
      <c r="CC1450" s="874"/>
    </row>
    <row r="1451" spans="1:81" s="400" customFormat="1" ht="14.25" customHeight="1" x14ac:dyDescent="0.25">
      <c r="A1451" s="5"/>
      <c r="B1451" s="5"/>
      <c r="C1451" s="5"/>
      <c r="D1451" s="5"/>
      <c r="E1451" s="5"/>
      <c r="F1451" s="5"/>
      <c r="G1451" s="5"/>
      <c r="H1451" s="5"/>
      <c r="I1451" s="5"/>
      <c r="J1451" s="5"/>
      <c r="K1451" s="5"/>
      <c r="L1451" s="5"/>
      <c r="M1451" s="5"/>
      <c r="N1451" s="5"/>
      <c r="O1451" s="5"/>
      <c r="P1451" s="5"/>
      <c r="Q1451" s="5"/>
      <c r="R1451" s="5"/>
      <c r="S1451" s="5"/>
      <c r="T1451" s="5"/>
      <c r="U1451" s="5"/>
      <c r="V1451" s="5"/>
      <c r="W1451" s="5"/>
      <c r="X1451" s="5"/>
      <c r="Y1451" s="5"/>
      <c r="Z1451" s="5"/>
      <c r="AA1451" s="5"/>
      <c r="AB1451" s="6"/>
      <c r="AC1451" s="6"/>
      <c r="AD1451" s="6"/>
      <c r="AE1451" s="6"/>
      <c r="AF1451" s="6"/>
      <c r="AG1451" s="6"/>
      <c r="AH1451" s="6"/>
      <c r="AI1451" s="6"/>
      <c r="AJ1451" s="6"/>
      <c r="AK1451" s="6"/>
      <c r="AL1451" s="6"/>
      <c r="AM1451" s="6"/>
      <c r="AN1451" s="6"/>
      <c r="AO1451" s="6"/>
      <c r="AP1451" s="6"/>
      <c r="AQ1451" s="6"/>
      <c r="AR1451" s="6"/>
      <c r="AS1451" s="6"/>
      <c r="AT1451" s="6"/>
      <c r="AU1451" s="6"/>
      <c r="AV1451" s="6"/>
      <c r="AW1451" s="6"/>
      <c r="AX1451" s="6"/>
      <c r="AY1451" s="6"/>
      <c r="AZ1451" s="6"/>
      <c r="BA1451" s="6"/>
      <c r="BB1451" s="6"/>
      <c r="BC1451" s="6"/>
      <c r="BD1451" s="6"/>
      <c r="BE1451" s="6"/>
      <c r="BF1451" s="6"/>
      <c r="BG1451" s="6"/>
      <c r="BH1451" s="6"/>
      <c r="BI1451" s="6"/>
      <c r="BJ1451" s="6"/>
      <c r="BK1451" s="6"/>
      <c r="BL1451" s="6"/>
      <c r="BM1451" s="6"/>
      <c r="BN1451" s="6"/>
      <c r="BO1451" s="6"/>
      <c r="BP1451" s="6"/>
      <c r="BQ1451" s="6"/>
      <c r="BR1451" s="6"/>
      <c r="BS1451" s="6"/>
      <c r="BT1451" s="6"/>
      <c r="BU1451" s="6"/>
      <c r="BV1451" s="6"/>
      <c r="BW1451" s="6"/>
      <c r="BX1451" s="5"/>
      <c r="BY1451" s="7"/>
      <c r="BZ1451" s="7"/>
      <c r="CA1451" s="7"/>
      <c r="CB1451" s="7"/>
      <c r="CC1451" s="874"/>
    </row>
    <row r="1452" spans="1:81" s="400" customFormat="1" ht="14.25" customHeight="1" x14ac:dyDescent="0.25">
      <c r="A1452" s="5"/>
      <c r="B1452" s="5"/>
      <c r="C1452" s="5"/>
      <c r="D1452" s="5"/>
      <c r="E1452" s="5"/>
      <c r="F1452" s="5"/>
      <c r="G1452" s="5"/>
      <c r="H1452" s="5"/>
      <c r="I1452" s="5"/>
      <c r="J1452" s="5"/>
      <c r="K1452" s="5"/>
      <c r="L1452" s="5"/>
      <c r="M1452" s="5"/>
      <c r="N1452" s="5"/>
      <c r="O1452" s="5"/>
      <c r="P1452" s="5"/>
      <c r="Q1452" s="5"/>
      <c r="R1452" s="5"/>
      <c r="S1452" s="5"/>
      <c r="T1452" s="5"/>
      <c r="U1452" s="5"/>
      <c r="V1452" s="5"/>
      <c r="W1452" s="5"/>
      <c r="X1452" s="5"/>
      <c r="Y1452" s="5"/>
      <c r="Z1452" s="5"/>
      <c r="AA1452" s="5"/>
      <c r="AB1452" s="6"/>
      <c r="AC1452" s="6"/>
      <c r="AD1452" s="6"/>
      <c r="AE1452" s="6"/>
      <c r="AF1452" s="6"/>
      <c r="AG1452" s="6"/>
      <c r="AH1452" s="6"/>
      <c r="AI1452" s="6"/>
      <c r="AJ1452" s="6"/>
      <c r="AK1452" s="6"/>
      <c r="AL1452" s="6"/>
      <c r="AM1452" s="6"/>
      <c r="AN1452" s="6"/>
      <c r="AO1452" s="6"/>
      <c r="AP1452" s="6"/>
      <c r="AQ1452" s="6"/>
      <c r="AR1452" s="6"/>
      <c r="AS1452" s="6"/>
      <c r="AT1452" s="6"/>
      <c r="AU1452" s="6"/>
      <c r="AV1452" s="6"/>
      <c r="AW1452" s="6"/>
      <c r="AX1452" s="6"/>
      <c r="AY1452" s="6"/>
      <c r="AZ1452" s="6"/>
      <c r="BA1452" s="6"/>
      <c r="BB1452" s="6"/>
      <c r="BC1452" s="6"/>
      <c r="BD1452" s="6"/>
      <c r="BE1452" s="6"/>
      <c r="BF1452" s="6"/>
      <c r="BG1452" s="6"/>
      <c r="BH1452" s="6"/>
      <c r="BI1452" s="6"/>
      <c r="BJ1452" s="6"/>
      <c r="BK1452" s="6"/>
      <c r="BL1452" s="6"/>
      <c r="BM1452" s="6"/>
      <c r="BN1452" s="6"/>
      <c r="BO1452" s="6"/>
      <c r="BP1452" s="6"/>
      <c r="BQ1452" s="6"/>
      <c r="BR1452" s="6"/>
      <c r="BS1452" s="6"/>
      <c r="BT1452" s="6"/>
      <c r="BU1452" s="6"/>
      <c r="BV1452" s="6"/>
      <c r="BW1452" s="6"/>
      <c r="BX1452" s="5"/>
      <c r="BY1452" s="7"/>
      <c r="BZ1452" s="7"/>
      <c r="CA1452" s="7"/>
      <c r="CB1452" s="7"/>
      <c r="CC1452" s="874"/>
    </row>
    <row r="1453" spans="1:81" s="400" customFormat="1" ht="14.25" customHeight="1" x14ac:dyDescent="0.25">
      <c r="A1453" s="5"/>
      <c r="B1453" s="5"/>
      <c r="C1453" s="5"/>
      <c r="D1453" s="5"/>
      <c r="E1453" s="5"/>
      <c r="F1453" s="5"/>
      <c r="G1453" s="5"/>
      <c r="H1453" s="5"/>
      <c r="I1453" s="5"/>
      <c r="J1453" s="5"/>
      <c r="K1453" s="5"/>
      <c r="L1453" s="5"/>
      <c r="M1453" s="5"/>
      <c r="N1453" s="5"/>
      <c r="O1453" s="5"/>
      <c r="P1453" s="5"/>
      <c r="Q1453" s="5"/>
      <c r="R1453" s="5"/>
      <c r="S1453" s="5"/>
      <c r="T1453" s="5"/>
      <c r="U1453" s="5"/>
      <c r="V1453" s="5"/>
      <c r="W1453" s="5"/>
      <c r="X1453" s="5"/>
      <c r="Y1453" s="5"/>
      <c r="Z1453" s="5"/>
      <c r="AA1453" s="5"/>
      <c r="AB1453" s="6"/>
      <c r="AC1453" s="6"/>
      <c r="AD1453" s="6"/>
      <c r="AE1453" s="6"/>
      <c r="AF1453" s="6"/>
      <c r="AG1453" s="6"/>
      <c r="AH1453" s="6"/>
      <c r="AI1453" s="6"/>
      <c r="AJ1453" s="6"/>
      <c r="AK1453" s="6"/>
      <c r="AL1453" s="6"/>
      <c r="AM1453" s="6"/>
      <c r="AN1453" s="6"/>
      <c r="AO1453" s="6"/>
      <c r="AP1453" s="6"/>
      <c r="AQ1453" s="6"/>
      <c r="AR1453" s="6"/>
      <c r="AS1453" s="6"/>
      <c r="AT1453" s="6"/>
      <c r="AU1453" s="6"/>
      <c r="AV1453" s="6"/>
      <c r="AW1453" s="6"/>
      <c r="AX1453" s="6"/>
      <c r="AY1453" s="6"/>
      <c r="AZ1453" s="6"/>
      <c r="BA1453" s="6"/>
      <c r="BB1453" s="6"/>
      <c r="BC1453" s="6"/>
      <c r="BD1453" s="6"/>
      <c r="BE1453" s="6"/>
      <c r="BF1453" s="6"/>
      <c r="BG1453" s="6"/>
      <c r="BH1453" s="6"/>
      <c r="BI1453" s="6"/>
      <c r="BJ1453" s="6"/>
      <c r="BK1453" s="6"/>
      <c r="BL1453" s="6"/>
      <c r="BM1453" s="6"/>
      <c r="BN1453" s="6"/>
      <c r="BO1453" s="6"/>
      <c r="BP1453" s="6"/>
      <c r="BQ1453" s="6"/>
      <c r="BR1453" s="6"/>
      <c r="BS1453" s="6"/>
      <c r="BT1453" s="6"/>
      <c r="BU1453" s="6"/>
      <c r="BV1453" s="6"/>
      <c r="BW1453" s="6"/>
      <c r="BX1453" s="5"/>
      <c r="BY1453" s="7"/>
      <c r="BZ1453" s="7"/>
      <c r="CA1453" s="7"/>
      <c r="CB1453" s="7"/>
      <c r="CC1453" s="874"/>
    </row>
    <row r="1454" spans="1:81" s="400" customFormat="1" ht="14.25" customHeight="1" x14ac:dyDescent="0.25">
      <c r="A1454" s="5"/>
      <c r="B1454" s="5"/>
      <c r="C1454" s="5"/>
      <c r="D1454" s="5"/>
      <c r="E1454" s="5"/>
      <c r="F1454" s="5"/>
      <c r="G1454" s="5"/>
      <c r="H1454" s="5"/>
      <c r="I1454" s="5"/>
      <c r="J1454" s="5"/>
      <c r="K1454" s="5"/>
      <c r="L1454" s="5"/>
      <c r="M1454" s="5"/>
      <c r="N1454" s="5"/>
      <c r="O1454" s="5"/>
      <c r="P1454" s="5"/>
      <c r="Q1454" s="5"/>
      <c r="R1454" s="5"/>
      <c r="S1454" s="5"/>
      <c r="T1454" s="5"/>
      <c r="U1454" s="5"/>
      <c r="V1454" s="5"/>
      <c r="W1454" s="5"/>
      <c r="X1454" s="5"/>
      <c r="Y1454" s="5"/>
      <c r="Z1454" s="5"/>
      <c r="AA1454" s="5"/>
      <c r="AB1454" s="6"/>
      <c r="AC1454" s="6"/>
      <c r="AD1454" s="6"/>
      <c r="AE1454" s="6"/>
      <c r="AF1454" s="6"/>
      <c r="AG1454" s="6"/>
      <c r="AH1454" s="6"/>
      <c r="AI1454" s="6"/>
      <c r="AJ1454" s="6"/>
      <c r="AK1454" s="6"/>
      <c r="AL1454" s="6"/>
      <c r="AM1454" s="6"/>
      <c r="AN1454" s="6"/>
      <c r="AO1454" s="6"/>
      <c r="AP1454" s="6"/>
      <c r="AQ1454" s="6"/>
      <c r="AR1454" s="6"/>
      <c r="AS1454" s="6"/>
      <c r="AT1454" s="6"/>
      <c r="AU1454" s="6"/>
      <c r="AV1454" s="6"/>
      <c r="AW1454" s="6"/>
      <c r="AX1454" s="6"/>
      <c r="AY1454" s="6"/>
      <c r="AZ1454" s="6"/>
      <c r="BA1454" s="6"/>
      <c r="BB1454" s="6"/>
      <c r="BC1454" s="6"/>
      <c r="BD1454" s="6"/>
      <c r="BE1454" s="6"/>
      <c r="BF1454" s="6"/>
      <c r="BG1454" s="6"/>
      <c r="BH1454" s="6"/>
      <c r="BI1454" s="6"/>
      <c r="BJ1454" s="6"/>
      <c r="BK1454" s="6"/>
      <c r="BL1454" s="6"/>
      <c r="BM1454" s="6"/>
      <c r="BN1454" s="6"/>
      <c r="BO1454" s="6"/>
      <c r="BP1454" s="6"/>
      <c r="BQ1454" s="6"/>
      <c r="BR1454" s="6"/>
      <c r="BS1454" s="6"/>
      <c r="BT1454" s="6"/>
      <c r="BU1454" s="6"/>
      <c r="BV1454" s="6"/>
      <c r="BW1454" s="6"/>
      <c r="BX1454" s="5"/>
      <c r="BY1454" s="7"/>
      <c r="BZ1454" s="7"/>
      <c r="CA1454" s="7"/>
      <c r="CB1454" s="7"/>
      <c r="CC1454" s="874"/>
    </row>
    <row r="1455" spans="1:81" s="400" customFormat="1" ht="14.25" customHeight="1" x14ac:dyDescent="0.25">
      <c r="A1455" s="5"/>
      <c r="B1455" s="5"/>
      <c r="C1455" s="5"/>
      <c r="D1455" s="5"/>
      <c r="E1455" s="5"/>
      <c r="F1455" s="5"/>
      <c r="G1455" s="5"/>
      <c r="H1455" s="5"/>
      <c r="I1455" s="5"/>
      <c r="J1455" s="5"/>
      <c r="K1455" s="5"/>
      <c r="L1455" s="5"/>
      <c r="M1455" s="5"/>
      <c r="N1455" s="5"/>
      <c r="O1455" s="5"/>
      <c r="P1455" s="5"/>
      <c r="Q1455" s="5"/>
      <c r="R1455" s="5"/>
      <c r="S1455" s="5"/>
      <c r="T1455" s="5"/>
      <c r="U1455" s="5"/>
      <c r="V1455" s="5"/>
      <c r="W1455" s="5"/>
      <c r="X1455" s="5"/>
      <c r="Y1455" s="5"/>
      <c r="Z1455" s="5"/>
      <c r="AA1455" s="5"/>
      <c r="AB1455" s="6"/>
      <c r="AC1455" s="6"/>
      <c r="AD1455" s="6"/>
      <c r="AE1455" s="6"/>
      <c r="AF1455" s="6"/>
      <c r="AG1455" s="6"/>
      <c r="AH1455" s="6"/>
      <c r="AI1455" s="6"/>
      <c r="AJ1455" s="6"/>
      <c r="AK1455" s="6"/>
      <c r="AL1455" s="6"/>
      <c r="AM1455" s="6"/>
      <c r="AN1455" s="6"/>
      <c r="AO1455" s="6"/>
      <c r="AP1455" s="6"/>
      <c r="AQ1455" s="6"/>
      <c r="AR1455" s="6"/>
      <c r="AS1455" s="6"/>
      <c r="AT1455" s="6"/>
      <c r="AU1455" s="6"/>
      <c r="AV1455" s="6"/>
      <c r="AW1455" s="6"/>
      <c r="AX1455" s="6"/>
      <c r="AY1455" s="6"/>
      <c r="AZ1455" s="6"/>
      <c r="BA1455" s="6"/>
      <c r="BB1455" s="6"/>
      <c r="BC1455" s="6"/>
      <c r="BD1455" s="6"/>
      <c r="BE1455" s="6"/>
      <c r="BF1455" s="6"/>
      <c r="BG1455" s="6"/>
      <c r="BH1455" s="6"/>
      <c r="BI1455" s="6"/>
      <c r="BJ1455" s="6"/>
      <c r="BK1455" s="6"/>
      <c r="BL1455" s="6"/>
      <c r="BM1455" s="6"/>
      <c r="BN1455" s="6"/>
      <c r="BO1455" s="6"/>
      <c r="BP1455" s="6"/>
      <c r="BQ1455" s="6"/>
      <c r="BR1455" s="6"/>
      <c r="BS1455" s="6"/>
      <c r="BT1455" s="6"/>
      <c r="BU1455" s="6"/>
      <c r="BV1455" s="6"/>
      <c r="BW1455" s="6"/>
      <c r="BX1455" s="5"/>
      <c r="BY1455" s="7"/>
      <c r="BZ1455" s="7"/>
      <c r="CA1455" s="7"/>
      <c r="CB1455" s="7"/>
      <c r="CC1455" s="874"/>
    </row>
    <row r="1456" spans="1:81" s="400" customFormat="1" ht="14.25" customHeight="1" x14ac:dyDescent="0.25">
      <c r="A1456" s="5"/>
      <c r="B1456" s="5"/>
      <c r="C1456" s="5"/>
      <c r="D1456" s="5"/>
      <c r="E1456" s="5"/>
      <c r="F1456" s="5"/>
      <c r="G1456" s="5"/>
      <c r="H1456" s="5"/>
      <c r="I1456" s="5"/>
      <c r="J1456" s="5"/>
      <c r="K1456" s="5"/>
      <c r="L1456" s="5"/>
      <c r="M1456" s="5"/>
      <c r="N1456" s="5"/>
      <c r="O1456" s="5"/>
      <c r="P1456" s="5"/>
      <c r="Q1456" s="5"/>
      <c r="R1456" s="5"/>
      <c r="S1456" s="5"/>
      <c r="T1456" s="5"/>
      <c r="U1456" s="5"/>
      <c r="V1456" s="5"/>
      <c r="W1456" s="5"/>
      <c r="X1456" s="5"/>
      <c r="Y1456" s="5"/>
      <c r="Z1456" s="5"/>
      <c r="AA1456" s="5"/>
      <c r="AB1456" s="6"/>
      <c r="AC1456" s="6"/>
      <c r="AD1456" s="6"/>
      <c r="AE1456" s="6"/>
      <c r="AF1456" s="6"/>
      <c r="AG1456" s="6"/>
      <c r="AH1456" s="6"/>
      <c r="AI1456" s="6"/>
      <c r="AJ1456" s="6"/>
      <c r="AK1456" s="6"/>
      <c r="AL1456" s="6"/>
      <c r="AM1456" s="6"/>
      <c r="AN1456" s="6"/>
      <c r="AO1456" s="6"/>
      <c r="AP1456" s="6"/>
      <c r="AQ1456" s="6"/>
      <c r="AR1456" s="6"/>
      <c r="AS1456" s="6"/>
      <c r="AT1456" s="6"/>
      <c r="AU1456" s="6"/>
      <c r="AV1456" s="6"/>
      <c r="AW1456" s="6"/>
      <c r="AX1456" s="6"/>
      <c r="AY1456" s="6"/>
      <c r="AZ1456" s="6"/>
      <c r="BA1456" s="6"/>
      <c r="BB1456" s="6"/>
      <c r="BC1456" s="6"/>
      <c r="BD1456" s="6"/>
      <c r="BE1456" s="6"/>
      <c r="BF1456" s="6"/>
      <c r="BG1456" s="6"/>
      <c r="BH1456" s="6"/>
      <c r="BI1456" s="6"/>
      <c r="BJ1456" s="6"/>
      <c r="BK1456" s="6"/>
      <c r="BL1456" s="6"/>
      <c r="BM1456" s="6"/>
      <c r="BN1456" s="6"/>
      <c r="BO1456" s="6"/>
      <c r="BP1456" s="6"/>
      <c r="BQ1456" s="6"/>
      <c r="BR1456" s="6"/>
      <c r="BS1456" s="6"/>
      <c r="BT1456" s="6"/>
      <c r="BU1456" s="6"/>
      <c r="BV1456" s="6"/>
      <c r="BW1456" s="6"/>
      <c r="BX1456" s="5"/>
      <c r="BY1456" s="7"/>
      <c r="BZ1456" s="7"/>
      <c r="CA1456" s="7"/>
      <c r="CB1456" s="7"/>
      <c r="CC1456" s="874"/>
    </row>
    <row r="1457" spans="1:81" s="400" customFormat="1" ht="14.25" customHeight="1" x14ac:dyDescent="0.25">
      <c r="A1457" s="5"/>
      <c r="B1457" s="5"/>
      <c r="C1457" s="5"/>
      <c r="D1457" s="5"/>
      <c r="E1457" s="5"/>
      <c r="F1457" s="5"/>
      <c r="G1457" s="5"/>
      <c r="H1457" s="5"/>
      <c r="I1457" s="5"/>
      <c r="J1457" s="5"/>
      <c r="K1457" s="5"/>
      <c r="L1457" s="5"/>
      <c r="M1457" s="5"/>
      <c r="N1457" s="5"/>
      <c r="O1457" s="5"/>
      <c r="P1457" s="5"/>
      <c r="Q1457" s="5"/>
      <c r="R1457" s="5"/>
      <c r="S1457" s="5"/>
      <c r="T1457" s="5"/>
      <c r="U1457" s="5"/>
      <c r="V1457" s="5"/>
      <c r="W1457" s="5"/>
      <c r="X1457" s="5"/>
      <c r="Y1457" s="5"/>
      <c r="Z1457" s="5"/>
      <c r="AA1457" s="5"/>
      <c r="AB1457" s="6"/>
      <c r="AC1457" s="6"/>
      <c r="AD1457" s="6"/>
      <c r="AE1457" s="6"/>
      <c r="AF1457" s="6"/>
      <c r="AG1457" s="6"/>
      <c r="AH1457" s="6"/>
      <c r="AI1457" s="6"/>
      <c r="AJ1457" s="6"/>
      <c r="AK1457" s="6"/>
      <c r="AL1457" s="6"/>
      <c r="AM1457" s="6"/>
      <c r="AN1457" s="6"/>
      <c r="AO1457" s="6"/>
      <c r="AP1457" s="6"/>
      <c r="AQ1457" s="6"/>
      <c r="AR1457" s="6"/>
      <c r="AS1457" s="6"/>
      <c r="AT1457" s="6"/>
      <c r="AU1457" s="6"/>
      <c r="AV1457" s="6"/>
      <c r="AW1457" s="6"/>
      <c r="AX1457" s="6"/>
      <c r="AY1457" s="6"/>
      <c r="AZ1457" s="6"/>
      <c r="BA1457" s="6"/>
      <c r="BB1457" s="6"/>
      <c r="BC1457" s="6"/>
      <c r="BD1457" s="6"/>
      <c r="BE1457" s="6"/>
      <c r="BF1457" s="6"/>
      <c r="BG1457" s="6"/>
      <c r="BH1457" s="6"/>
      <c r="BI1457" s="6"/>
      <c r="BJ1457" s="6"/>
      <c r="BK1457" s="6"/>
      <c r="BL1457" s="6"/>
      <c r="BM1457" s="6"/>
      <c r="BN1457" s="6"/>
      <c r="BO1457" s="6"/>
      <c r="BP1457" s="6"/>
      <c r="BQ1457" s="6"/>
      <c r="BR1457" s="6"/>
      <c r="BS1457" s="6"/>
      <c r="BT1457" s="6"/>
      <c r="BU1457" s="6"/>
      <c r="BV1457" s="6"/>
      <c r="BW1457" s="6"/>
      <c r="BX1457" s="5"/>
      <c r="BY1457" s="7"/>
      <c r="BZ1457" s="7"/>
      <c r="CA1457" s="7"/>
      <c r="CB1457" s="7"/>
      <c r="CC1457" s="874"/>
    </row>
    <row r="1458" spans="1:81" s="400" customFormat="1" ht="14.25" customHeight="1" x14ac:dyDescent="0.25">
      <c r="A1458" s="5"/>
      <c r="B1458" s="5"/>
      <c r="C1458" s="5"/>
      <c r="D1458" s="5"/>
      <c r="E1458" s="5"/>
      <c r="F1458" s="5"/>
      <c r="G1458" s="5"/>
      <c r="H1458" s="5"/>
      <c r="I1458" s="5"/>
      <c r="J1458" s="5"/>
      <c r="K1458" s="5"/>
      <c r="L1458" s="5"/>
      <c r="M1458" s="5"/>
      <c r="N1458" s="5"/>
      <c r="O1458" s="5"/>
      <c r="P1458" s="5"/>
      <c r="Q1458" s="5"/>
      <c r="R1458" s="5"/>
      <c r="S1458" s="5"/>
      <c r="T1458" s="5"/>
      <c r="U1458" s="5"/>
      <c r="V1458" s="5"/>
      <c r="W1458" s="5"/>
      <c r="X1458" s="5"/>
      <c r="Y1458" s="5"/>
      <c r="Z1458" s="5"/>
      <c r="AA1458" s="5"/>
      <c r="AB1458" s="6"/>
      <c r="AC1458" s="6"/>
      <c r="AD1458" s="6"/>
      <c r="AE1458" s="6"/>
      <c r="AF1458" s="6"/>
      <c r="AG1458" s="6"/>
      <c r="AH1458" s="6"/>
      <c r="AI1458" s="6"/>
      <c r="AJ1458" s="6"/>
      <c r="AK1458" s="6"/>
      <c r="AL1458" s="6"/>
      <c r="AM1458" s="6"/>
      <c r="AN1458" s="6"/>
      <c r="AO1458" s="6"/>
      <c r="AP1458" s="6"/>
      <c r="AQ1458" s="6"/>
      <c r="AR1458" s="6"/>
      <c r="AS1458" s="6"/>
      <c r="AT1458" s="6"/>
      <c r="AU1458" s="6"/>
      <c r="AV1458" s="6"/>
      <c r="AW1458" s="6"/>
      <c r="AX1458" s="6"/>
      <c r="AY1458" s="6"/>
      <c r="AZ1458" s="6"/>
      <c r="BA1458" s="6"/>
      <c r="BB1458" s="6"/>
      <c r="BC1458" s="6"/>
      <c r="BD1458" s="6"/>
      <c r="BE1458" s="6"/>
      <c r="BF1458" s="6"/>
      <c r="BG1458" s="6"/>
      <c r="BH1458" s="6"/>
      <c r="BI1458" s="6"/>
      <c r="BJ1458" s="6"/>
      <c r="BK1458" s="6"/>
      <c r="BL1458" s="6"/>
      <c r="BM1458" s="6"/>
      <c r="BN1458" s="6"/>
      <c r="BO1458" s="6"/>
      <c r="BP1458" s="6"/>
      <c r="BQ1458" s="6"/>
      <c r="BR1458" s="6"/>
      <c r="BS1458" s="6"/>
      <c r="BT1458" s="6"/>
      <c r="BU1458" s="6"/>
      <c r="BV1458" s="6"/>
      <c r="BW1458" s="6"/>
      <c r="BX1458" s="5"/>
      <c r="BY1458" s="7"/>
      <c r="BZ1458" s="7"/>
      <c r="CA1458" s="7"/>
      <c r="CB1458" s="7"/>
      <c r="CC1458" s="874"/>
    </row>
    <row r="1459" spans="1:81" s="400" customFormat="1" ht="14.25" customHeight="1" x14ac:dyDescent="0.25">
      <c r="A1459" s="5"/>
      <c r="B1459" s="5"/>
      <c r="C1459" s="5"/>
      <c r="D1459" s="5"/>
      <c r="E1459" s="5"/>
      <c r="F1459" s="5"/>
      <c r="G1459" s="5"/>
      <c r="H1459" s="5"/>
      <c r="I1459" s="5"/>
      <c r="J1459" s="5"/>
      <c r="K1459" s="5"/>
      <c r="L1459" s="5"/>
      <c r="M1459" s="5"/>
      <c r="N1459" s="5"/>
      <c r="O1459" s="5"/>
      <c r="P1459" s="5"/>
      <c r="Q1459" s="5"/>
      <c r="R1459" s="5"/>
      <c r="S1459" s="5"/>
      <c r="T1459" s="5"/>
      <c r="U1459" s="5"/>
      <c r="V1459" s="5"/>
      <c r="W1459" s="5"/>
      <c r="X1459" s="5"/>
      <c r="Y1459" s="5"/>
      <c r="Z1459" s="5"/>
      <c r="AA1459" s="5"/>
      <c r="AB1459" s="6"/>
      <c r="AC1459" s="6"/>
      <c r="AD1459" s="6"/>
      <c r="AE1459" s="6"/>
      <c r="AF1459" s="6"/>
      <c r="AG1459" s="6"/>
      <c r="AH1459" s="6"/>
      <c r="AI1459" s="6"/>
      <c r="AJ1459" s="6"/>
      <c r="AK1459" s="6"/>
      <c r="AL1459" s="6"/>
      <c r="AM1459" s="6"/>
      <c r="AN1459" s="6"/>
      <c r="AO1459" s="6"/>
      <c r="AP1459" s="6"/>
      <c r="AQ1459" s="6"/>
      <c r="AR1459" s="6"/>
      <c r="AS1459" s="6"/>
      <c r="AT1459" s="6"/>
      <c r="AU1459" s="6"/>
      <c r="AV1459" s="6"/>
      <c r="AW1459" s="6"/>
      <c r="AX1459" s="6"/>
      <c r="AY1459" s="6"/>
      <c r="AZ1459" s="6"/>
      <c r="BA1459" s="6"/>
      <c r="BB1459" s="6"/>
      <c r="BC1459" s="6"/>
      <c r="BD1459" s="6"/>
      <c r="BE1459" s="6"/>
      <c r="BF1459" s="6"/>
      <c r="BG1459" s="6"/>
      <c r="BH1459" s="6"/>
      <c r="BI1459" s="6"/>
      <c r="BJ1459" s="6"/>
      <c r="BK1459" s="6"/>
      <c r="BL1459" s="6"/>
      <c r="BM1459" s="6"/>
      <c r="BN1459" s="6"/>
      <c r="BO1459" s="6"/>
      <c r="BP1459" s="6"/>
      <c r="BQ1459" s="6"/>
      <c r="BR1459" s="6"/>
      <c r="BS1459" s="6"/>
      <c r="BT1459" s="6"/>
      <c r="BU1459" s="6"/>
      <c r="BV1459" s="6"/>
      <c r="BW1459" s="6"/>
      <c r="BX1459" s="5"/>
      <c r="BY1459" s="7"/>
      <c r="BZ1459" s="7"/>
      <c r="CA1459" s="7"/>
      <c r="CB1459" s="7"/>
      <c r="CC1459" s="874"/>
    </row>
    <row r="1460" spans="1:81" s="400" customFormat="1" ht="14.25" customHeight="1" x14ac:dyDescent="0.25">
      <c r="A1460" s="5"/>
      <c r="B1460" s="5"/>
      <c r="C1460" s="5"/>
      <c r="D1460" s="5"/>
      <c r="E1460" s="5"/>
      <c r="F1460" s="5"/>
      <c r="G1460" s="5"/>
      <c r="H1460" s="5"/>
      <c r="I1460" s="5"/>
      <c r="J1460" s="5"/>
      <c r="K1460" s="5"/>
      <c r="L1460" s="5"/>
      <c r="M1460" s="5"/>
      <c r="N1460" s="5"/>
      <c r="O1460" s="5"/>
      <c r="P1460" s="5"/>
      <c r="Q1460" s="5"/>
      <c r="R1460" s="5"/>
      <c r="S1460" s="5"/>
      <c r="T1460" s="5"/>
      <c r="U1460" s="5"/>
      <c r="V1460" s="5"/>
      <c r="W1460" s="5"/>
      <c r="X1460" s="5"/>
      <c r="Y1460" s="5"/>
      <c r="Z1460" s="5"/>
      <c r="AA1460" s="5"/>
      <c r="AB1460" s="6"/>
      <c r="AC1460" s="6"/>
      <c r="AD1460" s="6"/>
      <c r="AE1460" s="6"/>
      <c r="AF1460" s="6"/>
      <c r="AG1460" s="6"/>
      <c r="AH1460" s="6"/>
      <c r="AI1460" s="6"/>
      <c r="AJ1460" s="6"/>
      <c r="AK1460" s="6"/>
      <c r="AL1460" s="6"/>
      <c r="AM1460" s="6"/>
      <c r="AN1460" s="6"/>
      <c r="AO1460" s="6"/>
      <c r="AP1460" s="6"/>
      <c r="AQ1460" s="6"/>
      <c r="AR1460" s="6"/>
      <c r="AS1460" s="6"/>
      <c r="AT1460" s="6"/>
      <c r="AU1460" s="6"/>
      <c r="AV1460" s="6"/>
      <c r="AW1460" s="6"/>
      <c r="AX1460" s="6"/>
      <c r="AY1460" s="6"/>
      <c r="AZ1460" s="6"/>
      <c r="BA1460" s="6"/>
      <c r="BB1460" s="6"/>
      <c r="BC1460" s="6"/>
      <c r="BD1460" s="6"/>
      <c r="BE1460" s="6"/>
      <c r="BF1460" s="6"/>
      <c r="BG1460" s="6"/>
      <c r="BH1460" s="6"/>
      <c r="BI1460" s="6"/>
      <c r="BJ1460" s="6"/>
      <c r="BK1460" s="6"/>
      <c r="BL1460" s="6"/>
      <c r="BM1460" s="6"/>
      <c r="BN1460" s="6"/>
      <c r="BO1460" s="6"/>
      <c r="BP1460" s="6"/>
      <c r="BQ1460" s="6"/>
      <c r="BR1460" s="6"/>
      <c r="BS1460" s="6"/>
      <c r="BT1460" s="6"/>
      <c r="BU1460" s="6"/>
      <c r="BV1460" s="6"/>
      <c r="BW1460" s="6"/>
      <c r="BX1460" s="5"/>
      <c r="BY1460" s="7"/>
      <c r="BZ1460" s="7"/>
      <c r="CA1460" s="7"/>
      <c r="CB1460" s="7"/>
      <c r="CC1460" s="874"/>
    </row>
    <row r="1461" spans="1:81" s="400" customFormat="1" ht="14.25" customHeight="1" x14ac:dyDescent="0.25">
      <c r="A1461" s="5"/>
      <c r="B1461" s="5"/>
      <c r="C1461" s="5"/>
      <c r="D1461" s="5"/>
      <c r="E1461" s="5"/>
      <c r="F1461" s="5"/>
      <c r="G1461" s="5"/>
      <c r="H1461" s="5"/>
      <c r="I1461" s="5"/>
      <c r="J1461" s="5"/>
      <c r="K1461" s="5"/>
      <c r="L1461" s="5"/>
      <c r="M1461" s="5"/>
      <c r="N1461" s="5"/>
      <c r="O1461" s="5"/>
      <c r="P1461" s="5"/>
      <c r="Q1461" s="5"/>
      <c r="R1461" s="5"/>
      <c r="S1461" s="5"/>
      <c r="T1461" s="5"/>
      <c r="U1461" s="5"/>
      <c r="V1461" s="5"/>
      <c r="W1461" s="5"/>
      <c r="X1461" s="5"/>
      <c r="Y1461" s="5"/>
      <c r="Z1461" s="5"/>
      <c r="AA1461" s="5"/>
      <c r="AB1461" s="6"/>
      <c r="AC1461" s="6"/>
      <c r="AD1461" s="6"/>
      <c r="AE1461" s="6"/>
      <c r="AF1461" s="6"/>
      <c r="AG1461" s="6"/>
      <c r="AH1461" s="6"/>
      <c r="AI1461" s="6"/>
      <c r="AJ1461" s="6"/>
      <c r="AK1461" s="6"/>
      <c r="AL1461" s="6"/>
      <c r="AM1461" s="6"/>
      <c r="AN1461" s="6"/>
      <c r="AO1461" s="6"/>
      <c r="AP1461" s="6"/>
      <c r="AQ1461" s="6"/>
      <c r="AR1461" s="6"/>
      <c r="AS1461" s="6"/>
      <c r="AT1461" s="6"/>
      <c r="AU1461" s="6"/>
      <c r="AV1461" s="6"/>
      <c r="AW1461" s="6"/>
      <c r="AX1461" s="6"/>
      <c r="AY1461" s="6"/>
      <c r="AZ1461" s="6"/>
      <c r="BA1461" s="6"/>
      <c r="BB1461" s="6"/>
      <c r="BC1461" s="6"/>
      <c r="BD1461" s="6"/>
      <c r="BE1461" s="6"/>
      <c r="BF1461" s="6"/>
      <c r="BG1461" s="6"/>
      <c r="BH1461" s="6"/>
      <c r="BI1461" s="6"/>
      <c r="BJ1461" s="6"/>
      <c r="BK1461" s="6"/>
      <c r="BL1461" s="6"/>
      <c r="BM1461" s="6"/>
      <c r="BN1461" s="6"/>
      <c r="BO1461" s="6"/>
      <c r="BP1461" s="6"/>
      <c r="BQ1461" s="6"/>
      <c r="BR1461" s="6"/>
      <c r="BS1461" s="6"/>
      <c r="BT1461" s="6"/>
      <c r="BU1461" s="6"/>
      <c r="BV1461" s="6"/>
      <c r="BW1461" s="6"/>
      <c r="BX1461" s="5"/>
      <c r="BY1461" s="7"/>
      <c r="BZ1461" s="7"/>
      <c r="CA1461" s="7"/>
      <c r="CB1461" s="7"/>
      <c r="CC1461" s="874"/>
    </row>
    <row r="1462" spans="1:81" s="400" customFormat="1" ht="14.25" customHeight="1" x14ac:dyDescent="0.25">
      <c r="A1462" s="5"/>
      <c r="B1462" s="5"/>
      <c r="C1462" s="5"/>
      <c r="D1462" s="5"/>
      <c r="E1462" s="5"/>
      <c r="F1462" s="5"/>
      <c r="G1462" s="5"/>
      <c r="H1462" s="5"/>
      <c r="I1462" s="5"/>
      <c r="J1462" s="5"/>
      <c r="K1462" s="5"/>
      <c r="L1462" s="5"/>
      <c r="M1462" s="5"/>
      <c r="N1462" s="5"/>
      <c r="O1462" s="5"/>
      <c r="P1462" s="5"/>
      <c r="Q1462" s="5"/>
      <c r="R1462" s="5"/>
      <c r="S1462" s="5"/>
      <c r="T1462" s="5"/>
      <c r="U1462" s="5"/>
      <c r="V1462" s="5"/>
      <c r="W1462" s="5"/>
      <c r="X1462" s="5"/>
      <c r="Y1462" s="5"/>
      <c r="Z1462" s="5"/>
      <c r="AA1462" s="5"/>
      <c r="AB1462" s="6"/>
      <c r="AC1462" s="6"/>
      <c r="AD1462" s="6"/>
      <c r="AE1462" s="6"/>
      <c r="AF1462" s="6"/>
      <c r="AG1462" s="6"/>
      <c r="AH1462" s="6"/>
      <c r="AI1462" s="6"/>
      <c r="AJ1462" s="6"/>
      <c r="AK1462" s="6"/>
      <c r="AL1462" s="6"/>
      <c r="AM1462" s="6"/>
      <c r="AN1462" s="6"/>
      <c r="AO1462" s="6"/>
      <c r="AP1462" s="6"/>
      <c r="AQ1462" s="6"/>
      <c r="AR1462" s="6"/>
      <c r="AS1462" s="6"/>
      <c r="AT1462" s="6"/>
      <c r="AU1462" s="6"/>
      <c r="AV1462" s="6"/>
      <c r="AW1462" s="6"/>
      <c r="AX1462" s="6"/>
      <c r="AY1462" s="6"/>
      <c r="AZ1462" s="6"/>
      <c r="BA1462" s="6"/>
      <c r="BB1462" s="6"/>
      <c r="BC1462" s="6"/>
      <c r="BD1462" s="6"/>
      <c r="BE1462" s="6"/>
      <c r="BF1462" s="6"/>
      <c r="BG1462" s="6"/>
      <c r="BH1462" s="6"/>
      <c r="BI1462" s="6"/>
      <c r="BJ1462" s="6"/>
      <c r="BK1462" s="6"/>
      <c r="BL1462" s="6"/>
      <c r="BM1462" s="6"/>
      <c r="BN1462" s="6"/>
      <c r="BO1462" s="6"/>
      <c r="BP1462" s="6"/>
      <c r="BQ1462" s="6"/>
      <c r="BR1462" s="6"/>
      <c r="BS1462" s="6"/>
      <c r="BT1462" s="6"/>
      <c r="BU1462" s="6"/>
      <c r="BV1462" s="6"/>
      <c r="BW1462" s="6"/>
      <c r="BX1462" s="5"/>
      <c r="BY1462" s="7"/>
      <c r="BZ1462" s="7"/>
      <c r="CA1462" s="7"/>
      <c r="CB1462" s="7"/>
      <c r="CC1462" s="874"/>
    </row>
    <row r="1463" spans="1:81" s="400" customFormat="1" ht="14.25" customHeight="1" x14ac:dyDescent="0.25">
      <c r="A1463" s="5"/>
      <c r="B1463" s="5"/>
      <c r="C1463" s="5"/>
      <c r="D1463" s="5"/>
      <c r="E1463" s="5"/>
      <c r="F1463" s="5"/>
      <c r="G1463" s="5"/>
      <c r="H1463" s="5"/>
      <c r="I1463" s="5"/>
      <c r="J1463" s="5"/>
      <c r="K1463" s="5"/>
      <c r="L1463" s="5"/>
      <c r="M1463" s="5"/>
      <c r="N1463" s="5"/>
      <c r="O1463" s="5"/>
      <c r="P1463" s="5"/>
      <c r="Q1463" s="5"/>
      <c r="R1463" s="5"/>
      <c r="S1463" s="5"/>
      <c r="T1463" s="5"/>
      <c r="U1463" s="5"/>
      <c r="V1463" s="5"/>
      <c r="W1463" s="5"/>
      <c r="X1463" s="5"/>
      <c r="Y1463" s="5"/>
      <c r="Z1463" s="5"/>
      <c r="AA1463" s="5"/>
      <c r="AB1463" s="6"/>
      <c r="AC1463" s="6"/>
      <c r="AD1463" s="6"/>
      <c r="AE1463" s="6"/>
      <c r="AF1463" s="6"/>
      <c r="AG1463" s="6"/>
      <c r="AH1463" s="6"/>
      <c r="AI1463" s="6"/>
      <c r="AJ1463" s="6"/>
      <c r="AK1463" s="6"/>
      <c r="AL1463" s="6"/>
      <c r="AM1463" s="6"/>
      <c r="AN1463" s="6"/>
      <c r="AO1463" s="6"/>
      <c r="AP1463" s="6"/>
      <c r="AQ1463" s="6"/>
      <c r="AR1463" s="6"/>
      <c r="AS1463" s="6"/>
      <c r="AT1463" s="6"/>
      <c r="AU1463" s="6"/>
      <c r="AV1463" s="6"/>
      <c r="AW1463" s="6"/>
      <c r="AX1463" s="6"/>
      <c r="AY1463" s="6"/>
      <c r="AZ1463" s="6"/>
      <c r="BA1463" s="6"/>
      <c r="BB1463" s="6"/>
      <c r="BC1463" s="6"/>
      <c r="BD1463" s="6"/>
      <c r="BE1463" s="6"/>
      <c r="BF1463" s="6"/>
      <c r="BG1463" s="6"/>
      <c r="BH1463" s="6"/>
      <c r="BI1463" s="6"/>
      <c r="BJ1463" s="6"/>
      <c r="BK1463" s="6"/>
      <c r="BL1463" s="6"/>
      <c r="BM1463" s="6"/>
      <c r="BN1463" s="6"/>
      <c r="BO1463" s="6"/>
      <c r="BP1463" s="6"/>
      <c r="BQ1463" s="6"/>
      <c r="BR1463" s="6"/>
      <c r="BS1463" s="6"/>
      <c r="BT1463" s="6"/>
      <c r="BU1463" s="6"/>
      <c r="BV1463" s="6"/>
      <c r="BW1463" s="6"/>
      <c r="BX1463" s="5"/>
      <c r="BY1463" s="7"/>
      <c r="BZ1463" s="7"/>
      <c r="CA1463" s="7"/>
      <c r="CB1463" s="7"/>
      <c r="CC1463" s="874"/>
    </row>
    <row r="1464" spans="1:81" s="400" customFormat="1" ht="14.25" customHeight="1" x14ac:dyDescent="0.25">
      <c r="A1464" s="5"/>
      <c r="B1464" s="5"/>
      <c r="C1464" s="5"/>
      <c r="D1464" s="5"/>
      <c r="E1464" s="5"/>
      <c r="F1464" s="5"/>
      <c r="G1464" s="5"/>
      <c r="H1464" s="5"/>
      <c r="I1464" s="5"/>
      <c r="J1464" s="5"/>
      <c r="K1464" s="5"/>
      <c r="L1464" s="5"/>
      <c r="M1464" s="5"/>
      <c r="N1464" s="5"/>
      <c r="O1464" s="5"/>
      <c r="P1464" s="5"/>
      <c r="Q1464" s="5"/>
      <c r="R1464" s="5"/>
      <c r="S1464" s="5"/>
      <c r="T1464" s="5"/>
      <c r="U1464" s="5"/>
      <c r="V1464" s="5"/>
      <c r="W1464" s="5"/>
      <c r="X1464" s="5"/>
      <c r="Y1464" s="5"/>
      <c r="Z1464" s="5"/>
      <c r="AA1464" s="5"/>
      <c r="AB1464" s="6"/>
      <c r="AC1464" s="6"/>
      <c r="AD1464" s="6"/>
      <c r="AE1464" s="6"/>
      <c r="AF1464" s="6"/>
      <c r="AG1464" s="6"/>
      <c r="AH1464" s="6"/>
      <c r="AI1464" s="6"/>
      <c r="AJ1464" s="6"/>
      <c r="AK1464" s="6"/>
      <c r="AL1464" s="6"/>
      <c r="AM1464" s="6"/>
      <c r="AN1464" s="6"/>
      <c r="AO1464" s="6"/>
      <c r="AP1464" s="6"/>
      <c r="AQ1464" s="6"/>
      <c r="AR1464" s="6"/>
      <c r="AS1464" s="6"/>
      <c r="AT1464" s="6"/>
      <c r="AU1464" s="6"/>
      <c r="AV1464" s="6"/>
      <c r="AW1464" s="6"/>
      <c r="AX1464" s="6"/>
      <c r="AY1464" s="6"/>
      <c r="AZ1464" s="6"/>
      <c r="BA1464" s="6"/>
      <c r="BB1464" s="6"/>
      <c r="BC1464" s="6"/>
      <c r="BD1464" s="6"/>
      <c r="BE1464" s="6"/>
      <c r="BF1464" s="6"/>
      <c r="BG1464" s="6"/>
      <c r="BH1464" s="6"/>
      <c r="BI1464" s="6"/>
      <c r="BJ1464" s="6"/>
      <c r="BK1464" s="6"/>
      <c r="BL1464" s="6"/>
      <c r="BM1464" s="6"/>
      <c r="BN1464" s="6"/>
      <c r="BO1464" s="6"/>
      <c r="BP1464" s="6"/>
      <c r="BQ1464" s="6"/>
      <c r="BR1464" s="6"/>
      <c r="BS1464" s="6"/>
      <c r="BT1464" s="6"/>
      <c r="BU1464" s="6"/>
      <c r="BV1464" s="6"/>
      <c r="BW1464" s="6"/>
      <c r="BX1464" s="5"/>
      <c r="BY1464" s="7"/>
      <c r="BZ1464" s="7"/>
      <c r="CA1464" s="7"/>
      <c r="CB1464" s="7"/>
      <c r="CC1464" s="874"/>
    </row>
    <row r="1465" spans="1:81" s="400" customFormat="1" ht="14.25" customHeight="1" x14ac:dyDescent="0.25">
      <c r="A1465" s="5"/>
      <c r="B1465" s="5"/>
      <c r="C1465" s="5"/>
      <c r="D1465" s="5"/>
      <c r="E1465" s="5"/>
      <c r="F1465" s="5"/>
      <c r="G1465" s="5"/>
      <c r="H1465" s="5"/>
      <c r="I1465" s="5"/>
      <c r="J1465" s="5"/>
      <c r="K1465" s="5"/>
      <c r="L1465" s="5"/>
      <c r="M1465" s="5"/>
      <c r="N1465" s="5"/>
      <c r="O1465" s="5"/>
      <c r="P1465" s="5"/>
      <c r="Q1465" s="5"/>
      <c r="R1465" s="5"/>
      <c r="S1465" s="5"/>
      <c r="T1465" s="5"/>
      <c r="U1465" s="5"/>
      <c r="V1465" s="5"/>
      <c r="W1465" s="5"/>
      <c r="X1465" s="5"/>
      <c r="Y1465" s="5"/>
      <c r="Z1465" s="5"/>
      <c r="AA1465" s="5"/>
      <c r="AB1465" s="6"/>
      <c r="AC1465" s="6"/>
      <c r="AD1465" s="6"/>
      <c r="AE1465" s="6"/>
      <c r="AF1465" s="6"/>
      <c r="AG1465" s="6"/>
      <c r="AH1465" s="6"/>
      <c r="AI1465" s="6"/>
      <c r="AJ1465" s="6"/>
      <c r="AK1465" s="6"/>
      <c r="AL1465" s="6"/>
      <c r="AM1465" s="6"/>
      <c r="AN1465" s="6"/>
      <c r="AO1465" s="6"/>
      <c r="AP1465" s="6"/>
      <c r="AQ1465" s="6"/>
      <c r="AR1465" s="6"/>
      <c r="AS1465" s="6"/>
      <c r="AT1465" s="6"/>
      <c r="AU1465" s="6"/>
      <c r="AV1465" s="6"/>
      <c r="AW1465" s="6"/>
      <c r="AX1465" s="6"/>
      <c r="AY1465" s="6"/>
      <c r="AZ1465" s="6"/>
      <c r="BA1465" s="6"/>
      <c r="BB1465" s="6"/>
      <c r="BC1465" s="6"/>
      <c r="BD1465" s="6"/>
      <c r="BE1465" s="6"/>
      <c r="BF1465" s="6"/>
      <c r="BG1465" s="6"/>
      <c r="BH1465" s="6"/>
      <c r="BI1465" s="6"/>
      <c r="BJ1465" s="6"/>
      <c r="BK1465" s="6"/>
      <c r="BL1465" s="6"/>
      <c r="BM1465" s="6"/>
      <c r="BN1465" s="6"/>
      <c r="BO1465" s="6"/>
      <c r="BP1465" s="6"/>
      <c r="BQ1465" s="6"/>
      <c r="BR1465" s="6"/>
      <c r="BS1465" s="6"/>
      <c r="BT1465" s="6"/>
      <c r="BU1465" s="6"/>
      <c r="BV1465" s="6"/>
      <c r="BW1465" s="6"/>
      <c r="BX1465" s="5"/>
      <c r="BY1465" s="7"/>
      <c r="BZ1465" s="7"/>
      <c r="CA1465" s="7"/>
      <c r="CB1465" s="7"/>
      <c r="CC1465" s="874"/>
    </row>
    <row r="1466" spans="1:81" s="400" customFormat="1" ht="14.25" customHeight="1" x14ac:dyDescent="0.25">
      <c r="A1466" s="5"/>
      <c r="B1466" s="5"/>
      <c r="C1466" s="5"/>
      <c r="D1466" s="5"/>
      <c r="E1466" s="5"/>
      <c r="F1466" s="5"/>
      <c r="G1466" s="5"/>
      <c r="H1466" s="5"/>
      <c r="I1466" s="5"/>
      <c r="J1466" s="5"/>
      <c r="K1466" s="5"/>
      <c r="L1466" s="5"/>
      <c r="M1466" s="5"/>
      <c r="N1466" s="5"/>
      <c r="O1466" s="5"/>
      <c r="P1466" s="5"/>
      <c r="Q1466" s="5"/>
      <c r="R1466" s="5"/>
      <c r="S1466" s="5"/>
      <c r="T1466" s="5"/>
      <c r="U1466" s="5"/>
      <c r="V1466" s="5"/>
      <c r="W1466" s="5"/>
      <c r="X1466" s="5"/>
      <c r="Y1466" s="5"/>
      <c r="Z1466" s="5"/>
      <c r="AA1466" s="5"/>
      <c r="AB1466" s="6"/>
      <c r="AC1466" s="6"/>
      <c r="AD1466" s="6"/>
      <c r="AE1466" s="6"/>
      <c r="AF1466" s="6"/>
      <c r="AG1466" s="6"/>
      <c r="AH1466" s="6"/>
      <c r="AI1466" s="6"/>
      <c r="AJ1466" s="6"/>
      <c r="AK1466" s="6"/>
      <c r="AL1466" s="6"/>
      <c r="AM1466" s="6"/>
      <c r="AN1466" s="6"/>
      <c r="AO1466" s="6"/>
      <c r="AP1466" s="6"/>
      <c r="AQ1466" s="6"/>
      <c r="AR1466" s="6"/>
      <c r="AS1466" s="6"/>
      <c r="AT1466" s="6"/>
      <c r="AU1466" s="6"/>
      <c r="AV1466" s="6"/>
      <c r="AW1466" s="6"/>
      <c r="AX1466" s="6"/>
      <c r="AY1466" s="6"/>
      <c r="AZ1466" s="6"/>
      <c r="BA1466" s="6"/>
      <c r="BB1466" s="6"/>
      <c r="BC1466" s="6"/>
      <c r="BD1466" s="6"/>
      <c r="BE1466" s="6"/>
      <c r="BF1466" s="6"/>
      <c r="BG1466" s="6"/>
      <c r="BH1466" s="6"/>
      <c r="BI1466" s="6"/>
      <c r="BJ1466" s="6"/>
      <c r="BK1466" s="6"/>
      <c r="BL1466" s="6"/>
      <c r="BM1466" s="6"/>
      <c r="BN1466" s="6"/>
      <c r="BO1466" s="6"/>
      <c r="BP1466" s="6"/>
      <c r="BQ1466" s="6"/>
      <c r="BR1466" s="6"/>
      <c r="BS1466" s="6"/>
      <c r="BT1466" s="6"/>
      <c r="BU1466" s="6"/>
      <c r="BV1466" s="6"/>
      <c r="BW1466" s="6"/>
      <c r="BX1466" s="5"/>
      <c r="BY1466" s="7"/>
      <c r="BZ1466" s="7"/>
      <c r="CA1466" s="7"/>
      <c r="CB1466" s="7"/>
      <c r="CC1466" s="874"/>
    </row>
    <row r="1467" spans="1:81" s="400" customFormat="1" ht="14.25" customHeight="1" x14ac:dyDescent="0.25">
      <c r="A1467" s="5"/>
      <c r="B1467" s="5"/>
      <c r="C1467" s="5"/>
      <c r="D1467" s="5"/>
      <c r="E1467" s="5"/>
      <c r="F1467" s="5"/>
      <c r="G1467" s="5"/>
      <c r="H1467" s="5"/>
      <c r="I1467" s="5"/>
      <c r="J1467" s="5"/>
      <c r="K1467" s="5"/>
      <c r="L1467" s="5"/>
      <c r="M1467" s="5"/>
      <c r="N1467" s="5"/>
      <c r="O1467" s="5"/>
      <c r="P1467" s="5"/>
      <c r="Q1467" s="5"/>
      <c r="R1467" s="5"/>
      <c r="S1467" s="5"/>
      <c r="T1467" s="5"/>
      <c r="U1467" s="5"/>
      <c r="V1467" s="5"/>
      <c r="W1467" s="5"/>
      <c r="X1467" s="5"/>
      <c r="Y1467" s="5"/>
      <c r="Z1467" s="5"/>
      <c r="AA1467" s="5"/>
      <c r="AB1467" s="6"/>
      <c r="AC1467" s="6"/>
      <c r="AD1467" s="6"/>
      <c r="AE1467" s="6"/>
      <c r="AF1467" s="6"/>
      <c r="AG1467" s="6"/>
      <c r="AH1467" s="6"/>
      <c r="AI1467" s="6"/>
      <c r="AJ1467" s="6"/>
      <c r="AK1467" s="6"/>
      <c r="AL1467" s="6"/>
      <c r="AM1467" s="6"/>
      <c r="AN1467" s="6"/>
      <c r="AO1467" s="6"/>
      <c r="AP1467" s="6"/>
      <c r="AQ1467" s="6"/>
      <c r="AR1467" s="6"/>
      <c r="AS1467" s="6"/>
      <c r="AT1467" s="6"/>
      <c r="AU1467" s="6"/>
      <c r="AV1467" s="6"/>
      <c r="AW1467" s="6"/>
      <c r="AX1467" s="6"/>
      <c r="AY1467" s="6"/>
      <c r="AZ1467" s="6"/>
      <c r="BA1467" s="6"/>
      <c r="BB1467" s="6"/>
      <c r="BC1467" s="6"/>
      <c r="BD1467" s="6"/>
      <c r="BE1467" s="6"/>
      <c r="BF1467" s="6"/>
      <c r="BG1467" s="6"/>
      <c r="BH1467" s="6"/>
      <c r="BI1467" s="6"/>
      <c r="BJ1467" s="6"/>
      <c r="BK1467" s="6"/>
      <c r="BL1467" s="6"/>
      <c r="BM1467" s="6"/>
      <c r="BN1467" s="6"/>
      <c r="BO1467" s="6"/>
      <c r="BP1467" s="6"/>
      <c r="BQ1467" s="6"/>
      <c r="BR1467" s="6"/>
      <c r="BS1467" s="6"/>
      <c r="BT1467" s="6"/>
      <c r="BU1467" s="6"/>
      <c r="BV1467" s="6"/>
      <c r="BW1467" s="6"/>
      <c r="BX1467" s="5"/>
      <c r="BY1467" s="7"/>
      <c r="BZ1467" s="7"/>
      <c r="CA1467" s="7"/>
      <c r="CB1467" s="7"/>
      <c r="CC1467" s="874"/>
    </row>
    <row r="1468" spans="1:81" s="400" customFormat="1" ht="14.25" customHeight="1" x14ac:dyDescent="0.25">
      <c r="A1468" s="5"/>
      <c r="B1468" s="5"/>
      <c r="C1468" s="5"/>
      <c r="D1468" s="5"/>
      <c r="E1468" s="5"/>
      <c r="F1468" s="5"/>
      <c r="G1468" s="5"/>
      <c r="H1468" s="5"/>
      <c r="I1468" s="5"/>
      <c r="J1468" s="5"/>
      <c r="K1468" s="5"/>
      <c r="L1468" s="5"/>
      <c r="M1468" s="5"/>
      <c r="N1468" s="5"/>
      <c r="O1468" s="5"/>
      <c r="P1468" s="5"/>
      <c r="Q1468" s="5"/>
      <c r="R1468" s="5"/>
      <c r="S1468" s="5"/>
      <c r="T1468" s="5"/>
      <c r="U1468" s="5"/>
      <c r="V1468" s="5"/>
      <c r="W1468" s="5"/>
      <c r="X1468" s="5"/>
      <c r="Y1468" s="5"/>
      <c r="Z1468" s="5"/>
      <c r="AA1468" s="5"/>
      <c r="AB1468" s="6"/>
      <c r="AC1468" s="6"/>
      <c r="AD1468" s="6"/>
      <c r="AE1468" s="6"/>
      <c r="AF1468" s="6"/>
      <c r="AG1468" s="6"/>
      <c r="AH1468" s="6"/>
      <c r="AI1468" s="6"/>
      <c r="AJ1468" s="6"/>
      <c r="AK1468" s="6"/>
      <c r="AL1468" s="6"/>
      <c r="AM1468" s="6"/>
      <c r="AN1468" s="6"/>
      <c r="AO1468" s="6"/>
      <c r="AP1468" s="6"/>
      <c r="AQ1468" s="6"/>
      <c r="AR1468" s="6"/>
      <c r="AS1468" s="6"/>
      <c r="AT1468" s="6"/>
      <c r="AU1468" s="6"/>
      <c r="AV1468" s="6"/>
      <c r="AW1468" s="6"/>
      <c r="AX1468" s="6"/>
      <c r="AY1468" s="6"/>
      <c r="AZ1468" s="6"/>
      <c r="BA1468" s="6"/>
      <c r="BB1468" s="6"/>
      <c r="BC1468" s="6"/>
      <c r="BD1468" s="6"/>
      <c r="BE1468" s="6"/>
      <c r="BF1468" s="6"/>
      <c r="BG1468" s="6"/>
      <c r="BH1468" s="6"/>
      <c r="BI1468" s="6"/>
      <c r="BJ1468" s="6"/>
      <c r="BK1468" s="6"/>
      <c r="BL1468" s="6"/>
      <c r="BM1468" s="6"/>
      <c r="BN1468" s="6"/>
      <c r="BO1468" s="6"/>
      <c r="BP1468" s="6"/>
      <c r="BQ1468" s="6"/>
      <c r="BR1468" s="6"/>
      <c r="BS1468" s="6"/>
      <c r="BT1468" s="6"/>
      <c r="BU1468" s="6"/>
      <c r="BV1468" s="6"/>
      <c r="BW1468" s="6"/>
      <c r="BX1468" s="5"/>
      <c r="BY1468" s="7"/>
      <c r="BZ1468" s="7"/>
      <c r="CA1468" s="7"/>
      <c r="CB1468" s="7"/>
      <c r="CC1468" s="874"/>
    </row>
    <row r="1469" spans="1:81" s="400" customFormat="1" ht="14.25" customHeight="1" x14ac:dyDescent="0.25">
      <c r="A1469" s="5"/>
      <c r="B1469" s="5"/>
      <c r="C1469" s="5"/>
      <c r="D1469" s="5"/>
      <c r="E1469" s="5"/>
      <c r="F1469" s="5"/>
      <c r="G1469" s="5"/>
      <c r="H1469" s="5"/>
      <c r="I1469" s="5"/>
      <c r="J1469" s="5"/>
      <c r="K1469" s="5"/>
      <c r="L1469" s="5"/>
      <c r="M1469" s="5"/>
      <c r="N1469" s="5"/>
      <c r="O1469" s="5"/>
      <c r="P1469" s="5"/>
      <c r="Q1469" s="5"/>
      <c r="R1469" s="5"/>
      <c r="S1469" s="5"/>
      <c r="T1469" s="5"/>
      <c r="U1469" s="5"/>
      <c r="V1469" s="5"/>
      <c r="W1469" s="5"/>
      <c r="X1469" s="5"/>
      <c r="Y1469" s="5"/>
      <c r="Z1469" s="5"/>
      <c r="AA1469" s="5"/>
      <c r="AB1469" s="6"/>
      <c r="AC1469" s="6"/>
      <c r="AD1469" s="6"/>
      <c r="AE1469" s="6"/>
      <c r="AF1469" s="6"/>
      <c r="AG1469" s="6"/>
      <c r="AH1469" s="6"/>
      <c r="AI1469" s="6"/>
      <c r="AJ1469" s="6"/>
      <c r="AK1469" s="6"/>
      <c r="AL1469" s="6"/>
      <c r="AM1469" s="6"/>
      <c r="AN1469" s="6"/>
      <c r="AO1469" s="6"/>
      <c r="AP1469" s="6"/>
      <c r="AQ1469" s="6"/>
      <c r="AR1469" s="6"/>
      <c r="AS1469" s="6"/>
      <c r="AT1469" s="6"/>
      <c r="AU1469" s="6"/>
      <c r="AV1469" s="6"/>
      <c r="AW1469" s="6"/>
      <c r="AX1469" s="6"/>
      <c r="AY1469" s="6"/>
      <c r="AZ1469" s="6"/>
      <c r="BA1469" s="6"/>
      <c r="BB1469" s="6"/>
      <c r="BC1469" s="6"/>
      <c r="BD1469" s="6"/>
      <c r="BE1469" s="6"/>
      <c r="BF1469" s="6"/>
      <c r="BG1469" s="6"/>
      <c r="BH1469" s="6"/>
      <c r="BI1469" s="6"/>
      <c r="BJ1469" s="6"/>
      <c r="BK1469" s="6"/>
      <c r="BL1469" s="6"/>
      <c r="BM1469" s="6"/>
      <c r="BN1469" s="6"/>
      <c r="BO1469" s="6"/>
      <c r="BP1469" s="6"/>
      <c r="BQ1469" s="6"/>
      <c r="BR1469" s="6"/>
      <c r="BS1469" s="6"/>
      <c r="BT1469" s="6"/>
      <c r="BU1469" s="6"/>
      <c r="BV1469" s="6"/>
      <c r="BW1469" s="6"/>
      <c r="BX1469" s="5"/>
      <c r="BY1469" s="7"/>
      <c r="BZ1469" s="7"/>
      <c r="CA1469" s="7"/>
      <c r="CB1469" s="7"/>
      <c r="CC1469" s="874"/>
    </row>
    <row r="1470" spans="1:81" s="400" customFormat="1" ht="14.25" customHeight="1" x14ac:dyDescent="0.25">
      <c r="A1470" s="5"/>
      <c r="B1470" s="5"/>
      <c r="C1470" s="5"/>
      <c r="D1470" s="5"/>
      <c r="E1470" s="5"/>
      <c r="F1470" s="5"/>
      <c r="G1470" s="5"/>
      <c r="H1470" s="5"/>
      <c r="I1470" s="5"/>
      <c r="J1470" s="5"/>
      <c r="K1470" s="5"/>
      <c r="L1470" s="5"/>
      <c r="M1470" s="5"/>
      <c r="N1470" s="5"/>
      <c r="O1470" s="5"/>
      <c r="P1470" s="5"/>
      <c r="Q1470" s="5"/>
      <c r="R1470" s="5"/>
      <c r="S1470" s="5"/>
      <c r="T1470" s="5"/>
      <c r="U1470" s="5"/>
      <c r="V1470" s="5"/>
      <c r="W1470" s="5"/>
      <c r="X1470" s="5"/>
      <c r="Y1470" s="5"/>
      <c r="Z1470" s="5"/>
      <c r="AA1470" s="5"/>
      <c r="AB1470" s="6"/>
      <c r="AC1470" s="6"/>
      <c r="AD1470" s="6"/>
      <c r="AE1470" s="6"/>
      <c r="AF1470" s="6"/>
      <c r="AG1470" s="6"/>
      <c r="AH1470" s="6"/>
      <c r="AI1470" s="6"/>
      <c r="AJ1470" s="6"/>
      <c r="AK1470" s="6"/>
      <c r="AL1470" s="6"/>
      <c r="AM1470" s="6"/>
      <c r="AN1470" s="6"/>
      <c r="AO1470" s="6"/>
      <c r="AP1470" s="6"/>
      <c r="AQ1470" s="6"/>
      <c r="AR1470" s="6"/>
      <c r="AS1470" s="6"/>
      <c r="AT1470" s="6"/>
      <c r="AU1470" s="6"/>
      <c r="AV1470" s="6"/>
      <c r="AW1470" s="6"/>
      <c r="AX1470" s="6"/>
      <c r="AY1470" s="6"/>
      <c r="AZ1470" s="6"/>
      <c r="BA1470" s="6"/>
      <c r="BB1470" s="6"/>
      <c r="BC1470" s="6"/>
      <c r="BD1470" s="6"/>
      <c r="BE1470" s="6"/>
      <c r="BF1470" s="6"/>
      <c r="BG1470" s="6"/>
      <c r="BH1470" s="6"/>
      <c r="BI1470" s="6"/>
      <c r="BJ1470" s="6"/>
      <c r="BK1470" s="6"/>
      <c r="BL1470" s="6"/>
      <c r="BM1470" s="6"/>
      <c r="BN1470" s="6"/>
      <c r="BO1470" s="6"/>
      <c r="BP1470" s="6"/>
      <c r="BQ1470" s="6"/>
      <c r="BR1470" s="6"/>
      <c r="BS1470" s="6"/>
      <c r="BT1470" s="6"/>
      <c r="BU1470" s="6"/>
      <c r="BV1470" s="6"/>
      <c r="BW1470" s="6"/>
      <c r="BX1470" s="5"/>
      <c r="BY1470" s="7"/>
      <c r="BZ1470" s="7"/>
      <c r="CA1470" s="7"/>
      <c r="CB1470" s="7"/>
      <c r="CC1470" s="874"/>
    </row>
    <row r="1471" spans="1:81" s="400" customFormat="1" ht="14.25" customHeight="1" x14ac:dyDescent="0.25">
      <c r="A1471" s="5"/>
      <c r="B1471" s="5"/>
      <c r="C1471" s="5"/>
      <c r="D1471" s="5"/>
      <c r="E1471" s="5"/>
      <c r="F1471" s="5"/>
      <c r="G1471" s="5"/>
      <c r="H1471" s="5"/>
      <c r="I1471" s="5"/>
      <c r="J1471" s="5"/>
      <c r="K1471" s="5"/>
      <c r="L1471" s="5"/>
      <c r="M1471" s="5"/>
      <c r="N1471" s="5"/>
      <c r="O1471" s="5"/>
      <c r="P1471" s="5"/>
      <c r="Q1471" s="5"/>
      <c r="R1471" s="5"/>
      <c r="S1471" s="5"/>
      <c r="T1471" s="5"/>
      <c r="U1471" s="5"/>
      <c r="V1471" s="5"/>
      <c r="W1471" s="5"/>
      <c r="X1471" s="5"/>
      <c r="Y1471" s="5"/>
      <c r="Z1471" s="5"/>
      <c r="AA1471" s="5"/>
      <c r="AB1471" s="6"/>
      <c r="AC1471" s="6"/>
      <c r="AD1471" s="6"/>
      <c r="AE1471" s="6"/>
      <c r="AF1471" s="6"/>
      <c r="AG1471" s="6"/>
      <c r="AH1471" s="6"/>
      <c r="AI1471" s="6"/>
      <c r="AJ1471" s="6"/>
      <c r="AK1471" s="6"/>
      <c r="AL1471" s="6"/>
      <c r="AM1471" s="6"/>
      <c r="AN1471" s="6"/>
      <c r="AO1471" s="6"/>
      <c r="AP1471" s="6"/>
      <c r="AQ1471" s="6"/>
      <c r="AR1471" s="6"/>
      <c r="AS1471" s="6"/>
      <c r="AT1471" s="6"/>
      <c r="AU1471" s="6"/>
      <c r="AV1471" s="6"/>
      <c r="AW1471" s="6"/>
      <c r="AX1471" s="6"/>
      <c r="AY1471" s="6"/>
      <c r="AZ1471" s="6"/>
      <c r="BA1471" s="6"/>
      <c r="BB1471" s="6"/>
      <c r="BC1471" s="6"/>
      <c r="BD1471" s="6"/>
      <c r="BE1471" s="6"/>
      <c r="BF1471" s="6"/>
      <c r="BG1471" s="6"/>
      <c r="BH1471" s="6"/>
      <c r="BI1471" s="6"/>
      <c r="BJ1471" s="6"/>
      <c r="BK1471" s="6"/>
      <c r="BL1471" s="6"/>
      <c r="BM1471" s="6"/>
      <c r="BN1471" s="6"/>
      <c r="BO1471" s="6"/>
      <c r="BP1471" s="6"/>
      <c r="BQ1471" s="6"/>
      <c r="BR1471" s="6"/>
      <c r="BS1471" s="6"/>
      <c r="BT1471" s="6"/>
      <c r="BU1471" s="6"/>
      <c r="BV1471" s="6"/>
      <c r="BW1471" s="6"/>
      <c r="BX1471" s="5"/>
      <c r="BY1471" s="7"/>
      <c r="BZ1471" s="7"/>
      <c r="CA1471" s="7"/>
      <c r="CB1471" s="7"/>
      <c r="CC1471" s="874"/>
    </row>
    <row r="1472" spans="1:81" s="400" customFormat="1" ht="14.25" customHeight="1" x14ac:dyDescent="0.25">
      <c r="A1472" s="5"/>
      <c r="B1472" s="5"/>
      <c r="C1472" s="5"/>
      <c r="D1472" s="5"/>
      <c r="E1472" s="5"/>
      <c r="F1472" s="5"/>
      <c r="G1472" s="5"/>
      <c r="H1472" s="5"/>
      <c r="I1472" s="5"/>
      <c r="J1472" s="5"/>
      <c r="K1472" s="5"/>
      <c r="L1472" s="5"/>
      <c r="M1472" s="5"/>
      <c r="N1472" s="5"/>
      <c r="O1472" s="5"/>
      <c r="P1472" s="5"/>
      <c r="Q1472" s="5"/>
      <c r="R1472" s="5"/>
      <c r="S1472" s="5"/>
      <c r="T1472" s="5"/>
      <c r="U1472" s="5"/>
      <c r="V1472" s="5"/>
      <c r="W1472" s="5"/>
      <c r="X1472" s="5"/>
      <c r="Y1472" s="5"/>
      <c r="Z1472" s="5"/>
      <c r="AA1472" s="5"/>
      <c r="AB1472" s="6"/>
      <c r="AC1472" s="6"/>
      <c r="AD1472" s="6"/>
      <c r="AE1472" s="6"/>
      <c r="AF1472" s="6"/>
      <c r="AG1472" s="6"/>
      <c r="AH1472" s="6"/>
      <c r="AI1472" s="6"/>
      <c r="AJ1472" s="6"/>
      <c r="AK1472" s="6"/>
      <c r="AL1472" s="6"/>
      <c r="AM1472" s="6"/>
      <c r="AN1472" s="6"/>
      <c r="AO1472" s="6"/>
      <c r="AP1472" s="6"/>
      <c r="AQ1472" s="6"/>
      <c r="AR1472" s="6"/>
      <c r="AS1472" s="6"/>
      <c r="AT1472" s="6"/>
      <c r="AU1472" s="6"/>
      <c r="AV1472" s="6"/>
      <c r="AW1472" s="6"/>
      <c r="AX1472" s="6"/>
      <c r="AY1472" s="6"/>
      <c r="AZ1472" s="6"/>
      <c r="BA1472" s="6"/>
      <c r="BB1472" s="6"/>
      <c r="BC1472" s="6"/>
      <c r="BD1472" s="6"/>
      <c r="BE1472" s="6"/>
      <c r="BF1472" s="6"/>
      <c r="BG1472" s="6"/>
      <c r="BH1472" s="6"/>
      <c r="BI1472" s="6"/>
      <c r="BJ1472" s="6"/>
      <c r="BK1472" s="6"/>
      <c r="BL1472" s="6"/>
      <c r="BM1472" s="6"/>
      <c r="BN1472" s="6"/>
      <c r="BO1472" s="6"/>
      <c r="BP1472" s="6"/>
      <c r="BQ1472" s="6"/>
      <c r="BR1472" s="6"/>
      <c r="BS1472" s="6"/>
      <c r="BT1472" s="6"/>
      <c r="BU1472" s="6"/>
      <c r="BV1472" s="6"/>
      <c r="BW1472" s="6"/>
      <c r="BX1472" s="5"/>
      <c r="BY1472" s="7"/>
      <c r="BZ1472" s="7"/>
      <c r="CA1472" s="7"/>
      <c r="CB1472" s="7"/>
      <c r="CC1472" s="874"/>
    </row>
    <row r="1473" spans="1:81" s="400" customFormat="1" ht="14.25" customHeight="1" x14ac:dyDescent="0.25">
      <c r="A1473" s="5"/>
      <c r="B1473" s="5"/>
      <c r="C1473" s="5"/>
      <c r="D1473" s="5"/>
      <c r="E1473" s="5"/>
      <c r="F1473" s="5"/>
      <c r="G1473" s="5"/>
      <c r="H1473" s="5"/>
      <c r="I1473" s="5"/>
      <c r="J1473" s="5"/>
      <c r="K1473" s="5"/>
      <c r="L1473" s="5"/>
      <c r="M1473" s="5"/>
      <c r="N1473" s="5"/>
      <c r="O1473" s="5"/>
      <c r="P1473" s="5"/>
      <c r="Q1473" s="5"/>
      <c r="R1473" s="5"/>
      <c r="S1473" s="5"/>
      <c r="T1473" s="5"/>
      <c r="U1473" s="5"/>
      <c r="V1473" s="5"/>
      <c r="W1473" s="5"/>
      <c r="X1473" s="5"/>
      <c r="Y1473" s="5"/>
      <c r="Z1473" s="5"/>
      <c r="AA1473" s="5"/>
      <c r="AB1473" s="6"/>
      <c r="AC1473" s="6"/>
      <c r="AD1473" s="6"/>
      <c r="AE1473" s="6"/>
      <c r="AF1473" s="6"/>
      <c r="AG1473" s="6"/>
      <c r="AH1473" s="6"/>
      <c r="AI1473" s="6"/>
      <c r="AJ1473" s="6"/>
      <c r="AK1473" s="6"/>
      <c r="AL1473" s="6"/>
      <c r="AM1473" s="6"/>
      <c r="AN1473" s="6"/>
      <c r="AO1473" s="6"/>
      <c r="AP1473" s="6"/>
      <c r="AQ1473" s="6"/>
      <c r="AR1473" s="6"/>
      <c r="AS1473" s="6"/>
      <c r="AT1473" s="6"/>
      <c r="AU1473" s="6"/>
      <c r="AV1473" s="6"/>
      <c r="AW1473" s="6"/>
      <c r="AX1473" s="6"/>
      <c r="AY1473" s="6"/>
      <c r="AZ1473" s="6"/>
      <c r="BA1473" s="6"/>
      <c r="BB1473" s="6"/>
      <c r="BC1473" s="6"/>
      <c r="BD1473" s="6"/>
      <c r="BE1473" s="6"/>
      <c r="BF1473" s="6"/>
      <c r="BG1473" s="6"/>
      <c r="BH1473" s="6"/>
      <c r="BI1473" s="6"/>
      <c r="BJ1473" s="6"/>
      <c r="BK1473" s="6"/>
      <c r="BL1473" s="6"/>
      <c r="BM1473" s="6"/>
      <c r="BN1473" s="6"/>
      <c r="BO1473" s="6"/>
      <c r="BP1473" s="6"/>
      <c r="BQ1473" s="6"/>
      <c r="BR1473" s="6"/>
      <c r="BS1473" s="6"/>
      <c r="BT1473" s="6"/>
      <c r="BU1473" s="6"/>
      <c r="BV1473" s="6"/>
      <c r="BW1473" s="6"/>
      <c r="BX1473" s="5"/>
      <c r="BY1473" s="7"/>
      <c r="BZ1473" s="7"/>
      <c r="CA1473" s="7"/>
      <c r="CB1473" s="7"/>
      <c r="CC1473" s="874"/>
    </row>
    <row r="1474" spans="1:81" s="400" customFormat="1" ht="14.25" customHeight="1" x14ac:dyDescent="0.25">
      <c r="A1474" s="5"/>
      <c r="B1474" s="5"/>
      <c r="C1474" s="5"/>
      <c r="D1474" s="5"/>
      <c r="E1474" s="5"/>
      <c r="F1474" s="5"/>
      <c r="G1474" s="5"/>
      <c r="H1474" s="5"/>
      <c r="I1474" s="5"/>
      <c r="J1474" s="5"/>
      <c r="K1474" s="5"/>
      <c r="L1474" s="5"/>
      <c r="M1474" s="5"/>
      <c r="N1474" s="5"/>
      <c r="O1474" s="5"/>
      <c r="P1474" s="5"/>
      <c r="Q1474" s="5"/>
      <c r="R1474" s="5"/>
      <c r="S1474" s="5"/>
      <c r="T1474" s="5"/>
      <c r="U1474" s="5"/>
      <c r="V1474" s="5"/>
      <c r="W1474" s="5"/>
      <c r="X1474" s="5"/>
      <c r="Y1474" s="5"/>
      <c r="Z1474" s="5"/>
      <c r="AA1474" s="5"/>
      <c r="AB1474" s="6"/>
      <c r="AC1474" s="6"/>
      <c r="AD1474" s="6"/>
      <c r="AE1474" s="6"/>
      <c r="AF1474" s="6"/>
      <c r="AG1474" s="6"/>
      <c r="AH1474" s="6"/>
      <c r="AI1474" s="6"/>
      <c r="AJ1474" s="6"/>
      <c r="AK1474" s="6"/>
      <c r="AL1474" s="6"/>
      <c r="AM1474" s="6"/>
      <c r="AN1474" s="6"/>
      <c r="AO1474" s="6"/>
      <c r="AP1474" s="6"/>
      <c r="AQ1474" s="6"/>
      <c r="AR1474" s="6"/>
      <c r="AS1474" s="6"/>
      <c r="AT1474" s="6"/>
      <c r="AU1474" s="6"/>
      <c r="AV1474" s="6"/>
      <c r="AW1474" s="6"/>
      <c r="AX1474" s="6"/>
      <c r="AY1474" s="6"/>
      <c r="AZ1474" s="6"/>
      <c r="BA1474" s="6"/>
      <c r="BB1474" s="6"/>
      <c r="BC1474" s="6"/>
      <c r="BD1474" s="6"/>
      <c r="BE1474" s="6"/>
      <c r="BF1474" s="6"/>
      <c r="BG1474" s="6"/>
      <c r="BH1474" s="6"/>
      <c r="BI1474" s="6"/>
      <c r="BJ1474" s="6"/>
      <c r="BK1474" s="6"/>
      <c r="BL1474" s="6"/>
      <c r="BM1474" s="6"/>
      <c r="BN1474" s="6"/>
      <c r="BO1474" s="6"/>
      <c r="BP1474" s="6"/>
      <c r="BQ1474" s="6"/>
      <c r="BR1474" s="6"/>
      <c r="BS1474" s="6"/>
      <c r="BT1474" s="6"/>
      <c r="BU1474" s="6"/>
      <c r="BV1474" s="6"/>
      <c r="BW1474" s="6"/>
      <c r="BX1474" s="5"/>
      <c r="BY1474" s="7"/>
      <c r="BZ1474" s="7"/>
      <c r="CA1474" s="7"/>
      <c r="CB1474" s="7"/>
      <c r="CC1474" s="874"/>
    </row>
    <row r="1475" spans="1:81" s="400" customFormat="1" ht="14.25" customHeight="1" x14ac:dyDescent="0.25">
      <c r="A1475" s="5"/>
      <c r="B1475" s="5"/>
      <c r="C1475" s="5"/>
      <c r="D1475" s="5"/>
      <c r="E1475" s="5"/>
      <c r="F1475" s="5"/>
      <c r="G1475" s="5"/>
      <c r="H1475" s="5"/>
      <c r="I1475" s="5"/>
      <c r="J1475" s="5"/>
      <c r="K1475" s="5"/>
      <c r="L1475" s="5"/>
      <c r="M1475" s="5"/>
      <c r="N1475" s="5"/>
      <c r="O1475" s="5"/>
      <c r="P1475" s="5"/>
      <c r="Q1475" s="5"/>
      <c r="R1475" s="5"/>
      <c r="S1475" s="5"/>
      <c r="T1475" s="5"/>
      <c r="U1475" s="5"/>
      <c r="V1475" s="5"/>
      <c r="W1475" s="5"/>
      <c r="X1475" s="5"/>
      <c r="Y1475" s="5"/>
      <c r="Z1475" s="5"/>
      <c r="AA1475" s="5"/>
      <c r="AB1475" s="6"/>
      <c r="AC1475" s="6"/>
      <c r="AD1475" s="6"/>
      <c r="AE1475" s="6"/>
      <c r="AF1475" s="6"/>
      <c r="AG1475" s="6"/>
      <c r="AH1475" s="6"/>
      <c r="AI1475" s="6"/>
      <c r="AJ1475" s="6"/>
      <c r="AK1475" s="6"/>
      <c r="AL1475" s="6"/>
      <c r="AM1475" s="6"/>
      <c r="AN1475" s="6"/>
      <c r="AO1475" s="6"/>
      <c r="AP1475" s="6"/>
      <c r="AQ1475" s="6"/>
      <c r="AR1475" s="6"/>
      <c r="AS1475" s="6"/>
      <c r="AT1475" s="6"/>
      <c r="AU1475" s="6"/>
      <c r="AV1475" s="6"/>
      <c r="AW1475" s="6"/>
      <c r="AX1475" s="6"/>
      <c r="AY1475" s="6"/>
      <c r="AZ1475" s="6"/>
      <c r="BA1475" s="6"/>
      <c r="BB1475" s="6"/>
      <c r="BC1475" s="6"/>
      <c r="BD1475" s="6"/>
      <c r="BE1475" s="6"/>
      <c r="BF1475" s="6"/>
      <c r="BG1475" s="6"/>
      <c r="BH1475" s="6"/>
      <c r="BI1475" s="6"/>
      <c r="BJ1475" s="6"/>
      <c r="BK1475" s="6"/>
      <c r="BL1475" s="6"/>
      <c r="BM1475" s="6"/>
      <c r="BN1475" s="6"/>
      <c r="BO1475" s="6"/>
      <c r="BP1475" s="6"/>
      <c r="BQ1475" s="6"/>
      <c r="BR1475" s="6"/>
      <c r="BS1475" s="6"/>
      <c r="BT1475" s="6"/>
      <c r="BU1475" s="6"/>
      <c r="BV1475" s="6"/>
      <c r="BW1475" s="6"/>
      <c r="BX1475" s="5"/>
      <c r="BY1475" s="7"/>
      <c r="BZ1475" s="7"/>
      <c r="CA1475" s="7"/>
      <c r="CB1475" s="7"/>
      <c r="CC1475" s="874"/>
    </row>
    <row r="1476" spans="1:81" s="400" customFormat="1" ht="14.25" customHeight="1" x14ac:dyDescent="0.25">
      <c r="A1476" s="5"/>
      <c r="B1476" s="5"/>
      <c r="C1476" s="5"/>
      <c r="D1476" s="5"/>
      <c r="E1476" s="5"/>
      <c r="F1476" s="5"/>
      <c r="G1476" s="5"/>
      <c r="H1476" s="5"/>
      <c r="I1476" s="5"/>
      <c r="J1476" s="5"/>
      <c r="K1476" s="5"/>
      <c r="L1476" s="5"/>
      <c r="M1476" s="5"/>
      <c r="N1476" s="5"/>
      <c r="O1476" s="5"/>
      <c r="P1476" s="5"/>
      <c r="Q1476" s="5"/>
      <c r="R1476" s="5"/>
      <c r="S1476" s="5"/>
      <c r="T1476" s="5"/>
      <c r="U1476" s="5"/>
      <c r="V1476" s="5"/>
      <c r="W1476" s="5"/>
      <c r="X1476" s="5"/>
      <c r="Y1476" s="5"/>
      <c r="Z1476" s="5"/>
      <c r="AA1476" s="5"/>
      <c r="AB1476" s="6"/>
      <c r="AC1476" s="6"/>
      <c r="AD1476" s="6"/>
      <c r="AE1476" s="6"/>
      <c r="AF1476" s="6"/>
      <c r="AG1476" s="6"/>
      <c r="AH1476" s="6"/>
      <c r="AI1476" s="6"/>
      <c r="AJ1476" s="6"/>
      <c r="AK1476" s="6"/>
      <c r="AL1476" s="6"/>
      <c r="AM1476" s="6"/>
      <c r="AN1476" s="6"/>
      <c r="AO1476" s="6"/>
      <c r="AP1476" s="6"/>
      <c r="AQ1476" s="6"/>
      <c r="AR1476" s="6"/>
      <c r="AS1476" s="6"/>
      <c r="AT1476" s="6"/>
      <c r="AU1476" s="6"/>
      <c r="AV1476" s="6"/>
      <c r="AW1476" s="6"/>
      <c r="AX1476" s="6"/>
      <c r="AY1476" s="6"/>
      <c r="AZ1476" s="6"/>
      <c r="BA1476" s="6"/>
      <c r="BB1476" s="6"/>
      <c r="BC1476" s="6"/>
      <c r="BD1476" s="6"/>
      <c r="BE1476" s="6"/>
      <c r="BF1476" s="6"/>
      <c r="BG1476" s="6"/>
      <c r="BH1476" s="6"/>
      <c r="BI1476" s="6"/>
      <c r="BJ1476" s="6"/>
      <c r="BK1476" s="6"/>
      <c r="BL1476" s="6"/>
      <c r="BM1476" s="6"/>
      <c r="BN1476" s="6"/>
      <c r="BO1476" s="6"/>
      <c r="BP1476" s="6"/>
      <c r="BQ1476" s="6"/>
      <c r="BR1476" s="6"/>
      <c r="BS1476" s="6"/>
      <c r="BT1476" s="6"/>
      <c r="BU1476" s="6"/>
      <c r="BV1476" s="6"/>
      <c r="BW1476" s="6"/>
      <c r="BX1476" s="5"/>
      <c r="BY1476" s="7"/>
      <c r="BZ1476" s="7"/>
      <c r="CA1476" s="7"/>
      <c r="CB1476" s="7"/>
      <c r="CC1476" s="874"/>
    </row>
    <row r="1477" spans="1:81" s="400" customFormat="1" ht="14.25" customHeight="1" x14ac:dyDescent="0.25">
      <c r="A1477" s="5"/>
      <c r="B1477" s="5"/>
      <c r="C1477" s="5"/>
      <c r="D1477" s="5"/>
      <c r="E1477" s="5"/>
      <c r="F1477" s="5"/>
      <c r="G1477" s="5"/>
      <c r="H1477" s="5"/>
      <c r="I1477" s="5"/>
      <c r="J1477" s="5"/>
      <c r="K1477" s="5"/>
      <c r="L1477" s="5"/>
      <c r="M1477" s="5"/>
      <c r="N1477" s="5"/>
      <c r="O1477" s="5"/>
      <c r="P1477" s="5"/>
      <c r="Q1477" s="5"/>
      <c r="R1477" s="5"/>
      <c r="S1477" s="5"/>
      <c r="T1477" s="5"/>
      <c r="U1477" s="5"/>
      <c r="V1477" s="5"/>
      <c r="W1477" s="5"/>
      <c r="X1477" s="5"/>
      <c r="Y1477" s="5"/>
      <c r="Z1477" s="5"/>
      <c r="AA1477" s="5"/>
      <c r="AB1477" s="6"/>
      <c r="AC1477" s="6"/>
      <c r="AD1477" s="6"/>
      <c r="AE1477" s="6"/>
      <c r="AF1477" s="6"/>
      <c r="AG1477" s="6"/>
      <c r="AH1477" s="6"/>
      <c r="AI1477" s="6"/>
      <c r="AJ1477" s="6"/>
      <c r="AK1477" s="6"/>
      <c r="AL1477" s="6"/>
      <c r="AM1477" s="6"/>
      <c r="AN1477" s="6"/>
      <c r="AO1477" s="6"/>
      <c r="AP1477" s="6"/>
      <c r="AQ1477" s="6"/>
      <c r="AR1477" s="6"/>
      <c r="AS1477" s="6"/>
      <c r="AT1477" s="6"/>
      <c r="AU1477" s="6"/>
      <c r="AV1477" s="6"/>
      <c r="AW1477" s="6"/>
      <c r="AX1477" s="6"/>
      <c r="AY1477" s="6"/>
      <c r="AZ1477" s="6"/>
      <c r="BA1477" s="6"/>
      <c r="BB1477" s="6"/>
      <c r="BC1477" s="6"/>
      <c r="BD1477" s="6"/>
      <c r="BE1477" s="6"/>
      <c r="BF1477" s="6"/>
      <c r="BG1477" s="6"/>
      <c r="BH1477" s="6"/>
      <c r="BI1477" s="6"/>
      <c r="BJ1477" s="6"/>
      <c r="BK1477" s="6"/>
      <c r="BL1477" s="6"/>
      <c r="BM1477" s="6"/>
      <c r="BN1477" s="6"/>
      <c r="BO1477" s="6"/>
      <c r="BP1477" s="6"/>
      <c r="BQ1477" s="6"/>
      <c r="BR1477" s="6"/>
      <c r="BS1477" s="6"/>
      <c r="BT1477" s="6"/>
      <c r="BU1477" s="6"/>
      <c r="BV1477" s="6"/>
      <c r="BW1477" s="6"/>
      <c r="BX1477" s="5"/>
      <c r="BY1477" s="7"/>
      <c r="BZ1477" s="7"/>
      <c r="CA1477" s="7"/>
      <c r="CB1477" s="7"/>
      <c r="CC1477" s="874"/>
    </row>
    <row r="1478" spans="1:81" s="400" customFormat="1" ht="14.25" customHeight="1" x14ac:dyDescent="0.25">
      <c r="A1478" s="5"/>
      <c r="B1478" s="5"/>
      <c r="C1478" s="5"/>
      <c r="D1478" s="5"/>
      <c r="E1478" s="5"/>
      <c r="F1478" s="5"/>
      <c r="G1478" s="5"/>
      <c r="H1478" s="5"/>
      <c r="I1478" s="5"/>
      <c r="J1478" s="5"/>
      <c r="K1478" s="5"/>
      <c r="L1478" s="5"/>
      <c r="M1478" s="5"/>
      <c r="N1478" s="5"/>
      <c r="O1478" s="5"/>
      <c r="P1478" s="5"/>
      <c r="Q1478" s="5"/>
      <c r="R1478" s="5"/>
      <c r="S1478" s="5"/>
      <c r="T1478" s="5"/>
      <c r="U1478" s="5"/>
      <c r="V1478" s="5"/>
      <c r="W1478" s="5"/>
      <c r="X1478" s="5"/>
      <c r="Y1478" s="5"/>
      <c r="Z1478" s="5"/>
      <c r="AA1478" s="5"/>
      <c r="AB1478" s="6"/>
      <c r="AC1478" s="6"/>
      <c r="AD1478" s="6"/>
      <c r="AE1478" s="6"/>
      <c r="AF1478" s="6"/>
      <c r="AG1478" s="6"/>
      <c r="AH1478" s="6"/>
      <c r="AI1478" s="6"/>
      <c r="AJ1478" s="6"/>
      <c r="AK1478" s="6"/>
      <c r="AL1478" s="6"/>
      <c r="AM1478" s="6"/>
      <c r="AN1478" s="6"/>
      <c r="AO1478" s="6"/>
      <c r="AP1478" s="6"/>
      <c r="AQ1478" s="6"/>
      <c r="AR1478" s="6"/>
      <c r="AS1478" s="6"/>
      <c r="AT1478" s="6"/>
      <c r="AU1478" s="6"/>
      <c r="AV1478" s="6"/>
      <c r="AW1478" s="6"/>
      <c r="AX1478" s="6"/>
      <c r="AY1478" s="6"/>
      <c r="AZ1478" s="6"/>
      <c r="BA1478" s="6"/>
      <c r="BB1478" s="6"/>
      <c r="BC1478" s="6"/>
      <c r="BD1478" s="6"/>
      <c r="BE1478" s="6"/>
      <c r="BF1478" s="6"/>
      <c r="BG1478" s="6"/>
      <c r="BH1478" s="6"/>
      <c r="BI1478" s="6"/>
      <c r="BJ1478" s="6"/>
      <c r="BK1478" s="6"/>
      <c r="BL1478" s="6"/>
      <c r="BM1478" s="6"/>
      <c r="BN1478" s="6"/>
      <c r="BO1478" s="6"/>
      <c r="BP1478" s="6"/>
      <c r="BQ1478" s="6"/>
      <c r="BR1478" s="6"/>
      <c r="BS1478" s="6"/>
      <c r="BT1478" s="6"/>
      <c r="BU1478" s="6"/>
      <c r="BV1478" s="6"/>
      <c r="BW1478" s="6"/>
      <c r="BX1478" s="5"/>
      <c r="BY1478" s="7"/>
      <c r="BZ1478" s="7"/>
      <c r="CA1478" s="7"/>
      <c r="CB1478" s="7"/>
      <c r="CC1478" s="874"/>
    </row>
    <row r="1479" spans="1:81" s="400" customFormat="1" ht="14.25" customHeight="1" x14ac:dyDescent="0.25">
      <c r="A1479" s="5"/>
      <c r="B1479" s="5"/>
      <c r="C1479" s="5"/>
      <c r="D1479" s="5"/>
      <c r="E1479" s="5"/>
      <c r="F1479" s="5"/>
      <c r="G1479" s="5"/>
      <c r="H1479" s="5"/>
      <c r="I1479" s="5"/>
      <c r="J1479" s="5"/>
      <c r="K1479" s="5"/>
      <c r="L1479" s="5"/>
      <c r="M1479" s="5"/>
      <c r="N1479" s="5"/>
      <c r="O1479" s="5"/>
      <c r="P1479" s="5"/>
      <c r="Q1479" s="5"/>
      <c r="R1479" s="5"/>
      <c r="S1479" s="5"/>
      <c r="T1479" s="5"/>
      <c r="U1479" s="5"/>
      <c r="V1479" s="5"/>
      <c r="W1479" s="5"/>
      <c r="X1479" s="5"/>
      <c r="Y1479" s="5"/>
      <c r="Z1479" s="5"/>
      <c r="AA1479" s="5"/>
      <c r="AB1479" s="6"/>
      <c r="AC1479" s="6"/>
      <c r="AD1479" s="6"/>
      <c r="AE1479" s="6"/>
      <c r="AF1479" s="6"/>
      <c r="AG1479" s="6"/>
      <c r="AH1479" s="6"/>
      <c r="AI1479" s="6"/>
      <c r="AJ1479" s="6"/>
      <c r="AK1479" s="6"/>
      <c r="AL1479" s="6"/>
      <c r="AM1479" s="6"/>
      <c r="AN1479" s="6"/>
      <c r="AO1479" s="6"/>
      <c r="AP1479" s="6"/>
      <c r="AQ1479" s="6"/>
      <c r="AR1479" s="6"/>
      <c r="AS1479" s="6"/>
      <c r="AT1479" s="6"/>
      <c r="AU1479" s="6"/>
      <c r="AV1479" s="6"/>
      <c r="AW1479" s="6"/>
      <c r="AX1479" s="6"/>
      <c r="AY1479" s="6"/>
      <c r="AZ1479" s="6"/>
      <c r="BA1479" s="6"/>
      <c r="BB1479" s="6"/>
      <c r="BC1479" s="6"/>
      <c r="BD1479" s="6"/>
      <c r="BE1479" s="6"/>
      <c r="BF1479" s="6"/>
      <c r="BG1479" s="6"/>
      <c r="BH1479" s="6"/>
      <c r="BI1479" s="6"/>
      <c r="BJ1479" s="6"/>
      <c r="BK1479" s="6"/>
      <c r="BL1479" s="6"/>
      <c r="BM1479" s="6"/>
      <c r="BN1479" s="6"/>
      <c r="BO1479" s="6"/>
      <c r="BP1479" s="6"/>
      <c r="BQ1479" s="6"/>
      <c r="BR1479" s="6"/>
      <c r="BS1479" s="6"/>
      <c r="BT1479" s="6"/>
      <c r="BU1479" s="6"/>
      <c r="BV1479" s="6"/>
      <c r="BW1479" s="6"/>
      <c r="BX1479" s="5"/>
      <c r="BY1479" s="7"/>
      <c r="BZ1479" s="7"/>
      <c r="CA1479" s="7"/>
      <c r="CB1479" s="7"/>
      <c r="CC1479" s="874"/>
    </row>
    <row r="1480" spans="1:81" s="400" customFormat="1" ht="14.25" customHeight="1" x14ac:dyDescent="0.25">
      <c r="A1480" s="5"/>
      <c r="B1480" s="5"/>
      <c r="C1480" s="5"/>
      <c r="D1480" s="5"/>
      <c r="E1480" s="5"/>
      <c r="F1480" s="5"/>
      <c r="G1480" s="5"/>
      <c r="H1480" s="5"/>
      <c r="I1480" s="5"/>
      <c r="J1480" s="5"/>
      <c r="K1480" s="5"/>
      <c r="L1480" s="5"/>
      <c r="M1480" s="5"/>
      <c r="N1480" s="5"/>
      <c r="O1480" s="5"/>
      <c r="P1480" s="5"/>
      <c r="Q1480" s="5"/>
      <c r="R1480" s="5"/>
      <c r="S1480" s="5"/>
      <c r="T1480" s="5"/>
      <c r="U1480" s="5"/>
      <c r="V1480" s="5"/>
      <c r="W1480" s="5"/>
      <c r="X1480" s="5"/>
      <c r="Y1480" s="5"/>
      <c r="Z1480" s="5"/>
      <c r="AA1480" s="5"/>
      <c r="AB1480" s="6"/>
      <c r="AC1480" s="6"/>
      <c r="AD1480" s="6"/>
      <c r="AE1480" s="6"/>
      <c r="AF1480" s="6"/>
      <c r="AG1480" s="6"/>
      <c r="AH1480" s="6"/>
      <c r="AI1480" s="6"/>
      <c r="AJ1480" s="6"/>
      <c r="AK1480" s="6"/>
      <c r="AL1480" s="6"/>
      <c r="AM1480" s="6"/>
      <c r="AN1480" s="6"/>
      <c r="AO1480" s="6"/>
      <c r="AP1480" s="6"/>
      <c r="AQ1480" s="6"/>
      <c r="AR1480" s="6"/>
      <c r="AS1480" s="6"/>
      <c r="AT1480" s="6"/>
      <c r="AU1480" s="6"/>
      <c r="AV1480" s="6"/>
      <c r="AW1480" s="6"/>
      <c r="AX1480" s="6"/>
      <c r="AY1480" s="6"/>
      <c r="AZ1480" s="6"/>
      <c r="BA1480" s="6"/>
      <c r="BB1480" s="6"/>
      <c r="BC1480" s="6"/>
      <c r="BD1480" s="6"/>
      <c r="BE1480" s="6"/>
      <c r="BF1480" s="6"/>
      <c r="BG1480" s="6"/>
      <c r="BH1480" s="6"/>
      <c r="BI1480" s="6"/>
      <c r="BJ1480" s="6"/>
      <c r="BK1480" s="6"/>
      <c r="BL1480" s="6"/>
      <c r="BM1480" s="6"/>
      <c r="BN1480" s="6"/>
      <c r="BO1480" s="6"/>
      <c r="BP1480" s="6"/>
      <c r="BQ1480" s="6"/>
      <c r="BR1480" s="6"/>
      <c r="BS1480" s="6"/>
      <c r="BT1480" s="6"/>
      <c r="BU1480" s="6"/>
      <c r="BV1480" s="6"/>
      <c r="BW1480" s="6"/>
      <c r="BX1480" s="5"/>
      <c r="BY1480" s="7"/>
      <c r="BZ1480" s="7"/>
      <c r="CA1480" s="7"/>
      <c r="CB1480" s="7"/>
      <c r="CC1480" s="874"/>
    </row>
    <row r="1481" spans="1:81" s="400" customFormat="1" ht="14.25" customHeight="1" x14ac:dyDescent="0.25">
      <c r="A1481" s="5"/>
      <c r="B1481" s="5"/>
      <c r="C1481" s="5"/>
      <c r="D1481" s="5"/>
      <c r="E1481" s="5"/>
      <c r="F1481" s="5"/>
      <c r="G1481" s="5"/>
      <c r="H1481" s="5"/>
      <c r="I1481" s="5"/>
      <c r="J1481" s="5"/>
      <c r="K1481" s="5"/>
      <c r="L1481" s="5"/>
      <c r="M1481" s="5"/>
      <c r="N1481" s="5"/>
      <c r="O1481" s="5"/>
      <c r="P1481" s="5"/>
      <c r="Q1481" s="5"/>
      <c r="R1481" s="5"/>
      <c r="S1481" s="5"/>
      <c r="T1481" s="5"/>
      <c r="U1481" s="5"/>
      <c r="V1481" s="5"/>
      <c r="W1481" s="5"/>
      <c r="X1481" s="5"/>
      <c r="Y1481" s="5"/>
      <c r="Z1481" s="5"/>
      <c r="AA1481" s="5"/>
      <c r="AB1481" s="6"/>
      <c r="AC1481" s="6"/>
      <c r="AD1481" s="6"/>
      <c r="AE1481" s="6"/>
      <c r="AF1481" s="6"/>
      <c r="AG1481" s="6"/>
      <c r="AH1481" s="6"/>
      <c r="AI1481" s="6"/>
      <c r="AJ1481" s="6"/>
      <c r="AK1481" s="6"/>
      <c r="AL1481" s="6"/>
      <c r="AM1481" s="6"/>
      <c r="AN1481" s="6"/>
      <c r="AO1481" s="6"/>
      <c r="AP1481" s="6"/>
      <c r="AQ1481" s="6"/>
      <c r="AR1481" s="6"/>
      <c r="AS1481" s="6"/>
      <c r="AT1481" s="6"/>
      <c r="AU1481" s="6"/>
      <c r="AV1481" s="6"/>
      <c r="AW1481" s="6"/>
      <c r="AX1481" s="6"/>
      <c r="AY1481" s="6"/>
      <c r="AZ1481" s="6"/>
      <c r="BA1481" s="6"/>
      <c r="BB1481" s="6"/>
      <c r="BC1481" s="6"/>
      <c r="BD1481" s="6"/>
      <c r="BE1481" s="6"/>
      <c r="BF1481" s="6"/>
      <c r="BG1481" s="6"/>
      <c r="BH1481" s="6"/>
      <c r="BI1481" s="6"/>
      <c r="BJ1481" s="6"/>
      <c r="BK1481" s="6"/>
      <c r="BL1481" s="6"/>
      <c r="BM1481" s="6"/>
      <c r="BN1481" s="6"/>
      <c r="BO1481" s="6"/>
      <c r="BP1481" s="6"/>
      <c r="BQ1481" s="6"/>
      <c r="BR1481" s="6"/>
      <c r="BS1481" s="6"/>
      <c r="BT1481" s="6"/>
      <c r="BU1481" s="6"/>
      <c r="BV1481" s="6"/>
      <c r="BW1481" s="6"/>
      <c r="BX1481" s="5"/>
      <c r="BY1481" s="7"/>
      <c r="BZ1481" s="7"/>
      <c r="CA1481" s="7"/>
      <c r="CB1481" s="7"/>
      <c r="CC1481" s="874"/>
    </row>
    <row r="1482" spans="1:81" s="400" customFormat="1" ht="14.25" customHeight="1" x14ac:dyDescent="0.25">
      <c r="A1482" s="5"/>
      <c r="B1482" s="5"/>
      <c r="C1482" s="5"/>
      <c r="D1482" s="5"/>
      <c r="E1482" s="5"/>
      <c r="F1482" s="5"/>
      <c r="G1482" s="5"/>
      <c r="H1482" s="5"/>
      <c r="I1482" s="5"/>
      <c r="J1482" s="5"/>
      <c r="K1482" s="5"/>
      <c r="L1482" s="5"/>
      <c r="M1482" s="5"/>
      <c r="N1482" s="5"/>
      <c r="O1482" s="5"/>
      <c r="P1482" s="5"/>
      <c r="Q1482" s="5"/>
      <c r="R1482" s="5"/>
      <c r="S1482" s="5"/>
      <c r="T1482" s="5"/>
      <c r="U1482" s="5"/>
      <c r="V1482" s="5"/>
      <c r="W1482" s="5"/>
      <c r="X1482" s="5"/>
      <c r="Y1482" s="5"/>
      <c r="Z1482" s="5"/>
      <c r="AA1482" s="5"/>
      <c r="AB1482" s="6"/>
      <c r="AC1482" s="6"/>
      <c r="AD1482" s="6"/>
      <c r="AE1482" s="6"/>
      <c r="AF1482" s="6"/>
      <c r="AG1482" s="6"/>
      <c r="AH1482" s="6"/>
      <c r="AI1482" s="6"/>
      <c r="AJ1482" s="6"/>
      <c r="AK1482" s="6"/>
      <c r="AL1482" s="6"/>
      <c r="AM1482" s="6"/>
      <c r="AN1482" s="6"/>
      <c r="AO1482" s="6"/>
      <c r="AP1482" s="6"/>
      <c r="AQ1482" s="6"/>
      <c r="AR1482" s="6"/>
      <c r="AS1482" s="6"/>
      <c r="AT1482" s="6"/>
      <c r="AU1482" s="6"/>
      <c r="AV1482" s="6"/>
      <c r="AW1482" s="6"/>
      <c r="AX1482" s="6"/>
      <c r="AY1482" s="6"/>
      <c r="AZ1482" s="6"/>
      <c r="BA1482" s="6"/>
      <c r="BB1482" s="6"/>
      <c r="BC1482" s="6"/>
      <c r="BD1482" s="6"/>
      <c r="BE1482" s="6"/>
      <c r="BF1482" s="6"/>
      <c r="BG1482" s="6"/>
      <c r="BH1482" s="6"/>
      <c r="BI1482" s="6"/>
      <c r="BJ1482" s="6"/>
      <c r="BK1482" s="6"/>
      <c r="BL1482" s="6"/>
      <c r="BM1482" s="6"/>
      <c r="BN1482" s="6"/>
      <c r="BO1482" s="6"/>
      <c r="BP1482" s="6"/>
      <c r="BQ1482" s="6"/>
      <c r="BR1482" s="6"/>
      <c r="BS1482" s="6"/>
      <c r="BT1482" s="6"/>
      <c r="BU1482" s="6"/>
      <c r="BV1482" s="6"/>
      <c r="BW1482" s="6"/>
      <c r="BX1482" s="5"/>
      <c r="BY1482" s="7"/>
      <c r="BZ1482" s="7"/>
      <c r="CA1482" s="7"/>
      <c r="CB1482" s="7"/>
      <c r="CC1482" s="874"/>
    </row>
    <row r="1483" spans="1:81" s="400" customFormat="1" ht="14.25" customHeight="1" x14ac:dyDescent="0.25">
      <c r="A1483" s="5"/>
      <c r="B1483" s="5"/>
      <c r="C1483" s="5"/>
      <c r="D1483" s="5"/>
      <c r="E1483" s="5"/>
      <c r="F1483" s="5"/>
      <c r="G1483" s="5"/>
      <c r="H1483" s="5"/>
      <c r="I1483" s="5"/>
      <c r="J1483" s="5"/>
      <c r="K1483" s="5"/>
      <c r="L1483" s="5"/>
      <c r="M1483" s="5"/>
      <c r="N1483" s="5"/>
      <c r="O1483" s="5"/>
      <c r="P1483" s="5"/>
      <c r="Q1483" s="5"/>
      <c r="R1483" s="5"/>
      <c r="S1483" s="5"/>
      <c r="T1483" s="5"/>
      <c r="U1483" s="5"/>
      <c r="V1483" s="5"/>
      <c r="W1483" s="5"/>
      <c r="X1483" s="5"/>
      <c r="Y1483" s="5"/>
      <c r="Z1483" s="5"/>
      <c r="AA1483" s="5"/>
      <c r="AB1483" s="6"/>
      <c r="AC1483" s="6"/>
      <c r="AD1483" s="6"/>
      <c r="AE1483" s="6"/>
      <c r="AF1483" s="6"/>
      <c r="AG1483" s="6"/>
      <c r="AH1483" s="6"/>
      <c r="AI1483" s="6"/>
      <c r="AJ1483" s="6"/>
      <c r="AK1483" s="6"/>
      <c r="AL1483" s="6"/>
      <c r="AM1483" s="6"/>
      <c r="AN1483" s="6"/>
      <c r="AO1483" s="6"/>
      <c r="AP1483" s="6"/>
      <c r="AQ1483" s="6"/>
      <c r="AR1483" s="6"/>
      <c r="AS1483" s="6"/>
      <c r="AT1483" s="6"/>
      <c r="AU1483" s="6"/>
      <c r="AV1483" s="6"/>
      <c r="AW1483" s="6"/>
      <c r="AX1483" s="6"/>
      <c r="AY1483" s="6"/>
      <c r="AZ1483" s="6"/>
      <c r="BA1483" s="6"/>
      <c r="BB1483" s="6"/>
      <c r="BC1483" s="6"/>
      <c r="BD1483" s="6"/>
      <c r="BE1483" s="6"/>
      <c r="BF1483" s="6"/>
      <c r="BG1483" s="6"/>
      <c r="BH1483" s="6"/>
      <c r="BI1483" s="6"/>
      <c r="BJ1483" s="6"/>
      <c r="BK1483" s="6"/>
      <c r="BL1483" s="6"/>
      <c r="BM1483" s="6"/>
      <c r="BN1483" s="6"/>
      <c r="BO1483" s="6"/>
      <c r="BP1483" s="6"/>
      <c r="BQ1483" s="6"/>
      <c r="BR1483" s="6"/>
      <c r="BS1483" s="6"/>
      <c r="BT1483" s="6"/>
      <c r="BU1483" s="6"/>
      <c r="BV1483" s="6"/>
      <c r="BW1483" s="6"/>
      <c r="BX1483" s="5"/>
      <c r="BY1483" s="7"/>
      <c r="BZ1483" s="7"/>
      <c r="CA1483" s="7"/>
      <c r="CB1483" s="7"/>
      <c r="CC1483" s="874"/>
    </row>
    <row r="1484" spans="1:81" s="400" customFormat="1" ht="14.25" customHeight="1" x14ac:dyDescent="0.25">
      <c r="A1484" s="5"/>
      <c r="B1484" s="5"/>
      <c r="C1484" s="5"/>
      <c r="D1484" s="5"/>
      <c r="E1484" s="5"/>
      <c r="F1484" s="5"/>
      <c r="G1484" s="5"/>
      <c r="H1484" s="5"/>
      <c r="I1484" s="5"/>
      <c r="J1484" s="5"/>
      <c r="K1484" s="5"/>
      <c r="L1484" s="5"/>
      <c r="M1484" s="5"/>
      <c r="N1484" s="5"/>
      <c r="O1484" s="5"/>
      <c r="P1484" s="5"/>
      <c r="Q1484" s="5"/>
      <c r="R1484" s="5"/>
      <c r="S1484" s="5"/>
      <c r="T1484" s="5"/>
      <c r="U1484" s="5"/>
      <c r="V1484" s="5"/>
      <c r="W1484" s="5"/>
      <c r="X1484" s="5"/>
      <c r="Y1484" s="5"/>
      <c r="Z1484" s="5"/>
      <c r="AA1484" s="5"/>
      <c r="AB1484" s="6"/>
      <c r="AC1484" s="6"/>
      <c r="AD1484" s="6"/>
      <c r="AE1484" s="6"/>
      <c r="AF1484" s="6"/>
      <c r="AG1484" s="6"/>
      <c r="AH1484" s="6"/>
      <c r="AI1484" s="6"/>
      <c r="AJ1484" s="6"/>
      <c r="AK1484" s="6"/>
      <c r="AL1484" s="6"/>
      <c r="AM1484" s="6"/>
      <c r="AN1484" s="6"/>
      <c r="AO1484" s="6"/>
      <c r="AP1484" s="6"/>
      <c r="AQ1484" s="6"/>
      <c r="AR1484" s="6"/>
      <c r="AS1484" s="6"/>
      <c r="AT1484" s="6"/>
      <c r="AU1484" s="6"/>
      <c r="AV1484" s="6"/>
      <c r="AW1484" s="6"/>
      <c r="AX1484" s="6"/>
      <c r="AY1484" s="6"/>
      <c r="AZ1484" s="6"/>
      <c r="BA1484" s="6"/>
      <c r="BB1484" s="6"/>
      <c r="BC1484" s="6"/>
      <c r="BD1484" s="6"/>
      <c r="BE1484" s="6"/>
      <c r="BF1484" s="6"/>
      <c r="BG1484" s="6"/>
      <c r="BH1484" s="6"/>
      <c r="BI1484" s="6"/>
      <c r="BJ1484" s="6"/>
      <c r="BK1484" s="6"/>
      <c r="BL1484" s="6"/>
      <c r="BM1484" s="6"/>
      <c r="BN1484" s="6"/>
      <c r="BO1484" s="6"/>
      <c r="BP1484" s="6"/>
      <c r="BQ1484" s="6"/>
      <c r="BR1484" s="6"/>
      <c r="BS1484" s="6"/>
      <c r="BT1484" s="6"/>
      <c r="BU1484" s="6"/>
      <c r="BV1484" s="6"/>
      <c r="BW1484" s="6"/>
      <c r="BX1484" s="5"/>
      <c r="BY1484" s="7"/>
      <c r="BZ1484" s="7"/>
      <c r="CA1484" s="7"/>
      <c r="CB1484" s="7"/>
      <c r="CC1484" s="874"/>
    </row>
    <row r="1485" spans="1:81" s="400" customFormat="1" ht="14.25" customHeight="1" x14ac:dyDescent="0.25">
      <c r="A1485" s="5"/>
      <c r="B1485" s="5"/>
      <c r="C1485" s="5"/>
      <c r="D1485" s="5"/>
      <c r="E1485" s="5"/>
      <c r="F1485" s="5"/>
      <c r="G1485" s="5"/>
      <c r="H1485" s="5"/>
      <c r="I1485" s="5"/>
      <c r="J1485" s="5"/>
      <c r="K1485" s="5"/>
      <c r="L1485" s="5"/>
      <c r="M1485" s="5"/>
      <c r="N1485" s="5"/>
      <c r="O1485" s="5"/>
      <c r="P1485" s="5"/>
      <c r="Q1485" s="5"/>
      <c r="R1485" s="5"/>
      <c r="S1485" s="5"/>
      <c r="T1485" s="5"/>
      <c r="U1485" s="5"/>
      <c r="V1485" s="5"/>
      <c r="W1485" s="5"/>
      <c r="X1485" s="5"/>
      <c r="Y1485" s="5"/>
      <c r="Z1485" s="5"/>
      <c r="AA1485" s="5"/>
      <c r="AB1485" s="6"/>
      <c r="AC1485" s="6"/>
      <c r="AD1485" s="6"/>
      <c r="AE1485" s="6"/>
      <c r="AF1485" s="6"/>
      <c r="AG1485" s="6"/>
      <c r="AH1485" s="6"/>
      <c r="AI1485" s="6"/>
      <c r="AJ1485" s="6"/>
      <c r="AK1485" s="6"/>
      <c r="AL1485" s="6"/>
      <c r="AM1485" s="6"/>
      <c r="AN1485" s="6"/>
      <c r="AO1485" s="6"/>
      <c r="AP1485" s="6"/>
      <c r="AQ1485" s="6"/>
      <c r="AR1485" s="6"/>
      <c r="AS1485" s="6"/>
      <c r="AT1485" s="6"/>
      <c r="AU1485" s="6"/>
      <c r="AV1485" s="6"/>
      <c r="AW1485" s="6"/>
      <c r="AX1485" s="6"/>
      <c r="AY1485" s="6"/>
      <c r="AZ1485" s="6"/>
      <c r="BA1485" s="6"/>
      <c r="BB1485" s="6"/>
      <c r="BC1485" s="6"/>
      <c r="BD1485" s="6"/>
      <c r="BE1485" s="6"/>
      <c r="BF1485" s="6"/>
      <c r="BG1485" s="6"/>
      <c r="BH1485" s="6"/>
      <c r="BI1485" s="6"/>
      <c r="BJ1485" s="6"/>
      <c r="BK1485" s="6"/>
      <c r="BL1485" s="6"/>
      <c r="BM1485" s="6"/>
      <c r="BN1485" s="6"/>
      <c r="BO1485" s="6"/>
      <c r="BP1485" s="6"/>
      <c r="BQ1485" s="6"/>
      <c r="BR1485" s="6"/>
      <c r="BS1485" s="6"/>
      <c r="BT1485" s="6"/>
      <c r="BU1485" s="6"/>
      <c r="BV1485" s="6"/>
      <c r="BW1485" s="6"/>
      <c r="BX1485" s="5"/>
      <c r="BY1485" s="7"/>
      <c r="BZ1485" s="7"/>
      <c r="CA1485" s="7"/>
      <c r="CB1485" s="7"/>
      <c r="CC1485" s="874"/>
    </row>
    <row r="1486" spans="1:81" s="400" customFormat="1" ht="14.25" customHeight="1" x14ac:dyDescent="0.25">
      <c r="A1486" s="5"/>
      <c r="B1486" s="5"/>
      <c r="C1486" s="5"/>
      <c r="D1486" s="5"/>
      <c r="E1486" s="5"/>
      <c r="F1486" s="5"/>
      <c r="G1486" s="5"/>
      <c r="H1486" s="5"/>
      <c r="I1486" s="5"/>
      <c r="J1486" s="5"/>
      <c r="K1486" s="5"/>
      <c r="L1486" s="5"/>
      <c r="M1486" s="5"/>
      <c r="N1486" s="5"/>
      <c r="O1486" s="5"/>
      <c r="P1486" s="5"/>
      <c r="Q1486" s="5"/>
      <c r="R1486" s="5"/>
      <c r="S1486" s="5"/>
      <c r="T1486" s="5"/>
      <c r="U1486" s="5"/>
      <c r="V1486" s="5"/>
      <c r="W1486" s="5"/>
      <c r="X1486" s="5"/>
      <c r="Y1486" s="5"/>
      <c r="Z1486" s="5"/>
      <c r="AA1486" s="5"/>
      <c r="AB1486" s="6"/>
      <c r="AC1486" s="6"/>
      <c r="AD1486" s="6"/>
      <c r="AE1486" s="6"/>
      <c r="AF1486" s="6"/>
      <c r="AG1486" s="6"/>
      <c r="AH1486" s="6"/>
      <c r="AI1486" s="6"/>
      <c r="AJ1486" s="6"/>
      <c r="AK1486" s="6"/>
      <c r="AL1486" s="6"/>
      <c r="AM1486" s="6"/>
      <c r="AN1486" s="6"/>
      <c r="AO1486" s="6"/>
      <c r="AP1486" s="6"/>
      <c r="AQ1486" s="6"/>
      <c r="AR1486" s="6"/>
      <c r="AS1486" s="6"/>
      <c r="AT1486" s="6"/>
      <c r="AU1486" s="6"/>
      <c r="AV1486" s="6"/>
      <c r="AW1486" s="6"/>
      <c r="AX1486" s="6"/>
      <c r="AY1486" s="6"/>
      <c r="AZ1486" s="6"/>
      <c r="BA1486" s="6"/>
      <c r="BB1486" s="6"/>
      <c r="BC1486" s="6"/>
      <c r="BD1486" s="6"/>
      <c r="BE1486" s="6"/>
      <c r="BF1486" s="6"/>
      <c r="BG1486" s="6"/>
      <c r="BH1486" s="6"/>
      <c r="BI1486" s="6"/>
      <c r="BJ1486" s="6"/>
      <c r="BK1486" s="6"/>
      <c r="BL1486" s="6"/>
      <c r="BM1486" s="6"/>
      <c r="BN1486" s="6"/>
      <c r="BO1486" s="6"/>
      <c r="BP1486" s="6"/>
      <c r="BQ1486" s="6"/>
      <c r="BR1486" s="6"/>
      <c r="BS1486" s="6"/>
      <c r="BT1486" s="6"/>
      <c r="BU1486" s="6"/>
      <c r="BV1486" s="6"/>
      <c r="BW1486" s="6"/>
      <c r="BX1486" s="5"/>
      <c r="BY1486" s="7"/>
      <c r="BZ1486" s="7"/>
      <c r="CA1486" s="7"/>
      <c r="CB1486" s="7"/>
      <c r="CC1486" s="874"/>
    </row>
    <row r="1487" spans="1:81" s="400" customFormat="1" ht="14.25" customHeight="1" x14ac:dyDescent="0.25">
      <c r="A1487" s="5"/>
      <c r="B1487" s="5"/>
      <c r="C1487" s="5"/>
      <c r="D1487" s="5"/>
      <c r="E1487" s="5"/>
      <c r="F1487" s="5"/>
      <c r="G1487" s="5"/>
      <c r="H1487" s="5"/>
      <c r="I1487" s="5"/>
      <c r="J1487" s="5"/>
      <c r="K1487" s="5"/>
      <c r="L1487" s="5"/>
      <c r="M1487" s="5"/>
      <c r="N1487" s="5"/>
      <c r="O1487" s="5"/>
      <c r="P1487" s="5"/>
      <c r="Q1487" s="5"/>
      <c r="R1487" s="5"/>
      <c r="S1487" s="5"/>
      <c r="T1487" s="5"/>
      <c r="U1487" s="5"/>
      <c r="V1487" s="5"/>
      <c r="W1487" s="5"/>
      <c r="X1487" s="5"/>
      <c r="Y1487" s="5"/>
      <c r="Z1487" s="5"/>
      <c r="AA1487" s="5"/>
      <c r="AB1487" s="6"/>
      <c r="AC1487" s="6"/>
      <c r="AD1487" s="6"/>
      <c r="AE1487" s="6"/>
      <c r="AF1487" s="6"/>
      <c r="AG1487" s="6"/>
      <c r="AH1487" s="6"/>
      <c r="AI1487" s="6"/>
      <c r="AJ1487" s="6"/>
      <c r="AK1487" s="6"/>
      <c r="AL1487" s="6"/>
      <c r="AM1487" s="6"/>
      <c r="AN1487" s="6"/>
      <c r="AO1487" s="6"/>
      <c r="AP1487" s="6"/>
      <c r="AQ1487" s="6"/>
      <c r="AR1487" s="6"/>
      <c r="AS1487" s="6"/>
      <c r="AT1487" s="6"/>
      <c r="AU1487" s="6"/>
      <c r="AV1487" s="6"/>
      <c r="AW1487" s="6"/>
      <c r="AX1487" s="6"/>
      <c r="AY1487" s="6"/>
      <c r="AZ1487" s="6"/>
      <c r="BA1487" s="6"/>
      <c r="BB1487" s="6"/>
      <c r="BC1487" s="6"/>
      <c r="BD1487" s="6"/>
      <c r="BE1487" s="6"/>
      <c r="BF1487" s="6"/>
      <c r="BG1487" s="6"/>
      <c r="BH1487" s="6"/>
      <c r="BI1487" s="6"/>
      <c r="BJ1487" s="6"/>
      <c r="BK1487" s="6"/>
      <c r="BL1487" s="6"/>
      <c r="BM1487" s="6"/>
      <c r="BN1487" s="6"/>
      <c r="BO1487" s="6"/>
      <c r="BP1487" s="6"/>
      <c r="BQ1487" s="6"/>
      <c r="BR1487" s="6"/>
      <c r="BS1487" s="6"/>
      <c r="BT1487" s="6"/>
      <c r="BU1487" s="6"/>
      <c r="BV1487" s="6"/>
      <c r="BW1487" s="6"/>
      <c r="BX1487" s="5"/>
      <c r="BY1487" s="7"/>
      <c r="BZ1487" s="7"/>
      <c r="CA1487" s="7"/>
      <c r="CB1487" s="7"/>
      <c r="CC1487" s="874"/>
    </row>
    <row r="1488" spans="1:81" s="400" customFormat="1" ht="14.25" customHeight="1" x14ac:dyDescent="0.25">
      <c r="A1488" s="5"/>
      <c r="B1488" s="5"/>
      <c r="C1488" s="5"/>
      <c r="D1488" s="5"/>
      <c r="E1488" s="5"/>
      <c r="F1488" s="5"/>
      <c r="G1488" s="5"/>
      <c r="H1488" s="5"/>
      <c r="I1488" s="5"/>
      <c r="J1488" s="5"/>
      <c r="K1488" s="5"/>
      <c r="L1488" s="5"/>
      <c r="M1488" s="5"/>
      <c r="N1488" s="5"/>
      <c r="O1488" s="5"/>
      <c r="P1488" s="5"/>
      <c r="Q1488" s="5"/>
      <c r="R1488" s="5"/>
      <c r="S1488" s="5"/>
      <c r="T1488" s="5"/>
      <c r="U1488" s="5"/>
      <c r="V1488" s="5"/>
      <c r="W1488" s="5"/>
      <c r="X1488" s="5"/>
      <c r="Y1488" s="5"/>
      <c r="Z1488" s="5"/>
      <c r="AA1488" s="5"/>
      <c r="AB1488" s="6"/>
      <c r="AC1488" s="6"/>
      <c r="AD1488" s="6"/>
      <c r="AE1488" s="6"/>
      <c r="AF1488" s="6"/>
      <c r="AG1488" s="6"/>
      <c r="AH1488" s="6"/>
      <c r="AI1488" s="6"/>
      <c r="AJ1488" s="6"/>
      <c r="AK1488" s="6"/>
      <c r="AL1488" s="6"/>
      <c r="AM1488" s="6"/>
      <c r="AN1488" s="6"/>
      <c r="AO1488" s="6"/>
      <c r="AP1488" s="6"/>
      <c r="AQ1488" s="6"/>
      <c r="AR1488" s="6"/>
      <c r="AS1488" s="6"/>
      <c r="AT1488" s="6"/>
      <c r="AU1488" s="6"/>
      <c r="AV1488" s="6"/>
      <c r="AW1488" s="6"/>
      <c r="AX1488" s="6"/>
      <c r="AY1488" s="6"/>
      <c r="AZ1488" s="6"/>
      <c r="BA1488" s="6"/>
      <c r="BB1488" s="6"/>
      <c r="BC1488" s="6"/>
      <c r="BD1488" s="6"/>
      <c r="BE1488" s="6"/>
      <c r="BF1488" s="6"/>
      <c r="BG1488" s="6"/>
      <c r="BH1488" s="6"/>
      <c r="BI1488" s="6"/>
      <c r="BJ1488" s="6"/>
      <c r="BK1488" s="6"/>
      <c r="BL1488" s="6"/>
      <c r="BM1488" s="6"/>
      <c r="BN1488" s="6"/>
      <c r="BO1488" s="6"/>
      <c r="BP1488" s="6"/>
      <c r="BQ1488" s="6"/>
      <c r="BR1488" s="6"/>
      <c r="BS1488" s="6"/>
      <c r="BT1488" s="6"/>
      <c r="BU1488" s="6"/>
      <c r="BV1488" s="6"/>
      <c r="BW1488" s="6"/>
      <c r="BX1488" s="5"/>
      <c r="BY1488" s="7"/>
      <c r="BZ1488" s="7"/>
      <c r="CA1488" s="7"/>
      <c r="CB1488" s="7"/>
      <c r="CC1488" s="874"/>
    </row>
    <row r="1489" spans="1:81" s="400" customFormat="1" ht="14.25" customHeight="1" x14ac:dyDescent="0.25">
      <c r="A1489" s="5"/>
      <c r="B1489" s="5"/>
      <c r="C1489" s="5"/>
      <c r="D1489" s="5"/>
      <c r="E1489" s="5"/>
      <c r="F1489" s="5"/>
      <c r="G1489" s="5"/>
      <c r="H1489" s="5"/>
      <c r="I1489" s="5"/>
      <c r="J1489" s="5"/>
      <c r="K1489" s="5"/>
      <c r="L1489" s="5"/>
      <c r="M1489" s="5"/>
      <c r="N1489" s="5"/>
      <c r="O1489" s="5"/>
      <c r="P1489" s="5"/>
      <c r="Q1489" s="5"/>
      <c r="R1489" s="5"/>
      <c r="S1489" s="5"/>
      <c r="T1489" s="5"/>
      <c r="U1489" s="5"/>
      <c r="V1489" s="5"/>
      <c r="W1489" s="5"/>
      <c r="X1489" s="5"/>
      <c r="Y1489" s="5"/>
      <c r="Z1489" s="5"/>
      <c r="AA1489" s="5"/>
      <c r="AB1489" s="6"/>
      <c r="AC1489" s="6"/>
      <c r="AD1489" s="6"/>
      <c r="AE1489" s="6"/>
      <c r="AF1489" s="6"/>
      <c r="AG1489" s="6"/>
      <c r="AH1489" s="6"/>
      <c r="AI1489" s="6"/>
      <c r="AJ1489" s="6"/>
      <c r="AK1489" s="6"/>
      <c r="AL1489" s="6"/>
      <c r="AM1489" s="6"/>
      <c r="AN1489" s="6"/>
      <c r="AO1489" s="6"/>
      <c r="AP1489" s="6"/>
      <c r="AQ1489" s="6"/>
      <c r="AR1489" s="6"/>
      <c r="AS1489" s="6"/>
      <c r="AT1489" s="6"/>
      <c r="AU1489" s="6"/>
      <c r="AV1489" s="6"/>
      <c r="AW1489" s="6"/>
      <c r="AX1489" s="6"/>
      <c r="AY1489" s="6"/>
      <c r="AZ1489" s="6"/>
      <c r="BA1489" s="6"/>
      <c r="BB1489" s="6"/>
      <c r="BC1489" s="6"/>
      <c r="BD1489" s="6"/>
      <c r="BE1489" s="6"/>
      <c r="BF1489" s="6"/>
      <c r="BG1489" s="6"/>
      <c r="BH1489" s="6"/>
      <c r="BI1489" s="6"/>
      <c r="BJ1489" s="6"/>
      <c r="BK1489" s="6"/>
      <c r="BL1489" s="6"/>
      <c r="BM1489" s="6"/>
      <c r="BN1489" s="6"/>
      <c r="BO1489" s="6"/>
      <c r="BP1489" s="6"/>
      <c r="BQ1489" s="6"/>
      <c r="BR1489" s="6"/>
      <c r="BS1489" s="6"/>
      <c r="BT1489" s="6"/>
      <c r="BU1489" s="6"/>
      <c r="BV1489" s="6"/>
      <c r="BW1489" s="6"/>
      <c r="BX1489" s="5"/>
      <c r="BY1489" s="7"/>
      <c r="BZ1489" s="7"/>
      <c r="CA1489" s="7"/>
      <c r="CB1489" s="7"/>
      <c r="CC1489" s="874"/>
    </row>
    <row r="1490" spans="1:81" s="400" customFormat="1" ht="14.25" customHeight="1" x14ac:dyDescent="0.25">
      <c r="A1490" s="5"/>
      <c r="B1490" s="5"/>
      <c r="C1490" s="5"/>
      <c r="D1490" s="5"/>
      <c r="E1490" s="5"/>
      <c r="F1490" s="5"/>
      <c r="G1490" s="5"/>
      <c r="H1490" s="5"/>
      <c r="I1490" s="5"/>
      <c r="J1490" s="5"/>
      <c r="K1490" s="5"/>
      <c r="L1490" s="5"/>
      <c r="M1490" s="5"/>
      <c r="N1490" s="5"/>
      <c r="O1490" s="5"/>
      <c r="P1490" s="5"/>
      <c r="Q1490" s="5"/>
      <c r="R1490" s="5"/>
      <c r="S1490" s="5"/>
      <c r="T1490" s="5"/>
      <c r="U1490" s="5"/>
      <c r="V1490" s="5"/>
      <c r="W1490" s="5"/>
      <c r="X1490" s="5"/>
      <c r="Y1490" s="5"/>
      <c r="Z1490" s="5"/>
      <c r="AA1490" s="5"/>
      <c r="AB1490" s="6"/>
      <c r="AC1490" s="6"/>
      <c r="AD1490" s="6"/>
      <c r="AE1490" s="6"/>
      <c r="AF1490" s="6"/>
      <c r="AG1490" s="6"/>
      <c r="AH1490" s="6"/>
      <c r="AI1490" s="6"/>
      <c r="AJ1490" s="6"/>
      <c r="AK1490" s="6"/>
      <c r="AL1490" s="6"/>
      <c r="AM1490" s="6"/>
      <c r="AN1490" s="6"/>
      <c r="AO1490" s="6"/>
      <c r="AP1490" s="6"/>
      <c r="AQ1490" s="6"/>
      <c r="AR1490" s="6"/>
      <c r="AS1490" s="6"/>
      <c r="AT1490" s="6"/>
      <c r="AU1490" s="6"/>
      <c r="AV1490" s="6"/>
      <c r="AW1490" s="6"/>
      <c r="AX1490" s="6"/>
      <c r="AY1490" s="6"/>
      <c r="AZ1490" s="6"/>
      <c r="BA1490" s="6"/>
      <c r="BB1490" s="6"/>
      <c r="BC1490" s="6"/>
      <c r="BD1490" s="6"/>
      <c r="BE1490" s="6"/>
      <c r="BF1490" s="6"/>
      <c r="BG1490" s="6"/>
      <c r="BH1490" s="6"/>
      <c r="BI1490" s="6"/>
      <c r="BJ1490" s="6"/>
      <c r="BK1490" s="6"/>
      <c r="BL1490" s="6"/>
      <c r="BM1490" s="6"/>
      <c r="BN1490" s="6"/>
      <c r="BO1490" s="6"/>
      <c r="BP1490" s="6"/>
      <c r="BQ1490" s="6"/>
      <c r="BR1490" s="6"/>
      <c r="BS1490" s="6"/>
      <c r="BT1490" s="6"/>
      <c r="BU1490" s="6"/>
      <c r="BV1490" s="6"/>
      <c r="BW1490" s="6"/>
      <c r="BX1490" s="5"/>
      <c r="BY1490" s="7"/>
      <c r="BZ1490" s="7"/>
      <c r="CA1490" s="7"/>
      <c r="CB1490" s="7"/>
      <c r="CC1490" s="874"/>
    </row>
    <row r="1491" spans="1:81" s="400" customFormat="1" ht="14.25" customHeight="1" x14ac:dyDescent="0.25">
      <c r="A1491" s="5"/>
      <c r="B1491" s="5"/>
      <c r="C1491" s="5"/>
      <c r="D1491" s="5"/>
      <c r="E1491" s="5"/>
      <c r="F1491" s="5"/>
      <c r="G1491" s="5"/>
      <c r="H1491" s="5"/>
      <c r="I1491" s="5"/>
      <c r="J1491" s="5"/>
      <c r="K1491" s="5"/>
      <c r="L1491" s="5"/>
      <c r="M1491" s="5"/>
      <c r="N1491" s="5"/>
      <c r="O1491" s="5"/>
      <c r="P1491" s="5"/>
      <c r="Q1491" s="5"/>
      <c r="R1491" s="5"/>
      <c r="S1491" s="5"/>
      <c r="T1491" s="5"/>
      <c r="U1491" s="5"/>
      <c r="V1491" s="5"/>
      <c r="W1491" s="5"/>
      <c r="X1491" s="5"/>
      <c r="Y1491" s="5"/>
      <c r="Z1491" s="5"/>
      <c r="AA1491" s="5"/>
      <c r="AB1491" s="6"/>
      <c r="AC1491" s="6"/>
      <c r="AD1491" s="6"/>
      <c r="AE1491" s="6"/>
      <c r="AF1491" s="6"/>
      <c r="AG1491" s="6"/>
      <c r="AH1491" s="6"/>
      <c r="AI1491" s="6"/>
      <c r="AJ1491" s="6"/>
      <c r="AK1491" s="6"/>
      <c r="AL1491" s="6"/>
      <c r="AM1491" s="6"/>
      <c r="AN1491" s="6"/>
      <c r="AO1491" s="6"/>
      <c r="AP1491" s="6"/>
      <c r="AQ1491" s="6"/>
      <c r="AR1491" s="6"/>
      <c r="AS1491" s="6"/>
      <c r="AT1491" s="6"/>
      <c r="AU1491" s="6"/>
      <c r="AV1491" s="6"/>
      <c r="AW1491" s="6"/>
      <c r="AX1491" s="6"/>
      <c r="AY1491" s="6"/>
      <c r="AZ1491" s="6"/>
      <c r="BA1491" s="6"/>
      <c r="BB1491" s="6"/>
      <c r="BC1491" s="6"/>
      <c r="BD1491" s="6"/>
      <c r="BE1491" s="6"/>
      <c r="BF1491" s="6"/>
      <c r="BG1491" s="6"/>
      <c r="BH1491" s="6"/>
      <c r="BI1491" s="6"/>
      <c r="BJ1491" s="6"/>
      <c r="BK1491" s="6"/>
      <c r="BL1491" s="6"/>
      <c r="BM1491" s="6"/>
      <c r="BN1491" s="6"/>
      <c r="BO1491" s="6"/>
      <c r="BP1491" s="6"/>
      <c r="BQ1491" s="6"/>
      <c r="BR1491" s="6"/>
      <c r="BS1491" s="6"/>
      <c r="BT1491" s="6"/>
      <c r="BU1491" s="6"/>
      <c r="BV1491" s="6"/>
      <c r="BW1491" s="6"/>
      <c r="BX1491" s="5"/>
      <c r="BY1491" s="7"/>
      <c r="BZ1491" s="7"/>
      <c r="CA1491" s="7"/>
      <c r="CB1491" s="7"/>
      <c r="CC1491" s="874"/>
    </row>
    <row r="1492" spans="1:81" s="400" customFormat="1" ht="14.25" customHeight="1" x14ac:dyDescent="0.25">
      <c r="A1492" s="5"/>
      <c r="B1492" s="5"/>
      <c r="C1492" s="5"/>
      <c r="D1492" s="5"/>
      <c r="E1492" s="5"/>
      <c r="F1492" s="5"/>
      <c r="G1492" s="5"/>
      <c r="H1492" s="5"/>
      <c r="I1492" s="5"/>
      <c r="J1492" s="5"/>
      <c r="K1492" s="5"/>
      <c r="L1492" s="5"/>
      <c r="M1492" s="5"/>
      <c r="N1492" s="5"/>
      <c r="O1492" s="5"/>
      <c r="P1492" s="5"/>
      <c r="Q1492" s="5"/>
      <c r="R1492" s="5"/>
      <c r="S1492" s="5"/>
      <c r="T1492" s="5"/>
      <c r="U1492" s="5"/>
      <c r="V1492" s="5"/>
      <c r="W1492" s="5"/>
      <c r="X1492" s="5"/>
      <c r="Y1492" s="5"/>
      <c r="Z1492" s="5"/>
      <c r="AA1492" s="5"/>
      <c r="AB1492" s="6"/>
      <c r="AC1492" s="6"/>
      <c r="AD1492" s="6"/>
      <c r="AE1492" s="6"/>
      <c r="AF1492" s="6"/>
      <c r="AG1492" s="6"/>
      <c r="AH1492" s="6"/>
      <c r="AI1492" s="6"/>
      <c r="AJ1492" s="6"/>
      <c r="AK1492" s="6"/>
      <c r="AL1492" s="6"/>
      <c r="AM1492" s="6"/>
      <c r="AN1492" s="6"/>
      <c r="AO1492" s="6"/>
      <c r="AP1492" s="6"/>
      <c r="AQ1492" s="6"/>
      <c r="AR1492" s="6"/>
      <c r="AS1492" s="6"/>
      <c r="AT1492" s="6"/>
      <c r="AU1492" s="6"/>
      <c r="AV1492" s="6"/>
      <c r="AW1492" s="6"/>
      <c r="AX1492" s="6"/>
      <c r="AY1492" s="6"/>
      <c r="AZ1492" s="6"/>
      <c r="BA1492" s="6"/>
      <c r="BB1492" s="6"/>
      <c r="BC1492" s="6"/>
      <c r="BD1492" s="6"/>
      <c r="BE1492" s="6"/>
      <c r="BF1492" s="6"/>
      <c r="BG1492" s="6"/>
      <c r="BH1492" s="6"/>
      <c r="BI1492" s="6"/>
      <c r="BJ1492" s="6"/>
      <c r="BK1492" s="6"/>
      <c r="BL1492" s="6"/>
      <c r="BM1492" s="6"/>
      <c r="BN1492" s="6"/>
      <c r="BO1492" s="6"/>
      <c r="BP1492" s="6"/>
      <c r="BQ1492" s="6"/>
      <c r="BR1492" s="6"/>
      <c r="BS1492" s="6"/>
      <c r="BT1492" s="6"/>
      <c r="BU1492" s="6"/>
      <c r="BV1492" s="6"/>
      <c r="BW1492" s="6"/>
      <c r="BX1492" s="5"/>
      <c r="BY1492" s="7"/>
      <c r="BZ1492" s="7"/>
      <c r="CA1492" s="7"/>
      <c r="CB1492" s="7"/>
      <c r="CC1492" s="874"/>
    </row>
    <row r="1493" spans="1:81" s="400" customFormat="1" ht="14.25" customHeight="1" x14ac:dyDescent="0.25">
      <c r="A1493" s="5"/>
      <c r="B1493" s="5"/>
      <c r="C1493" s="5"/>
      <c r="D1493" s="5"/>
      <c r="E1493" s="5"/>
      <c r="F1493" s="5"/>
      <c r="G1493" s="5"/>
      <c r="H1493" s="5"/>
      <c r="I1493" s="5"/>
      <c r="J1493" s="5"/>
      <c r="K1493" s="5"/>
      <c r="L1493" s="5"/>
      <c r="M1493" s="5"/>
      <c r="N1493" s="5"/>
      <c r="O1493" s="5"/>
      <c r="P1493" s="5"/>
      <c r="Q1493" s="5"/>
      <c r="R1493" s="5"/>
      <c r="S1493" s="5"/>
      <c r="T1493" s="5"/>
      <c r="U1493" s="5"/>
      <c r="V1493" s="5"/>
      <c r="W1493" s="5"/>
      <c r="X1493" s="5"/>
      <c r="Y1493" s="5"/>
      <c r="Z1493" s="5"/>
      <c r="AA1493" s="5"/>
      <c r="AB1493" s="6"/>
      <c r="AC1493" s="6"/>
      <c r="AD1493" s="6"/>
      <c r="AE1493" s="6"/>
      <c r="AF1493" s="6"/>
      <c r="AG1493" s="6"/>
      <c r="AH1493" s="6"/>
      <c r="AI1493" s="6"/>
      <c r="AJ1493" s="6"/>
      <c r="AK1493" s="6"/>
      <c r="AL1493" s="6"/>
      <c r="AM1493" s="6"/>
      <c r="AN1493" s="6"/>
      <c r="AO1493" s="6"/>
      <c r="AP1493" s="6"/>
      <c r="AQ1493" s="6"/>
      <c r="AR1493" s="6"/>
      <c r="AS1493" s="6"/>
      <c r="AT1493" s="6"/>
      <c r="AU1493" s="6"/>
      <c r="AV1493" s="6"/>
      <c r="AW1493" s="6"/>
      <c r="AX1493" s="6"/>
      <c r="AY1493" s="6"/>
      <c r="AZ1493" s="6"/>
      <c r="BA1493" s="6"/>
      <c r="BB1493" s="6"/>
      <c r="BC1493" s="6"/>
      <c r="BD1493" s="6"/>
      <c r="BE1493" s="6"/>
      <c r="BF1493" s="6"/>
      <c r="BG1493" s="6"/>
      <c r="BH1493" s="6"/>
      <c r="BI1493" s="6"/>
      <c r="BJ1493" s="6"/>
      <c r="BK1493" s="6"/>
      <c r="BL1493" s="6"/>
      <c r="BM1493" s="6"/>
      <c r="BN1493" s="6"/>
      <c r="BO1493" s="6"/>
      <c r="BP1493" s="6"/>
      <c r="BQ1493" s="6"/>
      <c r="BR1493" s="6"/>
      <c r="BS1493" s="6"/>
      <c r="BT1493" s="6"/>
      <c r="BU1493" s="6"/>
      <c r="BV1493" s="6"/>
      <c r="BW1493" s="6"/>
      <c r="BX1493" s="5"/>
      <c r="BY1493" s="7"/>
      <c r="BZ1493" s="7"/>
      <c r="CA1493" s="7"/>
      <c r="CB1493" s="7"/>
      <c r="CC1493" s="874"/>
    </row>
    <row r="1494" spans="1:81" s="400" customFormat="1" ht="14.25" customHeight="1" x14ac:dyDescent="0.25">
      <c r="A1494" s="5"/>
      <c r="B1494" s="5"/>
      <c r="C1494" s="5"/>
      <c r="D1494" s="5"/>
      <c r="E1494" s="5"/>
      <c r="F1494" s="5"/>
      <c r="G1494" s="5"/>
      <c r="H1494" s="5"/>
      <c r="I1494" s="5"/>
      <c r="J1494" s="5"/>
      <c r="K1494" s="5"/>
      <c r="L1494" s="5"/>
      <c r="M1494" s="5"/>
      <c r="N1494" s="5"/>
      <c r="O1494" s="5"/>
      <c r="P1494" s="5"/>
      <c r="Q1494" s="5"/>
      <c r="R1494" s="5"/>
      <c r="S1494" s="5"/>
      <c r="T1494" s="5"/>
      <c r="U1494" s="5"/>
      <c r="V1494" s="5"/>
      <c r="W1494" s="5"/>
      <c r="X1494" s="5"/>
      <c r="Y1494" s="5"/>
      <c r="Z1494" s="5"/>
      <c r="AA1494" s="5"/>
      <c r="AB1494" s="6"/>
      <c r="AC1494" s="6"/>
      <c r="AD1494" s="6"/>
      <c r="AE1494" s="6"/>
      <c r="AF1494" s="6"/>
      <c r="AG1494" s="6"/>
      <c r="AH1494" s="6"/>
      <c r="AI1494" s="6"/>
      <c r="AJ1494" s="6"/>
      <c r="AK1494" s="6"/>
      <c r="AL1494" s="6"/>
      <c r="AM1494" s="6"/>
      <c r="AN1494" s="6"/>
      <c r="AO1494" s="6"/>
      <c r="AP1494" s="6"/>
      <c r="AQ1494" s="6"/>
      <c r="AR1494" s="6"/>
      <c r="AS1494" s="6"/>
      <c r="AT1494" s="6"/>
      <c r="AU1494" s="6"/>
      <c r="AV1494" s="6"/>
      <c r="AW1494" s="6"/>
      <c r="AX1494" s="6"/>
      <c r="AY1494" s="6"/>
      <c r="AZ1494" s="6"/>
      <c r="BA1494" s="6"/>
      <c r="BB1494" s="6"/>
      <c r="BC1494" s="6"/>
      <c r="BD1494" s="6"/>
      <c r="BE1494" s="6"/>
      <c r="BF1494" s="6"/>
      <c r="BG1494" s="6"/>
      <c r="BH1494" s="6"/>
      <c r="BI1494" s="6"/>
      <c r="BJ1494" s="6"/>
      <c r="BK1494" s="6"/>
      <c r="BL1494" s="6"/>
      <c r="BM1494" s="6"/>
      <c r="BN1494" s="6"/>
      <c r="BO1494" s="6"/>
      <c r="BP1494" s="6"/>
      <c r="BQ1494" s="6"/>
      <c r="BR1494" s="6"/>
      <c r="BS1494" s="6"/>
      <c r="BT1494" s="6"/>
      <c r="BU1494" s="6"/>
      <c r="BV1494" s="6"/>
      <c r="BW1494" s="6"/>
      <c r="BX1494" s="5"/>
      <c r="BY1494" s="7"/>
      <c r="BZ1494" s="7"/>
      <c r="CA1494" s="7"/>
      <c r="CB1494" s="7"/>
      <c r="CC1494" s="874"/>
    </row>
    <row r="1495" spans="1:81" s="400" customFormat="1" ht="14.25" customHeight="1" x14ac:dyDescent="0.25">
      <c r="A1495" s="5"/>
      <c r="B1495" s="5"/>
      <c r="C1495" s="5"/>
      <c r="D1495" s="5"/>
      <c r="E1495" s="5"/>
      <c r="F1495" s="5"/>
      <c r="G1495" s="5"/>
      <c r="H1495" s="5"/>
      <c r="I1495" s="5"/>
      <c r="J1495" s="5"/>
      <c r="K1495" s="5"/>
      <c r="L1495" s="5"/>
      <c r="M1495" s="5"/>
      <c r="N1495" s="5"/>
      <c r="O1495" s="5"/>
      <c r="P1495" s="5"/>
      <c r="Q1495" s="5"/>
      <c r="R1495" s="5"/>
      <c r="S1495" s="5"/>
      <c r="T1495" s="5"/>
      <c r="U1495" s="5"/>
      <c r="V1495" s="5"/>
      <c r="W1495" s="5"/>
      <c r="X1495" s="5"/>
      <c r="Y1495" s="5"/>
      <c r="Z1495" s="5"/>
      <c r="AA1495" s="5"/>
      <c r="AB1495" s="6"/>
      <c r="AC1495" s="6"/>
      <c r="AD1495" s="6"/>
      <c r="AE1495" s="6"/>
      <c r="AF1495" s="6"/>
      <c r="AG1495" s="6"/>
      <c r="AH1495" s="6"/>
      <c r="AI1495" s="6"/>
      <c r="AJ1495" s="6"/>
      <c r="AK1495" s="6"/>
      <c r="AL1495" s="6"/>
      <c r="AM1495" s="6"/>
      <c r="AN1495" s="6"/>
      <c r="AO1495" s="6"/>
      <c r="AP1495" s="6"/>
      <c r="AQ1495" s="6"/>
      <c r="AR1495" s="6"/>
      <c r="AS1495" s="6"/>
      <c r="AT1495" s="6"/>
      <c r="AU1495" s="6"/>
      <c r="AV1495" s="6"/>
      <c r="AW1495" s="6"/>
      <c r="AX1495" s="6"/>
      <c r="AY1495" s="6"/>
      <c r="AZ1495" s="6"/>
      <c r="BA1495" s="6"/>
      <c r="BB1495" s="6"/>
      <c r="BC1495" s="6"/>
      <c r="BD1495" s="6"/>
      <c r="BE1495" s="6"/>
      <c r="BF1495" s="6"/>
      <c r="BG1495" s="6"/>
      <c r="BH1495" s="6"/>
      <c r="BI1495" s="6"/>
      <c r="BJ1495" s="6"/>
      <c r="BK1495" s="6"/>
      <c r="BL1495" s="6"/>
      <c r="BM1495" s="6"/>
      <c r="BN1495" s="6"/>
      <c r="BO1495" s="6"/>
      <c r="BP1495" s="6"/>
      <c r="BQ1495" s="6"/>
      <c r="BR1495" s="6"/>
      <c r="BS1495" s="6"/>
      <c r="BT1495" s="6"/>
      <c r="BU1495" s="6"/>
      <c r="BV1495" s="6"/>
      <c r="BW1495" s="6"/>
      <c r="BX1495" s="5"/>
      <c r="BY1495" s="7"/>
      <c r="BZ1495" s="7"/>
      <c r="CA1495" s="7"/>
      <c r="CB1495" s="7"/>
      <c r="CC1495" s="874"/>
    </row>
    <row r="1496" spans="1:81" s="400" customFormat="1" ht="14.25" customHeight="1" x14ac:dyDescent="0.25">
      <c r="A1496" s="5"/>
      <c r="B1496" s="5"/>
      <c r="C1496" s="5"/>
      <c r="D1496" s="5"/>
      <c r="E1496" s="5"/>
      <c r="F1496" s="5"/>
      <c r="G1496" s="5"/>
      <c r="H1496" s="5"/>
      <c r="I1496" s="5"/>
      <c r="J1496" s="5"/>
      <c r="K1496" s="5"/>
      <c r="L1496" s="5"/>
      <c r="M1496" s="5"/>
      <c r="N1496" s="5"/>
      <c r="O1496" s="5"/>
      <c r="P1496" s="5"/>
      <c r="Q1496" s="5"/>
      <c r="R1496" s="5"/>
      <c r="S1496" s="5"/>
      <c r="T1496" s="5"/>
      <c r="U1496" s="5"/>
      <c r="V1496" s="5"/>
      <c r="W1496" s="5"/>
      <c r="X1496" s="5"/>
      <c r="Y1496" s="5"/>
      <c r="Z1496" s="5"/>
      <c r="AA1496" s="5"/>
      <c r="AB1496" s="6"/>
      <c r="AC1496" s="6"/>
      <c r="AD1496" s="6"/>
      <c r="AE1496" s="6"/>
      <c r="AF1496" s="6"/>
      <c r="AG1496" s="6"/>
      <c r="AH1496" s="6"/>
      <c r="AI1496" s="6"/>
      <c r="AJ1496" s="6"/>
      <c r="AK1496" s="6"/>
      <c r="AL1496" s="6"/>
      <c r="AM1496" s="6"/>
      <c r="AN1496" s="6"/>
      <c r="AO1496" s="6"/>
      <c r="AP1496" s="6"/>
      <c r="AQ1496" s="6"/>
      <c r="AR1496" s="6"/>
      <c r="AS1496" s="6"/>
      <c r="AT1496" s="6"/>
      <c r="AU1496" s="6"/>
      <c r="AV1496" s="6"/>
      <c r="AW1496" s="6"/>
      <c r="AX1496" s="6"/>
      <c r="AY1496" s="6"/>
      <c r="AZ1496" s="6"/>
      <c r="BA1496" s="6"/>
      <c r="BB1496" s="6"/>
      <c r="BC1496" s="6"/>
      <c r="BD1496" s="6"/>
      <c r="BE1496" s="6"/>
      <c r="BF1496" s="6"/>
      <c r="BG1496" s="6"/>
      <c r="BH1496" s="6"/>
      <c r="BI1496" s="6"/>
      <c r="BJ1496" s="6"/>
      <c r="BK1496" s="6"/>
      <c r="BL1496" s="6"/>
      <c r="BM1496" s="6"/>
      <c r="BN1496" s="6"/>
      <c r="BO1496" s="6"/>
      <c r="BP1496" s="6"/>
      <c r="BQ1496" s="6"/>
      <c r="BR1496" s="6"/>
      <c r="BS1496" s="6"/>
      <c r="BT1496" s="6"/>
      <c r="BU1496" s="6"/>
      <c r="BV1496" s="6"/>
      <c r="BW1496" s="6"/>
      <c r="BX1496" s="5"/>
      <c r="BY1496" s="7"/>
      <c r="BZ1496" s="7"/>
      <c r="CA1496" s="7"/>
      <c r="CB1496" s="7"/>
      <c r="CC1496" s="874"/>
    </row>
    <row r="1497" spans="1:81" s="400" customFormat="1" ht="14.25" customHeight="1" x14ac:dyDescent="0.25">
      <c r="A1497" s="5"/>
      <c r="B1497" s="5"/>
      <c r="C1497" s="5"/>
      <c r="D1497" s="5"/>
      <c r="E1497" s="5"/>
      <c r="F1497" s="5"/>
      <c r="G1497" s="5"/>
      <c r="H1497" s="5"/>
      <c r="I1497" s="5"/>
      <c r="J1497" s="5"/>
      <c r="K1497" s="5"/>
      <c r="L1497" s="5"/>
      <c r="M1497" s="5"/>
      <c r="N1497" s="5"/>
      <c r="O1497" s="5"/>
      <c r="P1497" s="5"/>
      <c r="Q1497" s="5"/>
      <c r="R1497" s="5"/>
      <c r="S1497" s="5"/>
      <c r="T1497" s="5"/>
      <c r="U1497" s="5"/>
      <c r="V1497" s="5"/>
      <c r="W1497" s="5"/>
      <c r="X1497" s="5"/>
      <c r="Y1497" s="5"/>
      <c r="Z1497" s="5"/>
      <c r="AA1497" s="5"/>
      <c r="AB1497" s="6"/>
      <c r="AC1497" s="6"/>
      <c r="AD1497" s="6"/>
      <c r="AE1497" s="6"/>
      <c r="AF1497" s="6"/>
      <c r="AG1497" s="6"/>
      <c r="AH1497" s="6"/>
      <c r="AI1497" s="6"/>
      <c r="AJ1497" s="6"/>
      <c r="AK1497" s="6"/>
      <c r="AL1497" s="6"/>
      <c r="AM1497" s="6"/>
      <c r="AN1497" s="6"/>
      <c r="AO1497" s="6"/>
      <c r="AP1497" s="6"/>
      <c r="AQ1497" s="6"/>
      <c r="AR1497" s="6"/>
      <c r="AS1497" s="6"/>
      <c r="AT1497" s="6"/>
      <c r="AU1497" s="6"/>
      <c r="AV1497" s="6"/>
      <c r="AW1497" s="6"/>
      <c r="AX1497" s="6"/>
      <c r="AY1497" s="6"/>
      <c r="AZ1497" s="6"/>
      <c r="BA1497" s="6"/>
      <c r="BB1497" s="6"/>
      <c r="BC1497" s="6"/>
      <c r="BD1497" s="6"/>
      <c r="BE1497" s="6"/>
      <c r="BF1497" s="6"/>
      <c r="BG1497" s="6"/>
      <c r="BH1497" s="6"/>
      <c r="BI1497" s="6"/>
      <c r="BJ1497" s="6"/>
      <c r="BK1497" s="6"/>
      <c r="BL1497" s="6"/>
      <c r="BM1497" s="6"/>
      <c r="BN1497" s="6"/>
      <c r="BO1497" s="6"/>
      <c r="BP1497" s="6"/>
      <c r="BQ1497" s="6"/>
      <c r="BR1497" s="6"/>
      <c r="BS1497" s="6"/>
      <c r="BT1497" s="6"/>
      <c r="BU1497" s="6"/>
      <c r="BV1497" s="6"/>
      <c r="BW1497" s="6"/>
      <c r="BX1497" s="5"/>
      <c r="BY1497" s="7"/>
      <c r="BZ1497" s="7"/>
      <c r="CA1497" s="7"/>
      <c r="CB1497" s="7"/>
      <c r="CC1497" s="874"/>
    </row>
    <row r="1498" spans="1:81" s="400" customFormat="1" ht="14.25" customHeight="1" x14ac:dyDescent="0.25">
      <c r="A1498" s="5"/>
      <c r="B1498" s="5"/>
      <c r="C1498" s="5"/>
      <c r="D1498" s="5"/>
      <c r="E1498" s="5"/>
      <c r="F1498" s="5"/>
      <c r="G1498" s="5"/>
      <c r="H1498" s="5"/>
      <c r="I1498" s="5"/>
      <c r="J1498" s="5"/>
      <c r="K1498" s="5"/>
      <c r="L1498" s="5"/>
      <c r="M1498" s="5"/>
      <c r="N1498" s="5"/>
      <c r="O1498" s="5"/>
      <c r="P1498" s="5"/>
      <c r="Q1498" s="5"/>
      <c r="R1498" s="5"/>
      <c r="S1498" s="5"/>
      <c r="T1498" s="5"/>
      <c r="U1498" s="5"/>
      <c r="V1498" s="5"/>
      <c r="W1498" s="5"/>
      <c r="X1498" s="5"/>
      <c r="Y1498" s="5"/>
      <c r="Z1498" s="5"/>
      <c r="AA1498" s="5"/>
      <c r="AB1498" s="6"/>
      <c r="AC1498" s="6"/>
      <c r="AD1498" s="6"/>
      <c r="AE1498" s="6"/>
      <c r="AF1498" s="6"/>
      <c r="AG1498" s="6"/>
      <c r="AH1498" s="6"/>
      <c r="AI1498" s="6"/>
      <c r="AJ1498" s="6"/>
      <c r="AK1498" s="6"/>
      <c r="AL1498" s="6"/>
      <c r="AM1498" s="6"/>
      <c r="AN1498" s="6"/>
      <c r="AO1498" s="6"/>
      <c r="AP1498" s="6"/>
      <c r="AQ1498" s="6"/>
      <c r="AR1498" s="6"/>
      <c r="AS1498" s="6"/>
      <c r="AT1498" s="6"/>
      <c r="AU1498" s="6"/>
      <c r="AV1498" s="6"/>
      <c r="AW1498" s="6"/>
      <c r="AX1498" s="6"/>
      <c r="AY1498" s="6"/>
      <c r="AZ1498" s="6"/>
      <c r="BA1498" s="6"/>
      <c r="BB1498" s="6"/>
      <c r="BC1498" s="6"/>
      <c r="BD1498" s="6"/>
      <c r="BE1498" s="6"/>
      <c r="BF1498" s="6"/>
      <c r="BG1498" s="6"/>
      <c r="BH1498" s="6"/>
      <c r="BI1498" s="6"/>
      <c r="BJ1498" s="6"/>
      <c r="BK1498" s="6"/>
      <c r="BL1498" s="6"/>
      <c r="BM1498" s="6"/>
      <c r="BN1498" s="6"/>
      <c r="BO1498" s="6"/>
      <c r="BP1498" s="6"/>
      <c r="BQ1498" s="6"/>
      <c r="BR1498" s="6"/>
      <c r="BS1498" s="6"/>
      <c r="BT1498" s="6"/>
      <c r="BU1498" s="6"/>
      <c r="BV1498" s="6"/>
      <c r="BW1498" s="6"/>
      <c r="BX1498" s="5"/>
      <c r="BY1498" s="7"/>
      <c r="BZ1498" s="7"/>
      <c r="CA1498" s="7"/>
      <c r="CB1498" s="7"/>
      <c r="CC1498" s="874"/>
    </row>
    <row r="1499" spans="1:81" s="400" customFormat="1" ht="14.25" customHeight="1" x14ac:dyDescent="0.25">
      <c r="A1499" s="5"/>
      <c r="B1499" s="5"/>
      <c r="C1499" s="5"/>
      <c r="D1499" s="5"/>
      <c r="E1499" s="5"/>
      <c r="F1499" s="5"/>
      <c r="G1499" s="5"/>
      <c r="H1499" s="5"/>
      <c r="I1499" s="5"/>
      <c r="J1499" s="5"/>
      <c r="K1499" s="5"/>
      <c r="L1499" s="5"/>
      <c r="M1499" s="5"/>
      <c r="N1499" s="5"/>
      <c r="O1499" s="5"/>
      <c r="P1499" s="5"/>
      <c r="Q1499" s="5"/>
      <c r="R1499" s="5"/>
      <c r="S1499" s="5"/>
      <c r="T1499" s="5"/>
      <c r="U1499" s="5"/>
      <c r="V1499" s="5"/>
      <c r="W1499" s="5"/>
      <c r="X1499" s="5"/>
      <c r="Y1499" s="5"/>
      <c r="Z1499" s="5"/>
      <c r="AA1499" s="5"/>
      <c r="AB1499" s="6"/>
      <c r="AC1499" s="6"/>
      <c r="AD1499" s="6"/>
      <c r="AE1499" s="6"/>
      <c r="AF1499" s="6"/>
      <c r="AG1499" s="6"/>
      <c r="AH1499" s="6"/>
      <c r="AI1499" s="6"/>
      <c r="AJ1499" s="6"/>
      <c r="AK1499" s="6"/>
      <c r="AL1499" s="6"/>
      <c r="AM1499" s="6"/>
      <c r="AN1499" s="6"/>
      <c r="AO1499" s="6"/>
      <c r="AP1499" s="6"/>
      <c r="AQ1499" s="6"/>
      <c r="AR1499" s="6"/>
      <c r="AS1499" s="6"/>
      <c r="AT1499" s="6"/>
      <c r="AU1499" s="6"/>
      <c r="AV1499" s="6"/>
      <c r="AW1499" s="6"/>
      <c r="AX1499" s="6"/>
      <c r="AY1499" s="6"/>
      <c r="AZ1499" s="6"/>
      <c r="BA1499" s="6"/>
      <c r="BB1499" s="6"/>
      <c r="BC1499" s="6"/>
      <c r="BD1499" s="6"/>
      <c r="BE1499" s="6"/>
      <c r="BF1499" s="6"/>
      <c r="BG1499" s="6"/>
      <c r="BH1499" s="6"/>
      <c r="BI1499" s="6"/>
      <c r="BJ1499" s="6"/>
      <c r="BK1499" s="6"/>
      <c r="BL1499" s="6"/>
      <c r="BM1499" s="6"/>
      <c r="BN1499" s="6"/>
      <c r="BO1499" s="6"/>
      <c r="BP1499" s="6"/>
      <c r="BQ1499" s="6"/>
      <c r="BR1499" s="6"/>
      <c r="BS1499" s="6"/>
      <c r="BT1499" s="6"/>
      <c r="BU1499" s="6"/>
      <c r="BV1499" s="6"/>
      <c r="BW1499" s="6"/>
      <c r="BX1499" s="5"/>
      <c r="BY1499" s="7"/>
      <c r="BZ1499" s="7"/>
      <c r="CA1499" s="7"/>
      <c r="CB1499" s="7"/>
      <c r="CC1499" s="874"/>
    </row>
    <row r="1500" spans="1:81" s="400" customFormat="1" ht="14.25" customHeight="1" x14ac:dyDescent="0.25">
      <c r="A1500" s="5"/>
      <c r="B1500" s="5"/>
      <c r="C1500" s="5"/>
      <c r="D1500" s="5"/>
      <c r="E1500" s="5"/>
      <c r="F1500" s="5"/>
      <c r="G1500" s="5"/>
      <c r="H1500" s="5"/>
      <c r="I1500" s="5"/>
      <c r="J1500" s="5"/>
      <c r="K1500" s="5"/>
      <c r="L1500" s="5"/>
      <c r="M1500" s="5"/>
      <c r="N1500" s="5"/>
      <c r="O1500" s="5"/>
      <c r="P1500" s="5"/>
      <c r="Q1500" s="5"/>
      <c r="R1500" s="5"/>
      <c r="S1500" s="5"/>
      <c r="T1500" s="5"/>
      <c r="U1500" s="5"/>
      <c r="V1500" s="5"/>
      <c r="W1500" s="5"/>
      <c r="X1500" s="5"/>
      <c r="Y1500" s="5"/>
      <c r="Z1500" s="5"/>
      <c r="AA1500" s="5"/>
      <c r="AB1500" s="6"/>
      <c r="AC1500" s="6"/>
      <c r="AD1500" s="6"/>
      <c r="AE1500" s="6"/>
      <c r="AF1500" s="6"/>
      <c r="AG1500" s="6"/>
      <c r="AH1500" s="6"/>
      <c r="AI1500" s="6"/>
      <c r="AJ1500" s="6"/>
      <c r="AK1500" s="6"/>
      <c r="AL1500" s="6"/>
      <c r="AM1500" s="6"/>
      <c r="AN1500" s="6"/>
      <c r="AO1500" s="6"/>
      <c r="AP1500" s="6"/>
      <c r="AQ1500" s="6"/>
      <c r="AR1500" s="6"/>
      <c r="AS1500" s="6"/>
      <c r="AT1500" s="6"/>
      <c r="AU1500" s="6"/>
      <c r="AV1500" s="6"/>
      <c r="AW1500" s="6"/>
      <c r="AX1500" s="6"/>
      <c r="AY1500" s="6"/>
      <c r="AZ1500" s="6"/>
      <c r="BA1500" s="6"/>
      <c r="BB1500" s="6"/>
      <c r="BC1500" s="6"/>
      <c r="BD1500" s="6"/>
      <c r="BE1500" s="6"/>
      <c r="BF1500" s="6"/>
      <c r="BG1500" s="6"/>
      <c r="BH1500" s="6"/>
      <c r="BI1500" s="6"/>
      <c r="BJ1500" s="6"/>
      <c r="BK1500" s="6"/>
      <c r="BL1500" s="6"/>
      <c r="BM1500" s="6"/>
      <c r="BN1500" s="6"/>
      <c r="BO1500" s="6"/>
      <c r="BP1500" s="6"/>
      <c r="BQ1500" s="6"/>
      <c r="BR1500" s="6"/>
      <c r="BS1500" s="6"/>
      <c r="BT1500" s="6"/>
      <c r="BU1500" s="6"/>
      <c r="BV1500" s="6"/>
      <c r="BW1500" s="6"/>
      <c r="BX1500" s="5"/>
      <c r="BY1500" s="7"/>
      <c r="BZ1500" s="7"/>
      <c r="CA1500" s="7"/>
      <c r="CB1500" s="7"/>
      <c r="CC1500" s="874"/>
    </row>
    <row r="1501" spans="1:81" s="400" customFormat="1" ht="14.25" customHeight="1" x14ac:dyDescent="0.25">
      <c r="A1501" s="5"/>
      <c r="B1501" s="5"/>
      <c r="C1501" s="5"/>
      <c r="D1501" s="5"/>
      <c r="E1501" s="5"/>
      <c r="F1501" s="5"/>
      <c r="G1501" s="5"/>
      <c r="H1501" s="5"/>
      <c r="I1501" s="5"/>
      <c r="J1501" s="5"/>
      <c r="K1501" s="5"/>
      <c r="L1501" s="5"/>
      <c r="M1501" s="5"/>
      <c r="N1501" s="5"/>
      <c r="O1501" s="5"/>
      <c r="P1501" s="5"/>
      <c r="Q1501" s="5"/>
      <c r="R1501" s="5"/>
      <c r="S1501" s="5"/>
      <c r="T1501" s="5"/>
      <c r="U1501" s="5"/>
      <c r="V1501" s="5"/>
      <c r="W1501" s="5"/>
      <c r="X1501" s="5"/>
      <c r="Y1501" s="5"/>
      <c r="Z1501" s="5"/>
      <c r="AA1501" s="5"/>
      <c r="AB1501" s="6"/>
      <c r="AC1501" s="6"/>
      <c r="AD1501" s="6"/>
      <c r="AE1501" s="6"/>
      <c r="AF1501" s="6"/>
      <c r="AG1501" s="6"/>
      <c r="AH1501" s="6"/>
      <c r="AI1501" s="6"/>
      <c r="AJ1501" s="6"/>
      <c r="AK1501" s="6"/>
      <c r="AL1501" s="6"/>
      <c r="AM1501" s="6"/>
      <c r="AN1501" s="6"/>
      <c r="AO1501" s="6"/>
      <c r="AP1501" s="6"/>
      <c r="AQ1501" s="6"/>
      <c r="AR1501" s="6"/>
      <c r="AS1501" s="6"/>
      <c r="AT1501" s="6"/>
      <c r="AU1501" s="6"/>
      <c r="AV1501" s="6"/>
      <c r="AW1501" s="6"/>
      <c r="AX1501" s="6"/>
      <c r="AY1501" s="6"/>
      <c r="AZ1501" s="6"/>
      <c r="BA1501" s="6"/>
      <c r="BB1501" s="6"/>
      <c r="BC1501" s="6"/>
      <c r="BD1501" s="6"/>
      <c r="BE1501" s="6"/>
      <c r="BF1501" s="6"/>
      <c r="BG1501" s="6"/>
      <c r="BH1501" s="6"/>
      <c r="BI1501" s="6"/>
      <c r="BJ1501" s="6"/>
      <c r="BK1501" s="6"/>
      <c r="BL1501" s="6"/>
      <c r="BM1501" s="6"/>
      <c r="BN1501" s="6"/>
      <c r="BO1501" s="6"/>
      <c r="BP1501" s="6"/>
      <c r="BQ1501" s="6"/>
      <c r="BR1501" s="6"/>
      <c r="BS1501" s="6"/>
      <c r="BT1501" s="6"/>
      <c r="BU1501" s="6"/>
      <c r="BV1501" s="6"/>
      <c r="BW1501" s="6"/>
      <c r="BX1501" s="5"/>
      <c r="BY1501" s="7"/>
      <c r="BZ1501" s="7"/>
      <c r="CA1501" s="7"/>
      <c r="CB1501" s="7"/>
      <c r="CC1501" s="874"/>
    </row>
    <row r="1502" spans="1:81" s="400" customFormat="1" ht="14.25" customHeight="1" x14ac:dyDescent="0.25">
      <c r="A1502" s="5"/>
      <c r="B1502" s="5"/>
      <c r="C1502" s="5"/>
      <c r="D1502" s="5"/>
      <c r="E1502" s="5"/>
      <c r="F1502" s="5"/>
      <c r="G1502" s="5"/>
      <c r="H1502" s="5"/>
      <c r="I1502" s="5"/>
      <c r="J1502" s="5"/>
      <c r="K1502" s="5"/>
      <c r="L1502" s="5"/>
      <c r="M1502" s="5"/>
      <c r="N1502" s="5"/>
      <c r="O1502" s="5"/>
      <c r="P1502" s="5"/>
      <c r="Q1502" s="5"/>
      <c r="R1502" s="5"/>
      <c r="S1502" s="5"/>
      <c r="T1502" s="5"/>
      <c r="U1502" s="5"/>
      <c r="V1502" s="5"/>
      <c r="W1502" s="5"/>
      <c r="X1502" s="5"/>
      <c r="Y1502" s="5"/>
      <c r="Z1502" s="5"/>
      <c r="AA1502" s="5"/>
      <c r="AB1502" s="6"/>
      <c r="AC1502" s="6"/>
      <c r="AD1502" s="6"/>
      <c r="AE1502" s="6"/>
      <c r="AF1502" s="6"/>
      <c r="AG1502" s="6"/>
      <c r="AH1502" s="6"/>
      <c r="AI1502" s="6"/>
      <c r="AJ1502" s="6"/>
      <c r="AK1502" s="6"/>
      <c r="AL1502" s="6"/>
      <c r="AM1502" s="6"/>
      <c r="AN1502" s="6"/>
      <c r="AO1502" s="6"/>
      <c r="AP1502" s="6"/>
      <c r="AQ1502" s="6"/>
      <c r="AR1502" s="6"/>
      <c r="AS1502" s="6"/>
      <c r="AT1502" s="6"/>
      <c r="AU1502" s="6"/>
      <c r="AV1502" s="6"/>
      <c r="AW1502" s="6"/>
      <c r="AX1502" s="6"/>
      <c r="AY1502" s="6"/>
      <c r="AZ1502" s="6"/>
      <c r="BA1502" s="6"/>
      <c r="BB1502" s="6"/>
      <c r="BC1502" s="6"/>
      <c r="BD1502" s="6"/>
      <c r="BE1502" s="6"/>
      <c r="BF1502" s="6"/>
      <c r="BG1502" s="6"/>
      <c r="BH1502" s="6"/>
      <c r="BI1502" s="6"/>
      <c r="BJ1502" s="6"/>
      <c r="BK1502" s="6"/>
      <c r="BL1502" s="6"/>
      <c r="BM1502" s="6"/>
      <c r="BN1502" s="6"/>
      <c r="BO1502" s="6"/>
      <c r="BP1502" s="6"/>
      <c r="BQ1502" s="6"/>
      <c r="BR1502" s="6"/>
      <c r="BS1502" s="6"/>
      <c r="BT1502" s="6"/>
      <c r="BU1502" s="6"/>
      <c r="BV1502" s="6"/>
      <c r="BW1502" s="6"/>
      <c r="BX1502" s="5"/>
      <c r="BY1502" s="7"/>
      <c r="BZ1502" s="7"/>
      <c r="CA1502" s="7"/>
      <c r="CB1502" s="7"/>
      <c r="CC1502" s="874"/>
    </row>
    <row r="1503" spans="1:81" s="400" customFormat="1" ht="14.25" customHeight="1" x14ac:dyDescent="0.25">
      <c r="A1503" s="5"/>
      <c r="B1503" s="5"/>
      <c r="C1503" s="5"/>
      <c r="D1503" s="5"/>
      <c r="E1503" s="5"/>
      <c r="F1503" s="5"/>
      <c r="G1503" s="5"/>
      <c r="H1503" s="5"/>
      <c r="I1503" s="5"/>
      <c r="J1503" s="5"/>
      <c r="K1503" s="5"/>
      <c r="L1503" s="5"/>
      <c r="M1503" s="5"/>
      <c r="N1503" s="5"/>
      <c r="O1503" s="5"/>
      <c r="P1503" s="5"/>
      <c r="Q1503" s="5"/>
      <c r="R1503" s="5"/>
      <c r="S1503" s="5"/>
      <c r="T1503" s="5"/>
      <c r="U1503" s="5"/>
      <c r="V1503" s="5"/>
      <c r="W1503" s="5"/>
      <c r="X1503" s="5"/>
      <c r="Y1503" s="5"/>
      <c r="Z1503" s="5"/>
      <c r="AA1503" s="5"/>
      <c r="AB1503" s="6"/>
      <c r="AC1503" s="6"/>
      <c r="AD1503" s="6"/>
      <c r="AE1503" s="6"/>
      <c r="AF1503" s="6"/>
      <c r="AG1503" s="6"/>
      <c r="AH1503" s="6"/>
      <c r="AI1503" s="6"/>
      <c r="AJ1503" s="6"/>
      <c r="AK1503" s="6"/>
      <c r="AL1503" s="6"/>
      <c r="AM1503" s="6"/>
      <c r="AN1503" s="6"/>
      <c r="AO1503" s="6"/>
      <c r="AP1503" s="6"/>
      <c r="AQ1503" s="6"/>
      <c r="AR1503" s="6"/>
      <c r="AS1503" s="6"/>
      <c r="AT1503" s="6"/>
      <c r="AU1503" s="6"/>
      <c r="AV1503" s="6"/>
      <c r="AW1503" s="6"/>
      <c r="AX1503" s="6"/>
      <c r="AY1503" s="6"/>
      <c r="AZ1503" s="6"/>
      <c r="BA1503" s="6"/>
      <c r="BB1503" s="6"/>
      <c r="BC1503" s="6"/>
      <c r="BD1503" s="6"/>
      <c r="BE1503" s="6"/>
      <c r="BF1503" s="6"/>
      <c r="BG1503" s="6"/>
      <c r="BH1503" s="6"/>
      <c r="BI1503" s="6"/>
      <c r="BJ1503" s="6"/>
      <c r="BK1503" s="6"/>
      <c r="BL1503" s="6"/>
      <c r="BM1503" s="6"/>
      <c r="BN1503" s="6"/>
      <c r="BO1503" s="6"/>
      <c r="BP1503" s="6"/>
      <c r="BQ1503" s="6"/>
      <c r="BR1503" s="6"/>
      <c r="BS1503" s="6"/>
      <c r="BT1503" s="6"/>
      <c r="BU1503" s="6"/>
      <c r="BV1503" s="6"/>
      <c r="BW1503" s="6"/>
      <c r="BX1503" s="5"/>
      <c r="BY1503" s="7"/>
      <c r="BZ1503" s="7"/>
      <c r="CA1503" s="7"/>
      <c r="CB1503" s="7"/>
      <c r="CC1503" s="874"/>
    </row>
    <row r="1504" spans="1:81" s="400" customFormat="1" ht="14.25" customHeight="1" x14ac:dyDescent="0.25">
      <c r="A1504" s="5"/>
      <c r="B1504" s="5"/>
      <c r="C1504" s="5"/>
      <c r="D1504" s="5"/>
      <c r="E1504" s="5"/>
      <c r="F1504" s="5"/>
      <c r="G1504" s="5"/>
      <c r="H1504" s="5"/>
      <c r="I1504" s="5"/>
      <c r="J1504" s="5"/>
      <c r="K1504" s="5"/>
      <c r="L1504" s="5"/>
      <c r="M1504" s="5"/>
      <c r="N1504" s="5"/>
      <c r="O1504" s="5"/>
      <c r="P1504" s="5"/>
      <c r="Q1504" s="5"/>
      <c r="R1504" s="5"/>
      <c r="S1504" s="5"/>
      <c r="T1504" s="5"/>
      <c r="U1504" s="5"/>
      <c r="V1504" s="5"/>
      <c r="W1504" s="5"/>
      <c r="X1504" s="5"/>
      <c r="Y1504" s="5"/>
      <c r="Z1504" s="5"/>
      <c r="AA1504" s="5"/>
      <c r="AB1504" s="6"/>
      <c r="AC1504" s="6"/>
      <c r="AD1504" s="6"/>
      <c r="AE1504" s="6"/>
      <c r="AF1504" s="6"/>
      <c r="AG1504" s="6"/>
      <c r="AH1504" s="6"/>
      <c r="AI1504" s="6"/>
      <c r="AJ1504" s="6"/>
      <c r="AK1504" s="6"/>
      <c r="AL1504" s="6"/>
      <c r="AM1504" s="6"/>
      <c r="AN1504" s="6"/>
      <c r="AO1504" s="6"/>
      <c r="AP1504" s="6"/>
      <c r="AQ1504" s="6"/>
      <c r="AR1504" s="6"/>
      <c r="AS1504" s="6"/>
      <c r="AT1504" s="6"/>
      <c r="AU1504" s="6"/>
      <c r="AV1504" s="6"/>
      <c r="AW1504" s="6"/>
      <c r="AX1504" s="6"/>
      <c r="AY1504" s="6"/>
      <c r="AZ1504" s="6"/>
      <c r="BA1504" s="6"/>
      <c r="BB1504" s="6"/>
      <c r="BC1504" s="6"/>
      <c r="BD1504" s="6"/>
      <c r="BE1504" s="6"/>
      <c r="BF1504" s="6"/>
      <c r="BG1504" s="6"/>
      <c r="BH1504" s="6"/>
      <c r="BI1504" s="6"/>
      <c r="BJ1504" s="6"/>
      <c r="BK1504" s="6"/>
      <c r="BL1504" s="6"/>
      <c r="BM1504" s="6"/>
      <c r="BN1504" s="6"/>
      <c r="BO1504" s="6"/>
      <c r="BP1504" s="6"/>
      <c r="BQ1504" s="6"/>
      <c r="BR1504" s="6"/>
      <c r="BS1504" s="6"/>
      <c r="BT1504" s="6"/>
      <c r="BU1504" s="6"/>
      <c r="BV1504" s="6"/>
      <c r="BW1504" s="6"/>
      <c r="BX1504" s="5"/>
      <c r="BY1504" s="7"/>
      <c r="BZ1504" s="7"/>
      <c r="CA1504" s="7"/>
      <c r="CB1504" s="7"/>
      <c r="CC1504" s="874"/>
    </row>
    <row r="1505" spans="1:81" s="400" customFormat="1" ht="14.25" customHeight="1" x14ac:dyDescent="0.25">
      <c r="A1505" s="5"/>
      <c r="B1505" s="5"/>
      <c r="C1505" s="5"/>
      <c r="D1505" s="5"/>
      <c r="E1505" s="5"/>
      <c r="F1505" s="5"/>
      <c r="G1505" s="5"/>
      <c r="H1505" s="5"/>
      <c r="I1505" s="5"/>
      <c r="J1505" s="5"/>
      <c r="K1505" s="5"/>
      <c r="L1505" s="5"/>
      <c r="M1505" s="5"/>
      <c r="N1505" s="5"/>
      <c r="O1505" s="5"/>
      <c r="P1505" s="5"/>
      <c r="Q1505" s="5"/>
      <c r="R1505" s="5"/>
      <c r="S1505" s="5"/>
      <c r="T1505" s="5"/>
      <c r="U1505" s="5"/>
      <c r="V1505" s="5"/>
      <c r="W1505" s="5"/>
      <c r="X1505" s="5"/>
      <c r="Y1505" s="5"/>
      <c r="Z1505" s="5"/>
      <c r="AA1505" s="5"/>
      <c r="AB1505" s="6"/>
      <c r="AC1505" s="6"/>
      <c r="AD1505" s="6"/>
      <c r="AE1505" s="6"/>
      <c r="AF1505" s="6"/>
      <c r="AG1505" s="6"/>
      <c r="AH1505" s="6"/>
      <c r="AI1505" s="6"/>
      <c r="AJ1505" s="6"/>
      <c r="AK1505" s="6"/>
      <c r="AL1505" s="6"/>
      <c r="AM1505" s="6"/>
      <c r="AN1505" s="6"/>
      <c r="AO1505" s="6"/>
      <c r="AP1505" s="6"/>
      <c r="AQ1505" s="6"/>
      <c r="AR1505" s="6"/>
      <c r="AS1505" s="6"/>
      <c r="AT1505" s="6"/>
      <c r="AU1505" s="6"/>
      <c r="AV1505" s="6"/>
      <c r="AW1505" s="6"/>
      <c r="AX1505" s="6"/>
      <c r="AY1505" s="6"/>
      <c r="AZ1505" s="6"/>
      <c r="BA1505" s="6"/>
      <c r="BB1505" s="6"/>
      <c r="BC1505" s="6"/>
      <c r="BD1505" s="6"/>
      <c r="BE1505" s="6"/>
      <c r="BF1505" s="6"/>
      <c r="BG1505" s="6"/>
      <c r="BH1505" s="6"/>
      <c r="BI1505" s="6"/>
      <c r="BJ1505" s="6"/>
      <c r="BK1505" s="6"/>
      <c r="BL1505" s="6"/>
      <c r="BM1505" s="6"/>
      <c r="BN1505" s="6"/>
      <c r="BO1505" s="6"/>
      <c r="BP1505" s="6"/>
      <c r="BQ1505" s="6"/>
      <c r="BR1505" s="6"/>
      <c r="BS1505" s="6"/>
      <c r="BT1505" s="6"/>
      <c r="BU1505" s="6"/>
      <c r="BV1505" s="6"/>
      <c r="BW1505" s="6"/>
      <c r="BX1505" s="5"/>
      <c r="BY1505" s="7"/>
      <c r="BZ1505" s="7"/>
      <c r="CA1505" s="7"/>
      <c r="CB1505" s="7"/>
      <c r="CC1505" s="874"/>
    </row>
    <row r="1506" spans="1:81" s="400" customFormat="1" ht="14.25" customHeight="1" x14ac:dyDescent="0.25">
      <c r="A1506" s="5"/>
      <c r="B1506" s="5"/>
      <c r="C1506" s="5"/>
      <c r="D1506" s="5"/>
      <c r="E1506" s="5"/>
      <c r="F1506" s="5"/>
      <c r="G1506" s="5"/>
      <c r="H1506" s="5"/>
      <c r="I1506" s="5"/>
      <c r="J1506" s="5"/>
      <c r="K1506" s="5"/>
      <c r="L1506" s="5"/>
      <c r="M1506" s="5"/>
      <c r="N1506" s="5"/>
      <c r="O1506" s="5"/>
      <c r="P1506" s="5"/>
      <c r="Q1506" s="5"/>
      <c r="R1506" s="5"/>
      <c r="S1506" s="5"/>
      <c r="T1506" s="5"/>
      <c r="U1506" s="5"/>
      <c r="V1506" s="5"/>
      <c r="W1506" s="5"/>
      <c r="X1506" s="5"/>
      <c r="Y1506" s="5"/>
      <c r="Z1506" s="5"/>
      <c r="AA1506" s="5"/>
      <c r="AB1506" s="6"/>
      <c r="AC1506" s="6"/>
      <c r="AD1506" s="6"/>
      <c r="AE1506" s="6"/>
      <c r="AF1506" s="6"/>
      <c r="AG1506" s="6"/>
      <c r="AH1506" s="6"/>
      <c r="AI1506" s="6"/>
      <c r="AJ1506" s="6"/>
      <c r="AK1506" s="6"/>
      <c r="AL1506" s="6"/>
      <c r="AM1506" s="6"/>
      <c r="AN1506" s="6"/>
      <c r="AO1506" s="6"/>
      <c r="AP1506" s="6"/>
      <c r="AQ1506" s="6"/>
      <c r="AR1506" s="6"/>
      <c r="AS1506" s="6"/>
      <c r="AT1506" s="6"/>
      <c r="AU1506" s="6"/>
      <c r="AV1506" s="6"/>
      <c r="AW1506" s="6"/>
      <c r="AX1506" s="6"/>
      <c r="AY1506" s="6"/>
      <c r="AZ1506" s="6"/>
      <c r="BA1506" s="6"/>
      <c r="BB1506" s="6"/>
      <c r="BC1506" s="6"/>
      <c r="BD1506" s="6"/>
      <c r="BE1506" s="6"/>
      <c r="BF1506" s="6"/>
      <c r="BG1506" s="6"/>
      <c r="BH1506" s="6"/>
      <c r="BI1506" s="6"/>
      <c r="BJ1506" s="6"/>
      <c r="BK1506" s="6"/>
      <c r="BL1506" s="6"/>
      <c r="BM1506" s="6"/>
      <c r="BN1506" s="6"/>
      <c r="BO1506" s="6"/>
      <c r="BP1506" s="6"/>
      <c r="BQ1506" s="6"/>
      <c r="BR1506" s="6"/>
      <c r="BS1506" s="6"/>
      <c r="BT1506" s="6"/>
      <c r="BU1506" s="6"/>
      <c r="BV1506" s="6"/>
      <c r="BW1506" s="6"/>
      <c r="BX1506" s="5"/>
      <c r="BY1506" s="7"/>
      <c r="BZ1506" s="7"/>
      <c r="CA1506" s="7"/>
      <c r="CB1506" s="7"/>
      <c r="CC1506" s="874"/>
    </row>
    <row r="1507" spans="1:81" s="400" customFormat="1" ht="14.25" customHeight="1" x14ac:dyDescent="0.25">
      <c r="A1507" s="5"/>
      <c r="B1507" s="5"/>
      <c r="C1507" s="5"/>
      <c r="D1507" s="5"/>
      <c r="E1507" s="5"/>
      <c r="F1507" s="5"/>
      <c r="G1507" s="5"/>
      <c r="H1507" s="5"/>
      <c r="I1507" s="5"/>
      <c r="J1507" s="5"/>
      <c r="K1507" s="5"/>
      <c r="L1507" s="5"/>
      <c r="M1507" s="5"/>
      <c r="N1507" s="5"/>
      <c r="O1507" s="5"/>
      <c r="P1507" s="5"/>
      <c r="Q1507" s="5"/>
      <c r="R1507" s="5"/>
      <c r="S1507" s="5"/>
      <c r="T1507" s="5"/>
      <c r="U1507" s="5"/>
      <c r="V1507" s="5"/>
      <c r="W1507" s="5"/>
      <c r="X1507" s="5"/>
      <c r="Y1507" s="5"/>
      <c r="Z1507" s="5"/>
      <c r="AA1507" s="5"/>
      <c r="AB1507" s="6"/>
      <c r="AC1507" s="6"/>
      <c r="AD1507" s="6"/>
      <c r="AE1507" s="6"/>
      <c r="AF1507" s="6"/>
      <c r="AG1507" s="6"/>
      <c r="AH1507" s="6"/>
      <c r="AI1507" s="6"/>
      <c r="AJ1507" s="6"/>
      <c r="AK1507" s="6"/>
      <c r="AL1507" s="6"/>
      <c r="AM1507" s="6"/>
      <c r="AN1507" s="6"/>
      <c r="AO1507" s="6"/>
      <c r="AP1507" s="6"/>
      <c r="AQ1507" s="6"/>
      <c r="AR1507" s="6"/>
      <c r="AS1507" s="6"/>
      <c r="AT1507" s="6"/>
      <c r="AU1507" s="6"/>
      <c r="AV1507" s="6"/>
      <c r="AW1507" s="6"/>
      <c r="AX1507" s="6"/>
      <c r="AY1507" s="6"/>
      <c r="AZ1507" s="6"/>
      <c r="BA1507" s="6"/>
      <c r="BB1507" s="6"/>
      <c r="BC1507" s="6"/>
      <c r="BD1507" s="6"/>
      <c r="BE1507" s="6"/>
      <c r="BF1507" s="6"/>
      <c r="BG1507" s="6"/>
      <c r="BH1507" s="6"/>
      <c r="BI1507" s="6"/>
      <c r="BJ1507" s="6"/>
      <c r="BK1507" s="6"/>
      <c r="BL1507" s="6"/>
      <c r="BM1507" s="6"/>
      <c r="BN1507" s="6"/>
      <c r="BO1507" s="6"/>
      <c r="BP1507" s="6"/>
      <c r="BQ1507" s="6"/>
      <c r="BR1507" s="6"/>
      <c r="BS1507" s="6"/>
      <c r="BT1507" s="6"/>
      <c r="BU1507" s="6"/>
      <c r="BV1507" s="6"/>
      <c r="BW1507" s="6"/>
      <c r="BX1507" s="5"/>
      <c r="BY1507" s="7"/>
      <c r="BZ1507" s="7"/>
      <c r="CA1507" s="7"/>
      <c r="CB1507" s="7"/>
      <c r="CC1507" s="874"/>
    </row>
    <row r="1508" spans="1:81" s="400" customFormat="1" ht="14.25" customHeight="1" x14ac:dyDescent="0.25">
      <c r="A1508" s="5"/>
      <c r="B1508" s="5"/>
      <c r="C1508" s="5"/>
      <c r="D1508" s="5"/>
      <c r="E1508" s="5"/>
      <c r="F1508" s="5"/>
      <c r="G1508" s="5"/>
      <c r="H1508" s="5"/>
      <c r="I1508" s="5"/>
      <c r="J1508" s="5"/>
      <c r="K1508" s="5"/>
      <c r="L1508" s="5"/>
      <c r="M1508" s="5"/>
      <c r="N1508" s="5"/>
      <c r="O1508" s="5"/>
      <c r="P1508" s="5"/>
      <c r="Q1508" s="5"/>
      <c r="R1508" s="5"/>
      <c r="S1508" s="5"/>
      <c r="T1508" s="5"/>
      <c r="U1508" s="5"/>
      <c r="V1508" s="5"/>
      <c r="W1508" s="5"/>
      <c r="X1508" s="5"/>
      <c r="Y1508" s="5"/>
      <c r="Z1508" s="5"/>
      <c r="AA1508" s="5"/>
      <c r="AB1508" s="6"/>
      <c r="AC1508" s="6"/>
      <c r="AD1508" s="6"/>
      <c r="AE1508" s="6"/>
      <c r="AF1508" s="6"/>
      <c r="AG1508" s="6"/>
      <c r="AH1508" s="6"/>
      <c r="AI1508" s="6"/>
      <c r="AJ1508" s="6"/>
      <c r="AK1508" s="6"/>
      <c r="AL1508" s="6"/>
      <c r="AM1508" s="6"/>
      <c r="AN1508" s="6"/>
      <c r="AO1508" s="6"/>
      <c r="AP1508" s="6"/>
      <c r="AQ1508" s="6"/>
      <c r="AR1508" s="6"/>
      <c r="AS1508" s="6"/>
      <c r="AT1508" s="6"/>
      <c r="AU1508" s="6"/>
      <c r="AV1508" s="6"/>
      <c r="AW1508" s="6"/>
      <c r="AX1508" s="6"/>
      <c r="AY1508" s="6"/>
      <c r="AZ1508" s="6"/>
      <c r="BA1508" s="6"/>
      <c r="BB1508" s="6"/>
      <c r="BC1508" s="6"/>
      <c r="BD1508" s="6"/>
      <c r="BE1508" s="6"/>
      <c r="BF1508" s="6"/>
      <c r="BG1508" s="6"/>
      <c r="BH1508" s="6"/>
      <c r="BI1508" s="6"/>
      <c r="BJ1508" s="6"/>
      <c r="BK1508" s="6"/>
      <c r="BL1508" s="6"/>
      <c r="BM1508" s="6"/>
      <c r="BN1508" s="6"/>
      <c r="BO1508" s="6"/>
      <c r="BP1508" s="6"/>
      <c r="BQ1508" s="6"/>
      <c r="BR1508" s="6"/>
      <c r="BS1508" s="6"/>
      <c r="BT1508" s="6"/>
      <c r="BU1508" s="6"/>
      <c r="BV1508" s="6"/>
      <c r="BW1508" s="6"/>
      <c r="BX1508" s="5"/>
      <c r="BY1508" s="7"/>
      <c r="BZ1508" s="7"/>
      <c r="CA1508" s="7"/>
      <c r="CB1508" s="7"/>
      <c r="CC1508" s="874"/>
    </row>
    <row r="1509" spans="1:81" s="400" customFormat="1" ht="14.25" customHeight="1" x14ac:dyDescent="0.25">
      <c r="A1509" s="5"/>
      <c r="B1509" s="5"/>
      <c r="C1509" s="5"/>
      <c r="D1509" s="5"/>
      <c r="E1509" s="5"/>
      <c r="F1509" s="5"/>
      <c r="G1509" s="5"/>
      <c r="H1509" s="5"/>
      <c r="I1509" s="5"/>
      <c r="J1509" s="5"/>
      <c r="K1509" s="5"/>
      <c r="L1509" s="5"/>
      <c r="M1509" s="5"/>
      <c r="N1509" s="5"/>
      <c r="O1509" s="5"/>
      <c r="P1509" s="5"/>
      <c r="Q1509" s="5"/>
      <c r="R1509" s="5"/>
      <c r="S1509" s="5"/>
      <c r="T1509" s="5"/>
      <c r="U1509" s="5"/>
      <c r="V1509" s="5"/>
      <c r="W1509" s="5"/>
      <c r="X1509" s="5"/>
      <c r="Y1509" s="5"/>
      <c r="Z1509" s="5"/>
      <c r="AA1509" s="5"/>
      <c r="AB1509" s="6"/>
      <c r="AC1509" s="6"/>
      <c r="AD1509" s="6"/>
      <c r="AE1509" s="6"/>
      <c r="AF1509" s="6"/>
      <c r="AG1509" s="6"/>
      <c r="AH1509" s="6"/>
      <c r="AI1509" s="6"/>
      <c r="AJ1509" s="6"/>
      <c r="AK1509" s="6"/>
      <c r="AL1509" s="6"/>
      <c r="AM1509" s="6"/>
      <c r="AN1509" s="6"/>
      <c r="AO1509" s="6"/>
      <c r="AP1509" s="6"/>
      <c r="AQ1509" s="6"/>
      <c r="AR1509" s="6"/>
      <c r="AS1509" s="6"/>
      <c r="AT1509" s="6"/>
      <c r="AU1509" s="6"/>
      <c r="AV1509" s="6"/>
      <c r="AW1509" s="6"/>
      <c r="AX1509" s="6"/>
      <c r="AY1509" s="6"/>
      <c r="AZ1509" s="6"/>
      <c r="BA1509" s="6"/>
      <c r="BB1509" s="6"/>
      <c r="BC1509" s="6"/>
      <c r="BD1509" s="6"/>
      <c r="BE1509" s="6"/>
      <c r="BF1509" s="6"/>
      <c r="BG1509" s="6"/>
      <c r="BH1509" s="6"/>
      <c r="BI1509" s="6"/>
      <c r="BJ1509" s="6"/>
      <c r="BK1509" s="6"/>
      <c r="BL1509" s="6"/>
      <c r="BM1509" s="6"/>
      <c r="BN1509" s="6"/>
      <c r="BO1509" s="6"/>
      <c r="BP1509" s="6"/>
      <c r="BQ1509" s="6"/>
      <c r="BR1509" s="6"/>
      <c r="BS1509" s="6"/>
      <c r="BT1509" s="6"/>
      <c r="BU1509" s="6"/>
      <c r="BV1509" s="6"/>
      <c r="BW1509" s="6"/>
      <c r="BX1509" s="5"/>
      <c r="BY1509" s="7"/>
      <c r="BZ1509" s="7"/>
      <c r="CA1509" s="7"/>
      <c r="CB1509" s="7"/>
      <c r="CC1509" s="874"/>
    </row>
    <row r="1510" spans="1:81" s="400" customFormat="1" ht="14.25" customHeight="1" x14ac:dyDescent="0.25">
      <c r="A1510" s="5"/>
      <c r="B1510" s="5"/>
      <c r="C1510" s="5"/>
      <c r="D1510" s="5"/>
      <c r="E1510" s="5"/>
      <c r="F1510" s="5"/>
      <c r="G1510" s="5"/>
      <c r="H1510" s="5"/>
      <c r="I1510" s="5"/>
      <c r="J1510" s="5"/>
      <c r="K1510" s="5"/>
      <c r="L1510" s="5"/>
      <c r="M1510" s="5"/>
      <c r="N1510" s="5"/>
      <c r="O1510" s="5"/>
      <c r="P1510" s="5"/>
      <c r="Q1510" s="5"/>
      <c r="R1510" s="5"/>
      <c r="S1510" s="5"/>
      <c r="T1510" s="5"/>
      <c r="U1510" s="5"/>
      <c r="V1510" s="5"/>
      <c r="W1510" s="5"/>
      <c r="X1510" s="5"/>
      <c r="Y1510" s="5"/>
      <c r="Z1510" s="5"/>
      <c r="AA1510" s="5"/>
      <c r="AB1510" s="6"/>
      <c r="AC1510" s="6"/>
      <c r="AD1510" s="6"/>
      <c r="AE1510" s="6"/>
      <c r="AF1510" s="6"/>
      <c r="AG1510" s="6"/>
      <c r="AH1510" s="6"/>
      <c r="AI1510" s="6"/>
      <c r="AJ1510" s="6"/>
      <c r="AK1510" s="6"/>
      <c r="AL1510" s="6"/>
      <c r="AM1510" s="6"/>
      <c r="AN1510" s="6"/>
      <c r="AO1510" s="6"/>
      <c r="AP1510" s="6"/>
      <c r="AQ1510" s="6"/>
      <c r="AR1510" s="6"/>
      <c r="AS1510" s="6"/>
      <c r="AT1510" s="6"/>
      <c r="AU1510" s="6"/>
      <c r="AV1510" s="6"/>
      <c r="AW1510" s="6"/>
      <c r="AX1510" s="6"/>
      <c r="AY1510" s="6"/>
      <c r="AZ1510" s="6"/>
      <c r="BA1510" s="6"/>
      <c r="BB1510" s="6"/>
      <c r="BC1510" s="6"/>
      <c r="BD1510" s="6"/>
      <c r="BE1510" s="6"/>
      <c r="BF1510" s="6"/>
      <c r="BG1510" s="6"/>
      <c r="BH1510" s="6"/>
      <c r="BI1510" s="6"/>
      <c r="BJ1510" s="6"/>
      <c r="BK1510" s="6"/>
      <c r="BL1510" s="6"/>
      <c r="BM1510" s="6"/>
      <c r="BN1510" s="6"/>
      <c r="BO1510" s="6"/>
      <c r="BP1510" s="6"/>
      <c r="BQ1510" s="6"/>
      <c r="BR1510" s="6"/>
      <c r="BS1510" s="6"/>
      <c r="BT1510" s="6"/>
      <c r="BU1510" s="6"/>
      <c r="BV1510" s="6"/>
      <c r="BW1510" s="6"/>
      <c r="BX1510" s="5"/>
      <c r="BY1510" s="7"/>
      <c r="BZ1510" s="7"/>
      <c r="CA1510" s="7"/>
      <c r="CB1510" s="7"/>
      <c r="CC1510" s="874"/>
    </row>
    <row r="1511" spans="1:81" s="400" customFormat="1" ht="14.25" customHeight="1" x14ac:dyDescent="0.25">
      <c r="A1511" s="5"/>
      <c r="B1511" s="5"/>
      <c r="C1511" s="5"/>
      <c r="D1511" s="5"/>
      <c r="E1511" s="5"/>
      <c r="F1511" s="5"/>
      <c r="G1511" s="5"/>
      <c r="H1511" s="5"/>
      <c r="I1511" s="5"/>
      <c r="J1511" s="5"/>
      <c r="K1511" s="5"/>
      <c r="L1511" s="5"/>
      <c r="M1511" s="5"/>
      <c r="N1511" s="5"/>
      <c r="O1511" s="5"/>
      <c r="P1511" s="5"/>
      <c r="Q1511" s="5"/>
      <c r="R1511" s="5"/>
      <c r="S1511" s="5"/>
      <c r="T1511" s="5"/>
      <c r="U1511" s="5"/>
      <c r="V1511" s="5"/>
      <c r="W1511" s="5"/>
      <c r="X1511" s="5"/>
      <c r="Y1511" s="5"/>
      <c r="Z1511" s="5"/>
      <c r="AA1511" s="5"/>
      <c r="AB1511" s="6"/>
      <c r="AC1511" s="6"/>
      <c r="AD1511" s="6"/>
      <c r="AE1511" s="6"/>
      <c r="AF1511" s="6"/>
      <c r="AG1511" s="6"/>
      <c r="AH1511" s="6"/>
      <c r="AI1511" s="6"/>
      <c r="AJ1511" s="6"/>
      <c r="AK1511" s="6"/>
      <c r="AL1511" s="6"/>
      <c r="AM1511" s="6"/>
      <c r="AN1511" s="6"/>
      <c r="AO1511" s="6"/>
      <c r="AP1511" s="6"/>
      <c r="AQ1511" s="6"/>
      <c r="AR1511" s="6"/>
      <c r="AS1511" s="6"/>
      <c r="AT1511" s="6"/>
      <c r="AU1511" s="6"/>
      <c r="AV1511" s="6"/>
      <c r="AW1511" s="6"/>
      <c r="AX1511" s="6"/>
      <c r="AY1511" s="6"/>
      <c r="AZ1511" s="6"/>
      <c r="BA1511" s="6"/>
      <c r="BB1511" s="6"/>
      <c r="BC1511" s="6"/>
      <c r="BD1511" s="6"/>
      <c r="BE1511" s="6"/>
      <c r="BF1511" s="6"/>
      <c r="BG1511" s="6"/>
      <c r="BH1511" s="6"/>
      <c r="BI1511" s="6"/>
      <c r="BJ1511" s="6"/>
      <c r="BK1511" s="6"/>
      <c r="BL1511" s="6"/>
      <c r="BM1511" s="6"/>
      <c r="BN1511" s="6"/>
      <c r="BO1511" s="6"/>
      <c r="BP1511" s="6"/>
      <c r="BQ1511" s="6"/>
      <c r="BR1511" s="6"/>
      <c r="BS1511" s="6"/>
      <c r="BT1511" s="6"/>
      <c r="BU1511" s="6"/>
      <c r="BV1511" s="6"/>
      <c r="BW1511" s="6"/>
      <c r="BX1511" s="5"/>
      <c r="BY1511" s="7"/>
      <c r="BZ1511" s="7"/>
      <c r="CA1511" s="7"/>
      <c r="CB1511" s="7"/>
      <c r="CC1511" s="874"/>
    </row>
    <row r="1512" spans="1:81" s="400" customFormat="1" ht="14.25" customHeight="1" x14ac:dyDescent="0.25">
      <c r="A1512" s="5"/>
      <c r="B1512" s="5"/>
      <c r="C1512" s="5"/>
      <c r="D1512" s="5"/>
      <c r="E1512" s="5"/>
      <c r="F1512" s="5"/>
      <c r="G1512" s="5"/>
      <c r="H1512" s="5"/>
      <c r="I1512" s="5"/>
      <c r="J1512" s="5"/>
      <c r="K1512" s="5"/>
      <c r="L1512" s="5"/>
      <c r="M1512" s="5"/>
      <c r="N1512" s="5"/>
      <c r="O1512" s="5"/>
      <c r="P1512" s="5"/>
      <c r="Q1512" s="5"/>
      <c r="R1512" s="5"/>
      <c r="S1512" s="5"/>
      <c r="T1512" s="5"/>
      <c r="U1512" s="5"/>
      <c r="V1512" s="5"/>
      <c r="W1512" s="5"/>
      <c r="X1512" s="5"/>
      <c r="Y1512" s="5"/>
      <c r="Z1512" s="5"/>
      <c r="AA1512" s="5"/>
      <c r="AB1512" s="6"/>
      <c r="AC1512" s="6"/>
      <c r="AD1512" s="6"/>
      <c r="AE1512" s="6"/>
      <c r="AF1512" s="6"/>
      <c r="AG1512" s="6"/>
      <c r="AH1512" s="6"/>
      <c r="AI1512" s="6"/>
      <c r="AJ1512" s="6"/>
      <c r="AK1512" s="6"/>
      <c r="AL1512" s="6"/>
      <c r="AM1512" s="6"/>
      <c r="AN1512" s="6"/>
      <c r="AO1512" s="6"/>
      <c r="AP1512" s="6"/>
      <c r="AQ1512" s="6"/>
      <c r="AR1512" s="6"/>
      <c r="AS1512" s="6"/>
      <c r="AT1512" s="6"/>
      <c r="AU1512" s="6"/>
      <c r="AV1512" s="6"/>
      <c r="AW1512" s="6"/>
      <c r="AX1512" s="6"/>
      <c r="AY1512" s="6"/>
      <c r="AZ1512" s="6"/>
      <c r="BA1512" s="6"/>
      <c r="BB1512" s="6"/>
      <c r="BC1512" s="6"/>
      <c r="BD1512" s="6"/>
      <c r="BE1512" s="6"/>
      <c r="BF1512" s="6"/>
      <c r="BG1512" s="6"/>
      <c r="BH1512" s="6"/>
      <c r="BI1512" s="6"/>
      <c r="BJ1512" s="6"/>
      <c r="BK1512" s="6"/>
      <c r="BL1512" s="6"/>
      <c r="BM1512" s="6"/>
      <c r="BN1512" s="6"/>
      <c r="BO1512" s="6"/>
      <c r="BP1512" s="6"/>
      <c r="BQ1512" s="6"/>
      <c r="BR1512" s="6"/>
      <c r="BS1512" s="6"/>
      <c r="BT1512" s="6"/>
      <c r="BU1512" s="6"/>
      <c r="BV1512" s="6"/>
      <c r="BW1512" s="6"/>
      <c r="BX1512" s="5"/>
      <c r="BY1512" s="7"/>
      <c r="BZ1512" s="7"/>
      <c r="CA1512" s="7"/>
      <c r="CB1512" s="7"/>
      <c r="CC1512" s="874"/>
    </row>
    <row r="1513" spans="1:81" s="400" customFormat="1" ht="14.25" customHeight="1" x14ac:dyDescent="0.25">
      <c r="A1513" s="5"/>
      <c r="B1513" s="5"/>
      <c r="C1513" s="5"/>
      <c r="D1513" s="5"/>
      <c r="E1513" s="5"/>
      <c r="F1513" s="5"/>
      <c r="G1513" s="5"/>
      <c r="H1513" s="5"/>
      <c r="I1513" s="5"/>
      <c r="J1513" s="5"/>
      <c r="K1513" s="5"/>
      <c r="L1513" s="5"/>
      <c r="M1513" s="5"/>
      <c r="N1513" s="5"/>
      <c r="O1513" s="5"/>
      <c r="P1513" s="5"/>
      <c r="Q1513" s="5"/>
      <c r="R1513" s="5"/>
      <c r="S1513" s="5"/>
      <c r="T1513" s="5"/>
      <c r="U1513" s="5"/>
      <c r="V1513" s="5"/>
      <c r="W1513" s="5"/>
      <c r="X1513" s="5"/>
      <c r="Y1513" s="5"/>
      <c r="Z1513" s="5"/>
      <c r="AA1513" s="5"/>
      <c r="AB1513" s="6"/>
      <c r="AC1513" s="6"/>
      <c r="AD1513" s="6"/>
      <c r="AE1513" s="6"/>
      <c r="AF1513" s="6"/>
      <c r="AG1513" s="6"/>
      <c r="AH1513" s="6"/>
      <c r="AI1513" s="6"/>
      <c r="AJ1513" s="6"/>
      <c r="AK1513" s="6"/>
      <c r="AL1513" s="6"/>
      <c r="AM1513" s="6"/>
      <c r="AN1513" s="6"/>
      <c r="AO1513" s="6"/>
      <c r="AP1513" s="6"/>
      <c r="AQ1513" s="6"/>
      <c r="AR1513" s="6"/>
      <c r="AS1513" s="6"/>
      <c r="AT1513" s="6"/>
      <c r="AU1513" s="6"/>
      <c r="AV1513" s="6"/>
      <c r="AW1513" s="6"/>
      <c r="AX1513" s="6"/>
      <c r="AY1513" s="6"/>
      <c r="AZ1513" s="6"/>
      <c r="BA1513" s="6"/>
      <c r="BB1513" s="6"/>
      <c r="BC1513" s="6"/>
      <c r="BD1513" s="6"/>
      <c r="BE1513" s="6"/>
      <c r="BF1513" s="6"/>
      <c r="BG1513" s="6"/>
      <c r="BH1513" s="6"/>
      <c r="BI1513" s="6"/>
      <c r="BJ1513" s="6"/>
      <c r="BK1513" s="6"/>
      <c r="BL1513" s="6"/>
      <c r="BM1513" s="6"/>
      <c r="BN1513" s="6"/>
      <c r="BO1513" s="6"/>
      <c r="BP1513" s="6"/>
      <c r="BQ1513" s="6"/>
      <c r="BR1513" s="6"/>
      <c r="BS1513" s="6"/>
      <c r="BT1513" s="6"/>
      <c r="BU1513" s="6"/>
      <c r="BV1513" s="6"/>
      <c r="BW1513" s="6"/>
      <c r="BX1513" s="5"/>
      <c r="BY1513" s="7"/>
      <c r="BZ1513" s="7"/>
      <c r="CA1513" s="7"/>
      <c r="CB1513" s="7"/>
      <c r="CC1513" s="874"/>
    </row>
    <row r="1514" spans="1:81" s="400" customFormat="1" ht="14.25" customHeight="1" x14ac:dyDescent="0.25">
      <c r="A1514" s="5"/>
      <c r="B1514" s="5"/>
      <c r="C1514" s="5"/>
      <c r="D1514" s="5"/>
      <c r="E1514" s="5"/>
      <c r="F1514" s="5"/>
      <c r="G1514" s="5"/>
      <c r="H1514" s="5"/>
      <c r="I1514" s="5"/>
      <c r="J1514" s="5"/>
      <c r="K1514" s="5"/>
      <c r="L1514" s="5"/>
      <c r="M1514" s="5"/>
      <c r="N1514" s="5"/>
      <c r="O1514" s="5"/>
      <c r="P1514" s="5"/>
      <c r="Q1514" s="5"/>
      <c r="R1514" s="5"/>
      <c r="S1514" s="5"/>
      <c r="T1514" s="5"/>
      <c r="U1514" s="5"/>
      <c r="V1514" s="5"/>
      <c r="W1514" s="5"/>
      <c r="X1514" s="5"/>
      <c r="Y1514" s="5"/>
      <c r="Z1514" s="5"/>
      <c r="AA1514" s="5"/>
      <c r="AB1514" s="6"/>
      <c r="AC1514" s="6"/>
      <c r="AD1514" s="6"/>
      <c r="AE1514" s="6"/>
      <c r="AF1514" s="6"/>
      <c r="AG1514" s="6"/>
      <c r="AH1514" s="6"/>
      <c r="AI1514" s="6"/>
      <c r="AJ1514" s="6"/>
      <c r="AK1514" s="6"/>
      <c r="AL1514" s="6"/>
      <c r="AM1514" s="6"/>
      <c r="AN1514" s="6"/>
      <c r="AO1514" s="6"/>
      <c r="AP1514" s="6"/>
      <c r="AQ1514" s="6"/>
      <c r="AR1514" s="6"/>
      <c r="AS1514" s="6"/>
      <c r="AT1514" s="6"/>
      <c r="AU1514" s="6"/>
      <c r="AV1514" s="6"/>
      <c r="AW1514" s="6"/>
      <c r="AX1514" s="6"/>
      <c r="AY1514" s="6"/>
      <c r="AZ1514" s="6"/>
      <c r="BA1514" s="6"/>
      <c r="BB1514" s="6"/>
      <c r="BC1514" s="6"/>
      <c r="BD1514" s="6"/>
      <c r="BE1514" s="6"/>
      <c r="BF1514" s="6"/>
      <c r="BG1514" s="6"/>
      <c r="BH1514" s="6"/>
      <c r="BI1514" s="6"/>
      <c r="BJ1514" s="6"/>
      <c r="BK1514" s="6"/>
      <c r="BL1514" s="6"/>
      <c r="BM1514" s="6"/>
      <c r="BN1514" s="6"/>
      <c r="BO1514" s="6"/>
      <c r="BP1514" s="6"/>
      <c r="BQ1514" s="6"/>
      <c r="BR1514" s="6"/>
      <c r="BS1514" s="6"/>
      <c r="BT1514" s="6"/>
      <c r="BU1514" s="6"/>
      <c r="BV1514" s="6"/>
      <c r="BW1514" s="6"/>
      <c r="BX1514" s="5"/>
      <c r="BY1514" s="7"/>
      <c r="BZ1514" s="7"/>
      <c r="CA1514" s="7"/>
      <c r="CB1514" s="7"/>
      <c r="CC1514" s="874"/>
    </row>
    <row r="1515" spans="1:81" s="400" customFormat="1" ht="14.25" customHeight="1" x14ac:dyDescent="0.25">
      <c r="A1515" s="5"/>
      <c r="B1515" s="5"/>
      <c r="C1515" s="5"/>
      <c r="D1515" s="5"/>
      <c r="E1515" s="5"/>
      <c r="F1515" s="5"/>
      <c r="G1515" s="5"/>
      <c r="H1515" s="5"/>
      <c r="I1515" s="5"/>
      <c r="J1515" s="5"/>
      <c r="K1515" s="5"/>
      <c r="L1515" s="5"/>
      <c r="M1515" s="5"/>
      <c r="N1515" s="5"/>
      <c r="O1515" s="5"/>
      <c r="P1515" s="5"/>
      <c r="Q1515" s="5"/>
      <c r="R1515" s="5"/>
      <c r="S1515" s="5"/>
      <c r="T1515" s="5"/>
      <c r="U1515" s="5"/>
      <c r="V1515" s="5"/>
      <c r="W1515" s="5"/>
      <c r="X1515" s="5"/>
      <c r="Y1515" s="5"/>
      <c r="Z1515" s="5"/>
      <c r="AA1515" s="5"/>
      <c r="AB1515" s="6"/>
      <c r="AC1515" s="6"/>
      <c r="AD1515" s="6"/>
      <c r="AE1515" s="6"/>
      <c r="AF1515" s="6"/>
      <c r="AG1515" s="6"/>
      <c r="AH1515" s="6"/>
      <c r="AI1515" s="6"/>
      <c r="AJ1515" s="6"/>
      <c r="AK1515" s="6"/>
      <c r="AL1515" s="6"/>
      <c r="AM1515" s="6"/>
      <c r="AN1515" s="6"/>
      <c r="AO1515" s="6"/>
      <c r="AP1515" s="6"/>
      <c r="AQ1515" s="6"/>
      <c r="AR1515" s="6"/>
      <c r="AS1515" s="6"/>
      <c r="AT1515" s="6"/>
      <c r="AU1515" s="6"/>
      <c r="AV1515" s="6"/>
      <c r="AW1515" s="6"/>
      <c r="AX1515" s="6"/>
      <c r="AY1515" s="6"/>
      <c r="AZ1515" s="6"/>
      <c r="BA1515" s="6"/>
      <c r="BB1515" s="6"/>
      <c r="BC1515" s="6"/>
      <c r="BD1515" s="6"/>
      <c r="BE1515" s="6"/>
      <c r="BF1515" s="6"/>
      <c r="BG1515" s="6"/>
      <c r="BH1515" s="6"/>
      <c r="BI1515" s="6"/>
      <c r="BJ1515" s="6"/>
      <c r="BK1515" s="6"/>
      <c r="BL1515" s="6"/>
      <c r="BM1515" s="6"/>
      <c r="BN1515" s="6"/>
      <c r="BO1515" s="6"/>
      <c r="BP1515" s="6"/>
      <c r="BQ1515" s="6"/>
      <c r="BR1515" s="6"/>
      <c r="BS1515" s="6"/>
      <c r="BT1515" s="6"/>
      <c r="BU1515" s="6"/>
      <c r="BV1515" s="6"/>
      <c r="BW1515" s="6"/>
      <c r="BX1515" s="5"/>
      <c r="BY1515" s="7"/>
      <c r="BZ1515" s="7"/>
      <c r="CA1515" s="7"/>
      <c r="CB1515" s="7"/>
      <c r="CC1515" s="874"/>
    </row>
    <row r="1516" spans="1:81" s="400" customFormat="1" ht="14.25" customHeight="1" x14ac:dyDescent="0.25">
      <c r="A1516" s="5"/>
      <c r="B1516" s="5"/>
      <c r="C1516" s="5"/>
      <c r="D1516" s="5"/>
      <c r="E1516" s="5"/>
      <c r="F1516" s="5"/>
      <c r="G1516" s="5"/>
      <c r="H1516" s="5"/>
      <c r="I1516" s="5"/>
      <c r="J1516" s="5"/>
      <c r="K1516" s="5"/>
      <c r="L1516" s="5"/>
      <c r="M1516" s="5"/>
      <c r="N1516" s="5"/>
      <c r="O1516" s="5"/>
      <c r="P1516" s="5"/>
      <c r="Q1516" s="5"/>
      <c r="R1516" s="5"/>
      <c r="S1516" s="5"/>
      <c r="T1516" s="5"/>
      <c r="U1516" s="5"/>
      <c r="V1516" s="5"/>
      <c r="W1516" s="5"/>
      <c r="X1516" s="5"/>
      <c r="Y1516" s="5"/>
      <c r="Z1516" s="5"/>
      <c r="AA1516" s="5"/>
      <c r="AB1516" s="6"/>
      <c r="AC1516" s="6"/>
      <c r="AD1516" s="6"/>
      <c r="AE1516" s="6"/>
      <c r="AF1516" s="6"/>
      <c r="AG1516" s="6"/>
      <c r="AH1516" s="6"/>
      <c r="AI1516" s="6"/>
      <c r="AJ1516" s="6"/>
      <c r="AK1516" s="6"/>
      <c r="AL1516" s="6"/>
      <c r="AM1516" s="6"/>
      <c r="AN1516" s="6"/>
      <c r="AO1516" s="6"/>
      <c r="AP1516" s="6"/>
      <c r="AQ1516" s="6"/>
      <c r="AR1516" s="6"/>
      <c r="AS1516" s="6"/>
      <c r="AT1516" s="6"/>
      <c r="AU1516" s="6"/>
      <c r="AV1516" s="6"/>
      <c r="AW1516" s="6"/>
      <c r="AX1516" s="6"/>
      <c r="AY1516" s="6"/>
      <c r="AZ1516" s="6"/>
      <c r="BA1516" s="6"/>
      <c r="BB1516" s="6"/>
      <c r="BC1516" s="6"/>
      <c r="BD1516" s="6"/>
      <c r="BE1516" s="6"/>
      <c r="BF1516" s="6"/>
      <c r="BG1516" s="6"/>
      <c r="BH1516" s="6"/>
      <c r="BI1516" s="6"/>
      <c r="BJ1516" s="6"/>
      <c r="BK1516" s="6"/>
      <c r="BL1516" s="6"/>
      <c r="BM1516" s="6"/>
      <c r="BN1516" s="6"/>
      <c r="BO1516" s="6"/>
      <c r="BP1516" s="6"/>
      <c r="BQ1516" s="6"/>
      <c r="BR1516" s="6"/>
      <c r="BS1516" s="6"/>
      <c r="BT1516" s="6"/>
      <c r="BU1516" s="6"/>
      <c r="BV1516" s="6"/>
      <c r="BW1516" s="6"/>
      <c r="BX1516" s="5"/>
      <c r="BY1516" s="7"/>
      <c r="BZ1516" s="7"/>
      <c r="CA1516" s="7"/>
      <c r="CB1516" s="7"/>
      <c r="CC1516" s="874"/>
    </row>
    <row r="1517" spans="1:81" s="400" customFormat="1" ht="14.25" customHeight="1" x14ac:dyDescent="0.25">
      <c r="A1517" s="5"/>
      <c r="B1517" s="5"/>
      <c r="C1517" s="5"/>
      <c r="D1517" s="5"/>
      <c r="E1517" s="5"/>
      <c r="F1517" s="5"/>
      <c r="G1517" s="5"/>
      <c r="H1517" s="5"/>
      <c r="I1517" s="5"/>
      <c r="J1517" s="5"/>
      <c r="K1517" s="5"/>
      <c r="L1517" s="5"/>
      <c r="M1517" s="5"/>
      <c r="N1517" s="5"/>
      <c r="O1517" s="5"/>
      <c r="P1517" s="5"/>
      <c r="Q1517" s="5"/>
      <c r="R1517" s="5"/>
      <c r="S1517" s="5"/>
      <c r="T1517" s="5"/>
      <c r="U1517" s="5"/>
      <c r="V1517" s="5"/>
      <c r="W1517" s="5"/>
      <c r="X1517" s="5"/>
      <c r="Y1517" s="5"/>
      <c r="Z1517" s="5"/>
      <c r="AA1517" s="5"/>
      <c r="AB1517" s="6"/>
      <c r="AC1517" s="6"/>
      <c r="AD1517" s="6"/>
      <c r="AE1517" s="6"/>
      <c r="AF1517" s="6"/>
      <c r="AG1517" s="6"/>
      <c r="AH1517" s="6"/>
      <c r="AI1517" s="6"/>
      <c r="AJ1517" s="6"/>
      <c r="AK1517" s="6"/>
      <c r="AL1517" s="6"/>
      <c r="AM1517" s="6"/>
      <c r="AN1517" s="6"/>
      <c r="AO1517" s="6"/>
      <c r="AP1517" s="6"/>
      <c r="AQ1517" s="6"/>
      <c r="AR1517" s="6"/>
      <c r="AS1517" s="6"/>
      <c r="AT1517" s="6"/>
      <c r="AU1517" s="6"/>
      <c r="AV1517" s="6"/>
      <c r="AW1517" s="6"/>
      <c r="AX1517" s="6"/>
      <c r="AY1517" s="6"/>
      <c r="AZ1517" s="6"/>
      <c r="BA1517" s="6"/>
      <c r="BB1517" s="6"/>
      <c r="BC1517" s="6"/>
      <c r="BD1517" s="6"/>
      <c r="BE1517" s="6"/>
      <c r="BF1517" s="6"/>
      <c r="BG1517" s="6"/>
      <c r="BH1517" s="6"/>
      <c r="BI1517" s="6"/>
      <c r="BJ1517" s="6"/>
      <c r="BK1517" s="6"/>
      <c r="BL1517" s="6"/>
      <c r="BM1517" s="6"/>
      <c r="BN1517" s="6"/>
      <c r="BO1517" s="6"/>
      <c r="BP1517" s="6"/>
      <c r="BQ1517" s="6"/>
      <c r="BR1517" s="6"/>
      <c r="BS1517" s="6"/>
      <c r="BT1517" s="6"/>
      <c r="BU1517" s="6"/>
      <c r="BV1517" s="6"/>
      <c r="BW1517" s="6"/>
      <c r="BX1517" s="5"/>
      <c r="BY1517" s="7"/>
      <c r="BZ1517" s="7"/>
      <c r="CA1517" s="7"/>
      <c r="CB1517" s="7"/>
      <c r="CC1517" s="874"/>
    </row>
    <row r="1518" spans="1:81" s="400" customFormat="1" ht="14.25" customHeight="1" x14ac:dyDescent="0.25">
      <c r="A1518" s="5"/>
      <c r="B1518" s="5"/>
      <c r="C1518" s="5"/>
      <c r="D1518" s="5"/>
      <c r="E1518" s="5"/>
      <c r="F1518" s="5"/>
      <c r="G1518" s="5"/>
      <c r="H1518" s="5"/>
      <c r="I1518" s="5"/>
      <c r="J1518" s="5"/>
      <c r="K1518" s="5"/>
      <c r="L1518" s="5"/>
      <c r="M1518" s="5"/>
      <c r="N1518" s="5"/>
      <c r="O1518" s="5"/>
      <c r="P1518" s="5"/>
      <c r="Q1518" s="5"/>
      <c r="R1518" s="5"/>
      <c r="S1518" s="5"/>
      <c r="T1518" s="5"/>
      <c r="U1518" s="5"/>
      <c r="V1518" s="5"/>
      <c r="W1518" s="5"/>
      <c r="X1518" s="5"/>
      <c r="Y1518" s="5"/>
      <c r="Z1518" s="5"/>
      <c r="AA1518" s="5"/>
      <c r="AB1518" s="6"/>
      <c r="AC1518" s="6"/>
      <c r="AD1518" s="6"/>
      <c r="AE1518" s="6"/>
      <c r="AF1518" s="6"/>
      <c r="AG1518" s="6"/>
      <c r="AH1518" s="6"/>
      <c r="AI1518" s="6"/>
      <c r="AJ1518" s="6"/>
      <c r="AK1518" s="6"/>
      <c r="AL1518" s="6"/>
      <c r="AM1518" s="6"/>
      <c r="AN1518" s="6"/>
      <c r="AO1518" s="6"/>
      <c r="AP1518" s="6"/>
      <c r="AQ1518" s="6"/>
      <c r="AR1518" s="6"/>
      <c r="AS1518" s="6"/>
      <c r="AT1518" s="6"/>
      <c r="AU1518" s="6"/>
      <c r="AV1518" s="6"/>
      <c r="AW1518" s="6"/>
      <c r="AX1518" s="6"/>
      <c r="AY1518" s="6"/>
      <c r="AZ1518" s="6"/>
      <c r="BA1518" s="6"/>
      <c r="BB1518" s="6"/>
      <c r="BC1518" s="6"/>
      <c r="BD1518" s="6"/>
      <c r="BE1518" s="6"/>
      <c r="BF1518" s="6"/>
      <c r="BG1518" s="6"/>
      <c r="BH1518" s="6"/>
      <c r="BI1518" s="6"/>
      <c r="BJ1518" s="6"/>
      <c r="BK1518" s="6"/>
      <c r="BL1518" s="6"/>
      <c r="BM1518" s="6"/>
      <c r="BN1518" s="6"/>
      <c r="BO1518" s="6"/>
      <c r="BP1518" s="6"/>
      <c r="BQ1518" s="6"/>
      <c r="BR1518" s="6"/>
      <c r="BS1518" s="6"/>
      <c r="BT1518" s="6"/>
      <c r="BU1518" s="6"/>
      <c r="BV1518" s="6"/>
      <c r="BW1518" s="6"/>
      <c r="BX1518" s="5"/>
      <c r="BY1518" s="7"/>
      <c r="BZ1518" s="7"/>
      <c r="CA1518" s="7"/>
      <c r="CB1518" s="7"/>
      <c r="CC1518" s="874"/>
    </row>
    <row r="1519" spans="1:81" s="400" customFormat="1" ht="14.25" customHeight="1" x14ac:dyDescent="0.25">
      <c r="A1519" s="5"/>
      <c r="B1519" s="5"/>
      <c r="C1519" s="5"/>
      <c r="D1519" s="5"/>
      <c r="E1519" s="5"/>
      <c r="F1519" s="5"/>
      <c r="G1519" s="5"/>
      <c r="H1519" s="5"/>
      <c r="I1519" s="5"/>
      <c r="J1519" s="5"/>
      <c r="K1519" s="5"/>
      <c r="L1519" s="5"/>
      <c r="M1519" s="5"/>
      <c r="N1519" s="5"/>
      <c r="O1519" s="5"/>
      <c r="P1519" s="5"/>
      <c r="Q1519" s="5"/>
      <c r="R1519" s="5"/>
      <c r="S1519" s="5"/>
      <c r="T1519" s="5"/>
      <c r="U1519" s="5"/>
      <c r="V1519" s="5"/>
      <c r="W1519" s="5"/>
      <c r="X1519" s="5"/>
      <c r="Y1519" s="5"/>
      <c r="Z1519" s="5"/>
      <c r="AA1519" s="5"/>
      <c r="AB1519" s="6"/>
      <c r="AC1519" s="6"/>
      <c r="AD1519" s="6"/>
      <c r="AE1519" s="6"/>
      <c r="AF1519" s="6"/>
      <c r="AG1519" s="6"/>
      <c r="AH1519" s="6"/>
      <c r="AI1519" s="6"/>
      <c r="AJ1519" s="6"/>
      <c r="AK1519" s="6"/>
      <c r="AL1519" s="6"/>
      <c r="AM1519" s="6"/>
      <c r="AN1519" s="6"/>
      <c r="AO1519" s="6"/>
      <c r="AP1519" s="6"/>
      <c r="AQ1519" s="6"/>
      <c r="AR1519" s="6"/>
      <c r="AS1519" s="6"/>
      <c r="AT1519" s="6"/>
      <c r="AU1519" s="6"/>
      <c r="AV1519" s="6"/>
      <c r="AW1519" s="6"/>
      <c r="AX1519" s="6"/>
      <c r="AY1519" s="6"/>
      <c r="AZ1519" s="6"/>
      <c r="BA1519" s="6"/>
      <c r="BB1519" s="6"/>
      <c r="BC1519" s="6"/>
      <c r="BD1519" s="6"/>
      <c r="BE1519" s="6"/>
      <c r="BF1519" s="6"/>
      <c r="BG1519" s="6"/>
      <c r="BH1519" s="6"/>
      <c r="BI1519" s="6"/>
      <c r="BJ1519" s="6"/>
      <c r="BK1519" s="6"/>
      <c r="BL1519" s="6"/>
      <c r="BM1519" s="6"/>
      <c r="BN1519" s="6"/>
      <c r="BO1519" s="6"/>
      <c r="BP1519" s="6"/>
      <c r="BQ1519" s="6"/>
      <c r="BR1519" s="6"/>
      <c r="BS1519" s="6"/>
      <c r="BT1519" s="6"/>
      <c r="BU1519" s="6"/>
      <c r="BV1519" s="6"/>
      <c r="BW1519" s="6"/>
      <c r="BX1519" s="5"/>
      <c r="BY1519" s="7"/>
      <c r="BZ1519" s="7"/>
      <c r="CA1519" s="7"/>
      <c r="CB1519" s="7"/>
      <c r="CC1519" s="874"/>
    </row>
    <row r="1520" spans="1:81" s="400" customFormat="1" ht="14.25" customHeight="1" x14ac:dyDescent="0.25">
      <c r="A1520" s="5"/>
      <c r="B1520" s="5"/>
      <c r="C1520" s="5"/>
      <c r="D1520" s="5"/>
      <c r="E1520" s="5"/>
      <c r="F1520" s="5"/>
      <c r="G1520" s="5"/>
      <c r="H1520" s="5"/>
      <c r="I1520" s="5"/>
      <c r="J1520" s="5"/>
      <c r="K1520" s="5"/>
      <c r="L1520" s="5"/>
      <c r="M1520" s="5"/>
      <c r="N1520" s="5"/>
      <c r="O1520" s="5"/>
      <c r="P1520" s="5"/>
      <c r="Q1520" s="5"/>
      <c r="R1520" s="5"/>
      <c r="S1520" s="5"/>
      <c r="T1520" s="5"/>
      <c r="U1520" s="5"/>
      <c r="V1520" s="5"/>
      <c r="W1520" s="5"/>
      <c r="X1520" s="5"/>
      <c r="Y1520" s="5"/>
      <c r="Z1520" s="5"/>
      <c r="AA1520" s="5"/>
      <c r="AB1520" s="6"/>
      <c r="AC1520" s="6"/>
      <c r="AD1520" s="6"/>
      <c r="AE1520" s="6"/>
      <c r="AF1520" s="6"/>
      <c r="AG1520" s="6"/>
      <c r="AH1520" s="6"/>
      <c r="AI1520" s="6"/>
      <c r="AJ1520" s="6"/>
      <c r="AK1520" s="6"/>
      <c r="AL1520" s="6"/>
      <c r="AM1520" s="6"/>
      <c r="AN1520" s="6"/>
      <c r="AO1520" s="6"/>
      <c r="AP1520" s="6"/>
      <c r="AQ1520" s="6"/>
      <c r="AR1520" s="6"/>
      <c r="AS1520" s="6"/>
      <c r="AT1520" s="6"/>
      <c r="AU1520" s="6"/>
      <c r="AV1520" s="6"/>
      <c r="AW1520" s="6"/>
      <c r="AX1520" s="6"/>
      <c r="AY1520" s="6"/>
      <c r="AZ1520" s="6"/>
      <c r="BA1520" s="6"/>
      <c r="BB1520" s="6"/>
      <c r="BC1520" s="6"/>
      <c r="BD1520" s="6"/>
      <c r="BE1520" s="6"/>
      <c r="BF1520" s="6"/>
      <c r="BG1520" s="6"/>
      <c r="BH1520" s="6"/>
      <c r="BI1520" s="6"/>
      <c r="BJ1520" s="6"/>
      <c r="BK1520" s="6"/>
      <c r="BL1520" s="6"/>
      <c r="BM1520" s="6"/>
      <c r="BN1520" s="6"/>
      <c r="BO1520" s="6"/>
      <c r="BP1520" s="6"/>
      <c r="BQ1520" s="6"/>
      <c r="BR1520" s="6"/>
      <c r="BS1520" s="6"/>
      <c r="BT1520" s="6"/>
      <c r="BU1520" s="6"/>
      <c r="BV1520" s="6"/>
      <c r="BW1520" s="6"/>
      <c r="BX1520" s="5"/>
      <c r="BY1520" s="7"/>
      <c r="BZ1520" s="7"/>
      <c r="CA1520" s="7"/>
      <c r="CB1520" s="7"/>
      <c r="CC1520" s="874"/>
    </row>
    <row r="1521" spans="1:81" s="400" customFormat="1" ht="14.25" customHeight="1" x14ac:dyDescent="0.25">
      <c r="A1521" s="5"/>
      <c r="B1521" s="5"/>
      <c r="C1521" s="5"/>
      <c r="D1521" s="5"/>
      <c r="E1521" s="5"/>
      <c r="F1521" s="5"/>
      <c r="G1521" s="5"/>
      <c r="H1521" s="5"/>
      <c r="I1521" s="5"/>
      <c r="J1521" s="5"/>
      <c r="K1521" s="5"/>
      <c r="L1521" s="5"/>
      <c r="M1521" s="5"/>
      <c r="N1521" s="5"/>
      <c r="O1521" s="5"/>
      <c r="P1521" s="5"/>
      <c r="Q1521" s="5"/>
      <c r="R1521" s="5"/>
      <c r="S1521" s="5"/>
      <c r="T1521" s="5"/>
      <c r="U1521" s="5"/>
      <c r="V1521" s="5"/>
      <c r="W1521" s="5"/>
      <c r="X1521" s="5"/>
      <c r="Y1521" s="5"/>
      <c r="Z1521" s="5"/>
      <c r="AA1521" s="5"/>
      <c r="AB1521" s="6"/>
      <c r="AC1521" s="6"/>
      <c r="AD1521" s="6"/>
      <c r="AE1521" s="6"/>
      <c r="AF1521" s="6"/>
      <c r="AG1521" s="6"/>
      <c r="AH1521" s="6"/>
      <c r="AI1521" s="6"/>
      <c r="AJ1521" s="6"/>
      <c r="AK1521" s="6"/>
      <c r="AL1521" s="6"/>
      <c r="AM1521" s="6"/>
      <c r="AN1521" s="6"/>
      <c r="AO1521" s="6"/>
      <c r="AP1521" s="6"/>
      <c r="AQ1521" s="6"/>
      <c r="AR1521" s="6"/>
      <c r="AS1521" s="6"/>
      <c r="AT1521" s="6"/>
      <c r="AU1521" s="6"/>
      <c r="AV1521" s="6"/>
      <c r="AW1521" s="6"/>
      <c r="AX1521" s="6"/>
      <c r="AY1521" s="6"/>
      <c r="AZ1521" s="6"/>
      <c r="BA1521" s="6"/>
      <c r="BB1521" s="6"/>
      <c r="BC1521" s="6"/>
      <c r="BD1521" s="6"/>
      <c r="BE1521" s="6"/>
      <c r="BF1521" s="6"/>
      <c r="BG1521" s="6"/>
      <c r="BH1521" s="6"/>
      <c r="BI1521" s="6"/>
      <c r="BJ1521" s="6"/>
      <c r="BK1521" s="6"/>
      <c r="BL1521" s="6"/>
      <c r="BM1521" s="6"/>
      <c r="BN1521" s="6"/>
      <c r="BO1521" s="6"/>
      <c r="BP1521" s="6"/>
      <c r="BQ1521" s="6"/>
      <c r="BR1521" s="6"/>
      <c r="BS1521" s="6"/>
      <c r="BT1521" s="6"/>
      <c r="BU1521" s="6"/>
      <c r="BV1521" s="6"/>
      <c r="BW1521" s="6"/>
      <c r="BX1521" s="5"/>
      <c r="BY1521" s="7"/>
      <c r="BZ1521" s="7"/>
      <c r="CA1521" s="7"/>
      <c r="CB1521" s="7"/>
      <c r="CC1521" s="874"/>
    </row>
    <row r="1522" spans="1:81" s="400" customFormat="1" ht="14.25" customHeight="1" x14ac:dyDescent="0.25">
      <c r="A1522" s="5"/>
      <c r="B1522" s="5"/>
      <c r="C1522" s="5"/>
      <c r="D1522" s="5"/>
      <c r="E1522" s="5"/>
      <c r="F1522" s="5"/>
      <c r="G1522" s="5"/>
      <c r="H1522" s="5"/>
      <c r="I1522" s="5"/>
      <c r="J1522" s="5"/>
      <c r="K1522" s="5"/>
      <c r="L1522" s="5"/>
      <c r="M1522" s="5"/>
      <c r="N1522" s="5"/>
      <c r="O1522" s="5"/>
      <c r="P1522" s="5"/>
      <c r="Q1522" s="5"/>
      <c r="R1522" s="5"/>
      <c r="S1522" s="5"/>
      <c r="T1522" s="5"/>
      <c r="U1522" s="5"/>
      <c r="V1522" s="5"/>
      <c r="W1522" s="5"/>
      <c r="X1522" s="5"/>
      <c r="Y1522" s="5"/>
      <c r="Z1522" s="5"/>
      <c r="AA1522" s="5"/>
      <c r="AB1522" s="6"/>
      <c r="AC1522" s="6"/>
      <c r="AD1522" s="6"/>
      <c r="AE1522" s="6"/>
      <c r="AF1522" s="6"/>
      <c r="AG1522" s="6"/>
      <c r="AH1522" s="6"/>
      <c r="AI1522" s="6"/>
      <c r="AJ1522" s="6"/>
      <c r="AK1522" s="6"/>
      <c r="AL1522" s="6"/>
      <c r="AM1522" s="6"/>
      <c r="AN1522" s="6"/>
      <c r="AO1522" s="6"/>
      <c r="AP1522" s="6"/>
      <c r="AQ1522" s="6"/>
      <c r="AR1522" s="6"/>
      <c r="AS1522" s="6"/>
      <c r="AT1522" s="6"/>
      <c r="AU1522" s="6"/>
      <c r="AV1522" s="6"/>
      <c r="AW1522" s="6"/>
      <c r="AX1522" s="6"/>
      <c r="AY1522" s="6"/>
      <c r="AZ1522" s="6"/>
      <c r="BA1522" s="6"/>
      <c r="BB1522" s="6"/>
      <c r="BC1522" s="6"/>
      <c r="BD1522" s="6"/>
      <c r="BE1522" s="6"/>
      <c r="BF1522" s="6"/>
      <c r="BG1522" s="6"/>
      <c r="BH1522" s="6"/>
      <c r="BI1522" s="6"/>
      <c r="BJ1522" s="6"/>
      <c r="BK1522" s="6"/>
      <c r="BL1522" s="6"/>
      <c r="BM1522" s="6"/>
      <c r="BN1522" s="6"/>
      <c r="BO1522" s="6"/>
      <c r="BP1522" s="6"/>
      <c r="BQ1522" s="6"/>
      <c r="BR1522" s="6"/>
      <c r="BS1522" s="6"/>
      <c r="BT1522" s="6"/>
      <c r="BU1522" s="6"/>
      <c r="BV1522" s="6"/>
      <c r="BW1522" s="6"/>
      <c r="BX1522" s="5"/>
      <c r="BY1522" s="7"/>
      <c r="BZ1522" s="7"/>
      <c r="CA1522" s="7"/>
      <c r="CB1522" s="7"/>
      <c r="CC1522" s="874"/>
    </row>
    <row r="1523" spans="1:81" s="400" customFormat="1" ht="14.25" customHeight="1" x14ac:dyDescent="0.25">
      <c r="A1523" s="5"/>
      <c r="B1523" s="5"/>
      <c r="C1523" s="5"/>
      <c r="D1523" s="5"/>
      <c r="E1523" s="5"/>
      <c r="F1523" s="5"/>
      <c r="G1523" s="5"/>
      <c r="H1523" s="5"/>
      <c r="I1523" s="5"/>
      <c r="J1523" s="5"/>
      <c r="K1523" s="5"/>
      <c r="L1523" s="5"/>
      <c r="M1523" s="5"/>
      <c r="N1523" s="5"/>
      <c r="O1523" s="5"/>
      <c r="P1523" s="5"/>
      <c r="Q1523" s="5"/>
      <c r="R1523" s="5"/>
      <c r="S1523" s="5"/>
      <c r="T1523" s="5"/>
      <c r="U1523" s="5"/>
      <c r="V1523" s="5"/>
      <c r="W1523" s="5"/>
      <c r="X1523" s="5"/>
      <c r="Y1523" s="5"/>
      <c r="Z1523" s="5"/>
      <c r="AA1523" s="5"/>
      <c r="AB1523" s="6"/>
      <c r="AC1523" s="6"/>
      <c r="AD1523" s="6"/>
      <c r="AE1523" s="6"/>
      <c r="AF1523" s="6"/>
      <c r="AG1523" s="6"/>
      <c r="AH1523" s="6"/>
      <c r="AI1523" s="6"/>
      <c r="AJ1523" s="6"/>
      <c r="AK1523" s="6"/>
      <c r="AL1523" s="6"/>
      <c r="AM1523" s="6"/>
      <c r="AN1523" s="6"/>
      <c r="AO1523" s="6"/>
      <c r="AP1523" s="6"/>
      <c r="AQ1523" s="6"/>
      <c r="AR1523" s="6"/>
      <c r="AS1523" s="6"/>
      <c r="AT1523" s="6"/>
      <c r="AU1523" s="6"/>
      <c r="AV1523" s="6"/>
      <c r="AW1523" s="6"/>
      <c r="AX1523" s="6"/>
      <c r="AY1523" s="6"/>
      <c r="AZ1523" s="6"/>
      <c r="BA1523" s="6"/>
      <c r="BB1523" s="6"/>
      <c r="BC1523" s="6"/>
      <c r="BD1523" s="6"/>
      <c r="BE1523" s="6"/>
      <c r="BF1523" s="6"/>
      <c r="BG1523" s="6"/>
      <c r="BH1523" s="6"/>
      <c r="BI1523" s="6"/>
      <c r="BJ1523" s="6"/>
      <c r="BK1523" s="6"/>
      <c r="BL1523" s="6"/>
      <c r="BM1523" s="6"/>
      <c r="BN1523" s="6"/>
      <c r="BO1523" s="6"/>
      <c r="BP1523" s="6"/>
      <c r="BQ1523" s="6"/>
      <c r="BR1523" s="6"/>
      <c r="BS1523" s="6"/>
      <c r="BT1523" s="6"/>
      <c r="BU1523" s="6"/>
      <c r="BV1523" s="6"/>
      <c r="BW1523" s="6"/>
      <c r="BX1523" s="5"/>
      <c r="BY1523" s="7"/>
      <c r="BZ1523" s="7"/>
      <c r="CA1523" s="7"/>
      <c r="CB1523" s="7"/>
      <c r="CC1523" s="874"/>
    </row>
    <row r="1524" spans="1:81" s="400" customFormat="1" ht="14.25" customHeight="1" x14ac:dyDescent="0.25">
      <c r="A1524" s="5"/>
      <c r="B1524" s="5"/>
      <c r="C1524" s="5"/>
      <c r="D1524" s="5"/>
      <c r="E1524" s="5"/>
      <c r="F1524" s="5"/>
      <c r="G1524" s="5"/>
      <c r="H1524" s="5"/>
      <c r="I1524" s="5"/>
      <c r="J1524" s="5"/>
      <c r="K1524" s="5"/>
      <c r="L1524" s="5"/>
      <c r="M1524" s="5"/>
      <c r="N1524" s="5"/>
      <c r="O1524" s="5"/>
      <c r="P1524" s="5"/>
      <c r="Q1524" s="5"/>
      <c r="R1524" s="5"/>
      <c r="S1524" s="5"/>
      <c r="T1524" s="5"/>
      <c r="U1524" s="5"/>
      <c r="V1524" s="5"/>
      <c r="W1524" s="5"/>
      <c r="X1524" s="5"/>
      <c r="Y1524" s="5"/>
      <c r="Z1524" s="5"/>
      <c r="AA1524" s="5"/>
      <c r="AB1524" s="6"/>
      <c r="AC1524" s="6"/>
      <c r="AD1524" s="6"/>
      <c r="AE1524" s="6"/>
      <c r="AF1524" s="6"/>
      <c r="AG1524" s="6"/>
      <c r="AH1524" s="6"/>
      <c r="AI1524" s="6"/>
      <c r="AJ1524" s="6"/>
      <c r="AK1524" s="6"/>
      <c r="AL1524" s="6"/>
      <c r="AM1524" s="6"/>
      <c r="AN1524" s="6"/>
      <c r="AO1524" s="6"/>
      <c r="AP1524" s="6"/>
      <c r="AQ1524" s="6"/>
      <c r="AR1524" s="6"/>
      <c r="AS1524" s="6"/>
      <c r="AT1524" s="6"/>
      <c r="AU1524" s="6"/>
      <c r="AV1524" s="6"/>
      <c r="AW1524" s="6"/>
      <c r="AX1524" s="6"/>
      <c r="AY1524" s="6"/>
      <c r="AZ1524" s="6"/>
      <c r="BA1524" s="6"/>
      <c r="BB1524" s="6"/>
      <c r="BC1524" s="6"/>
      <c r="BD1524" s="6"/>
      <c r="BE1524" s="6"/>
      <c r="BF1524" s="6"/>
      <c r="BG1524" s="6"/>
      <c r="BH1524" s="6"/>
      <c r="BI1524" s="6"/>
      <c r="BJ1524" s="6"/>
      <c r="BK1524" s="6"/>
      <c r="BL1524" s="6"/>
      <c r="BM1524" s="6"/>
      <c r="BN1524" s="6"/>
      <c r="BO1524" s="6"/>
      <c r="BP1524" s="6"/>
      <c r="BQ1524" s="6"/>
      <c r="BR1524" s="6"/>
      <c r="BS1524" s="6"/>
      <c r="BT1524" s="6"/>
      <c r="BU1524" s="6"/>
      <c r="BV1524" s="6"/>
      <c r="BW1524" s="6"/>
      <c r="BX1524" s="5"/>
      <c r="BY1524" s="7"/>
      <c r="BZ1524" s="7"/>
      <c r="CA1524" s="7"/>
      <c r="CB1524" s="7"/>
      <c r="CC1524" s="874"/>
    </row>
    <row r="1525" spans="1:81" s="400" customFormat="1" ht="14.25" customHeight="1" x14ac:dyDescent="0.25">
      <c r="A1525" s="5"/>
      <c r="B1525" s="5"/>
      <c r="C1525" s="5"/>
      <c r="D1525" s="5"/>
      <c r="E1525" s="5"/>
      <c r="F1525" s="5"/>
      <c r="G1525" s="5"/>
      <c r="H1525" s="5"/>
      <c r="I1525" s="5"/>
      <c r="J1525" s="5"/>
      <c r="K1525" s="5"/>
      <c r="L1525" s="5"/>
      <c r="M1525" s="5"/>
      <c r="N1525" s="5"/>
      <c r="O1525" s="5"/>
      <c r="P1525" s="5"/>
      <c r="Q1525" s="5"/>
      <c r="R1525" s="5"/>
      <c r="S1525" s="5"/>
      <c r="T1525" s="5"/>
      <c r="U1525" s="5"/>
      <c r="V1525" s="5"/>
      <c r="W1525" s="5"/>
      <c r="X1525" s="5"/>
      <c r="Y1525" s="5"/>
      <c r="Z1525" s="5"/>
      <c r="AA1525" s="5"/>
      <c r="AB1525" s="6"/>
      <c r="AC1525" s="6"/>
      <c r="AD1525" s="6"/>
      <c r="AE1525" s="6"/>
      <c r="AF1525" s="6"/>
      <c r="AG1525" s="6"/>
      <c r="AH1525" s="6"/>
      <c r="AI1525" s="6"/>
      <c r="AJ1525" s="6"/>
      <c r="AK1525" s="6"/>
      <c r="AL1525" s="6"/>
      <c r="AM1525" s="6"/>
      <c r="AN1525" s="6"/>
      <c r="AO1525" s="6"/>
      <c r="AP1525" s="6"/>
      <c r="AQ1525" s="6"/>
      <c r="AR1525" s="6"/>
      <c r="AS1525" s="6"/>
      <c r="AT1525" s="6"/>
      <c r="AU1525" s="6"/>
      <c r="AV1525" s="6"/>
      <c r="AW1525" s="6"/>
      <c r="AX1525" s="6"/>
      <c r="AY1525" s="6"/>
      <c r="AZ1525" s="6"/>
      <c r="BA1525" s="6"/>
      <c r="BB1525" s="6"/>
      <c r="BC1525" s="6"/>
      <c r="BD1525" s="6"/>
      <c r="BE1525" s="6"/>
      <c r="BF1525" s="6"/>
      <c r="BG1525" s="6"/>
      <c r="BH1525" s="6"/>
      <c r="BI1525" s="6"/>
      <c r="BJ1525" s="6"/>
      <c r="BK1525" s="6"/>
      <c r="BL1525" s="6"/>
      <c r="BM1525" s="6"/>
      <c r="BN1525" s="6"/>
      <c r="BO1525" s="6"/>
      <c r="BP1525" s="6"/>
      <c r="BQ1525" s="6"/>
      <c r="BR1525" s="6"/>
      <c r="BS1525" s="6"/>
      <c r="BT1525" s="6"/>
      <c r="BU1525" s="6"/>
      <c r="BV1525" s="6"/>
      <c r="BW1525" s="6"/>
      <c r="BX1525" s="5"/>
      <c r="BY1525" s="7"/>
      <c r="BZ1525" s="7"/>
      <c r="CA1525" s="7"/>
      <c r="CB1525" s="7"/>
      <c r="CC1525" s="874"/>
    </row>
    <row r="1526" spans="1:81" s="400" customFormat="1" ht="14.25" customHeight="1" x14ac:dyDescent="0.25">
      <c r="A1526" s="5"/>
      <c r="B1526" s="5"/>
      <c r="C1526" s="5"/>
      <c r="D1526" s="5"/>
      <c r="E1526" s="5"/>
      <c r="F1526" s="5"/>
      <c r="G1526" s="5"/>
      <c r="H1526" s="5"/>
      <c r="I1526" s="5"/>
      <c r="J1526" s="5"/>
      <c r="K1526" s="5"/>
      <c r="L1526" s="5"/>
      <c r="M1526" s="5"/>
      <c r="N1526" s="5"/>
      <c r="O1526" s="5"/>
      <c r="P1526" s="5"/>
      <c r="Q1526" s="5"/>
      <c r="R1526" s="5"/>
      <c r="S1526" s="5"/>
      <c r="T1526" s="5"/>
      <c r="U1526" s="5"/>
      <c r="V1526" s="5"/>
      <c r="W1526" s="5"/>
      <c r="X1526" s="5"/>
      <c r="Y1526" s="5"/>
      <c r="Z1526" s="5"/>
      <c r="AA1526" s="5"/>
      <c r="AB1526" s="6"/>
      <c r="AC1526" s="6"/>
      <c r="AD1526" s="6"/>
      <c r="AE1526" s="6"/>
      <c r="AF1526" s="6"/>
      <c r="AG1526" s="6"/>
      <c r="AH1526" s="6"/>
      <c r="AI1526" s="6"/>
      <c r="AJ1526" s="6"/>
      <c r="AK1526" s="6"/>
      <c r="AL1526" s="6"/>
      <c r="AM1526" s="6"/>
      <c r="AN1526" s="6"/>
      <c r="AO1526" s="6"/>
      <c r="AP1526" s="6"/>
      <c r="AQ1526" s="6"/>
      <c r="AR1526" s="6"/>
      <c r="AS1526" s="6"/>
      <c r="AT1526" s="6"/>
      <c r="AU1526" s="6"/>
      <c r="AV1526" s="6"/>
      <c r="AW1526" s="6"/>
      <c r="AX1526" s="6"/>
      <c r="AY1526" s="6"/>
      <c r="AZ1526" s="6"/>
      <c r="BA1526" s="6"/>
      <c r="BB1526" s="6"/>
      <c r="BC1526" s="6"/>
      <c r="BD1526" s="6"/>
      <c r="BE1526" s="6"/>
      <c r="BF1526" s="6"/>
      <c r="BG1526" s="6"/>
      <c r="BH1526" s="6"/>
      <c r="BI1526" s="6"/>
      <c r="BJ1526" s="6"/>
      <c r="BK1526" s="6"/>
      <c r="BL1526" s="6"/>
      <c r="BM1526" s="6"/>
      <c r="BN1526" s="6"/>
      <c r="BO1526" s="6"/>
      <c r="BP1526" s="6"/>
      <c r="BQ1526" s="6"/>
      <c r="BR1526" s="6"/>
      <c r="BS1526" s="6"/>
      <c r="BT1526" s="6"/>
      <c r="BU1526" s="6"/>
      <c r="BV1526" s="6"/>
      <c r="BW1526" s="6"/>
      <c r="BX1526" s="5"/>
      <c r="BY1526" s="7"/>
      <c r="BZ1526" s="7"/>
      <c r="CA1526" s="7"/>
      <c r="CB1526" s="7"/>
      <c r="CC1526" s="874"/>
    </row>
    <row r="1527" spans="1:81" s="400" customFormat="1" ht="14.25" customHeight="1" x14ac:dyDescent="0.25">
      <c r="A1527" s="5"/>
      <c r="B1527" s="5"/>
      <c r="C1527" s="5"/>
      <c r="D1527" s="5"/>
      <c r="E1527" s="5"/>
      <c r="F1527" s="5"/>
      <c r="G1527" s="5"/>
      <c r="H1527" s="5"/>
      <c r="I1527" s="5"/>
      <c r="J1527" s="5"/>
      <c r="K1527" s="5"/>
      <c r="L1527" s="5"/>
      <c r="M1527" s="5"/>
      <c r="N1527" s="5"/>
      <c r="O1527" s="5"/>
      <c r="P1527" s="5"/>
      <c r="Q1527" s="5"/>
      <c r="R1527" s="5"/>
      <c r="S1527" s="5"/>
      <c r="T1527" s="5"/>
      <c r="U1527" s="5"/>
      <c r="V1527" s="5"/>
      <c r="W1527" s="5"/>
      <c r="X1527" s="5"/>
      <c r="Y1527" s="5"/>
      <c r="Z1527" s="5"/>
      <c r="AA1527" s="5"/>
      <c r="AB1527" s="6"/>
      <c r="AC1527" s="6"/>
      <c r="AD1527" s="6"/>
      <c r="AE1527" s="6"/>
      <c r="AF1527" s="6"/>
      <c r="AG1527" s="6"/>
      <c r="AH1527" s="6"/>
      <c r="AI1527" s="6"/>
      <c r="AJ1527" s="6"/>
      <c r="AK1527" s="6"/>
      <c r="AL1527" s="6"/>
      <c r="AM1527" s="6"/>
      <c r="AN1527" s="6"/>
      <c r="AO1527" s="6"/>
      <c r="AP1527" s="6"/>
      <c r="AQ1527" s="6"/>
      <c r="AR1527" s="6"/>
      <c r="AS1527" s="6"/>
      <c r="AT1527" s="6"/>
      <c r="AU1527" s="6"/>
      <c r="AV1527" s="6"/>
      <c r="AW1527" s="6"/>
      <c r="AX1527" s="6"/>
      <c r="AY1527" s="6"/>
      <c r="AZ1527" s="6"/>
      <c r="BA1527" s="6"/>
      <c r="BB1527" s="6"/>
      <c r="BC1527" s="6"/>
      <c r="BD1527" s="6"/>
      <c r="BE1527" s="6"/>
      <c r="BF1527" s="6"/>
      <c r="BG1527" s="6"/>
      <c r="BH1527" s="6"/>
      <c r="BI1527" s="6"/>
      <c r="BJ1527" s="6"/>
      <c r="BK1527" s="6"/>
      <c r="BL1527" s="6"/>
      <c r="BM1527" s="6"/>
      <c r="BN1527" s="6"/>
      <c r="BO1527" s="6"/>
      <c r="BP1527" s="6"/>
      <c r="BQ1527" s="6"/>
      <c r="BR1527" s="6"/>
      <c r="BS1527" s="6"/>
      <c r="BT1527" s="6"/>
      <c r="BU1527" s="6"/>
      <c r="BV1527" s="6"/>
      <c r="BW1527" s="6"/>
      <c r="BX1527" s="5"/>
      <c r="BY1527" s="7"/>
      <c r="BZ1527" s="7"/>
      <c r="CA1527" s="7"/>
      <c r="CB1527" s="7"/>
      <c r="CC1527" s="874"/>
    </row>
    <row r="1528" spans="1:81" s="400" customFormat="1" ht="14.25" customHeight="1" x14ac:dyDescent="0.25">
      <c r="A1528" s="5"/>
      <c r="B1528" s="5"/>
      <c r="C1528" s="5"/>
      <c r="D1528" s="5"/>
      <c r="E1528" s="5"/>
      <c r="F1528" s="5"/>
      <c r="G1528" s="5"/>
      <c r="H1528" s="5"/>
      <c r="I1528" s="5"/>
      <c r="J1528" s="5"/>
      <c r="K1528" s="5"/>
      <c r="L1528" s="5"/>
      <c r="M1528" s="5"/>
      <c r="N1528" s="5"/>
      <c r="O1528" s="5"/>
      <c r="P1528" s="5"/>
      <c r="Q1528" s="5"/>
      <c r="R1528" s="5"/>
      <c r="S1528" s="5"/>
      <c r="T1528" s="5"/>
      <c r="U1528" s="5"/>
      <c r="V1528" s="5"/>
      <c r="W1528" s="5"/>
      <c r="X1528" s="5"/>
      <c r="Y1528" s="5"/>
      <c r="Z1528" s="5"/>
      <c r="AA1528" s="5"/>
      <c r="AB1528" s="6"/>
      <c r="AC1528" s="6"/>
      <c r="AD1528" s="6"/>
      <c r="AE1528" s="6"/>
      <c r="AF1528" s="6"/>
      <c r="AG1528" s="6"/>
      <c r="AH1528" s="6"/>
      <c r="AI1528" s="6"/>
      <c r="AJ1528" s="6"/>
      <c r="AK1528" s="6"/>
      <c r="AL1528" s="6"/>
      <c r="AM1528" s="6"/>
      <c r="AN1528" s="6"/>
      <c r="AO1528" s="6"/>
      <c r="AP1528" s="6"/>
      <c r="AQ1528" s="6"/>
      <c r="AR1528" s="6"/>
      <c r="AS1528" s="6"/>
      <c r="AT1528" s="6"/>
      <c r="AU1528" s="6"/>
      <c r="AV1528" s="6"/>
      <c r="AW1528" s="6"/>
      <c r="AX1528" s="6"/>
      <c r="AY1528" s="6"/>
      <c r="AZ1528" s="6"/>
      <c r="BA1528" s="6"/>
      <c r="BB1528" s="6"/>
      <c r="BC1528" s="6"/>
      <c r="BD1528" s="6"/>
      <c r="BE1528" s="6"/>
      <c r="BF1528" s="6"/>
      <c r="BG1528" s="6"/>
      <c r="BH1528" s="6"/>
      <c r="BI1528" s="6"/>
      <c r="BJ1528" s="6"/>
      <c r="BK1528" s="6"/>
      <c r="BL1528" s="6"/>
      <c r="BM1528" s="6"/>
      <c r="BN1528" s="6"/>
      <c r="BO1528" s="6"/>
      <c r="BP1528" s="6"/>
      <c r="BQ1528" s="6"/>
      <c r="BR1528" s="6"/>
      <c r="BS1528" s="6"/>
      <c r="BT1528" s="6"/>
      <c r="BU1528" s="6"/>
      <c r="BV1528" s="6"/>
      <c r="BW1528" s="6"/>
      <c r="BX1528" s="5"/>
      <c r="BY1528" s="7"/>
      <c r="BZ1528" s="7"/>
      <c r="CA1528" s="7"/>
      <c r="CB1528" s="7"/>
      <c r="CC1528" s="874"/>
    </row>
    <row r="1529" spans="1:81" s="400" customFormat="1" ht="14.25" customHeight="1" x14ac:dyDescent="0.25">
      <c r="A1529" s="5"/>
      <c r="B1529" s="5"/>
      <c r="C1529" s="5"/>
      <c r="D1529" s="5"/>
      <c r="E1529" s="5"/>
      <c r="F1529" s="5"/>
      <c r="G1529" s="5"/>
      <c r="H1529" s="5"/>
      <c r="I1529" s="5"/>
      <c r="J1529" s="5"/>
      <c r="K1529" s="5"/>
      <c r="L1529" s="5"/>
      <c r="M1529" s="5"/>
      <c r="N1529" s="5"/>
      <c r="O1529" s="5"/>
      <c r="P1529" s="5"/>
      <c r="Q1529" s="5"/>
      <c r="R1529" s="5"/>
      <c r="S1529" s="5"/>
      <c r="T1529" s="5"/>
      <c r="U1529" s="5"/>
      <c r="V1529" s="5"/>
      <c r="W1529" s="5"/>
      <c r="X1529" s="5"/>
      <c r="Y1529" s="5"/>
      <c r="Z1529" s="5"/>
      <c r="AA1529" s="5"/>
      <c r="AB1529" s="6"/>
      <c r="AC1529" s="6"/>
      <c r="AD1529" s="6"/>
      <c r="AE1529" s="6"/>
      <c r="AF1529" s="6"/>
      <c r="AG1529" s="6"/>
      <c r="AH1529" s="6"/>
      <c r="AI1529" s="6"/>
      <c r="AJ1529" s="6"/>
      <c r="AK1529" s="6"/>
      <c r="AL1529" s="6"/>
      <c r="AM1529" s="6"/>
      <c r="AN1529" s="6"/>
      <c r="AO1529" s="6"/>
      <c r="AP1529" s="6"/>
      <c r="AQ1529" s="6"/>
      <c r="AR1529" s="6"/>
      <c r="AS1529" s="6"/>
      <c r="AT1529" s="6"/>
      <c r="AU1529" s="6"/>
      <c r="AV1529" s="6"/>
      <c r="AW1529" s="6"/>
      <c r="AX1529" s="6"/>
      <c r="AY1529" s="6"/>
      <c r="AZ1529" s="6"/>
      <c r="BA1529" s="6"/>
      <c r="BB1529" s="6"/>
      <c r="BC1529" s="6"/>
      <c r="BD1529" s="6"/>
      <c r="BE1529" s="6"/>
      <c r="BF1529" s="6"/>
      <c r="BG1529" s="6"/>
      <c r="BH1529" s="6"/>
      <c r="BI1529" s="6"/>
      <c r="BJ1529" s="6"/>
      <c r="BK1529" s="6"/>
      <c r="BL1529" s="6"/>
      <c r="BM1529" s="6"/>
      <c r="BN1529" s="6"/>
      <c r="BO1529" s="6"/>
      <c r="BP1529" s="6"/>
      <c r="BQ1529" s="6"/>
      <c r="BR1529" s="6"/>
      <c r="BS1529" s="6"/>
      <c r="BT1529" s="6"/>
      <c r="BU1529" s="6"/>
      <c r="BV1529" s="6"/>
      <c r="BW1529" s="6"/>
      <c r="BX1529" s="5"/>
      <c r="BY1529" s="7"/>
      <c r="BZ1529" s="7"/>
      <c r="CA1529" s="7"/>
      <c r="CB1529" s="7"/>
      <c r="CC1529" s="874"/>
    </row>
    <row r="1530" spans="1:81" s="400" customFormat="1" ht="14.25" customHeight="1" x14ac:dyDescent="0.25">
      <c r="A1530" s="5"/>
      <c r="B1530" s="5"/>
      <c r="C1530" s="5"/>
      <c r="D1530" s="5"/>
      <c r="E1530" s="5"/>
      <c r="F1530" s="5"/>
      <c r="G1530" s="5"/>
      <c r="H1530" s="5"/>
      <c r="I1530" s="5"/>
      <c r="J1530" s="5"/>
      <c r="K1530" s="5"/>
      <c r="L1530" s="5"/>
      <c r="M1530" s="5"/>
      <c r="N1530" s="5"/>
      <c r="O1530" s="5"/>
      <c r="P1530" s="5"/>
      <c r="Q1530" s="5"/>
      <c r="R1530" s="5"/>
      <c r="S1530" s="5"/>
      <c r="T1530" s="5"/>
      <c r="U1530" s="5"/>
      <c r="V1530" s="5"/>
      <c r="W1530" s="5"/>
      <c r="X1530" s="5"/>
      <c r="Y1530" s="5"/>
      <c r="Z1530" s="5"/>
      <c r="AA1530" s="5"/>
      <c r="AB1530" s="6"/>
      <c r="AC1530" s="6"/>
      <c r="AD1530" s="6"/>
      <c r="AE1530" s="6"/>
      <c r="AF1530" s="6"/>
      <c r="AG1530" s="6"/>
      <c r="AH1530" s="6"/>
      <c r="AI1530" s="6"/>
      <c r="AJ1530" s="6"/>
      <c r="AK1530" s="6"/>
      <c r="AL1530" s="6"/>
      <c r="AM1530" s="6"/>
      <c r="AN1530" s="6"/>
      <c r="AO1530" s="6"/>
      <c r="AP1530" s="6"/>
      <c r="AQ1530" s="6"/>
      <c r="AR1530" s="6"/>
      <c r="AS1530" s="6"/>
      <c r="AT1530" s="6"/>
      <c r="AU1530" s="6"/>
      <c r="AV1530" s="6"/>
      <c r="AW1530" s="6"/>
      <c r="AX1530" s="6"/>
      <c r="AY1530" s="6"/>
      <c r="AZ1530" s="6"/>
      <c r="BA1530" s="6"/>
      <c r="BB1530" s="6"/>
      <c r="BC1530" s="6"/>
      <c r="BD1530" s="6"/>
      <c r="BE1530" s="6"/>
      <c r="BF1530" s="6"/>
      <c r="BG1530" s="6"/>
      <c r="BH1530" s="6"/>
      <c r="BI1530" s="6"/>
      <c r="BJ1530" s="6"/>
      <c r="BK1530" s="6"/>
      <c r="BL1530" s="6"/>
      <c r="BM1530" s="6"/>
      <c r="BN1530" s="6"/>
      <c r="BO1530" s="6"/>
      <c r="BP1530" s="6"/>
      <c r="BQ1530" s="6"/>
      <c r="BR1530" s="6"/>
      <c r="BS1530" s="6"/>
      <c r="BT1530" s="6"/>
      <c r="BU1530" s="6"/>
      <c r="BV1530" s="6"/>
      <c r="BW1530" s="6"/>
      <c r="BX1530" s="5"/>
      <c r="BY1530" s="7"/>
      <c r="BZ1530" s="7"/>
      <c r="CA1530" s="7"/>
      <c r="CB1530" s="7"/>
      <c r="CC1530" s="874"/>
    </row>
    <row r="1531" spans="1:81" s="400" customFormat="1" ht="14.25" customHeight="1" x14ac:dyDescent="0.25">
      <c r="A1531" s="5"/>
      <c r="B1531" s="5"/>
      <c r="C1531" s="5"/>
      <c r="D1531" s="5"/>
      <c r="E1531" s="5"/>
      <c r="F1531" s="5"/>
      <c r="G1531" s="5"/>
      <c r="H1531" s="5"/>
      <c r="I1531" s="5"/>
      <c r="J1531" s="5"/>
      <c r="K1531" s="5"/>
      <c r="L1531" s="5"/>
      <c r="M1531" s="5"/>
      <c r="N1531" s="5"/>
      <c r="O1531" s="5"/>
      <c r="P1531" s="5"/>
      <c r="Q1531" s="5"/>
      <c r="R1531" s="5"/>
      <c r="S1531" s="5"/>
      <c r="T1531" s="5"/>
      <c r="U1531" s="5"/>
      <c r="V1531" s="5"/>
      <c r="W1531" s="5"/>
      <c r="X1531" s="5"/>
      <c r="Y1531" s="5"/>
      <c r="Z1531" s="5"/>
      <c r="AA1531" s="5"/>
      <c r="AB1531" s="6"/>
      <c r="AC1531" s="6"/>
      <c r="AD1531" s="6"/>
      <c r="AE1531" s="6"/>
      <c r="AF1531" s="6"/>
      <c r="AG1531" s="6"/>
      <c r="AH1531" s="6"/>
      <c r="AI1531" s="6"/>
      <c r="AJ1531" s="6"/>
      <c r="AK1531" s="6"/>
      <c r="AL1531" s="6"/>
      <c r="AM1531" s="6"/>
      <c r="AN1531" s="6"/>
      <c r="AO1531" s="6"/>
      <c r="AP1531" s="6"/>
      <c r="AQ1531" s="6"/>
      <c r="AR1531" s="6"/>
      <c r="AS1531" s="6"/>
      <c r="AT1531" s="6"/>
      <c r="AU1531" s="6"/>
      <c r="AV1531" s="6"/>
      <c r="AW1531" s="6"/>
      <c r="AX1531" s="6"/>
      <c r="AY1531" s="6"/>
      <c r="AZ1531" s="6"/>
      <c r="BA1531" s="6"/>
      <c r="BB1531" s="6"/>
      <c r="BC1531" s="6"/>
      <c r="BD1531" s="6"/>
      <c r="BE1531" s="6"/>
      <c r="BF1531" s="6"/>
      <c r="BG1531" s="6"/>
      <c r="BH1531" s="6"/>
      <c r="BI1531" s="6"/>
      <c r="BJ1531" s="6"/>
      <c r="BK1531" s="6"/>
      <c r="BL1531" s="6"/>
      <c r="BM1531" s="6"/>
      <c r="BN1531" s="6"/>
      <c r="BO1531" s="6"/>
      <c r="BP1531" s="6"/>
      <c r="BQ1531" s="6"/>
      <c r="BR1531" s="6"/>
      <c r="BS1531" s="6"/>
      <c r="BT1531" s="6"/>
      <c r="BU1531" s="6"/>
      <c r="BV1531" s="6"/>
      <c r="BW1531" s="6"/>
      <c r="BX1531" s="5"/>
      <c r="BY1531" s="7"/>
      <c r="BZ1531" s="7"/>
      <c r="CA1531" s="7"/>
      <c r="CB1531" s="7"/>
      <c r="CC1531" s="874"/>
    </row>
    <row r="1532" spans="1:81" s="400" customFormat="1" ht="14.25" customHeight="1" x14ac:dyDescent="0.25">
      <c r="A1532" s="5"/>
      <c r="B1532" s="5"/>
      <c r="C1532" s="5"/>
      <c r="D1532" s="5"/>
      <c r="E1532" s="5"/>
      <c r="F1532" s="5"/>
      <c r="G1532" s="5"/>
      <c r="H1532" s="5"/>
      <c r="I1532" s="5"/>
      <c r="J1532" s="5"/>
      <c r="K1532" s="5"/>
      <c r="L1532" s="5"/>
      <c r="M1532" s="5"/>
      <c r="N1532" s="5"/>
      <c r="O1532" s="5"/>
      <c r="P1532" s="5"/>
      <c r="Q1532" s="5"/>
      <c r="R1532" s="5"/>
      <c r="S1532" s="5"/>
      <c r="T1532" s="5"/>
      <c r="U1532" s="5"/>
      <c r="V1532" s="5"/>
      <c r="W1532" s="5"/>
      <c r="X1532" s="5"/>
      <c r="Y1532" s="5"/>
      <c r="Z1532" s="5"/>
      <c r="AA1532" s="5"/>
      <c r="AB1532" s="6"/>
      <c r="AC1532" s="6"/>
      <c r="AD1532" s="6"/>
      <c r="AE1532" s="6"/>
      <c r="AF1532" s="6"/>
      <c r="AG1532" s="6"/>
      <c r="AH1532" s="6"/>
      <c r="AI1532" s="6"/>
      <c r="AJ1532" s="6"/>
      <c r="AK1532" s="6"/>
      <c r="AL1532" s="6"/>
      <c r="AM1532" s="6"/>
      <c r="AN1532" s="6"/>
      <c r="AO1532" s="6"/>
      <c r="AP1532" s="6"/>
      <c r="AQ1532" s="6"/>
      <c r="AR1532" s="6"/>
      <c r="AS1532" s="6"/>
      <c r="AT1532" s="6"/>
      <c r="AU1532" s="6"/>
      <c r="AV1532" s="6"/>
      <c r="AW1532" s="6"/>
      <c r="AX1532" s="6"/>
      <c r="AY1532" s="6"/>
      <c r="AZ1532" s="6"/>
      <c r="BA1532" s="6"/>
      <c r="BB1532" s="6"/>
      <c r="BC1532" s="6"/>
      <c r="BD1532" s="6"/>
      <c r="BE1532" s="6"/>
      <c r="BF1532" s="6"/>
      <c r="BG1532" s="6"/>
      <c r="BH1532" s="6"/>
      <c r="BI1532" s="6"/>
      <c r="BJ1532" s="6"/>
      <c r="BK1532" s="6"/>
      <c r="BL1532" s="6"/>
      <c r="BM1532" s="6"/>
      <c r="BN1532" s="6"/>
      <c r="BO1532" s="6"/>
      <c r="BP1532" s="6"/>
      <c r="BQ1532" s="6"/>
      <c r="BR1532" s="6"/>
      <c r="BS1532" s="6"/>
      <c r="BT1532" s="6"/>
      <c r="BU1532" s="6"/>
      <c r="BV1532" s="6"/>
      <c r="BW1532" s="6"/>
      <c r="BX1532" s="5"/>
      <c r="BY1532" s="7"/>
      <c r="BZ1532" s="7"/>
      <c r="CA1532" s="7"/>
      <c r="CB1532" s="7"/>
      <c r="CC1532" s="874"/>
    </row>
    <row r="1533" spans="1:81" s="400" customFormat="1" ht="14.25" customHeight="1" x14ac:dyDescent="0.25">
      <c r="A1533" s="5"/>
      <c r="B1533" s="5"/>
      <c r="C1533" s="5"/>
      <c r="D1533" s="5"/>
      <c r="E1533" s="5"/>
      <c r="F1533" s="5"/>
      <c r="G1533" s="5"/>
      <c r="H1533" s="5"/>
      <c r="I1533" s="5"/>
      <c r="J1533" s="5"/>
      <c r="K1533" s="5"/>
      <c r="L1533" s="5"/>
      <c r="M1533" s="5"/>
      <c r="N1533" s="5"/>
      <c r="O1533" s="5"/>
      <c r="P1533" s="5"/>
      <c r="Q1533" s="5"/>
      <c r="R1533" s="5"/>
      <c r="S1533" s="5"/>
      <c r="T1533" s="5"/>
      <c r="U1533" s="5"/>
      <c r="V1533" s="5"/>
      <c r="W1533" s="5"/>
      <c r="X1533" s="5"/>
      <c r="Y1533" s="5"/>
      <c r="Z1533" s="5"/>
      <c r="AA1533" s="5"/>
      <c r="AB1533" s="6"/>
      <c r="AC1533" s="6"/>
      <c r="AD1533" s="6"/>
      <c r="AE1533" s="6"/>
      <c r="AF1533" s="6"/>
      <c r="AG1533" s="6"/>
      <c r="AH1533" s="6"/>
      <c r="AI1533" s="6"/>
      <c r="AJ1533" s="6"/>
      <c r="AK1533" s="6"/>
      <c r="AL1533" s="6"/>
      <c r="AM1533" s="6"/>
      <c r="AN1533" s="6"/>
      <c r="AO1533" s="6"/>
      <c r="AP1533" s="6"/>
      <c r="AQ1533" s="6"/>
      <c r="AR1533" s="6"/>
      <c r="AS1533" s="6"/>
      <c r="AT1533" s="6"/>
      <c r="AU1533" s="6"/>
      <c r="AV1533" s="6"/>
      <c r="AW1533" s="6"/>
      <c r="AX1533" s="6"/>
      <c r="AY1533" s="6"/>
      <c r="AZ1533" s="6"/>
      <c r="BA1533" s="6"/>
      <c r="BB1533" s="6"/>
      <c r="BC1533" s="6"/>
      <c r="BD1533" s="6"/>
      <c r="BE1533" s="6"/>
      <c r="BF1533" s="6"/>
      <c r="BG1533" s="6"/>
      <c r="BH1533" s="6"/>
      <c r="BI1533" s="6"/>
      <c r="BJ1533" s="6"/>
      <c r="BK1533" s="6"/>
      <c r="BL1533" s="6"/>
      <c r="BM1533" s="6"/>
      <c r="BN1533" s="6"/>
      <c r="BO1533" s="6"/>
      <c r="BP1533" s="6"/>
      <c r="BQ1533" s="6"/>
      <c r="BR1533" s="6"/>
      <c r="BS1533" s="6"/>
      <c r="BT1533" s="6"/>
      <c r="BU1533" s="6"/>
      <c r="BV1533" s="6"/>
      <c r="BW1533" s="6"/>
      <c r="BX1533" s="5"/>
      <c r="BY1533" s="7"/>
      <c r="BZ1533" s="7"/>
      <c r="CA1533" s="7"/>
      <c r="CB1533" s="7"/>
      <c r="CC1533" s="874"/>
    </row>
    <row r="1534" spans="1:81" s="400" customFormat="1" ht="14.25" customHeight="1" x14ac:dyDescent="0.25">
      <c r="A1534" s="5"/>
      <c r="B1534" s="5"/>
      <c r="C1534" s="5"/>
      <c r="D1534" s="5"/>
      <c r="E1534" s="5"/>
      <c r="F1534" s="5"/>
      <c r="G1534" s="5"/>
      <c r="H1534" s="5"/>
      <c r="I1534" s="5"/>
      <c r="J1534" s="5"/>
      <c r="K1534" s="5"/>
      <c r="L1534" s="5"/>
      <c r="M1534" s="5"/>
      <c r="N1534" s="5"/>
      <c r="O1534" s="5"/>
      <c r="P1534" s="5"/>
      <c r="Q1534" s="5"/>
      <c r="R1534" s="5"/>
      <c r="S1534" s="5"/>
      <c r="T1534" s="5"/>
      <c r="U1534" s="5"/>
      <c r="V1534" s="5"/>
      <c r="W1534" s="5"/>
      <c r="X1534" s="5"/>
      <c r="Y1534" s="5"/>
      <c r="Z1534" s="5"/>
      <c r="AA1534" s="5"/>
      <c r="AB1534" s="6"/>
      <c r="AC1534" s="6"/>
      <c r="AD1534" s="6"/>
      <c r="AE1534" s="6"/>
      <c r="AF1534" s="6"/>
      <c r="AG1534" s="6"/>
      <c r="AH1534" s="6"/>
      <c r="AI1534" s="6"/>
      <c r="AJ1534" s="6"/>
      <c r="AK1534" s="6"/>
      <c r="AL1534" s="6"/>
      <c r="AM1534" s="6"/>
      <c r="AN1534" s="6"/>
      <c r="AO1534" s="6"/>
      <c r="AP1534" s="6"/>
      <c r="AQ1534" s="6"/>
      <c r="AR1534" s="6"/>
      <c r="AS1534" s="6"/>
      <c r="AT1534" s="6"/>
      <c r="AU1534" s="6"/>
      <c r="AV1534" s="6"/>
      <c r="AW1534" s="6"/>
      <c r="AX1534" s="6"/>
      <c r="AY1534" s="6"/>
      <c r="AZ1534" s="6"/>
      <c r="BA1534" s="6"/>
      <c r="BB1534" s="6"/>
      <c r="BC1534" s="6"/>
      <c r="BD1534" s="6"/>
      <c r="BE1534" s="6"/>
      <c r="BF1534" s="6"/>
      <c r="BG1534" s="6"/>
      <c r="BH1534" s="6"/>
      <c r="BI1534" s="6"/>
      <c r="BJ1534" s="6"/>
      <c r="BK1534" s="6"/>
      <c r="BL1534" s="6"/>
      <c r="BM1534" s="6"/>
      <c r="BN1534" s="6"/>
      <c r="BO1534" s="6"/>
      <c r="BP1534" s="6"/>
      <c r="BQ1534" s="6"/>
      <c r="BR1534" s="6"/>
      <c r="BS1534" s="6"/>
      <c r="BT1534" s="6"/>
      <c r="BU1534" s="6"/>
      <c r="BV1534" s="6"/>
      <c r="BW1534" s="6"/>
      <c r="BX1534" s="5"/>
      <c r="BY1534" s="7"/>
      <c r="BZ1534" s="7"/>
      <c r="CA1534" s="7"/>
      <c r="CB1534" s="7"/>
      <c r="CC1534" s="874"/>
    </row>
    <row r="1535" spans="1:81" s="400" customFormat="1" ht="14.25" customHeight="1" x14ac:dyDescent="0.25">
      <c r="A1535" s="5"/>
      <c r="B1535" s="5"/>
      <c r="C1535" s="5"/>
      <c r="D1535" s="5"/>
      <c r="E1535" s="5"/>
      <c r="F1535" s="5"/>
      <c r="G1535" s="5"/>
      <c r="H1535" s="5"/>
      <c r="I1535" s="5"/>
      <c r="J1535" s="5"/>
      <c r="K1535" s="5"/>
      <c r="L1535" s="5"/>
      <c r="M1535" s="5"/>
      <c r="N1535" s="5"/>
      <c r="O1535" s="5"/>
      <c r="P1535" s="5"/>
      <c r="Q1535" s="5"/>
      <c r="R1535" s="5"/>
      <c r="S1535" s="5"/>
      <c r="T1535" s="5"/>
      <c r="U1535" s="5"/>
      <c r="V1535" s="5"/>
      <c r="W1535" s="5"/>
      <c r="X1535" s="5"/>
      <c r="Y1535" s="5"/>
      <c r="Z1535" s="5"/>
      <c r="AA1535" s="5"/>
      <c r="AB1535" s="6"/>
      <c r="AC1535" s="6"/>
      <c r="AD1535" s="6"/>
      <c r="AE1535" s="6"/>
      <c r="AF1535" s="6"/>
      <c r="AG1535" s="6"/>
      <c r="AH1535" s="6"/>
      <c r="AI1535" s="6"/>
      <c r="AJ1535" s="6"/>
      <c r="AK1535" s="6"/>
      <c r="AL1535" s="6"/>
      <c r="AM1535" s="6"/>
      <c r="AN1535" s="6"/>
      <c r="AO1535" s="6"/>
      <c r="AP1535" s="6"/>
      <c r="AQ1535" s="6"/>
      <c r="AR1535" s="6"/>
      <c r="AS1535" s="6"/>
      <c r="AT1535" s="6"/>
      <c r="AU1535" s="6"/>
      <c r="AV1535" s="6"/>
      <c r="AW1535" s="6"/>
      <c r="AX1535" s="6"/>
      <c r="AY1535" s="6"/>
      <c r="AZ1535" s="6"/>
      <c r="BA1535" s="6"/>
      <c r="BB1535" s="6"/>
      <c r="BC1535" s="6"/>
      <c r="BD1535" s="6"/>
      <c r="BE1535" s="6"/>
      <c r="BF1535" s="6"/>
      <c r="BG1535" s="6"/>
      <c r="BH1535" s="6"/>
      <c r="BI1535" s="6"/>
      <c r="BJ1535" s="6"/>
      <c r="BK1535" s="6"/>
      <c r="BL1535" s="6"/>
      <c r="BM1535" s="6"/>
      <c r="BN1535" s="6"/>
      <c r="BO1535" s="6"/>
      <c r="BP1535" s="6"/>
      <c r="BQ1535" s="6"/>
      <c r="BR1535" s="6"/>
      <c r="BS1535" s="6"/>
      <c r="BT1535" s="6"/>
      <c r="BU1535" s="6"/>
      <c r="BV1535" s="6"/>
      <c r="BW1535" s="6"/>
      <c r="BX1535" s="5"/>
      <c r="BY1535" s="7"/>
      <c r="BZ1535" s="7"/>
      <c r="CA1535" s="7"/>
      <c r="CB1535" s="7"/>
      <c r="CC1535" s="874"/>
    </row>
    <row r="1536" spans="1:81" s="400" customFormat="1" ht="14.25" customHeight="1" x14ac:dyDescent="0.25">
      <c r="A1536" s="5"/>
      <c r="B1536" s="5"/>
      <c r="C1536" s="5"/>
      <c r="D1536" s="5"/>
      <c r="E1536" s="5"/>
      <c r="F1536" s="5"/>
      <c r="G1536" s="5"/>
      <c r="H1536" s="5"/>
      <c r="I1536" s="5"/>
      <c r="J1536" s="5"/>
      <c r="K1536" s="5"/>
      <c r="L1536" s="5"/>
      <c r="M1536" s="5"/>
      <c r="N1536" s="5"/>
      <c r="O1536" s="5"/>
      <c r="P1536" s="5"/>
      <c r="Q1536" s="5"/>
      <c r="R1536" s="5"/>
      <c r="S1536" s="5"/>
      <c r="T1536" s="5"/>
      <c r="U1536" s="5"/>
      <c r="V1536" s="5"/>
      <c r="W1536" s="5"/>
      <c r="X1536" s="5"/>
      <c r="Y1536" s="5"/>
      <c r="Z1536" s="5"/>
      <c r="AA1536" s="5"/>
      <c r="AB1536" s="6"/>
      <c r="AC1536" s="6"/>
      <c r="AD1536" s="6"/>
      <c r="AE1536" s="6"/>
      <c r="AF1536" s="6"/>
      <c r="AG1536" s="6"/>
      <c r="AH1536" s="6"/>
      <c r="AI1536" s="6"/>
      <c r="AJ1536" s="6"/>
      <c r="AK1536" s="6"/>
      <c r="AL1536" s="6"/>
      <c r="AM1536" s="6"/>
      <c r="AN1536" s="6"/>
      <c r="AO1536" s="6"/>
      <c r="AP1536" s="6"/>
      <c r="AQ1536" s="6"/>
      <c r="AR1536" s="6"/>
      <c r="AS1536" s="6"/>
      <c r="AT1536" s="6"/>
      <c r="AU1536" s="6"/>
      <c r="AV1536" s="6"/>
      <c r="AW1536" s="6"/>
      <c r="AX1536" s="6"/>
      <c r="AY1536" s="6"/>
      <c r="AZ1536" s="6"/>
      <c r="BA1536" s="6"/>
      <c r="BB1536" s="6"/>
      <c r="BC1536" s="6"/>
      <c r="BD1536" s="6"/>
      <c r="BE1536" s="6"/>
      <c r="BF1536" s="6"/>
      <c r="BG1536" s="6"/>
      <c r="BH1536" s="6"/>
      <c r="BI1536" s="6"/>
      <c r="BJ1536" s="6"/>
      <c r="BK1536" s="6"/>
      <c r="BL1536" s="6"/>
      <c r="BM1536" s="6"/>
      <c r="BN1536" s="6"/>
      <c r="BO1536" s="6"/>
      <c r="BP1536" s="6"/>
      <c r="BQ1536" s="6"/>
      <c r="BR1536" s="6"/>
      <c r="BS1536" s="6"/>
      <c r="BT1536" s="6"/>
      <c r="BU1536" s="6"/>
      <c r="BV1536" s="6"/>
      <c r="BW1536" s="6"/>
      <c r="BX1536" s="5"/>
      <c r="BY1536" s="7"/>
      <c r="BZ1536" s="7"/>
      <c r="CA1536" s="7"/>
      <c r="CB1536" s="7"/>
      <c r="CC1536" s="874"/>
    </row>
    <row r="1537" spans="1:81" s="400" customFormat="1" ht="14.25" customHeight="1" x14ac:dyDescent="0.25">
      <c r="A1537" s="5"/>
      <c r="B1537" s="5"/>
      <c r="C1537" s="5"/>
      <c r="D1537" s="5"/>
      <c r="E1537" s="5"/>
      <c r="F1537" s="5"/>
      <c r="G1537" s="5"/>
      <c r="H1537" s="5"/>
      <c r="I1537" s="5"/>
      <c r="J1537" s="5"/>
      <c r="K1537" s="5"/>
      <c r="L1537" s="5"/>
      <c r="M1537" s="5"/>
      <c r="N1537" s="5"/>
      <c r="O1537" s="5"/>
      <c r="P1537" s="5"/>
      <c r="Q1537" s="5"/>
      <c r="R1537" s="5"/>
      <c r="S1537" s="5"/>
      <c r="T1537" s="5"/>
      <c r="U1537" s="5"/>
      <c r="V1537" s="5"/>
      <c r="W1537" s="5"/>
      <c r="X1537" s="5"/>
      <c r="Y1537" s="5"/>
      <c r="Z1537" s="5"/>
      <c r="AA1537" s="5"/>
      <c r="AB1537" s="6"/>
      <c r="AC1537" s="6"/>
      <c r="AD1537" s="6"/>
      <c r="AE1537" s="6"/>
      <c r="AF1537" s="6"/>
      <c r="AG1537" s="6"/>
      <c r="AH1537" s="6"/>
      <c r="AI1537" s="6"/>
      <c r="AJ1537" s="6"/>
      <c r="AK1537" s="6"/>
      <c r="AL1537" s="6"/>
      <c r="AM1537" s="6"/>
      <c r="AN1537" s="6"/>
      <c r="AO1537" s="6"/>
      <c r="AP1537" s="6"/>
      <c r="AQ1537" s="6"/>
      <c r="AR1537" s="6"/>
      <c r="AS1537" s="6"/>
      <c r="AT1537" s="6"/>
      <c r="AU1537" s="6"/>
      <c r="AV1537" s="6"/>
      <c r="AW1537" s="6"/>
      <c r="AX1537" s="6"/>
      <c r="AY1537" s="6"/>
      <c r="AZ1537" s="6"/>
      <c r="BA1537" s="6"/>
      <c r="BB1537" s="6"/>
      <c r="BC1537" s="6"/>
      <c r="BD1537" s="6"/>
      <c r="BE1537" s="6"/>
      <c r="BF1537" s="6"/>
      <c r="BG1537" s="6"/>
      <c r="BH1537" s="6"/>
      <c r="BI1537" s="6"/>
      <c r="BJ1537" s="6"/>
      <c r="BK1537" s="6"/>
      <c r="BL1537" s="6"/>
      <c r="BM1537" s="6"/>
      <c r="BN1537" s="6"/>
      <c r="BO1537" s="6"/>
      <c r="BP1537" s="6"/>
      <c r="BQ1537" s="6"/>
      <c r="BR1537" s="6"/>
      <c r="BS1537" s="6"/>
      <c r="BT1537" s="6"/>
      <c r="BU1537" s="6"/>
      <c r="BV1537" s="6"/>
      <c r="BW1537" s="6"/>
      <c r="BX1537" s="5"/>
      <c r="BY1537" s="7"/>
      <c r="BZ1537" s="7"/>
      <c r="CA1537" s="7"/>
      <c r="CB1537" s="7"/>
      <c r="CC1537" s="874"/>
    </row>
    <row r="1538" spans="1:81" s="400" customFormat="1" ht="14.25" customHeight="1" x14ac:dyDescent="0.25">
      <c r="A1538" s="5"/>
      <c r="B1538" s="5"/>
      <c r="C1538" s="5"/>
      <c r="D1538" s="5"/>
      <c r="E1538" s="5"/>
      <c r="F1538" s="5"/>
      <c r="G1538" s="5"/>
      <c r="H1538" s="5"/>
      <c r="I1538" s="5"/>
      <c r="J1538" s="5"/>
      <c r="K1538" s="5"/>
      <c r="L1538" s="5"/>
      <c r="M1538" s="5"/>
      <c r="N1538" s="5"/>
      <c r="O1538" s="5"/>
      <c r="P1538" s="5"/>
      <c r="Q1538" s="5"/>
      <c r="R1538" s="5"/>
      <c r="S1538" s="5"/>
      <c r="T1538" s="5"/>
      <c r="U1538" s="5"/>
      <c r="V1538" s="5"/>
      <c r="W1538" s="5"/>
      <c r="X1538" s="5"/>
      <c r="Y1538" s="5"/>
      <c r="Z1538" s="5"/>
      <c r="AA1538" s="5"/>
      <c r="AB1538" s="6"/>
      <c r="AC1538" s="6"/>
      <c r="AD1538" s="6"/>
      <c r="AE1538" s="6"/>
      <c r="AF1538" s="6"/>
      <c r="AG1538" s="6"/>
      <c r="AH1538" s="6"/>
      <c r="AI1538" s="6"/>
      <c r="AJ1538" s="6"/>
      <c r="AK1538" s="6"/>
      <c r="AL1538" s="6"/>
      <c r="AM1538" s="6"/>
      <c r="AN1538" s="6"/>
      <c r="AO1538" s="6"/>
      <c r="AP1538" s="6"/>
      <c r="AQ1538" s="6"/>
      <c r="AR1538" s="6"/>
      <c r="AS1538" s="6"/>
      <c r="AT1538" s="6"/>
      <c r="AU1538" s="6"/>
      <c r="AV1538" s="6"/>
      <c r="AW1538" s="6"/>
      <c r="AX1538" s="6"/>
      <c r="AY1538" s="6"/>
      <c r="AZ1538" s="6"/>
      <c r="BA1538" s="6"/>
      <c r="BB1538" s="6"/>
      <c r="BC1538" s="6"/>
      <c r="BD1538" s="6"/>
      <c r="BE1538" s="6"/>
      <c r="BF1538" s="6"/>
      <c r="BG1538" s="6"/>
      <c r="BH1538" s="6"/>
      <c r="BI1538" s="6"/>
      <c r="BJ1538" s="6"/>
      <c r="BK1538" s="6"/>
      <c r="BL1538" s="6"/>
      <c r="BM1538" s="6"/>
      <c r="BN1538" s="6"/>
      <c r="BO1538" s="6"/>
      <c r="BP1538" s="6"/>
      <c r="BQ1538" s="6"/>
      <c r="BR1538" s="6"/>
      <c r="BS1538" s="6"/>
      <c r="BT1538" s="6"/>
      <c r="BU1538" s="6"/>
      <c r="BV1538" s="6"/>
      <c r="BW1538" s="6"/>
      <c r="BX1538" s="5"/>
      <c r="BY1538" s="7"/>
      <c r="BZ1538" s="7"/>
      <c r="CA1538" s="7"/>
      <c r="CB1538" s="7"/>
      <c r="CC1538" s="874"/>
    </row>
    <row r="1539" spans="1:81" s="400" customFormat="1" ht="14.25" customHeight="1" x14ac:dyDescent="0.25">
      <c r="A1539" s="5"/>
      <c r="B1539" s="5"/>
      <c r="C1539" s="5"/>
      <c r="D1539" s="5"/>
      <c r="E1539" s="5"/>
      <c r="F1539" s="5"/>
      <c r="G1539" s="5"/>
      <c r="H1539" s="5"/>
      <c r="I1539" s="5"/>
      <c r="J1539" s="5"/>
      <c r="K1539" s="5"/>
      <c r="L1539" s="5"/>
      <c r="M1539" s="5"/>
      <c r="N1539" s="5"/>
      <c r="O1539" s="5"/>
      <c r="P1539" s="5"/>
      <c r="Q1539" s="5"/>
      <c r="R1539" s="5"/>
      <c r="S1539" s="5"/>
      <c r="T1539" s="5"/>
      <c r="U1539" s="5"/>
      <c r="V1539" s="5"/>
      <c r="W1539" s="5"/>
      <c r="X1539" s="5"/>
      <c r="Y1539" s="5"/>
      <c r="Z1539" s="5"/>
      <c r="AA1539" s="5"/>
      <c r="AB1539" s="6"/>
      <c r="AC1539" s="6"/>
      <c r="AD1539" s="6"/>
      <c r="AE1539" s="6"/>
      <c r="AF1539" s="6"/>
      <c r="AG1539" s="6"/>
      <c r="AH1539" s="6"/>
      <c r="AI1539" s="6"/>
      <c r="AJ1539" s="6"/>
      <c r="AK1539" s="6"/>
      <c r="AL1539" s="6"/>
      <c r="AM1539" s="6"/>
      <c r="AN1539" s="6"/>
      <c r="AO1539" s="6"/>
      <c r="AP1539" s="6"/>
      <c r="AQ1539" s="6"/>
      <c r="AR1539" s="6"/>
      <c r="AS1539" s="6"/>
      <c r="AT1539" s="6"/>
      <c r="AU1539" s="6"/>
      <c r="AV1539" s="6"/>
      <c r="AW1539" s="6"/>
      <c r="AX1539" s="6"/>
      <c r="AY1539" s="6"/>
      <c r="AZ1539" s="6"/>
      <c r="BA1539" s="6"/>
      <c r="BB1539" s="6"/>
      <c r="BC1539" s="6"/>
      <c r="BD1539" s="6"/>
      <c r="BE1539" s="6"/>
      <c r="BF1539" s="6"/>
      <c r="BG1539" s="6"/>
      <c r="BH1539" s="6"/>
      <c r="BI1539" s="6"/>
      <c r="BJ1539" s="6"/>
      <c r="BK1539" s="6"/>
      <c r="BL1539" s="6"/>
      <c r="BM1539" s="6"/>
      <c r="BN1539" s="6"/>
      <c r="BO1539" s="6"/>
      <c r="BP1539" s="6"/>
      <c r="BQ1539" s="6"/>
      <c r="BR1539" s="6"/>
      <c r="BS1539" s="6"/>
      <c r="BT1539" s="6"/>
      <c r="BU1539" s="6"/>
      <c r="BV1539" s="6"/>
      <c r="BW1539" s="6"/>
      <c r="BX1539" s="5"/>
      <c r="BY1539" s="7"/>
      <c r="BZ1539" s="7"/>
      <c r="CA1539" s="7"/>
      <c r="CB1539" s="7"/>
      <c r="CC1539" s="874"/>
    </row>
    <row r="1540" spans="1:81" s="400" customFormat="1" ht="14.25" customHeight="1" x14ac:dyDescent="0.25">
      <c r="A1540" s="5"/>
      <c r="B1540" s="5"/>
      <c r="C1540" s="5"/>
      <c r="D1540" s="5"/>
      <c r="E1540" s="5"/>
      <c r="F1540" s="5"/>
      <c r="G1540" s="5"/>
      <c r="H1540" s="5"/>
      <c r="I1540" s="5"/>
      <c r="J1540" s="5"/>
      <c r="K1540" s="5"/>
      <c r="L1540" s="5"/>
      <c r="M1540" s="5"/>
      <c r="N1540" s="5"/>
      <c r="O1540" s="5"/>
      <c r="P1540" s="5"/>
      <c r="Q1540" s="5"/>
      <c r="R1540" s="5"/>
      <c r="S1540" s="5"/>
      <c r="T1540" s="5"/>
      <c r="U1540" s="5"/>
      <c r="V1540" s="5"/>
      <c r="W1540" s="5"/>
      <c r="X1540" s="5"/>
      <c r="Y1540" s="5"/>
      <c r="Z1540" s="5"/>
      <c r="AA1540" s="5"/>
      <c r="AB1540" s="6"/>
      <c r="AC1540" s="6"/>
      <c r="AD1540" s="6"/>
      <c r="AE1540" s="6"/>
      <c r="AF1540" s="6"/>
      <c r="AG1540" s="6"/>
      <c r="AH1540" s="6"/>
      <c r="AI1540" s="6"/>
      <c r="AJ1540" s="6"/>
      <c r="AK1540" s="6"/>
      <c r="AL1540" s="6"/>
      <c r="AM1540" s="6"/>
      <c r="AN1540" s="6"/>
      <c r="AO1540" s="6"/>
      <c r="AP1540" s="6"/>
      <c r="AQ1540" s="6"/>
      <c r="AR1540" s="6"/>
      <c r="AS1540" s="6"/>
      <c r="AT1540" s="6"/>
      <c r="AU1540" s="6"/>
      <c r="AV1540" s="6"/>
      <c r="AW1540" s="6"/>
      <c r="AX1540" s="6"/>
      <c r="AY1540" s="6"/>
      <c r="AZ1540" s="6"/>
      <c r="BA1540" s="6"/>
      <c r="BB1540" s="6"/>
      <c r="BC1540" s="6"/>
      <c r="BD1540" s="6"/>
      <c r="BE1540" s="6"/>
      <c r="BF1540" s="6"/>
      <c r="BG1540" s="6"/>
      <c r="BH1540" s="6"/>
      <c r="BI1540" s="6"/>
      <c r="BJ1540" s="6"/>
      <c r="BK1540" s="6"/>
      <c r="BL1540" s="6"/>
      <c r="BM1540" s="6"/>
      <c r="BN1540" s="6"/>
      <c r="BO1540" s="6"/>
      <c r="BP1540" s="6"/>
      <c r="BQ1540" s="6"/>
      <c r="BR1540" s="6"/>
      <c r="BS1540" s="6"/>
      <c r="BT1540" s="6"/>
      <c r="BU1540" s="6"/>
      <c r="BV1540" s="6"/>
      <c r="BW1540" s="6"/>
      <c r="BX1540" s="5"/>
      <c r="BY1540" s="7"/>
      <c r="BZ1540" s="7"/>
      <c r="CA1540" s="7"/>
      <c r="CB1540" s="7"/>
      <c r="CC1540" s="874"/>
    </row>
    <row r="1541" spans="1:81" s="400" customFormat="1" ht="14.25" customHeight="1" x14ac:dyDescent="0.25">
      <c r="A1541" s="5"/>
      <c r="B1541" s="5"/>
      <c r="C1541" s="5"/>
      <c r="D1541" s="5"/>
      <c r="E1541" s="5"/>
      <c r="F1541" s="5"/>
      <c r="G1541" s="5"/>
      <c r="H1541" s="5"/>
      <c r="I1541" s="5"/>
      <c r="J1541" s="5"/>
      <c r="K1541" s="5"/>
      <c r="L1541" s="5"/>
      <c r="M1541" s="5"/>
      <c r="N1541" s="5"/>
      <c r="O1541" s="5"/>
      <c r="P1541" s="5"/>
      <c r="Q1541" s="5"/>
      <c r="R1541" s="5"/>
      <c r="S1541" s="5"/>
      <c r="T1541" s="5"/>
      <c r="U1541" s="5"/>
      <c r="V1541" s="5"/>
      <c r="W1541" s="5"/>
      <c r="X1541" s="5"/>
      <c r="Y1541" s="5"/>
      <c r="Z1541" s="5"/>
      <c r="AA1541" s="5"/>
      <c r="AB1541" s="6"/>
      <c r="AC1541" s="6"/>
      <c r="AD1541" s="6"/>
      <c r="AE1541" s="6"/>
      <c r="AF1541" s="6"/>
      <c r="AG1541" s="6"/>
      <c r="AH1541" s="6"/>
      <c r="AI1541" s="6"/>
      <c r="AJ1541" s="6"/>
      <c r="AK1541" s="6"/>
      <c r="AL1541" s="6"/>
      <c r="AM1541" s="6"/>
      <c r="AN1541" s="6"/>
      <c r="AO1541" s="6"/>
      <c r="AP1541" s="6"/>
      <c r="AQ1541" s="6"/>
      <c r="AR1541" s="6"/>
      <c r="AS1541" s="6"/>
      <c r="AT1541" s="6"/>
      <c r="AU1541" s="6"/>
      <c r="AV1541" s="6"/>
      <c r="AW1541" s="6"/>
      <c r="AX1541" s="6"/>
      <c r="AY1541" s="6"/>
      <c r="AZ1541" s="6"/>
      <c r="BA1541" s="6"/>
      <c r="BB1541" s="6"/>
      <c r="BC1541" s="6"/>
      <c r="BD1541" s="6"/>
      <c r="BE1541" s="6"/>
      <c r="BF1541" s="6"/>
      <c r="BG1541" s="6"/>
      <c r="BH1541" s="6"/>
      <c r="BI1541" s="6"/>
      <c r="BJ1541" s="6"/>
      <c r="BK1541" s="6"/>
      <c r="BL1541" s="6"/>
      <c r="BM1541" s="6"/>
      <c r="BN1541" s="6"/>
      <c r="BO1541" s="6"/>
      <c r="BP1541" s="6"/>
      <c r="BQ1541" s="6"/>
      <c r="BR1541" s="6"/>
      <c r="BS1541" s="6"/>
      <c r="BT1541" s="6"/>
      <c r="BU1541" s="6"/>
      <c r="BV1541" s="6"/>
      <c r="BW1541" s="6"/>
      <c r="BX1541" s="5"/>
      <c r="BY1541" s="7"/>
      <c r="BZ1541" s="7"/>
      <c r="CA1541" s="7"/>
      <c r="CB1541" s="7"/>
      <c r="CC1541" s="874"/>
    </row>
    <row r="1542" spans="1:81" s="400" customFormat="1" ht="14.25" customHeight="1" x14ac:dyDescent="0.25">
      <c r="A1542" s="5"/>
      <c r="B1542" s="5"/>
      <c r="C1542" s="5"/>
      <c r="D1542" s="5"/>
      <c r="E1542" s="5"/>
      <c r="F1542" s="5"/>
      <c r="G1542" s="5"/>
      <c r="H1542" s="5"/>
      <c r="I1542" s="5"/>
      <c r="J1542" s="5"/>
      <c r="K1542" s="5"/>
      <c r="L1542" s="5"/>
      <c r="M1542" s="5"/>
      <c r="N1542" s="5"/>
      <c r="O1542" s="5"/>
      <c r="P1542" s="5"/>
      <c r="Q1542" s="5"/>
      <c r="R1542" s="5"/>
      <c r="S1542" s="5"/>
      <c r="T1542" s="5"/>
      <c r="U1542" s="5"/>
      <c r="V1542" s="5"/>
      <c r="W1542" s="5"/>
      <c r="X1542" s="5"/>
      <c r="Y1542" s="5"/>
      <c r="Z1542" s="5"/>
      <c r="AA1542" s="5"/>
      <c r="AB1542" s="6"/>
      <c r="AC1542" s="6"/>
      <c r="AD1542" s="6"/>
      <c r="AE1542" s="6"/>
      <c r="AF1542" s="6"/>
      <c r="AG1542" s="6"/>
      <c r="AH1542" s="6"/>
      <c r="AI1542" s="6"/>
      <c r="AJ1542" s="6"/>
      <c r="AK1542" s="6"/>
      <c r="AL1542" s="6"/>
      <c r="AM1542" s="6"/>
      <c r="AN1542" s="6"/>
      <c r="AO1542" s="6"/>
      <c r="AP1542" s="6"/>
      <c r="AQ1542" s="6"/>
      <c r="AR1542" s="6"/>
      <c r="AS1542" s="6"/>
      <c r="AT1542" s="6"/>
      <c r="AU1542" s="6"/>
      <c r="AV1542" s="6"/>
      <c r="AW1542" s="6"/>
      <c r="AX1542" s="6"/>
      <c r="AY1542" s="6"/>
      <c r="AZ1542" s="6"/>
      <c r="BA1542" s="6"/>
      <c r="BB1542" s="6"/>
      <c r="BC1542" s="6"/>
      <c r="BD1542" s="6"/>
      <c r="BE1542" s="6"/>
      <c r="BF1542" s="6"/>
      <c r="BG1542" s="6"/>
      <c r="BH1542" s="6"/>
      <c r="BI1542" s="6"/>
      <c r="BJ1542" s="6"/>
      <c r="BK1542" s="6"/>
      <c r="BL1542" s="6"/>
      <c r="BM1542" s="6"/>
      <c r="BN1542" s="6"/>
      <c r="BO1542" s="6"/>
      <c r="BP1542" s="6"/>
      <c r="BQ1542" s="6"/>
      <c r="BR1542" s="6"/>
      <c r="BS1542" s="6"/>
      <c r="BT1542" s="6"/>
      <c r="BU1542" s="6"/>
      <c r="BV1542" s="6"/>
      <c r="BW1542" s="6"/>
      <c r="BX1542" s="5"/>
      <c r="BY1542" s="7"/>
      <c r="BZ1542" s="7"/>
      <c r="CA1542" s="7"/>
      <c r="CB1542" s="7"/>
      <c r="CC1542" s="874"/>
    </row>
    <row r="1543" spans="1:81" s="400" customFormat="1" ht="14.25" customHeight="1" x14ac:dyDescent="0.25">
      <c r="A1543" s="5"/>
      <c r="B1543" s="5"/>
      <c r="C1543" s="5"/>
      <c r="D1543" s="5"/>
      <c r="E1543" s="5"/>
      <c r="F1543" s="5"/>
      <c r="G1543" s="5"/>
      <c r="H1543" s="5"/>
      <c r="I1543" s="5"/>
      <c r="J1543" s="5"/>
      <c r="K1543" s="5"/>
      <c r="L1543" s="5"/>
      <c r="M1543" s="5"/>
      <c r="N1543" s="5"/>
      <c r="O1543" s="5"/>
      <c r="P1543" s="5"/>
      <c r="Q1543" s="5"/>
      <c r="R1543" s="5"/>
      <c r="S1543" s="5"/>
      <c r="T1543" s="5"/>
      <c r="U1543" s="5"/>
      <c r="V1543" s="5"/>
      <c r="W1543" s="5"/>
      <c r="X1543" s="5"/>
      <c r="Y1543" s="5"/>
      <c r="Z1543" s="5"/>
      <c r="AA1543" s="5"/>
      <c r="AB1543" s="6"/>
      <c r="AC1543" s="6"/>
      <c r="AD1543" s="6"/>
      <c r="AE1543" s="6"/>
      <c r="AF1543" s="6"/>
      <c r="AG1543" s="6"/>
      <c r="AH1543" s="6"/>
      <c r="AI1543" s="6"/>
      <c r="AJ1543" s="6"/>
      <c r="AK1543" s="6"/>
      <c r="AL1543" s="6"/>
      <c r="AM1543" s="6"/>
      <c r="AN1543" s="6"/>
      <c r="AO1543" s="6"/>
      <c r="AP1543" s="6"/>
      <c r="AQ1543" s="6"/>
      <c r="AR1543" s="6"/>
      <c r="AS1543" s="6"/>
      <c r="AT1543" s="6"/>
      <c r="AU1543" s="6"/>
      <c r="AV1543" s="6"/>
      <c r="AW1543" s="6"/>
      <c r="AX1543" s="6"/>
      <c r="AY1543" s="6"/>
      <c r="AZ1543" s="6"/>
      <c r="BA1543" s="6"/>
      <c r="BB1543" s="6"/>
      <c r="BC1543" s="6"/>
      <c r="BD1543" s="6"/>
      <c r="BE1543" s="6"/>
      <c r="BF1543" s="6"/>
      <c r="BG1543" s="6"/>
      <c r="BH1543" s="6"/>
      <c r="BI1543" s="6"/>
      <c r="BJ1543" s="6"/>
      <c r="BK1543" s="6"/>
      <c r="BL1543" s="6"/>
      <c r="BM1543" s="6"/>
      <c r="BN1543" s="6"/>
      <c r="BO1543" s="6"/>
      <c r="BP1543" s="6"/>
      <c r="BQ1543" s="6"/>
      <c r="BR1543" s="6"/>
      <c r="BS1543" s="6"/>
      <c r="BT1543" s="6"/>
      <c r="BU1543" s="6"/>
      <c r="BV1543" s="6"/>
      <c r="BW1543" s="6"/>
      <c r="BX1543" s="5"/>
      <c r="BY1543" s="7"/>
      <c r="BZ1543" s="7"/>
      <c r="CA1543" s="7"/>
      <c r="CB1543" s="7"/>
      <c r="CC1543" s="874"/>
    </row>
    <row r="1544" spans="1:81" s="400" customFormat="1" ht="14.25" customHeight="1" x14ac:dyDescent="0.25">
      <c r="A1544" s="5"/>
      <c r="B1544" s="5"/>
      <c r="C1544" s="5"/>
      <c r="D1544" s="5"/>
      <c r="E1544" s="5"/>
      <c r="F1544" s="5"/>
      <c r="G1544" s="5"/>
      <c r="H1544" s="5"/>
      <c r="I1544" s="5"/>
      <c r="J1544" s="5"/>
      <c r="K1544" s="5"/>
      <c r="L1544" s="5"/>
      <c r="M1544" s="5"/>
      <c r="N1544" s="5"/>
      <c r="O1544" s="5"/>
      <c r="P1544" s="5"/>
      <c r="Q1544" s="5"/>
      <c r="R1544" s="5"/>
      <c r="S1544" s="5"/>
      <c r="T1544" s="5"/>
      <c r="U1544" s="5"/>
      <c r="V1544" s="5"/>
      <c r="W1544" s="5"/>
      <c r="X1544" s="5"/>
      <c r="Y1544" s="5"/>
      <c r="Z1544" s="5"/>
      <c r="AA1544" s="5"/>
      <c r="AB1544" s="6"/>
      <c r="AC1544" s="6"/>
      <c r="AD1544" s="6"/>
      <c r="AE1544" s="6"/>
      <c r="AF1544" s="6"/>
      <c r="AG1544" s="6"/>
      <c r="AH1544" s="6"/>
      <c r="AI1544" s="6"/>
      <c r="AJ1544" s="6"/>
      <c r="AK1544" s="6"/>
      <c r="AL1544" s="6"/>
      <c r="AM1544" s="6"/>
      <c r="AN1544" s="6"/>
      <c r="AO1544" s="6"/>
      <c r="AP1544" s="6"/>
      <c r="AQ1544" s="6"/>
      <c r="AR1544" s="6"/>
      <c r="AS1544" s="6"/>
      <c r="AT1544" s="6"/>
      <c r="AU1544" s="6"/>
      <c r="AV1544" s="6"/>
      <c r="AW1544" s="6"/>
      <c r="AX1544" s="6"/>
      <c r="AY1544" s="6"/>
      <c r="AZ1544" s="6"/>
      <c r="BA1544" s="6"/>
      <c r="BB1544" s="6"/>
      <c r="BC1544" s="6"/>
      <c r="BD1544" s="6"/>
      <c r="BE1544" s="6"/>
      <c r="BF1544" s="6"/>
      <c r="BG1544" s="6"/>
      <c r="BH1544" s="6"/>
      <c r="BI1544" s="6"/>
      <c r="BJ1544" s="6"/>
      <c r="BK1544" s="6"/>
      <c r="BL1544" s="6"/>
      <c r="BM1544" s="6"/>
      <c r="BN1544" s="6"/>
      <c r="BO1544" s="6"/>
      <c r="BP1544" s="6"/>
      <c r="BQ1544" s="6"/>
      <c r="BR1544" s="6"/>
      <c r="BS1544" s="6"/>
      <c r="BT1544" s="6"/>
      <c r="BU1544" s="6"/>
      <c r="BV1544" s="6"/>
      <c r="BW1544" s="6"/>
      <c r="BX1544" s="5"/>
      <c r="BY1544" s="7"/>
      <c r="BZ1544" s="7"/>
      <c r="CA1544" s="7"/>
      <c r="CB1544" s="7"/>
      <c r="CC1544" s="874"/>
    </row>
    <row r="1545" spans="1:81" s="400" customFormat="1" ht="14.25" customHeight="1" x14ac:dyDescent="0.25">
      <c r="A1545" s="5"/>
      <c r="B1545" s="5"/>
      <c r="C1545" s="5"/>
      <c r="D1545" s="5"/>
      <c r="E1545" s="5"/>
      <c r="F1545" s="5"/>
      <c r="G1545" s="5"/>
      <c r="H1545" s="5"/>
      <c r="I1545" s="5"/>
      <c r="J1545" s="5"/>
      <c r="K1545" s="5"/>
      <c r="L1545" s="5"/>
      <c r="M1545" s="5"/>
      <c r="N1545" s="5"/>
      <c r="O1545" s="5"/>
      <c r="P1545" s="5"/>
      <c r="Q1545" s="5"/>
      <c r="R1545" s="5"/>
      <c r="S1545" s="5"/>
      <c r="T1545" s="5"/>
      <c r="U1545" s="5"/>
      <c r="V1545" s="5"/>
      <c r="W1545" s="5"/>
      <c r="X1545" s="5"/>
      <c r="Y1545" s="5"/>
      <c r="Z1545" s="5"/>
      <c r="AA1545" s="5"/>
      <c r="AB1545" s="6"/>
      <c r="AC1545" s="6"/>
      <c r="AD1545" s="6"/>
      <c r="AE1545" s="6"/>
      <c r="AF1545" s="6"/>
      <c r="AG1545" s="6"/>
      <c r="AH1545" s="6"/>
      <c r="AI1545" s="6"/>
      <c r="AJ1545" s="6"/>
      <c r="AK1545" s="6"/>
      <c r="AL1545" s="6"/>
      <c r="AM1545" s="6"/>
      <c r="AN1545" s="6"/>
      <c r="AO1545" s="6"/>
      <c r="AP1545" s="6"/>
      <c r="AQ1545" s="6"/>
      <c r="AR1545" s="6"/>
      <c r="AS1545" s="6"/>
      <c r="AT1545" s="6"/>
      <c r="AU1545" s="6"/>
      <c r="AV1545" s="6"/>
      <c r="AW1545" s="6"/>
      <c r="AX1545" s="6"/>
      <c r="AY1545" s="6"/>
      <c r="AZ1545" s="6"/>
      <c r="BA1545" s="6"/>
      <c r="BB1545" s="6"/>
      <c r="BC1545" s="6"/>
      <c r="BD1545" s="6"/>
      <c r="BE1545" s="6"/>
      <c r="BF1545" s="6"/>
      <c r="BG1545" s="6"/>
      <c r="BH1545" s="6"/>
      <c r="BI1545" s="6"/>
      <c r="BJ1545" s="6"/>
      <c r="BK1545" s="6"/>
      <c r="BL1545" s="6"/>
      <c r="BM1545" s="6"/>
      <c r="BN1545" s="6"/>
      <c r="BO1545" s="6"/>
      <c r="BP1545" s="6"/>
      <c r="BQ1545" s="6"/>
      <c r="BR1545" s="6"/>
      <c r="BS1545" s="6"/>
      <c r="BT1545" s="6"/>
      <c r="BU1545" s="6"/>
      <c r="BV1545" s="6"/>
      <c r="BW1545" s="6"/>
      <c r="BX1545" s="5"/>
      <c r="BY1545" s="7"/>
      <c r="BZ1545" s="7"/>
      <c r="CA1545" s="7"/>
      <c r="CB1545" s="7"/>
      <c r="CC1545" s="874"/>
    </row>
    <row r="1546" spans="1:81" s="400" customFormat="1" ht="14.25" customHeight="1" x14ac:dyDescent="0.25">
      <c r="A1546" s="5"/>
      <c r="B1546" s="5"/>
      <c r="C1546" s="5"/>
      <c r="D1546" s="5"/>
      <c r="E1546" s="5"/>
      <c r="F1546" s="5"/>
      <c r="G1546" s="5"/>
      <c r="H1546" s="5"/>
      <c r="I1546" s="5"/>
      <c r="J1546" s="5"/>
      <c r="K1546" s="5"/>
      <c r="L1546" s="5"/>
      <c r="M1546" s="5"/>
      <c r="N1546" s="5"/>
      <c r="O1546" s="5"/>
      <c r="P1546" s="5"/>
      <c r="Q1546" s="5"/>
      <c r="R1546" s="5"/>
      <c r="S1546" s="5"/>
      <c r="T1546" s="5"/>
      <c r="U1546" s="5"/>
      <c r="V1546" s="5"/>
      <c r="W1546" s="5"/>
      <c r="X1546" s="5"/>
      <c r="Y1546" s="5"/>
      <c r="Z1546" s="5"/>
      <c r="AA1546" s="5"/>
      <c r="AB1546" s="6"/>
      <c r="AC1546" s="6"/>
      <c r="AD1546" s="6"/>
      <c r="AE1546" s="6"/>
      <c r="AF1546" s="6"/>
      <c r="AG1546" s="6"/>
      <c r="AH1546" s="6"/>
      <c r="AI1546" s="6"/>
      <c r="AJ1546" s="6"/>
      <c r="AK1546" s="6"/>
      <c r="AL1546" s="6"/>
      <c r="AM1546" s="6"/>
      <c r="AN1546" s="6"/>
      <c r="AO1546" s="6"/>
      <c r="AP1546" s="6"/>
      <c r="AQ1546" s="6"/>
      <c r="AR1546" s="6"/>
      <c r="AS1546" s="6"/>
      <c r="AT1546" s="6"/>
      <c r="AU1546" s="6"/>
      <c r="AV1546" s="6"/>
      <c r="AW1546" s="6"/>
      <c r="AX1546" s="6"/>
      <c r="AY1546" s="6"/>
      <c r="AZ1546" s="6"/>
      <c r="BA1546" s="6"/>
      <c r="BB1546" s="6"/>
      <c r="BC1546" s="6"/>
      <c r="BD1546" s="6"/>
      <c r="BE1546" s="6"/>
      <c r="BF1546" s="6"/>
      <c r="BG1546" s="6"/>
      <c r="BH1546" s="6"/>
      <c r="BI1546" s="6"/>
      <c r="BJ1546" s="6"/>
      <c r="BK1546" s="6"/>
      <c r="BL1546" s="6"/>
      <c r="BM1546" s="6"/>
      <c r="BN1546" s="6"/>
      <c r="BO1546" s="6"/>
      <c r="BP1546" s="6"/>
      <c r="BQ1546" s="6"/>
      <c r="BR1546" s="6"/>
      <c r="BS1546" s="6"/>
      <c r="BT1546" s="6"/>
      <c r="BU1546" s="6"/>
      <c r="BV1546" s="6"/>
      <c r="BW1546" s="6"/>
      <c r="BX1546" s="5"/>
      <c r="BY1546" s="7"/>
      <c r="BZ1546" s="7"/>
      <c r="CA1546" s="7"/>
      <c r="CB1546" s="7"/>
      <c r="CC1546" s="874"/>
    </row>
    <row r="1547" spans="1:81" s="400" customFormat="1" ht="14.25" customHeight="1" x14ac:dyDescent="0.25">
      <c r="A1547" s="5"/>
      <c r="B1547" s="5"/>
      <c r="C1547" s="5"/>
      <c r="D1547" s="5"/>
      <c r="E1547" s="5"/>
      <c r="F1547" s="5"/>
      <c r="G1547" s="5"/>
      <c r="H1547" s="5"/>
      <c r="I1547" s="5"/>
      <c r="J1547" s="5"/>
      <c r="K1547" s="5"/>
      <c r="L1547" s="5"/>
      <c r="M1547" s="5"/>
      <c r="N1547" s="5"/>
      <c r="O1547" s="5"/>
      <c r="P1547" s="5"/>
      <c r="Q1547" s="5"/>
      <c r="R1547" s="5"/>
      <c r="S1547" s="5"/>
      <c r="T1547" s="5"/>
      <c r="U1547" s="5"/>
      <c r="V1547" s="5"/>
      <c r="W1547" s="5"/>
      <c r="X1547" s="5"/>
      <c r="Y1547" s="5"/>
      <c r="Z1547" s="5"/>
      <c r="AA1547" s="5"/>
      <c r="AB1547" s="6"/>
      <c r="AC1547" s="6"/>
      <c r="AD1547" s="6"/>
      <c r="AE1547" s="6"/>
      <c r="AF1547" s="6"/>
      <c r="AG1547" s="6"/>
      <c r="AH1547" s="6"/>
      <c r="AI1547" s="6"/>
      <c r="AJ1547" s="6"/>
      <c r="AK1547" s="6"/>
      <c r="AL1547" s="6"/>
      <c r="AM1547" s="6"/>
      <c r="AN1547" s="6"/>
      <c r="AO1547" s="6"/>
      <c r="AP1547" s="6"/>
      <c r="AQ1547" s="6"/>
      <c r="AR1547" s="6"/>
      <c r="AS1547" s="6"/>
      <c r="AT1547" s="6"/>
      <c r="AU1547" s="6"/>
      <c r="AV1547" s="6"/>
      <c r="AW1547" s="6"/>
      <c r="AX1547" s="6"/>
      <c r="AY1547" s="6"/>
      <c r="AZ1547" s="6"/>
      <c r="BA1547" s="6"/>
      <c r="BB1547" s="6"/>
      <c r="BC1547" s="6"/>
      <c r="BD1547" s="6"/>
      <c r="BE1547" s="6"/>
      <c r="BF1547" s="6"/>
      <c r="BG1547" s="6"/>
      <c r="BH1547" s="6"/>
      <c r="BI1547" s="6"/>
      <c r="BJ1547" s="6"/>
      <c r="BK1547" s="6"/>
      <c r="BL1547" s="6"/>
      <c r="BM1547" s="6"/>
      <c r="BN1547" s="6"/>
      <c r="BO1547" s="6"/>
      <c r="BP1547" s="6"/>
      <c r="BQ1547" s="6"/>
      <c r="BR1547" s="6"/>
      <c r="BS1547" s="6"/>
      <c r="BT1547" s="6"/>
      <c r="BU1547" s="6"/>
      <c r="BV1547" s="6"/>
      <c r="BW1547" s="6"/>
      <c r="BX1547" s="5"/>
      <c r="BY1547" s="7"/>
      <c r="BZ1547" s="7"/>
      <c r="CA1547" s="7"/>
      <c r="CB1547" s="7"/>
      <c r="CC1547" s="874"/>
    </row>
    <row r="1548" spans="1:81" s="400" customFormat="1" ht="14.25" customHeight="1" x14ac:dyDescent="0.25">
      <c r="A1548" s="5"/>
      <c r="B1548" s="5"/>
      <c r="C1548" s="5"/>
      <c r="D1548" s="5"/>
      <c r="E1548" s="5"/>
      <c r="F1548" s="5"/>
      <c r="G1548" s="5"/>
      <c r="H1548" s="5"/>
      <c r="I1548" s="5"/>
      <c r="J1548" s="5"/>
      <c r="K1548" s="5"/>
      <c r="L1548" s="5"/>
      <c r="M1548" s="5"/>
      <c r="N1548" s="5"/>
      <c r="O1548" s="5"/>
      <c r="P1548" s="5"/>
      <c r="Q1548" s="5"/>
      <c r="R1548" s="5"/>
      <c r="S1548" s="5"/>
      <c r="T1548" s="5"/>
      <c r="U1548" s="5"/>
      <c r="V1548" s="5"/>
      <c r="W1548" s="5"/>
      <c r="X1548" s="5"/>
      <c r="Y1548" s="5"/>
      <c r="Z1548" s="5"/>
      <c r="AA1548" s="5"/>
      <c r="AB1548" s="6"/>
      <c r="AC1548" s="6"/>
      <c r="AD1548" s="6"/>
      <c r="AE1548" s="6"/>
      <c r="AF1548" s="6"/>
      <c r="AG1548" s="6"/>
      <c r="AH1548" s="6"/>
      <c r="AI1548" s="6"/>
      <c r="AJ1548" s="6"/>
      <c r="AK1548" s="6"/>
      <c r="AL1548" s="6"/>
      <c r="AM1548" s="6"/>
      <c r="AN1548" s="6"/>
      <c r="AO1548" s="6"/>
      <c r="AP1548" s="6"/>
      <c r="AQ1548" s="6"/>
      <c r="AR1548" s="6"/>
      <c r="AS1548" s="6"/>
      <c r="AT1548" s="6"/>
      <c r="AU1548" s="6"/>
      <c r="AV1548" s="6"/>
      <c r="AW1548" s="6"/>
      <c r="AX1548" s="6"/>
      <c r="AY1548" s="6"/>
      <c r="AZ1548" s="6"/>
      <c r="BA1548" s="6"/>
      <c r="BB1548" s="6"/>
      <c r="BC1548" s="6"/>
      <c r="BD1548" s="6"/>
      <c r="BE1548" s="6"/>
      <c r="BF1548" s="6"/>
      <c r="BG1548" s="6"/>
      <c r="BH1548" s="6"/>
      <c r="BI1548" s="6"/>
      <c r="BJ1548" s="6"/>
      <c r="BK1548" s="6"/>
      <c r="BL1548" s="6"/>
      <c r="BM1548" s="6"/>
      <c r="BN1548" s="6"/>
      <c r="BO1548" s="6"/>
      <c r="BP1548" s="6"/>
      <c r="BQ1548" s="6"/>
      <c r="BR1548" s="6"/>
      <c r="BS1548" s="6"/>
      <c r="BT1548" s="6"/>
      <c r="BU1548" s="6"/>
      <c r="BV1548" s="6"/>
      <c r="BW1548" s="6"/>
      <c r="BX1548" s="5"/>
      <c r="BY1548" s="7"/>
      <c r="BZ1548" s="7"/>
      <c r="CA1548" s="7"/>
      <c r="CB1548" s="7"/>
      <c r="CC1548" s="874"/>
    </row>
    <row r="1549" spans="1:81" s="400" customFormat="1" ht="14.25" customHeight="1" x14ac:dyDescent="0.25">
      <c r="A1549" s="5"/>
      <c r="B1549" s="5"/>
      <c r="C1549" s="5"/>
      <c r="D1549" s="5"/>
      <c r="E1549" s="5"/>
      <c r="F1549" s="5"/>
      <c r="G1549" s="5"/>
      <c r="H1549" s="5"/>
      <c r="I1549" s="5"/>
      <c r="J1549" s="5"/>
      <c r="K1549" s="5"/>
      <c r="L1549" s="5"/>
      <c r="M1549" s="5"/>
      <c r="N1549" s="5"/>
      <c r="O1549" s="5"/>
      <c r="P1549" s="5"/>
      <c r="Q1549" s="5"/>
      <c r="R1549" s="5"/>
      <c r="S1549" s="5"/>
      <c r="T1549" s="5"/>
      <c r="U1549" s="5"/>
      <c r="V1549" s="5"/>
      <c r="W1549" s="5"/>
      <c r="X1549" s="5"/>
      <c r="Y1549" s="5"/>
      <c r="Z1549" s="5"/>
      <c r="AA1549" s="5"/>
      <c r="AB1549" s="6"/>
      <c r="AC1549" s="6"/>
      <c r="AD1549" s="6"/>
      <c r="AE1549" s="6"/>
      <c r="AF1549" s="6"/>
      <c r="AG1549" s="6"/>
      <c r="AH1549" s="6"/>
      <c r="AI1549" s="6"/>
      <c r="AJ1549" s="6"/>
      <c r="AK1549" s="6"/>
      <c r="AL1549" s="6"/>
      <c r="AM1549" s="6"/>
      <c r="AN1549" s="6"/>
      <c r="AO1549" s="6"/>
      <c r="AP1549" s="6"/>
      <c r="AQ1549" s="6"/>
      <c r="AR1549" s="6"/>
      <c r="AS1549" s="6"/>
      <c r="AT1549" s="6"/>
      <c r="AU1549" s="6"/>
      <c r="AV1549" s="6"/>
      <c r="AW1549" s="6"/>
      <c r="AX1549" s="6"/>
      <c r="AY1549" s="6"/>
      <c r="AZ1549" s="6"/>
      <c r="BA1549" s="6"/>
      <c r="BB1549" s="6"/>
      <c r="BC1549" s="6"/>
      <c r="BD1549" s="6"/>
      <c r="BE1549" s="6"/>
      <c r="BF1549" s="6"/>
      <c r="BG1549" s="6"/>
      <c r="BH1549" s="6"/>
      <c r="BI1549" s="6"/>
      <c r="BJ1549" s="6"/>
      <c r="BK1549" s="6"/>
      <c r="BL1549" s="6"/>
      <c r="BM1549" s="6"/>
      <c r="BN1549" s="6"/>
      <c r="BO1549" s="6"/>
      <c r="BP1549" s="6"/>
      <c r="BQ1549" s="6"/>
      <c r="BR1549" s="6"/>
      <c r="BS1549" s="6"/>
      <c r="BT1549" s="6"/>
      <c r="BU1549" s="6"/>
      <c r="BV1549" s="6"/>
      <c r="BW1549" s="6"/>
      <c r="BX1549" s="5"/>
      <c r="BY1549" s="7"/>
      <c r="BZ1549" s="7"/>
      <c r="CA1549" s="7"/>
      <c r="CB1549" s="7"/>
      <c r="CC1549" s="874"/>
    </row>
    <row r="1550" spans="1:81" s="400" customFormat="1" ht="14.25" customHeight="1" x14ac:dyDescent="0.25">
      <c r="A1550" s="5"/>
      <c r="B1550" s="5"/>
      <c r="C1550" s="5"/>
      <c r="D1550" s="5"/>
      <c r="E1550" s="5"/>
      <c r="F1550" s="5"/>
      <c r="G1550" s="5"/>
      <c r="H1550" s="5"/>
      <c r="I1550" s="5"/>
      <c r="J1550" s="5"/>
      <c r="K1550" s="5"/>
      <c r="L1550" s="5"/>
      <c r="M1550" s="5"/>
      <c r="N1550" s="5"/>
      <c r="O1550" s="5"/>
      <c r="P1550" s="5"/>
      <c r="Q1550" s="5"/>
      <c r="R1550" s="5"/>
      <c r="S1550" s="5"/>
      <c r="T1550" s="5"/>
      <c r="U1550" s="5"/>
      <c r="V1550" s="5"/>
      <c r="W1550" s="5"/>
      <c r="X1550" s="5"/>
      <c r="Y1550" s="5"/>
      <c r="Z1550" s="5"/>
      <c r="AA1550" s="5"/>
      <c r="AB1550" s="6"/>
      <c r="AC1550" s="6"/>
      <c r="AD1550" s="6"/>
      <c r="AE1550" s="6"/>
      <c r="AF1550" s="6"/>
      <c r="AG1550" s="6"/>
      <c r="AH1550" s="6"/>
      <c r="AI1550" s="6"/>
      <c r="AJ1550" s="6"/>
      <c r="AK1550" s="6"/>
      <c r="AL1550" s="6"/>
      <c r="AM1550" s="6"/>
      <c r="AN1550" s="6"/>
      <c r="AO1550" s="6"/>
      <c r="AP1550" s="6"/>
      <c r="AQ1550" s="6"/>
      <c r="AR1550" s="6"/>
      <c r="AS1550" s="6"/>
      <c r="AT1550" s="6"/>
      <c r="AU1550" s="6"/>
      <c r="AV1550" s="6"/>
      <c r="AW1550" s="6"/>
      <c r="AX1550" s="6"/>
      <c r="AY1550" s="6"/>
      <c r="AZ1550" s="6"/>
      <c r="BA1550" s="6"/>
      <c r="BB1550" s="6"/>
      <c r="BC1550" s="6"/>
      <c r="BD1550" s="6"/>
      <c r="BE1550" s="6"/>
      <c r="BF1550" s="6"/>
      <c r="BG1550" s="6"/>
      <c r="BH1550" s="6"/>
      <c r="BI1550" s="6"/>
      <c r="BJ1550" s="6"/>
      <c r="BK1550" s="6"/>
      <c r="BL1550" s="6"/>
      <c r="BM1550" s="6"/>
      <c r="BN1550" s="6"/>
      <c r="BO1550" s="6"/>
      <c r="BP1550" s="6"/>
      <c r="BQ1550" s="6"/>
      <c r="BR1550" s="6"/>
      <c r="BS1550" s="6"/>
      <c r="BT1550" s="6"/>
      <c r="BU1550" s="6"/>
      <c r="BV1550" s="6"/>
      <c r="BW1550" s="6"/>
      <c r="BX1550" s="5"/>
      <c r="BY1550" s="7"/>
      <c r="BZ1550" s="7"/>
      <c r="CA1550" s="7"/>
      <c r="CB1550" s="7"/>
      <c r="CC1550" s="874"/>
    </row>
    <row r="1551" spans="1:81" s="400" customFormat="1" ht="14.25" customHeight="1" x14ac:dyDescent="0.25">
      <c r="A1551" s="5"/>
      <c r="B1551" s="5"/>
      <c r="C1551" s="5"/>
      <c r="D1551" s="5"/>
      <c r="E1551" s="5"/>
      <c r="F1551" s="5"/>
      <c r="G1551" s="5"/>
      <c r="H1551" s="5"/>
      <c r="I1551" s="5"/>
      <c r="J1551" s="5"/>
      <c r="K1551" s="5"/>
      <c r="L1551" s="5"/>
      <c r="M1551" s="5"/>
      <c r="N1551" s="5"/>
      <c r="O1551" s="5"/>
      <c r="P1551" s="5"/>
      <c r="Q1551" s="5"/>
      <c r="R1551" s="5"/>
      <c r="S1551" s="5"/>
      <c r="T1551" s="5"/>
      <c r="U1551" s="5"/>
      <c r="V1551" s="5"/>
      <c r="W1551" s="5"/>
      <c r="X1551" s="5"/>
      <c r="Y1551" s="5"/>
      <c r="Z1551" s="5"/>
      <c r="AA1551" s="5"/>
      <c r="AB1551" s="6"/>
      <c r="AC1551" s="6"/>
      <c r="AD1551" s="6"/>
      <c r="AE1551" s="6"/>
      <c r="AF1551" s="6"/>
      <c r="AG1551" s="6"/>
      <c r="AH1551" s="6"/>
      <c r="AI1551" s="6"/>
      <c r="AJ1551" s="6"/>
      <c r="AK1551" s="6"/>
      <c r="AL1551" s="6"/>
      <c r="AM1551" s="6"/>
      <c r="AN1551" s="6"/>
      <c r="AO1551" s="6"/>
      <c r="AP1551" s="6"/>
      <c r="AQ1551" s="6"/>
      <c r="AR1551" s="6"/>
      <c r="AS1551" s="6"/>
      <c r="AT1551" s="6"/>
      <c r="AU1551" s="6"/>
      <c r="AV1551" s="6"/>
      <c r="AW1551" s="6"/>
      <c r="AX1551" s="6"/>
      <c r="AY1551" s="6"/>
      <c r="AZ1551" s="6"/>
      <c r="BA1551" s="6"/>
      <c r="BB1551" s="6"/>
      <c r="BC1551" s="6"/>
      <c r="BD1551" s="6"/>
      <c r="BE1551" s="6"/>
      <c r="BF1551" s="6"/>
      <c r="BG1551" s="6"/>
      <c r="BH1551" s="6"/>
      <c r="BI1551" s="6"/>
      <c r="BJ1551" s="6"/>
      <c r="BK1551" s="6"/>
      <c r="BL1551" s="6"/>
      <c r="BM1551" s="6"/>
      <c r="BN1551" s="6"/>
      <c r="BO1551" s="6"/>
      <c r="BP1551" s="6"/>
      <c r="BQ1551" s="6"/>
      <c r="BR1551" s="6"/>
      <c r="BS1551" s="6"/>
      <c r="BT1551" s="6"/>
      <c r="BU1551" s="6"/>
      <c r="BV1551" s="6"/>
      <c r="BW1551" s="6"/>
      <c r="BX1551" s="5"/>
      <c r="BY1551" s="7"/>
      <c r="BZ1551" s="7"/>
      <c r="CA1551" s="7"/>
      <c r="CB1551" s="7"/>
      <c r="CC1551" s="874"/>
    </row>
    <row r="1552" spans="1:81" s="400" customFormat="1" ht="14.25" customHeight="1" x14ac:dyDescent="0.25">
      <c r="A1552" s="5"/>
      <c r="B1552" s="5"/>
      <c r="C1552" s="5"/>
      <c r="D1552" s="5"/>
      <c r="E1552" s="5"/>
      <c r="F1552" s="5"/>
      <c r="G1552" s="5"/>
      <c r="H1552" s="5"/>
      <c r="I1552" s="5"/>
      <c r="J1552" s="5"/>
      <c r="K1552" s="5"/>
      <c r="L1552" s="5"/>
      <c r="M1552" s="5"/>
      <c r="N1552" s="5"/>
      <c r="O1552" s="5"/>
      <c r="P1552" s="5"/>
      <c r="Q1552" s="5"/>
      <c r="R1552" s="5"/>
      <c r="S1552" s="5"/>
      <c r="T1552" s="5"/>
      <c r="U1552" s="5"/>
      <c r="V1552" s="5"/>
      <c r="W1552" s="5"/>
      <c r="X1552" s="5"/>
      <c r="Y1552" s="5"/>
      <c r="Z1552" s="5"/>
      <c r="AA1552" s="5"/>
      <c r="AB1552" s="6"/>
      <c r="AC1552" s="6"/>
      <c r="AD1552" s="6"/>
      <c r="AE1552" s="6"/>
      <c r="AF1552" s="6"/>
      <c r="AG1552" s="6"/>
      <c r="AH1552" s="6"/>
      <c r="AI1552" s="6"/>
      <c r="AJ1552" s="6"/>
      <c r="AK1552" s="6"/>
      <c r="AL1552" s="6"/>
      <c r="AM1552" s="6"/>
      <c r="AN1552" s="6"/>
      <c r="AO1552" s="6"/>
      <c r="AP1552" s="6"/>
      <c r="AQ1552" s="6"/>
      <c r="AR1552" s="6"/>
      <c r="AS1552" s="6"/>
      <c r="AT1552" s="6"/>
      <c r="AU1552" s="6"/>
      <c r="AV1552" s="6"/>
      <c r="AW1552" s="6"/>
      <c r="AX1552" s="6"/>
      <c r="AY1552" s="6"/>
      <c r="AZ1552" s="6"/>
      <c r="BA1552" s="6"/>
      <c r="BB1552" s="6"/>
      <c r="BC1552" s="6"/>
      <c r="BD1552" s="6"/>
      <c r="BE1552" s="6"/>
      <c r="BF1552" s="6"/>
      <c r="BG1552" s="6"/>
      <c r="BH1552" s="6"/>
      <c r="BI1552" s="6"/>
      <c r="BJ1552" s="6"/>
      <c r="BK1552" s="6"/>
      <c r="BL1552" s="6"/>
      <c r="BM1552" s="6"/>
      <c r="BN1552" s="6"/>
      <c r="BO1552" s="6"/>
      <c r="BP1552" s="6"/>
      <c r="BQ1552" s="6"/>
      <c r="BR1552" s="6"/>
      <c r="BS1552" s="6"/>
      <c r="BT1552" s="6"/>
      <c r="BU1552" s="6"/>
      <c r="BV1552" s="6"/>
      <c r="BW1552" s="6"/>
      <c r="BX1552" s="5"/>
      <c r="BY1552" s="7"/>
      <c r="BZ1552" s="7"/>
      <c r="CA1552" s="7"/>
      <c r="CB1552" s="7"/>
      <c r="CC1552" s="874"/>
    </row>
    <row r="1553" spans="1:81" s="400" customFormat="1" ht="14.25" customHeight="1" x14ac:dyDescent="0.25">
      <c r="A1553" s="5"/>
      <c r="B1553" s="5"/>
      <c r="C1553" s="5"/>
      <c r="D1553" s="5"/>
      <c r="E1553" s="5"/>
      <c r="F1553" s="5"/>
      <c r="G1553" s="5"/>
      <c r="H1553" s="5"/>
      <c r="I1553" s="5"/>
      <c r="J1553" s="5"/>
      <c r="K1553" s="5"/>
      <c r="L1553" s="5"/>
      <c r="M1553" s="5"/>
      <c r="N1553" s="5"/>
      <c r="O1553" s="5"/>
      <c r="P1553" s="5"/>
      <c r="Q1553" s="5"/>
      <c r="R1553" s="5"/>
      <c r="S1553" s="5"/>
      <c r="T1553" s="5"/>
      <c r="U1553" s="5"/>
      <c r="V1553" s="5"/>
      <c r="W1553" s="5"/>
      <c r="X1553" s="5"/>
      <c r="Y1553" s="5"/>
      <c r="Z1553" s="5"/>
      <c r="AA1553" s="5"/>
      <c r="AB1553" s="6"/>
      <c r="AC1553" s="6"/>
      <c r="AD1553" s="6"/>
      <c r="AE1553" s="6"/>
      <c r="AF1553" s="6"/>
      <c r="AG1553" s="6"/>
      <c r="AH1553" s="6"/>
      <c r="AI1553" s="6"/>
      <c r="AJ1553" s="6"/>
      <c r="AK1553" s="6"/>
      <c r="AL1553" s="6"/>
      <c r="AM1553" s="6"/>
      <c r="AN1553" s="6"/>
      <c r="AO1553" s="6"/>
      <c r="AP1553" s="6"/>
      <c r="AQ1553" s="6"/>
      <c r="AR1553" s="6"/>
      <c r="AS1553" s="6"/>
      <c r="AT1553" s="6"/>
      <c r="AU1553" s="6"/>
      <c r="AV1553" s="6"/>
      <c r="AW1553" s="6"/>
      <c r="AX1553" s="6"/>
      <c r="AY1553" s="6"/>
      <c r="AZ1553" s="6"/>
      <c r="BA1553" s="6"/>
      <c r="BB1553" s="6"/>
      <c r="BC1553" s="6"/>
      <c r="BD1553" s="6"/>
      <c r="BE1553" s="6"/>
      <c r="BF1553" s="6"/>
      <c r="BG1553" s="6"/>
      <c r="BH1553" s="6"/>
      <c r="BI1553" s="6"/>
      <c r="BJ1553" s="6"/>
      <c r="BK1553" s="6"/>
      <c r="BL1553" s="6"/>
      <c r="BM1553" s="6"/>
      <c r="BN1553" s="6"/>
      <c r="BO1553" s="6"/>
      <c r="BP1553" s="6"/>
      <c r="BQ1553" s="6"/>
      <c r="BR1553" s="6"/>
      <c r="BS1553" s="6"/>
      <c r="BT1553" s="6"/>
      <c r="BU1553" s="6"/>
      <c r="BV1553" s="6"/>
      <c r="BW1553" s="6"/>
      <c r="BX1553" s="5"/>
      <c r="BY1553" s="7"/>
      <c r="BZ1553" s="7"/>
      <c r="CA1553" s="7"/>
      <c r="CB1553" s="7"/>
      <c r="CC1553" s="874"/>
    </row>
    <row r="1554" spans="1:81" s="400" customFormat="1" ht="14.25" customHeight="1" x14ac:dyDescent="0.25">
      <c r="A1554" s="5"/>
      <c r="B1554" s="5"/>
      <c r="C1554" s="5"/>
      <c r="D1554" s="5"/>
      <c r="E1554" s="5"/>
      <c r="F1554" s="5"/>
      <c r="G1554" s="5"/>
      <c r="H1554" s="5"/>
      <c r="I1554" s="5"/>
      <c r="J1554" s="5"/>
      <c r="K1554" s="5"/>
      <c r="L1554" s="5"/>
      <c r="M1554" s="5"/>
      <c r="N1554" s="5"/>
      <c r="O1554" s="5"/>
      <c r="P1554" s="5"/>
      <c r="Q1554" s="5"/>
      <c r="R1554" s="5"/>
      <c r="S1554" s="5"/>
      <c r="T1554" s="5"/>
      <c r="U1554" s="5"/>
      <c r="V1554" s="5"/>
      <c r="W1554" s="5"/>
      <c r="X1554" s="5"/>
      <c r="Y1554" s="5"/>
      <c r="Z1554" s="5"/>
      <c r="AA1554" s="5"/>
      <c r="AB1554" s="6"/>
      <c r="AC1554" s="6"/>
      <c r="AD1554" s="6"/>
      <c r="AE1554" s="6"/>
      <c r="AF1554" s="6"/>
      <c r="AG1554" s="6"/>
      <c r="AH1554" s="6"/>
      <c r="AI1554" s="6"/>
      <c r="AJ1554" s="6"/>
      <c r="AK1554" s="6"/>
      <c r="AL1554" s="6"/>
      <c r="AM1554" s="6"/>
      <c r="AN1554" s="6"/>
      <c r="AO1554" s="6"/>
      <c r="AP1554" s="6"/>
      <c r="AQ1554" s="6"/>
      <c r="AR1554" s="6"/>
      <c r="AS1554" s="6"/>
      <c r="AT1554" s="6"/>
      <c r="AU1554" s="6"/>
      <c r="AV1554" s="6"/>
      <c r="AW1554" s="6"/>
      <c r="AX1554" s="6"/>
      <c r="AY1554" s="6"/>
      <c r="AZ1554" s="6"/>
      <c r="BA1554" s="6"/>
      <c r="BB1554" s="6"/>
      <c r="BC1554" s="6"/>
      <c r="BD1554" s="6"/>
      <c r="BE1554" s="6"/>
      <c r="BF1554" s="6"/>
      <c r="BG1554" s="6"/>
      <c r="BH1554" s="6"/>
      <c r="BI1554" s="6"/>
      <c r="BJ1554" s="6"/>
      <c r="BK1554" s="6"/>
      <c r="BL1554" s="6"/>
      <c r="BM1554" s="6"/>
      <c r="BN1554" s="6"/>
      <c r="BO1554" s="6"/>
      <c r="BP1554" s="6"/>
      <c r="BQ1554" s="6"/>
      <c r="BR1554" s="6"/>
      <c r="BS1554" s="6"/>
      <c r="BT1554" s="6"/>
      <c r="BU1554" s="6"/>
      <c r="BV1554" s="6"/>
      <c r="BW1554" s="6"/>
      <c r="BX1554" s="5"/>
      <c r="BY1554" s="7"/>
      <c r="BZ1554" s="7"/>
      <c r="CA1554" s="7"/>
      <c r="CB1554" s="7"/>
      <c r="CC1554" s="874"/>
    </row>
    <row r="1555" spans="1:81" s="400" customFormat="1" ht="14.25" customHeight="1" x14ac:dyDescent="0.25">
      <c r="A1555" s="5"/>
      <c r="B1555" s="5"/>
      <c r="C1555" s="5"/>
      <c r="D1555" s="5"/>
      <c r="E1555" s="5"/>
      <c r="F1555" s="5"/>
      <c r="G1555" s="5"/>
      <c r="H1555" s="5"/>
      <c r="I1555" s="5"/>
      <c r="J1555" s="5"/>
      <c r="K1555" s="5"/>
      <c r="L1555" s="5"/>
      <c r="M1555" s="5"/>
      <c r="N1555" s="5"/>
      <c r="O1555" s="5"/>
      <c r="P1555" s="5"/>
      <c r="Q1555" s="5"/>
      <c r="R1555" s="5"/>
      <c r="S1555" s="5"/>
      <c r="T1555" s="5"/>
      <c r="U1555" s="5"/>
      <c r="V1555" s="5"/>
      <c r="W1555" s="5"/>
      <c r="X1555" s="5"/>
      <c r="Y1555" s="5"/>
      <c r="Z1555" s="5"/>
      <c r="AA1555" s="5"/>
      <c r="AB1555" s="6"/>
      <c r="AC1555" s="6"/>
      <c r="AD1555" s="6"/>
      <c r="AE1555" s="6"/>
      <c r="AF1555" s="6"/>
      <c r="AG1555" s="6"/>
      <c r="AH1555" s="6"/>
      <c r="AI1555" s="6"/>
      <c r="AJ1555" s="6"/>
      <c r="AK1555" s="6"/>
      <c r="AL1555" s="6"/>
      <c r="AM1555" s="6"/>
      <c r="AN1555" s="6"/>
      <c r="AO1555" s="6"/>
      <c r="AP1555" s="6"/>
      <c r="AQ1555" s="6"/>
      <c r="AR1555" s="6"/>
      <c r="AS1555" s="6"/>
      <c r="AT1555" s="6"/>
      <c r="AU1555" s="6"/>
      <c r="AV1555" s="6"/>
      <c r="AW1555" s="6"/>
      <c r="AX1555" s="6"/>
      <c r="AY1555" s="6"/>
      <c r="AZ1555" s="6"/>
      <c r="BA1555" s="6"/>
      <c r="BB1555" s="6"/>
      <c r="BC1555" s="6"/>
      <c r="BD1555" s="6"/>
      <c r="BE1555" s="6"/>
      <c r="BF1555" s="6"/>
      <c r="BG1555" s="6"/>
      <c r="BH1555" s="6"/>
      <c r="BI1555" s="6"/>
      <c r="BJ1555" s="6"/>
      <c r="BK1555" s="6"/>
      <c r="BL1555" s="6"/>
      <c r="BM1555" s="6"/>
      <c r="BN1555" s="6"/>
      <c r="BO1555" s="6"/>
      <c r="BP1555" s="6"/>
      <c r="BQ1555" s="6"/>
      <c r="BR1555" s="6"/>
      <c r="BS1555" s="6"/>
      <c r="BT1555" s="6"/>
      <c r="BU1555" s="6"/>
      <c r="BV1555" s="6"/>
      <c r="BW1555" s="6"/>
      <c r="BX1555" s="5"/>
      <c r="BY1555" s="7"/>
      <c r="BZ1555" s="7"/>
      <c r="CA1555" s="7"/>
      <c r="CB1555" s="7"/>
      <c r="CC1555" s="874"/>
    </row>
    <row r="1556" spans="1:81" s="400" customFormat="1" ht="14.25" customHeight="1" x14ac:dyDescent="0.25">
      <c r="A1556" s="5"/>
      <c r="B1556" s="5"/>
      <c r="C1556" s="5"/>
      <c r="D1556" s="5"/>
      <c r="E1556" s="5"/>
      <c r="F1556" s="5"/>
      <c r="G1556" s="5"/>
      <c r="H1556" s="5"/>
      <c r="I1556" s="5"/>
      <c r="J1556" s="5"/>
      <c r="K1556" s="5"/>
      <c r="L1556" s="5"/>
      <c r="M1556" s="5"/>
      <c r="N1556" s="5"/>
      <c r="O1556" s="5"/>
      <c r="P1556" s="5"/>
      <c r="Q1556" s="5"/>
      <c r="R1556" s="5"/>
      <c r="S1556" s="5"/>
      <c r="T1556" s="5"/>
      <c r="U1556" s="5"/>
      <c r="V1556" s="5"/>
      <c r="W1556" s="5"/>
      <c r="X1556" s="5"/>
      <c r="Y1556" s="5"/>
      <c r="Z1556" s="5"/>
      <c r="AA1556" s="5"/>
      <c r="AB1556" s="6"/>
      <c r="AC1556" s="6"/>
      <c r="AD1556" s="6"/>
      <c r="AE1556" s="6"/>
      <c r="AF1556" s="6"/>
      <c r="AG1556" s="6"/>
      <c r="AH1556" s="6"/>
      <c r="AI1556" s="6"/>
      <c r="AJ1556" s="6"/>
      <c r="AK1556" s="6"/>
      <c r="AL1556" s="6"/>
      <c r="AM1556" s="6"/>
      <c r="AN1556" s="6"/>
      <c r="AO1556" s="6"/>
      <c r="AP1556" s="6"/>
      <c r="AQ1556" s="6"/>
      <c r="AR1556" s="6"/>
      <c r="AS1556" s="6"/>
      <c r="AT1556" s="6"/>
      <c r="AU1556" s="6"/>
      <c r="AV1556" s="6"/>
      <c r="AW1556" s="6"/>
      <c r="AX1556" s="6"/>
      <c r="AY1556" s="6"/>
      <c r="AZ1556" s="6"/>
      <c r="BA1556" s="6"/>
      <c r="BB1556" s="6"/>
      <c r="BC1556" s="6"/>
      <c r="BD1556" s="6"/>
      <c r="BE1556" s="6"/>
      <c r="BF1556" s="6"/>
      <c r="BG1556" s="6"/>
      <c r="BH1556" s="6"/>
      <c r="BI1556" s="6"/>
      <c r="BJ1556" s="6"/>
      <c r="BK1556" s="6"/>
      <c r="BL1556" s="6"/>
      <c r="BM1556" s="6"/>
      <c r="BN1556" s="6"/>
      <c r="BO1556" s="6"/>
      <c r="BP1556" s="6"/>
      <c r="BQ1556" s="6"/>
      <c r="BR1556" s="6"/>
      <c r="BS1556" s="6"/>
      <c r="BT1556" s="6"/>
      <c r="BU1556" s="6"/>
      <c r="BV1556" s="6"/>
      <c r="BW1556" s="6"/>
      <c r="BX1556" s="5"/>
      <c r="BY1556" s="7"/>
      <c r="BZ1556" s="7"/>
      <c r="CA1556" s="7"/>
      <c r="CB1556" s="7"/>
      <c r="CC1556" s="874"/>
    </row>
    <row r="1557" spans="1:81" s="400" customFormat="1" ht="14.25" customHeight="1" x14ac:dyDescent="0.25">
      <c r="A1557" s="5"/>
      <c r="B1557" s="5"/>
      <c r="C1557" s="5"/>
      <c r="D1557" s="5"/>
      <c r="E1557" s="5"/>
      <c r="F1557" s="5"/>
      <c r="G1557" s="5"/>
      <c r="H1557" s="5"/>
      <c r="I1557" s="5"/>
      <c r="J1557" s="5"/>
      <c r="K1557" s="5"/>
      <c r="L1557" s="5"/>
      <c r="M1557" s="5"/>
      <c r="N1557" s="5"/>
      <c r="O1557" s="5"/>
      <c r="P1557" s="5"/>
      <c r="Q1557" s="5"/>
      <c r="R1557" s="5"/>
      <c r="S1557" s="5"/>
      <c r="T1557" s="5"/>
      <c r="U1557" s="5"/>
      <c r="V1557" s="5"/>
      <c r="W1557" s="5"/>
      <c r="X1557" s="5"/>
      <c r="Y1557" s="5"/>
      <c r="Z1557" s="5"/>
      <c r="AA1557" s="5"/>
      <c r="AB1557" s="6"/>
      <c r="AC1557" s="6"/>
      <c r="AD1557" s="6"/>
      <c r="AE1557" s="6"/>
      <c r="AF1557" s="6"/>
      <c r="AG1557" s="6"/>
      <c r="AH1557" s="6"/>
      <c r="AI1557" s="6"/>
      <c r="AJ1557" s="6"/>
      <c r="AK1557" s="6"/>
      <c r="AL1557" s="6"/>
      <c r="AM1557" s="6"/>
      <c r="AN1557" s="6"/>
      <c r="AO1557" s="6"/>
      <c r="AP1557" s="6"/>
      <c r="AQ1557" s="6"/>
      <c r="AR1557" s="6"/>
      <c r="AS1557" s="6"/>
      <c r="AT1557" s="6"/>
      <c r="AU1557" s="6"/>
      <c r="AV1557" s="6"/>
      <c r="AW1557" s="6"/>
      <c r="AX1557" s="6"/>
      <c r="AY1557" s="6"/>
      <c r="AZ1557" s="6"/>
      <c r="BA1557" s="6"/>
      <c r="BB1557" s="6"/>
      <c r="BC1557" s="6"/>
      <c r="BD1557" s="6"/>
      <c r="BE1557" s="6"/>
      <c r="BF1557" s="6"/>
      <c r="BG1557" s="6"/>
      <c r="BH1557" s="6"/>
      <c r="BI1557" s="6"/>
      <c r="BJ1557" s="6"/>
      <c r="BK1557" s="6"/>
      <c r="BL1557" s="6"/>
      <c r="BM1557" s="6"/>
      <c r="BN1557" s="6"/>
      <c r="BO1557" s="6"/>
      <c r="BP1557" s="6"/>
      <c r="BQ1557" s="6"/>
      <c r="BR1557" s="6"/>
      <c r="BS1557" s="6"/>
      <c r="BT1557" s="6"/>
      <c r="BU1557" s="6"/>
      <c r="BV1557" s="6"/>
      <c r="BW1557" s="6"/>
      <c r="BX1557" s="5"/>
      <c r="BY1557" s="7"/>
      <c r="BZ1557" s="7"/>
      <c r="CA1557" s="7"/>
      <c r="CB1557" s="7"/>
      <c r="CC1557" s="874"/>
    </row>
    <row r="1558" spans="1:81" s="400" customFormat="1" ht="14.25" customHeight="1" x14ac:dyDescent="0.25">
      <c r="A1558" s="5"/>
      <c r="B1558" s="5"/>
      <c r="C1558" s="5"/>
      <c r="D1558" s="5"/>
      <c r="E1558" s="5"/>
      <c r="F1558" s="5"/>
      <c r="G1558" s="5"/>
      <c r="H1558" s="5"/>
      <c r="I1558" s="5"/>
      <c r="J1558" s="5"/>
      <c r="K1558" s="5"/>
      <c r="L1558" s="5"/>
      <c r="M1558" s="5"/>
      <c r="N1558" s="5"/>
      <c r="O1558" s="5"/>
      <c r="P1558" s="5"/>
      <c r="Q1558" s="5"/>
      <c r="R1558" s="5"/>
      <c r="S1558" s="5"/>
      <c r="T1558" s="5"/>
      <c r="U1558" s="5"/>
      <c r="V1558" s="5"/>
      <c r="W1558" s="5"/>
      <c r="X1558" s="5"/>
      <c r="Y1558" s="5"/>
      <c r="Z1558" s="5"/>
      <c r="AA1558" s="5"/>
      <c r="AB1558" s="6"/>
      <c r="AC1558" s="6"/>
      <c r="AD1558" s="6"/>
      <c r="AE1558" s="6"/>
      <c r="AF1558" s="6"/>
      <c r="AG1558" s="6"/>
      <c r="AH1558" s="6"/>
      <c r="AI1558" s="6"/>
      <c r="AJ1558" s="6"/>
      <c r="AK1558" s="6"/>
      <c r="AL1558" s="6"/>
      <c r="AM1558" s="6"/>
      <c r="AN1558" s="6"/>
      <c r="AO1558" s="6"/>
      <c r="AP1558" s="6"/>
      <c r="AQ1558" s="6"/>
      <c r="AR1558" s="6"/>
      <c r="AS1558" s="6"/>
      <c r="AT1558" s="6"/>
      <c r="AU1558" s="6"/>
      <c r="AV1558" s="6"/>
      <c r="AW1558" s="6"/>
      <c r="AX1558" s="6"/>
      <c r="AY1558" s="6"/>
      <c r="AZ1558" s="6"/>
      <c r="BA1558" s="6"/>
      <c r="BB1558" s="6"/>
      <c r="BC1558" s="6"/>
      <c r="BD1558" s="6"/>
      <c r="BE1558" s="6"/>
      <c r="BF1558" s="6"/>
      <c r="BG1558" s="6"/>
      <c r="BH1558" s="6"/>
      <c r="BI1558" s="6"/>
      <c r="BJ1558" s="6"/>
      <c r="BK1558" s="6"/>
      <c r="BL1558" s="6"/>
      <c r="BM1558" s="6"/>
      <c r="BN1558" s="6"/>
      <c r="BO1558" s="6"/>
      <c r="BP1558" s="6"/>
      <c r="BQ1558" s="6"/>
      <c r="BR1558" s="6"/>
      <c r="BS1558" s="6"/>
      <c r="BT1558" s="6"/>
      <c r="BU1558" s="6"/>
      <c r="BV1558" s="6"/>
      <c r="BW1558" s="6"/>
      <c r="BX1558" s="5"/>
      <c r="BY1558" s="7"/>
      <c r="BZ1558" s="7"/>
      <c r="CA1558" s="7"/>
      <c r="CB1558" s="7"/>
      <c r="CC1558" s="874"/>
    </row>
    <row r="1559" spans="1:81" s="400" customFormat="1" ht="14.25" customHeight="1" x14ac:dyDescent="0.25">
      <c r="A1559" s="5"/>
      <c r="B1559" s="5"/>
      <c r="C1559" s="5"/>
      <c r="D1559" s="5"/>
      <c r="E1559" s="5"/>
      <c r="F1559" s="5"/>
      <c r="G1559" s="5"/>
      <c r="H1559" s="5"/>
      <c r="I1559" s="5"/>
      <c r="J1559" s="5"/>
      <c r="K1559" s="5"/>
      <c r="L1559" s="5"/>
      <c r="M1559" s="5"/>
      <c r="N1559" s="5"/>
      <c r="O1559" s="5"/>
      <c r="P1559" s="5"/>
      <c r="Q1559" s="5"/>
      <c r="R1559" s="5"/>
      <c r="S1559" s="5"/>
      <c r="T1559" s="5"/>
      <c r="U1559" s="5"/>
      <c r="V1559" s="5"/>
      <c r="W1559" s="5"/>
      <c r="X1559" s="5"/>
      <c r="Y1559" s="5"/>
      <c r="Z1559" s="5"/>
      <c r="AA1559" s="5"/>
      <c r="AB1559" s="6"/>
      <c r="AC1559" s="6"/>
      <c r="AD1559" s="6"/>
      <c r="AE1559" s="6"/>
      <c r="AF1559" s="6"/>
      <c r="AG1559" s="6"/>
      <c r="AH1559" s="6"/>
      <c r="AI1559" s="6"/>
      <c r="AJ1559" s="6"/>
      <c r="AK1559" s="6"/>
      <c r="AL1559" s="6"/>
      <c r="AM1559" s="6"/>
      <c r="AN1559" s="6"/>
      <c r="AO1559" s="6"/>
      <c r="AP1559" s="6"/>
      <c r="AQ1559" s="6"/>
      <c r="AR1559" s="6"/>
      <c r="AS1559" s="6"/>
      <c r="AT1559" s="6"/>
      <c r="AU1559" s="6"/>
      <c r="AV1559" s="6"/>
      <c r="AW1559" s="6"/>
      <c r="AX1559" s="6"/>
      <c r="AY1559" s="6"/>
      <c r="AZ1559" s="6"/>
      <c r="BA1559" s="6"/>
      <c r="BB1559" s="6"/>
      <c r="BC1559" s="6"/>
      <c r="BD1559" s="6"/>
      <c r="BE1559" s="6"/>
      <c r="BF1559" s="6"/>
      <c r="BG1559" s="6"/>
      <c r="BH1559" s="6"/>
      <c r="BI1559" s="6"/>
      <c r="BJ1559" s="6"/>
      <c r="BK1559" s="6"/>
      <c r="BL1559" s="6"/>
      <c r="BM1559" s="6"/>
      <c r="BN1559" s="6"/>
      <c r="BO1559" s="6"/>
      <c r="BP1559" s="6"/>
      <c r="BQ1559" s="6"/>
      <c r="BR1559" s="6"/>
      <c r="BS1559" s="6"/>
      <c r="BT1559" s="6"/>
      <c r="BU1559" s="6"/>
      <c r="BV1559" s="6"/>
      <c r="BW1559" s="6"/>
      <c r="BX1559" s="5"/>
      <c r="BY1559" s="7"/>
      <c r="BZ1559" s="7"/>
      <c r="CA1559" s="7"/>
      <c r="CB1559" s="7"/>
      <c r="CC1559" s="874"/>
    </row>
    <row r="1560" spans="1:81" s="400" customFormat="1" ht="14.25" customHeight="1" x14ac:dyDescent="0.25">
      <c r="A1560" s="5"/>
      <c r="B1560" s="5"/>
      <c r="C1560" s="5"/>
      <c r="D1560" s="5"/>
      <c r="E1560" s="5"/>
      <c r="F1560" s="5"/>
      <c r="G1560" s="5"/>
      <c r="H1560" s="5"/>
      <c r="I1560" s="5"/>
      <c r="J1560" s="5"/>
      <c r="K1560" s="5"/>
      <c r="L1560" s="5"/>
      <c r="M1560" s="5"/>
      <c r="N1560" s="5"/>
      <c r="O1560" s="5"/>
      <c r="P1560" s="5"/>
      <c r="Q1560" s="5"/>
      <c r="R1560" s="5"/>
      <c r="S1560" s="5"/>
      <c r="T1560" s="5"/>
      <c r="U1560" s="5"/>
      <c r="V1560" s="5"/>
      <c r="W1560" s="5"/>
      <c r="X1560" s="5"/>
      <c r="Y1560" s="5"/>
      <c r="Z1560" s="5"/>
      <c r="AA1560" s="5"/>
      <c r="AB1560" s="6"/>
      <c r="AC1560" s="6"/>
      <c r="AD1560" s="6"/>
      <c r="AE1560" s="6"/>
      <c r="AF1560" s="6"/>
      <c r="AG1560" s="6"/>
      <c r="AH1560" s="6"/>
      <c r="AI1560" s="6"/>
      <c r="AJ1560" s="6"/>
      <c r="AK1560" s="6"/>
      <c r="AL1560" s="6"/>
      <c r="AM1560" s="6"/>
      <c r="AN1560" s="6"/>
      <c r="AO1560" s="6"/>
      <c r="AP1560" s="6"/>
      <c r="AQ1560" s="6"/>
      <c r="AR1560" s="6"/>
      <c r="AS1560" s="6"/>
      <c r="AT1560" s="6"/>
      <c r="AU1560" s="6"/>
      <c r="AV1560" s="6"/>
      <c r="AW1560" s="6"/>
      <c r="AX1560" s="6"/>
      <c r="AY1560" s="6"/>
      <c r="AZ1560" s="6"/>
      <c r="BA1560" s="6"/>
      <c r="BB1560" s="6"/>
      <c r="BC1560" s="6"/>
      <c r="BD1560" s="6"/>
      <c r="BE1560" s="6"/>
      <c r="BF1560" s="6"/>
      <c r="BG1560" s="6"/>
      <c r="BH1560" s="6"/>
      <c r="BI1560" s="6"/>
      <c r="BJ1560" s="6"/>
      <c r="BK1560" s="6"/>
      <c r="BL1560" s="6"/>
      <c r="BM1560" s="6"/>
      <c r="BN1560" s="6"/>
      <c r="BO1560" s="6"/>
      <c r="BP1560" s="6"/>
      <c r="BQ1560" s="6"/>
      <c r="BR1560" s="6"/>
      <c r="BS1560" s="6"/>
      <c r="BT1560" s="6"/>
      <c r="BU1560" s="6"/>
      <c r="BV1560" s="6"/>
      <c r="BW1560" s="6"/>
      <c r="BX1560" s="5"/>
      <c r="BY1560" s="7"/>
      <c r="BZ1560" s="7"/>
      <c r="CA1560" s="7"/>
      <c r="CB1560" s="7"/>
      <c r="CC1560" s="874"/>
    </row>
    <row r="1561" spans="1:81" s="400" customFormat="1" ht="14.25" customHeight="1" x14ac:dyDescent="0.25">
      <c r="A1561" s="5"/>
      <c r="B1561" s="5"/>
      <c r="C1561" s="5"/>
      <c r="D1561" s="5"/>
      <c r="E1561" s="5"/>
      <c r="F1561" s="5"/>
      <c r="G1561" s="5"/>
      <c r="H1561" s="5"/>
      <c r="I1561" s="5"/>
      <c r="J1561" s="5"/>
      <c r="K1561" s="5"/>
      <c r="L1561" s="5"/>
      <c r="M1561" s="5"/>
      <c r="N1561" s="5"/>
      <c r="O1561" s="5"/>
      <c r="P1561" s="5"/>
      <c r="Q1561" s="5"/>
      <c r="R1561" s="5"/>
      <c r="S1561" s="5"/>
      <c r="T1561" s="5"/>
      <c r="U1561" s="5"/>
      <c r="V1561" s="5"/>
      <c r="W1561" s="5"/>
      <c r="X1561" s="5"/>
      <c r="Y1561" s="5"/>
      <c r="Z1561" s="5"/>
      <c r="AA1561" s="5"/>
      <c r="AB1561" s="6"/>
      <c r="AC1561" s="6"/>
      <c r="AD1561" s="6"/>
      <c r="AE1561" s="6"/>
      <c r="AF1561" s="6"/>
      <c r="AG1561" s="6"/>
      <c r="AH1561" s="6"/>
      <c r="AI1561" s="6"/>
      <c r="AJ1561" s="6"/>
      <c r="AK1561" s="6"/>
      <c r="AL1561" s="6"/>
      <c r="AM1561" s="6"/>
      <c r="AN1561" s="6"/>
      <c r="AO1561" s="6"/>
      <c r="AP1561" s="6"/>
      <c r="AQ1561" s="6"/>
      <c r="AR1561" s="6"/>
      <c r="AS1561" s="6"/>
      <c r="AT1561" s="6"/>
      <c r="AU1561" s="6"/>
      <c r="AV1561" s="6"/>
      <c r="AW1561" s="6"/>
      <c r="AX1561" s="6"/>
      <c r="AY1561" s="6"/>
      <c r="AZ1561" s="6"/>
      <c r="BA1561" s="6"/>
      <c r="BB1561" s="6"/>
      <c r="BC1561" s="6"/>
      <c r="BD1561" s="6"/>
      <c r="BE1561" s="6"/>
      <c r="BF1561" s="6"/>
      <c r="BG1561" s="6"/>
      <c r="BH1561" s="6"/>
      <c r="BI1561" s="6"/>
      <c r="BJ1561" s="6"/>
      <c r="BK1561" s="6"/>
      <c r="BL1561" s="6"/>
      <c r="BM1561" s="6"/>
      <c r="BN1561" s="6"/>
      <c r="BO1561" s="6"/>
      <c r="BP1561" s="6"/>
      <c r="BQ1561" s="6"/>
      <c r="BR1561" s="6"/>
      <c r="BS1561" s="6"/>
      <c r="BT1561" s="6"/>
      <c r="BU1561" s="6"/>
      <c r="BV1561" s="6"/>
      <c r="BW1561" s="6"/>
      <c r="BX1561" s="5"/>
      <c r="BY1561" s="7"/>
      <c r="BZ1561" s="7"/>
      <c r="CA1561" s="7"/>
      <c r="CB1561" s="7"/>
      <c r="CC1561" s="874"/>
    </row>
    <row r="1562" spans="1:81" s="400" customFormat="1" ht="14.25" customHeight="1" x14ac:dyDescent="0.25">
      <c r="A1562" s="5"/>
      <c r="B1562" s="5"/>
      <c r="C1562" s="5"/>
      <c r="D1562" s="5"/>
      <c r="E1562" s="5"/>
      <c r="F1562" s="5"/>
      <c r="G1562" s="5"/>
      <c r="H1562" s="5"/>
      <c r="I1562" s="5"/>
      <c r="J1562" s="5"/>
      <c r="K1562" s="5"/>
      <c r="L1562" s="5"/>
      <c r="M1562" s="5"/>
      <c r="N1562" s="5"/>
      <c r="O1562" s="5"/>
      <c r="P1562" s="5"/>
      <c r="Q1562" s="5"/>
      <c r="R1562" s="5"/>
      <c r="S1562" s="5"/>
      <c r="T1562" s="5"/>
      <c r="U1562" s="5"/>
      <c r="V1562" s="5"/>
      <c r="W1562" s="5"/>
      <c r="X1562" s="5"/>
      <c r="Y1562" s="5"/>
      <c r="Z1562" s="5"/>
      <c r="AA1562" s="5"/>
      <c r="AB1562" s="6"/>
      <c r="AC1562" s="6"/>
      <c r="AD1562" s="6"/>
      <c r="AE1562" s="6"/>
      <c r="AF1562" s="6"/>
      <c r="AG1562" s="6"/>
      <c r="AH1562" s="6"/>
      <c r="AI1562" s="6"/>
      <c r="AJ1562" s="6"/>
      <c r="AK1562" s="6"/>
      <c r="AL1562" s="6"/>
      <c r="AM1562" s="6"/>
      <c r="AN1562" s="6"/>
      <c r="AO1562" s="6"/>
      <c r="AP1562" s="6"/>
      <c r="AQ1562" s="6"/>
      <c r="AR1562" s="6"/>
      <c r="AS1562" s="6"/>
      <c r="AT1562" s="6"/>
      <c r="AU1562" s="6"/>
      <c r="AV1562" s="6"/>
      <c r="AW1562" s="6"/>
      <c r="AX1562" s="6"/>
      <c r="AY1562" s="6"/>
      <c r="AZ1562" s="6"/>
      <c r="BA1562" s="6"/>
      <c r="BB1562" s="6"/>
      <c r="BC1562" s="6"/>
      <c r="BD1562" s="6"/>
      <c r="BE1562" s="6"/>
      <c r="BF1562" s="6"/>
      <c r="BG1562" s="6"/>
      <c r="BH1562" s="6"/>
      <c r="BI1562" s="6"/>
      <c r="BJ1562" s="6"/>
      <c r="BK1562" s="6"/>
      <c r="BL1562" s="6"/>
      <c r="BM1562" s="6"/>
      <c r="BN1562" s="6"/>
      <c r="BO1562" s="6"/>
      <c r="BP1562" s="6"/>
      <c r="BQ1562" s="6"/>
      <c r="BR1562" s="6"/>
      <c r="BS1562" s="6"/>
      <c r="BT1562" s="6"/>
      <c r="BU1562" s="6"/>
      <c r="BV1562" s="6"/>
      <c r="BW1562" s="6"/>
      <c r="BX1562" s="5"/>
      <c r="BY1562" s="7"/>
      <c r="BZ1562" s="7"/>
      <c r="CA1562" s="7"/>
      <c r="CB1562" s="7"/>
      <c r="CC1562" s="874"/>
    </row>
    <row r="1563" spans="1:81" s="400" customFormat="1" ht="14.25" customHeight="1" x14ac:dyDescent="0.25">
      <c r="A1563" s="5"/>
      <c r="B1563" s="5"/>
      <c r="C1563" s="5"/>
      <c r="D1563" s="5"/>
      <c r="E1563" s="5"/>
      <c r="F1563" s="5"/>
      <c r="G1563" s="5"/>
      <c r="H1563" s="5"/>
      <c r="I1563" s="5"/>
      <c r="J1563" s="5"/>
      <c r="K1563" s="5"/>
      <c r="L1563" s="5"/>
      <c r="M1563" s="5"/>
      <c r="N1563" s="5"/>
      <c r="O1563" s="5"/>
      <c r="P1563" s="5"/>
      <c r="Q1563" s="5"/>
      <c r="R1563" s="5"/>
      <c r="S1563" s="5"/>
      <c r="T1563" s="5"/>
      <c r="U1563" s="5"/>
      <c r="V1563" s="5"/>
      <c r="W1563" s="5"/>
      <c r="X1563" s="5"/>
      <c r="Y1563" s="5"/>
      <c r="Z1563" s="5"/>
      <c r="AA1563" s="5"/>
      <c r="AB1563" s="6"/>
      <c r="AC1563" s="6"/>
      <c r="AD1563" s="6"/>
      <c r="AE1563" s="6"/>
      <c r="AF1563" s="6"/>
      <c r="AG1563" s="6"/>
      <c r="AH1563" s="6"/>
      <c r="AI1563" s="6"/>
      <c r="AJ1563" s="6"/>
      <c r="AK1563" s="6"/>
      <c r="AL1563" s="6"/>
      <c r="AM1563" s="6"/>
      <c r="AN1563" s="6"/>
      <c r="AO1563" s="6"/>
      <c r="AP1563" s="6"/>
      <c r="AQ1563" s="6"/>
      <c r="AR1563" s="6"/>
      <c r="AS1563" s="6"/>
      <c r="AT1563" s="6"/>
      <c r="AU1563" s="6"/>
      <c r="AV1563" s="6"/>
      <c r="AW1563" s="6"/>
      <c r="AX1563" s="6"/>
      <c r="AY1563" s="6"/>
      <c r="AZ1563" s="6"/>
      <c r="BA1563" s="6"/>
      <c r="BB1563" s="6"/>
      <c r="BC1563" s="6"/>
      <c r="BD1563" s="6"/>
      <c r="BE1563" s="6"/>
      <c r="BF1563" s="6"/>
      <c r="BG1563" s="6"/>
      <c r="BH1563" s="6"/>
      <c r="BI1563" s="6"/>
      <c r="BJ1563" s="6"/>
      <c r="BK1563" s="6"/>
      <c r="BL1563" s="6"/>
      <c r="BM1563" s="6"/>
      <c r="BN1563" s="6"/>
      <c r="BO1563" s="6"/>
      <c r="BP1563" s="6"/>
      <c r="BQ1563" s="6"/>
      <c r="BR1563" s="6"/>
      <c r="BS1563" s="6"/>
      <c r="BT1563" s="6"/>
      <c r="BU1563" s="6"/>
      <c r="BV1563" s="6"/>
      <c r="BW1563" s="6"/>
      <c r="BX1563" s="5"/>
      <c r="BY1563" s="7"/>
      <c r="BZ1563" s="7"/>
      <c r="CA1563" s="7"/>
      <c r="CB1563" s="7"/>
      <c r="CC1563" s="874"/>
    </row>
    <row r="1564" spans="1:81" s="400" customFormat="1" ht="14.25" customHeight="1" x14ac:dyDescent="0.25">
      <c r="A1564" s="5"/>
      <c r="B1564" s="5"/>
      <c r="C1564" s="5"/>
      <c r="D1564" s="5"/>
      <c r="E1564" s="5"/>
      <c r="F1564" s="5"/>
      <c r="G1564" s="5"/>
      <c r="H1564" s="5"/>
      <c r="I1564" s="5"/>
      <c r="J1564" s="5"/>
      <c r="K1564" s="5"/>
      <c r="L1564" s="5"/>
      <c r="M1564" s="5"/>
      <c r="N1564" s="5"/>
      <c r="O1564" s="5"/>
      <c r="P1564" s="5"/>
      <c r="Q1564" s="5"/>
      <c r="R1564" s="5"/>
      <c r="S1564" s="5"/>
      <c r="T1564" s="5"/>
      <c r="U1564" s="5"/>
      <c r="V1564" s="5"/>
      <c r="W1564" s="5"/>
      <c r="X1564" s="5"/>
      <c r="Y1564" s="5"/>
      <c r="Z1564" s="5"/>
      <c r="AA1564" s="5"/>
      <c r="AB1564" s="6"/>
      <c r="AC1564" s="6"/>
      <c r="AD1564" s="6"/>
      <c r="AE1564" s="6"/>
      <c r="AF1564" s="6"/>
      <c r="AG1564" s="6"/>
      <c r="AH1564" s="6"/>
      <c r="AI1564" s="6"/>
      <c r="AJ1564" s="6"/>
      <c r="AK1564" s="6"/>
      <c r="AL1564" s="6"/>
      <c r="AM1564" s="6"/>
      <c r="AN1564" s="6"/>
      <c r="AO1564" s="6"/>
      <c r="AP1564" s="6"/>
      <c r="AQ1564" s="6"/>
      <c r="AR1564" s="6"/>
      <c r="AS1564" s="6"/>
      <c r="AT1564" s="6"/>
      <c r="AU1564" s="6"/>
      <c r="AV1564" s="6"/>
      <c r="AW1564" s="6"/>
      <c r="AX1564" s="6"/>
      <c r="AY1564" s="6"/>
      <c r="AZ1564" s="6"/>
      <c r="BA1564" s="6"/>
      <c r="BB1564" s="6"/>
      <c r="BC1564" s="6"/>
      <c r="BD1564" s="6"/>
      <c r="BE1564" s="6"/>
      <c r="BF1564" s="6"/>
      <c r="BG1564" s="6"/>
      <c r="BH1564" s="6"/>
      <c r="BI1564" s="6"/>
      <c r="BJ1564" s="6"/>
      <c r="BK1564" s="6"/>
      <c r="BL1564" s="6"/>
      <c r="BM1564" s="6"/>
      <c r="BN1564" s="6"/>
      <c r="BO1564" s="6"/>
      <c r="BP1564" s="6"/>
      <c r="BQ1564" s="6"/>
      <c r="BR1564" s="6"/>
      <c r="BS1564" s="6"/>
      <c r="BT1564" s="6"/>
      <c r="BU1564" s="6"/>
      <c r="BV1564" s="6"/>
      <c r="BW1564" s="6"/>
      <c r="BX1564" s="5"/>
      <c r="BY1564" s="7"/>
      <c r="BZ1564" s="7"/>
      <c r="CA1564" s="7"/>
      <c r="CB1564" s="7"/>
      <c r="CC1564" s="874"/>
    </row>
    <row r="1565" spans="1:81" s="400" customFormat="1" ht="14.25" customHeight="1" x14ac:dyDescent="0.25">
      <c r="A1565" s="5"/>
      <c r="B1565" s="5"/>
      <c r="C1565" s="5"/>
      <c r="D1565" s="5"/>
      <c r="E1565" s="5"/>
      <c r="F1565" s="5"/>
      <c r="G1565" s="5"/>
      <c r="H1565" s="5"/>
      <c r="I1565" s="5"/>
      <c r="J1565" s="5"/>
      <c r="K1565" s="5"/>
      <c r="L1565" s="5"/>
      <c r="M1565" s="5"/>
      <c r="N1565" s="5"/>
      <c r="O1565" s="5"/>
      <c r="P1565" s="5"/>
      <c r="Q1565" s="5"/>
      <c r="R1565" s="5"/>
      <c r="S1565" s="5"/>
      <c r="T1565" s="5"/>
      <c r="U1565" s="5"/>
      <c r="V1565" s="5"/>
      <c r="W1565" s="5"/>
      <c r="X1565" s="5"/>
      <c r="Y1565" s="5"/>
      <c r="Z1565" s="5"/>
      <c r="AA1565" s="5"/>
      <c r="AB1565" s="6"/>
      <c r="AC1565" s="6"/>
      <c r="AD1565" s="6"/>
      <c r="AE1565" s="6"/>
      <c r="AF1565" s="6"/>
      <c r="AG1565" s="6"/>
      <c r="AH1565" s="6"/>
      <c r="AI1565" s="6"/>
      <c r="AJ1565" s="6"/>
      <c r="AK1565" s="6"/>
      <c r="AL1565" s="6"/>
      <c r="AM1565" s="6"/>
      <c r="AN1565" s="6"/>
      <c r="AO1565" s="6"/>
      <c r="AP1565" s="6"/>
      <c r="AQ1565" s="6"/>
      <c r="AR1565" s="6"/>
      <c r="AS1565" s="6"/>
      <c r="AT1565" s="6"/>
      <c r="AU1565" s="6"/>
      <c r="AV1565" s="6"/>
      <c r="AW1565" s="6"/>
      <c r="AX1565" s="6"/>
      <c r="AY1565" s="6"/>
      <c r="AZ1565" s="6"/>
      <c r="BA1565" s="6"/>
      <c r="BB1565" s="6"/>
      <c r="BC1565" s="6"/>
      <c r="BD1565" s="6"/>
      <c r="BE1565" s="6"/>
      <c r="BF1565" s="6"/>
      <c r="BG1565" s="6"/>
      <c r="BH1565" s="6"/>
      <c r="BI1565" s="6"/>
      <c r="BJ1565" s="6"/>
      <c r="BK1565" s="6"/>
      <c r="BL1565" s="6"/>
      <c r="BM1565" s="6"/>
      <c r="BN1565" s="6"/>
      <c r="BO1565" s="6"/>
      <c r="BP1565" s="6"/>
      <c r="BQ1565" s="6"/>
      <c r="BR1565" s="6"/>
      <c r="BS1565" s="6"/>
      <c r="BT1565" s="6"/>
      <c r="BU1565" s="6"/>
      <c r="BV1565" s="6"/>
      <c r="BW1565" s="6"/>
      <c r="BX1565" s="5"/>
      <c r="BY1565" s="7"/>
      <c r="BZ1565" s="7"/>
      <c r="CA1565" s="7"/>
      <c r="CB1565" s="7"/>
      <c r="CC1565" s="874"/>
    </row>
    <row r="1566" spans="1:81" s="400" customFormat="1" ht="14.25" customHeight="1" x14ac:dyDescent="0.25">
      <c r="A1566" s="5"/>
      <c r="B1566" s="5"/>
      <c r="C1566" s="5"/>
      <c r="D1566" s="5"/>
      <c r="E1566" s="5"/>
      <c r="F1566" s="5"/>
      <c r="G1566" s="5"/>
      <c r="H1566" s="5"/>
      <c r="I1566" s="5"/>
      <c r="J1566" s="5"/>
      <c r="K1566" s="5"/>
      <c r="L1566" s="5"/>
      <c r="M1566" s="5"/>
      <c r="N1566" s="5"/>
      <c r="O1566" s="5"/>
      <c r="P1566" s="5"/>
      <c r="Q1566" s="5"/>
      <c r="R1566" s="5"/>
      <c r="S1566" s="5"/>
      <c r="T1566" s="5"/>
      <c r="U1566" s="5"/>
      <c r="V1566" s="5"/>
      <c r="W1566" s="5"/>
      <c r="X1566" s="5"/>
      <c r="Y1566" s="5"/>
      <c r="Z1566" s="5"/>
      <c r="AA1566" s="5"/>
      <c r="AB1566" s="6"/>
      <c r="AC1566" s="6"/>
      <c r="AD1566" s="6"/>
      <c r="AE1566" s="6"/>
      <c r="AF1566" s="6"/>
      <c r="AG1566" s="6"/>
      <c r="AH1566" s="6"/>
      <c r="AI1566" s="6"/>
      <c r="AJ1566" s="6"/>
      <c r="AK1566" s="6"/>
      <c r="AL1566" s="6"/>
      <c r="AM1566" s="6"/>
      <c r="AN1566" s="6"/>
      <c r="AO1566" s="6"/>
      <c r="AP1566" s="6"/>
      <c r="AQ1566" s="6"/>
      <c r="AR1566" s="6"/>
      <c r="AS1566" s="6"/>
      <c r="AT1566" s="6"/>
      <c r="AU1566" s="6"/>
      <c r="AV1566" s="6"/>
      <c r="AW1566" s="6"/>
      <c r="AX1566" s="6"/>
      <c r="AY1566" s="6"/>
      <c r="AZ1566" s="6"/>
      <c r="BA1566" s="6"/>
      <c r="BB1566" s="6"/>
      <c r="BC1566" s="6"/>
      <c r="BD1566" s="6"/>
      <c r="BE1566" s="6"/>
      <c r="BF1566" s="6"/>
      <c r="BG1566" s="6"/>
      <c r="BH1566" s="6"/>
      <c r="BI1566" s="6"/>
      <c r="BJ1566" s="6"/>
      <c r="BK1566" s="6"/>
      <c r="BL1566" s="6"/>
      <c r="BM1566" s="6"/>
      <c r="BN1566" s="6"/>
      <c r="BO1566" s="6"/>
      <c r="BP1566" s="6"/>
      <c r="BQ1566" s="6"/>
      <c r="BR1566" s="6"/>
      <c r="BS1566" s="6"/>
      <c r="BT1566" s="6"/>
      <c r="BU1566" s="6"/>
      <c r="BV1566" s="6"/>
      <c r="BW1566" s="6"/>
      <c r="BX1566" s="5"/>
      <c r="BY1566" s="7"/>
      <c r="BZ1566" s="7"/>
      <c r="CA1566" s="7"/>
      <c r="CB1566" s="7"/>
      <c r="CC1566" s="874"/>
    </row>
    <row r="1567" spans="1:81" s="400" customFormat="1" ht="14.25" customHeight="1" x14ac:dyDescent="0.25">
      <c r="A1567" s="5"/>
      <c r="B1567" s="5"/>
      <c r="C1567" s="5"/>
      <c r="D1567" s="5"/>
      <c r="E1567" s="5"/>
      <c r="F1567" s="5"/>
      <c r="G1567" s="5"/>
      <c r="H1567" s="5"/>
      <c r="I1567" s="5"/>
      <c r="J1567" s="5"/>
      <c r="K1567" s="5"/>
      <c r="L1567" s="5"/>
      <c r="M1567" s="5"/>
      <c r="N1567" s="5"/>
      <c r="O1567" s="5"/>
      <c r="P1567" s="5"/>
      <c r="Q1567" s="5"/>
      <c r="R1567" s="5"/>
      <c r="S1567" s="5"/>
      <c r="T1567" s="5"/>
      <c r="U1567" s="5"/>
      <c r="V1567" s="5"/>
      <c r="W1567" s="5"/>
      <c r="X1567" s="5"/>
      <c r="Y1567" s="5"/>
      <c r="Z1567" s="5"/>
      <c r="AA1567" s="5"/>
      <c r="AB1567" s="6"/>
      <c r="AC1567" s="6"/>
      <c r="AD1567" s="6"/>
      <c r="AE1567" s="6"/>
      <c r="AF1567" s="6"/>
      <c r="AG1567" s="6"/>
      <c r="AH1567" s="6"/>
      <c r="AI1567" s="6"/>
      <c r="AJ1567" s="6"/>
      <c r="AK1567" s="6"/>
      <c r="AL1567" s="6"/>
      <c r="AM1567" s="6"/>
      <c r="AN1567" s="6"/>
      <c r="AO1567" s="6"/>
      <c r="AP1567" s="6"/>
      <c r="AQ1567" s="6"/>
      <c r="AR1567" s="6"/>
      <c r="AS1567" s="6"/>
      <c r="AT1567" s="6"/>
      <c r="AU1567" s="6"/>
      <c r="AV1567" s="6"/>
      <c r="AW1567" s="6"/>
      <c r="AX1567" s="6"/>
      <c r="AY1567" s="6"/>
      <c r="AZ1567" s="6"/>
      <c r="BA1567" s="6"/>
      <c r="BB1567" s="6"/>
      <c r="BC1567" s="6"/>
      <c r="BD1567" s="6"/>
      <c r="BE1567" s="6"/>
      <c r="BF1567" s="6"/>
      <c r="BG1567" s="6"/>
      <c r="BH1567" s="6"/>
      <c r="BI1567" s="6"/>
      <c r="BJ1567" s="6"/>
      <c r="BK1567" s="6"/>
      <c r="BL1567" s="6"/>
      <c r="BM1567" s="6"/>
      <c r="BN1567" s="6"/>
      <c r="BO1567" s="6"/>
      <c r="BP1567" s="6"/>
      <c r="BQ1567" s="6"/>
      <c r="BR1567" s="6"/>
      <c r="BS1567" s="6"/>
      <c r="BT1567" s="6"/>
      <c r="BU1567" s="6"/>
      <c r="BV1567" s="6"/>
      <c r="BW1567" s="6"/>
      <c r="BX1567" s="5"/>
      <c r="BY1567" s="7"/>
      <c r="BZ1567" s="7"/>
      <c r="CA1567" s="7"/>
      <c r="CB1567" s="7"/>
      <c r="CC1567" s="874"/>
    </row>
    <row r="1568" spans="1:81" s="400" customFormat="1" ht="14.25" customHeight="1" x14ac:dyDescent="0.25">
      <c r="A1568" s="5"/>
      <c r="B1568" s="5"/>
      <c r="C1568" s="5"/>
      <c r="D1568" s="5"/>
      <c r="E1568" s="5"/>
      <c r="F1568" s="5"/>
      <c r="G1568" s="5"/>
      <c r="H1568" s="5"/>
      <c r="I1568" s="5"/>
      <c r="J1568" s="5"/>
      <c r="K1568" s="5"/>
      <c r="L1568" s="5"/>
      <c r="M1568" s="5"/>
      <c r="N1568" s="5"/>
      <c r="O1568" s="5"/>
      <c r="P1568" s="5"/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6"/>
      <c r="AC1568" s="6"/>
      <c r="AD1568" s="6"/>
      <c r="AE1568" s="6"/>
      <c r="AF1568" s="6"/>
      <c r="AG1568" s="6"/>
      <c r="AH1568" s="6"/>
      <c r="AI1568" s="6"/>
      <c r="AJ1568" s="6"/>
      <c r="AK1568" s="6"/>
      <c r="AL1568" s="6"/>
      <c r="AM1568" s="6"/>
      <c r="AN1568" s="6"/>
      <c r="AO1568" s="6"/>
      <c r="AP1568" s="6"/>
      <c r="AQ1568" s="6"/>
      <c r="AR1568" s="6"/>
      <c r="AS1568" s="6"/>
      <c r="AT1568" s="6"/>
      <c r="AU1568" s="6"/>
      <c r="AV1568" s="6"/>
      <c r="AW1568" s="6"/>
      <c r="AX1568" s="6"/>
      <c r="AY1568" s="6"/>
      <c r="AZ1568" s="6"/>
      <c r="BA1568" s="6"/>
      <c r="BB1568" s="6"/>
      <c r="BC1568" s="6"/>
      <c r="BD1568" s="6"/>
      <c r="BE1568" s="6"/>
      <c r="BF1568" s="6"/>
      <c r="BG1568" s="6"/>
      <c r="BH1568" s="6"/>
      <c r="BI1568" s="6"/>
      <c r="BJ1568" s="6"/>
      <c r="BK1568" s="6"/>
      <c r="BL1568" s="6"/>
      <c r="BM1568" s="6"/>
      <c r="BN1568" s="6"/>
      <c r="BO1568" s="6"/>
      <c r="BP1568" s="6"/>
      <c r="BQ1568" s="6"/>
      <c r="BR1568" s="6"/>
      <c r="BS1568" s="6"/>
      <c r="BT1568" s="6"/>
      <c r="BU1568" s="6"/>
      <c r="BV1568" s="6"/>
      <c r="BW1568" s="6"/>
      <c r="BX1568" s="5"/>
      <c r="BY1568" s="7"/>
      <c r="BZ1568" s="7"/>
      <c r="CA1568" s="7"/>
      <c r="CB1568" s="7"/>
      <c r="CC1568" s="874"/>
    </row>
    <row r="1569" spans="1:81" s="400" customFormat="1" ht="14.25" customHeight="1" x14ac:dyDescent="0.25">
      <c r="A1569" s="5"/>
      <c r="B1569" s="5"/>
      <c r="C1569" s="5"/>
      <c r="D1569" s="5"/>
      <c r="E1569" s="5"/>
      <c r="F1569" s="5"/>
      <c r="G1569" s="5"/>
      <c r="H1569" s="5"/>
      <c r="I1569" s="5"/>
      <c r="J1569" s="5"/>
      <c r="K1569" s="5"/>
      <c r="L1569" s="5"/>
      <c r="M1569" s="5"/>
      <c r="N1569" s="5"/>
      <c r="O1569" s="5"/>
      <c r="P1569" s="5"/>
      <c r="Q1569" s="5"/>
      <c r="R1569" s="5"/>
      <c r="S1569" s="5"/>
      <c r="T1569" s="5"/>
      <c r="U1569" s="5"/>
      <c r="V1569" s="5"/>
      <c r="W1569" s="5"/>
      <c r="X1569" s="5"/>
      <c r="Y1569" s="5"/>
      <c r="Z1569" s="5"/>
      <c r="AA1569" s="5"/>
      <c r="AB1569" s="6"/>
      <c r="AC1569" s="6"/>
      <c r="AD1569" s="6"/>
      <c r="AE1569" s="6"/>
      <c r="AF1569" s="6"/>
      <c r="AG1569" s="6"/>
      <c r="AH1569" s="6"/>
      <c r="AI1569" s="6"/>
      <c r="AJ1569" s="6"/>
      <c r="AK1569" s="6"/>
      <c r="AL1569" s="6"/>
      <c r="AM1569" s="6"/>
      <c r="AN1569" s="6"/>
      <c r="AO1569" s="6"/>
      <c r="AP1569" s="6"/>
      <c r="AQ1569" s="6"/>
      <c r="AR1569" s="6"/>
      <c r="AS1569" s="6"/>
      <c r="AT1569" s="6"/>
      <c r="AU1569" s="6"/>
      <c r="AV1569" s="6"/>
      <c r="AW1569" s="6"/>
      <c r="AX1569" s="6"/>
      <c r="AY1569" s="6"/>
      <c r="AZ1569" s="6"/>
      <c r="BA1569" s="6"/>
      <c r="BB1569" s="6"/>
      <c r="BC1569" s="6"/>
      <c r="BD1569" s="6"/>
      <c r="BE1569" s="6"/>
      <c r="BF1569" s="6"/>
      <c r="BG1569" s="6"/>
      <c r="BH1569" s="6"/>
      <c r="BI1569" s="6"/>
      <c r="BJ1569" s="6"/>
      <c r="BK1569" s="6"/>
      <c r="BL1569" s="6"/>
      <c r="BM1569" s="6"/>
      <c r="BN1569" s="6"/>
      <c r="BO1569" s="6"/>
      <c r="BP1569" s="6"/>
      <c r="BQ1569" s="6"/>
      <c r="BR1569" s="6"/>
      <c r="BS1569" s="6"/>
      <c r="BT1569" s="6"/>
      <c r="BU1569" s="6"/>
      <c r="BV1569" s="6"/>
      <c r="BW1569" s="6"/>
      <c r="BX1569" s="5"/>
      <c r="BY1569" s="7"/>
      <c r="BZ1569" s="7"/>
      <c r="CA1569" s="7"/>
      <c r="CB1569" s="7"/>
      <c r="CC1569" s="874"/>
    </row>
    <row r="1570" spans="1:81" s="400" customFormat="1" ht="14.25" customHeight="1" x14ac:dyDescent="0.25">
      <c r="A1570" s="5"/>
      <c r="B1570" s="5"/>
      <c r="C1570" s="5"/>
      <c r="D1570" s="5"/>
      <c r="E1570" s="5"/>
      <c r="F1570" s="5"/>
      <c r="G1570" s="5"/>
      <c r="H1570" s="5"/>
      <c r="I1570" s="5"/>
      <c r="J1570" s="5"/>
      <c r="K1570" s="5"/>
      <c r="L1570" s="5"/>
      <c r="M1570" s="5"/>
      <c r="N1570" s="5"/>
      <c r="O1570" s="5"/>
      <c r="P1570" s="5"/>
      <c r="Q1570" s="5"/>
      <c r="R1570" s="5"/>
      <c r="S1570" s="5"/>
      <c r="T1570" s="5"/>
      <c r="U1570" s="5"/>
      <c r="V1570" s="5"/>
      <c r="W1570" s="5"/>
      <c r="X1570" s="5"/>
      <c r="Y1570" s="5"/>
      <c r="Z1570" s="5"/>
      <c r="AA1570" s="5"/>
      <c r="AB1570" s="6"/>
      <c r="AC1570" s="6"/>
      <c r="AD1570" s="6"/>
      <c r="AE1570" s="6"/>
      <c r="AF1570" s="6"/>
      <c r="AG1570" s="6"/>
      <c r="AH1570" s="6"/>
      <c r="AI1570" s="6"/>
      <c r="AJ1570" s="6"/>
      <c r="AK1570" s="6"/>
      <c r="AL1570" s="6"/>
      <c r="AM1570" s="6"/>
      <c r="AN1570" s="6"/>
      <c r="AO1570" s="6"/>
      <c r="AP1570" s="6"/>
      <c r="AQ1570" s="6"/>
      <c r="AR1570" s="6"/>
      <c r="AS1570" s="6"/>
      <c r="AT1570" s="6"/>
      <c r="AU1570" s="6"/>
      <c r="AV1570" s="6"/>
      <c r="AW1570" s="6"/>
      <c r="AX1570" s="6"/>
      <c r="AY1570" s="6"/>
      <c r="AZ1570" s="6"/>
      <c r="BA1570" s="6"/>
      <c r="BB1570" s="6"/>
      <c r="BC1570" s="6"/>
      <c r="BD1570" s="6"/>
      <c r="BE1570" s="6"/>
      <c r="BF1570" s="6"/>
      <c r="BG1570" s="6"/>
      <c r="BH1570" s="6"/>
      <c r="BI1570" s="6"/>
      <c r="BJ1570" s="6"/>
      <c r="BK1570" s="6"/>
      <c r="BL1570" s="6"/>
      <c r="BM1570" s="6"/>
      <c r="BN1570" s="6"/>
      <c r="BO1570" s="6"/>
      <c r="BP1570" s="6"/>
      <c r="BQ1570" s="6"/>
      <c r="BR1570" s="6"/>
      <c r="BS1570" s="6"/>
      <c r="BT1570" s="6"/>
      <c r="BU1570" s="6"/>
      <c r="BV1570" s="6"/>
      <c r="BW1570" s="6"/>
      <c r="BX1570" s="5"/>
      <c r="BY1570" s="7"/>
      <c r="BZ1570" s="7"/>
      <c r="CA1570" s="7"/>
      <c r="CB1570" s="7"/>
      <c r="CC1570" s="874"/>
    </row>
    <row r="1571" spans="1:81" s="400" customFormat="1" ht="14.25" customHeight="1" x14ac:dyDescent="0.25">
      <c r="A1571" s="5"/>
      <c r="B1571" s="5"/>
      <c r="C1571" s="5"/>
      <c r="D1571" s="5"/>
      <c r="E1571" s="5"/>
      <c r="F1571" s="5"/>
      <c r="G1571" s="5"/>
      <c r="H1571" s="5"/>
      <c r="I1571" s="5"/>
      <c r="J1571" s="5"/>
      <c r="K1571" s="5"/>
      <c r="L1571" s="5"/>
      <c r="M1571" s="5"/>
      <c r="N1571" s="5"/>
      <c r="O1571" s="5"/>
      <c r="P1571" s="5"/>
      <c r="Q1571" s="5"/>
      <c r="R1571" s="5"/>
      <c r="S1571" s="5"/>
      <c r="T1571" s="5"/>
      <c r="U1571" s="5"/>
      <c r="V1571" s="5"/>
      <c r="W1571" s="5"/>
      <c r="X1571" s="5"/>
      <c r="Y1571" s="5"/>
      <c r="Z1571" s="5"/>
      <c r="AA1571" s="5"/>
      <c r="AB1571" s="6"/>
      <c r="AC1571" s="6"/>
      <c r="AD1571" s="6"/>
      <c r="AE1571" s="6"/>
      <c r="AF1571" s="6"/>
      <c r="AG1571" s="6"/>
      <c r="AH1571" s="6"/>
      <c r="AI1571" s="6"/>
      <c r="AJ1571" s="6"/>
      <c r="AK1571" s="6"/>
      <c r="AL1571" s="6"/>
      <c r="AM1571" s="6"/>
      <c r="AN1571" s="6"/>
      <c r="AO1571" s="6"/>
      <c r="AP1571" s="6"/>
      <c r="AQ1571" s="6"/>
      <c r="AR1571" s="6"/>
      <c r="AS1571" s="6"/>
      <c r="AT1571" s="6"/>
      <c r="AU1571" s="6"/>
      <c r="AV1571" s="6"/>
      <c r="AW1571" s="6"/>
      <c r="AX1571" s="6"/>
      <c r="AY1571" s="6"/>
      <c r="AZ1571" s="6"/>
      <c r="BA1571" s="6"/>
      <c r="BB1571" s="6"/>
      <c r="BC1571" s="6"/>
      <c r="BD1571" s="6"/>
      <c r="BE1571" s="6"/>
      <c r="BF1571" s="6"/>
      <c r="BG1571" s="6"/>
      <c r="BH1571" s="6"/>
      <c r="BI1571" s="6"/>
      <c r="BJ1571" s="6"/>
      <c r="BK1571" s="6"/>
      <c r="BL1571" s="6"/>
      <c r="BM1571" s="6"/>
      <c r="BN1571" s="6"/>
      <c r="BO1571" s="6"/>
      <c r="BP1571" s="6"/>
      <c r="BQ1571" s="6"/>
      <c r="BR1571" s="6"/>
      <c r="BS1571" s="6"/>
      <c r="BT1571" s="6"/>
      <c r="BU1571" s="6"/>
      <c r="BV1571" s="6"/>
      <c r="BW1571" s="6"/>
      <c r="BX1571" s="5"/>
      <c r="BY1571" s="7"/>
      <c r="BZ1571" s="7"/>
      <c r="CA1571" s="7"/>
      <c r="CB1571" s="7"/>
      <c r="CC1571" s="874"/>
    </row>
    <row r="1572" spans="1:81" s="400" customFormat="1" ht="14.25" customHeight="1" x14ac:dyDescent="0.25">
      <c r="A1572" s="5"/>
      <c r="B1572" s="5"/>
      <c r="C1572" s="5"/>
      <c r="D1572" s="5"/>
      <c r="E1572" s="5"/>
      <c r="F1572" s="5"/>
      <c r="G1572" s="5"/>
      <c r="H1572" s="5"/>
      <c r="I1572" s="5"/>
      <c r="J1572" s="5"/>
      <c r="K1572" s="5"/>
      <c r="L1572" s="5"/>
      <c r="M1572" s="5"/>
      <c r="N1572" s="5"/>
      <c r="O1572" s="5"/>
      <c r="P1572" s="5"/>
      <c r="Q1572" s="5"/>
      <c r="R1572" s="5"/>
      <c r="S1572" s="5"/>
      <c r="T1572" s="5"/>
      <c r="U1572" s="5"/>
      <c r="V1572" s="5"/>
      <c r="W1572" s="5"/>
      <c r="X1572" s="5"/>
      <c r="Y1572" s="5"/>
      <c r="Z1572" s="5"/>
      <c r="AA1572" s="5"/>
      <c r="AB1572" s="6"/>
      <c r="AC1572" s="6"/>
      <c r="AD1572" s="6"/>
      <c r="AE1572" s="6"/>
      <c r="AF1572" s="6"/>
      <c r="AG1572" s="6"/>
      <c r="AH1572" s="6"/>
      <c r="AI1572" s="6"/>
      <c r="AJ1572" s="6"/>
      <c r="AK1572" s="6"/>
      <c r="AL1572" s="6"/>
      <c r="AM1572" s="6"/>
      <c r="AN1572" s="6"/>
      <c r="AO1572" s="6"/>
      <c r="AP1572" s="6"/>
      <c r="AQ1572" s="6"/>
      <c r="AR1572" s="6"/>
      <c r="AS1572" s="6"/>
      <c r="AT1572" s="6"/>
      <c r="AU1572" s="6"/>
      <c r="AV1572" s="6"/>
      <c r="AW1572" s="6"/>
      <c r="AX1572" s="6"/>
      <c r="AY1572" s="6"/>
      <c r="AZ1572" s="6"/>
      <c r="BA1572" s="6"/>
      <c r="BB1572" s="6"/>
      <c r="BC1572" s="6"/>
      <c r="BD1572" s="6"/>
      <c r="BE1572" s="6"/>
      <c r="BF1572" s="6"/>
      <c r="BG1572" s="6"/>
      <c r="BH1572" s="6"/>
      <c r="BI1572" s="6"/>
      <c r="BJ1572" s="6"/>
      <c r="BK1572" s="6"/>
      <c r="BL1572" s="6"/>
      <c r="BM1572" s="6"/>
      <c r="BN1572" s="6"/>
      <c r="BO1572" s="6"/>
      <c r="BP1572" s="6"/>
      <c r="BQ1572" s="6"/>
      <c r="BR1572" s="6"/>
      <c r="BS1572" s="6"/>
      <c r="BT1572" s="6"/>
      <c r="BU1572" s="6"/>
      <c r="BV1572" s="6"/>
      <c r="BW1572" s="6"/>
      <c r="BX1572" s="5"/>
      <c r="BY1572" s="7"/>
      <c r="BZ1572" s="7"/>
      <c r="CA1572" s="7"/>
      <c r="CB1572" s="7"/>
      <c r="CC1572" s="874"/>
    </row>
    <row r="1573" spans="1:81" s="400" customFormat="1" ht="14.25" customHeight="1" x14ac:dyDescent="0.25">
      <c r="A1573" s="5"/>
      <c r="B1573" s="5"/>
      <c r="C1573" s="5"/>
      <c r="D1573" s="5"/>
      <c r="E1573" s="5"/>
      <c r="F1573" s="5"/>
      <c r="G1573" s="5"/>
      <c r="H1573" s="5"/>
      <c r="I1573" s="5"/>
      <c r="J1573" s="5"/>
      <c r="K1573" s="5"/>
      <c r="L1573" s="5"/>
      <c r="M1573" s="5"/>
      <c r="N1573" s="5"/>
      <c r="O1573" s="5"/>
      <c r="P1573" s="5"/>
      <c r="Q1573" s="5"/>
      <c r="R1573" s="5"/>
      <c r="S1573" s="5"/>
      <c r="T1573" s="5"/>
      <c r="U1573" s="5"/>
      <c r="V1573" s="5"/>
      <c r="W1573" s="5"/>
      <c r="X1573" s="5"/>
      <c r="Y1573" s="5"/>
      <c r="Z1573" s="5"/>
      <c r="AA1573" s="5"/>
      <c r="AB1573" s="6"/>
      <c r="AC1573" s="6"/>
      <c r="AD1573" s="6"/>
      <c r="AE1573" s="6"/>
      <c r="AF1573" s="6"/>
      <c r="AG1573" s="6"/>
      <c r="AH1573" s="6"/>
      <c r="AI1573" s="6"/>
      <c r="AJ1573" s="6"/>
      <c r="AK1573" s="6"/>
      <c r="AL1573" s="6"/>
      <c r="AM1573" s="6"/>
      <c r="AN1573" s="6"/>
      <c r="AO1573" s="6"/>
      <c r="AP1573" s="6"/>
      <c r="AQ1573" s="6"/>
      <c r="AR1573" s="6"/>
      <c r="AS1573" s="6"/>
      <c r="AT1573" s="6"/>
      <c r="AU1573" s="6"/>
      <c r="AV1573" s="6"/>
      <c r="AW1573" s="6"/>
      <c r="AX1573" s="6"/>
      <c r="AY1573" s="6"/>
      <c r="AZ1573" s="6"/>
      <c r="BA1573" s="6"/>
      <c r="BB1573" s="6"/>
      <c r="BC1573" s="6"/>
      <c r="BD1573" s="6"/>
      <c r="BE1573" s="6"/>
      <c r="BF1573" s="6"/>
      <c r="BG1573" s="6"/>
      <c r="BH1573" s="6"/>
      <c r="BI1573" s="6"/>
      <c r="BJ1573" s="6"/>
      <c r="BK1573" s="6"/>
      <c r="BL1573" s="6"/>
      <c r="BM1573" s="6"/>
      <c r="BN1573" s="6"/>
      <c r="BO1573" s="6"/>
      <c r="BP1573" s="6"/>
      <c r="BQ1573" s="6"/>
      <c r="BR1573" s="6"/>
      <c r="BS1573" s="6"/>
      <c r="BT1573" s="6"/>
      <c r="BU1573" s="6"/>
      <c r="BV1573" s="6"/>
      <c r="BW1573" s="6"/>
      <c r="BX1573" s="5"/>
      <c r="BY1573" s="7"/>
      <c r="BZ1573" s="7"/>
      <c r="CA1573" s="7"/>
      <c r="CB1573" s="7"/>
      <c r="CC1573" s="874"/>
    </row>
    <row r="1574" spans="1:81" s="400" customFormat="1" ht="14.25" customHeight="1" x14ac:dyDescent="0.25">
      <c r="A1574" s="5"/>
      <c r="B1574" s="5"/>
      <c r="C1574" s="5"/>
      <c r="D1574" s="5"/>
      <c r="E1574" s="5"/>
      <c r="F1574" s="5"/>
      <c r="G1574" s="5"/>
      <c r="H1574" s="5"/>
      <c r="I1574" s="5"/>
      <c r="J1574" s="5"/>
      <c r="K1574" s="5"/>
      <c r="L1574" s="5"/>
      <c r="M1574" s="5"/>
      <c r="N1574" s="5"/>
      <c r="O1574" s="5"/>
      <c r="P1574" s="5"/>
      <c r="Q1574" s="5"/>
      <c r="R1574" s="5"/>
      <c r="S1574" s="5"/>
      <c r="T1574" s="5"/>
      <c r="U1574" s="5"/>
      <c r="V1574" s="5"/>
      <c r="W1574" s="5"/>
      <c r="X1574" s="5"/>
      <c r="Y1574" s="5"/>
      <c r="Z1574" s="5"/>
      <c r="AA1574" s="5"/>
      <c r="AB1574" s="6"/>
      <c r="AC1574" s="6"/>
      <c r="AD1574" s="6"/>
      <c r="AE1574" s="6"/>
      <c r="AF1574" s="6"/>
      <c r="AG1574" s="6"/>
      <c r="AH1574" s="6"/>
      <c r="AI1574" s="6"/>
      <c r="AJ1574" s="6"/>
      <c r="AK1574" s="6"/>
      <c r="AL1574" s="6"/>
      <c r="AM1574" s="6"/>
      <c r="AN1574" s="6"/>
      <c r="AO1574" s="6"/>
      <c r="AP1574" s="6"/>
      <c r="AQ1574" s="6"/>
      <c r="AR1574" s="6"/>
      <c r="AS1574" s="6"/>
      <c r="AT1574" s="6"/>
      <c r="AU1574" s="6"/>
      <c r="AV1574" s="6"/>
      <c r="AW1574" s="6"/>
      <c r="AX1574" s="6"/>
      <c r="AY1574" s="6"/>
      <c r="AZ1574" s="6"/>
      <c r="BA1574" s="6"/>
      <c r="BB1574" s="6"/>
      <c r="BC1574" s="6"/>
      <c r="BD1574" s="6"/>
      <c r="BE1574" s="6"/>
      <c r="BF1574" s="6"/>
      <c r="BG1574" s="6"/>
      <c r="BH1574" s="6"/>
      <c r="BI1574" s="6"/>
      <c r="BJ1574" s="6"/>
      <c r="BK1574" s="6"/>
      <c r="BL1574" s="6"/>
      <c r="BM1574" s="6"/>
      <c r="BN1574" s="6"/>
      <c r="BO1574" s="6"/>
      <c r="BP1574" s="6"/>
      <c r="BQ1574" s="6"/>
      <c r="BR1574" s="6"/>
      <c r="BS1574" s="6"/>
      <c r="BT1574" s="6"/>
      <c r="BU1574" s="6"/>
      <c r="BV1574" s="6"/>
      <c r="BW1574" s="6"/>
      <c r="BX1574" s="5"/>
      <c r="BY1574" s="7"/>
      <c r="BZ1574" s="7"/>
      <c r="CA1574" s="7"/>
      <c r="CB1574" s="7"/>
      <c r="CC1574" s="874"/>
    </row>
    <row r="1575" spans="1:81" s="400" customFormat="1" ht="14.25" customHeight="1" x14ac:dyDescent="0.25">
      <c r="A1575" s="5"/>
      <c r="B1575" s="5"/>
      <c r="C1575" s="5"/>
      <c r="D1575" s="5"/>
      <c r="E1575" s="5"/>
      <c r="F1575" s="5"/>
      <c r="G1575" s="5"/>
      <c r="H1575" s="5"/>
      <c r="I1575" s="5"/>
      <c r="J1575" s="5"/>
      <c r="K1575" s="5"/>
      <c r="L1575" s="5"/>
      <c r="M1575" s="5"/>
      <c r="N1575" s="5"/>
      <c r="O1575" s="5"/>
      <c r="P1575" s="5"/>
      <c r="Q1575" s="5"/>
      <c r="R1575" s="5"/>
      <c r="S1575" s="5"/>
      <c r="T1575" s="5"/>
      <c r="U1575" s="5"/>
      <c r="V1575" s="5"/>
      <c r="W1575" s="5"/>
      <c r="X1575" s="5"/>
      <c r="Y1575" s="5"/>
      <c r="Z1575" s="5"/>
      <c r="AA1575" s="5"/>
      <c r="AB1575" s="6"/>
      <c r="AC1575" s="6"/>
      <c r="AD1575" s="6"/>
      <c r="AE1575" s="6"/>
      <c r="AF1575" s="6"/>
      <c r="AG1575" s="6"/>
      <c r="AH1575" s="6"/>
      <c r="AI1575" s="6"/>
      <c r="AJ1575" s="6"/>
      <c r="AK1575" s="6"/>
      <c r="AL1575" s="6"/>
      <c r="AM1575" s="6"/>
      <c r="AN1575" s="6"/>
      <c r="AO1575" s="6"/>
      <c r="AP1575" s="6"/>
      <c r="AQ1575" s="6"/>
      <c r="AR1575" s="6"/>
      <c r="AS1575" s="6"/>
      <c r="AT1575" s="6"/>
      <c r="AU1575" s="6"/>
      <c r="AV1575" s="6"/>
      <c r="AW1575" s="6"/>
      <c r="AX1575" s="6"/>
      <c r="AY1575" s="6"/>
      <c r="AZ1575" s="6"/>
      <c r="BA1575" s="6"/>
      <c r="BB1575" s="6"/>
      <c r="BC1575" s="6"/>
      <c r="BD1575" s="6"/>
      <c r="BE1575" s="6"/>
      <c r="BF1575" s="6"/>
      <c r="BG1575" s="6"/>
      <c r="BH1575" s="6"/>
      <c r="BI1575" s="6"/>
      <c r="BJ1575" s="6"/>
      <c r="BK1575" s="6"/>
      <c r="BL1575" s="6"/>
      <c r="BM1575" s="6"/>
      <c r="BN1575" s="6"/>
      <c r="BO1575" s="6"/>
      <c r="BP1575" s="6"/>
      <c r="BQ1575" s="6"/>
      <c r="BR1575" s="6"/>
      <c r="BS1575" s="6"/>
      <c r="BT1575" s="6"/>
      <c r="BU1575" s="6"/>
      <c r="BV1575" s="6"/>
      <c r="BW1575" s="6"/>
      <c r="BX1575" s="5"/>
      <c r="BY1575" s="7"/>
      <c r="BZ1575" s="7"/>
      <c r="CA1575" s="7"/>
      <c r="CB1575" s="7"/>
      <c r="CC1575" s="874"/>
    </row>
    <row r="1576" spans="1:81" s="400" customFormat="1" ht="14.25" customHeight="1" x14ac:dyDescent="0.25">
      <c r="A1576" s="5"/>
      <c r="B1576" s="5"/>
      <c r="C1576" s="5"/>
      <c r="D1576" s="5"/>
      <c r="E1576" s="5"/>
      <c r="F1576" s="5"/>
      <c r="G1576" s="5"/>
      <c r="H1576" s="5"/>
      <c r="I1576" s="5"/>
      <c r="J1576" s="5"/>
      <c r="K1576" s="5"/>
      <c r="L1576" s="5"/>
      <c r="M1576" s="5"/>
      <c r="N1576" s="5"/>
      <c r="O1576" s="5"/>
      <c r="P1576" s="5"/>
      <c r="Q1576" s="5"/>
      <c r="R1576" s="5"/>
      <c r="S1576" s="5"/>
      <c r="T1576" s="5"/>
      <c r="U1576" s="5"/>
      <c r="V1576" s="5"/>
      <c r="W1576" s="5"/>
      <c r="X1576" s="5"/>
      <c r="Y1576" s="5"/>
      <c r="Z1576" s="5"/>
      <c r="AA1576" s="5"/>
      <c r="AB1576" s="6"/>
      <c r="AC1576" s="6"/>
      <c r="AD1576" s="6"/>
      <c r="AE1576" s="6"/>
      <c r="AF1576" s="6"/>
      <c r="AG1576" s="6"/>
      <c r="AH1576" s="6"/>
      <c r="AI1576" s="6"/>
      <c r="AJ1576" s="6"/>
      <c r="AK1576" s="6"/>
      <c r="AL1576" s="6"/>
      <c r="AM1576" s="6"/>
      <c r="AN1576" s="6"/>
      <c r="AO1576" s="6"/>
      <c r="AP1576" s="6"/>
      <c r="AQ1576" s="6"/>
      <c r="AR1576" s="6"/>
      <c r="AS1576" s="6"/>
      <c r="AT1576" s="6"/>
      <c r="AU1576" s="6"/>
      <c r="AV1576" s="6"/>
      <c r="AW1576" s="6"/>
      <c r="AX1576" s="6"/>
      <c r="AY1576" s="6"/>
      <c r="AZ1576" s="6"/>
      <c r="BA1576" s="6"/>
      <c r="BB1576" s="6"/>
      <c r="BC1576" s="6"/>
      <c r="BD1576" s="6"/>
      <c r="BE1576" s="6"/>
      <c r="BF1576" s="6"/>
      <c r="BG1576" s="6"/>
      <c r="BH1576" s="6"/>
      <c r="BI1576" s="6"/>
      <c r="BJ1576" s="6"/>
      <c r="BK1576" s="6"/>
      <c r="BL1576" s="6"/>
      <c r="BM1576" s="6"/>
      <c r="BN1576" s="6"/>
      <c r="BO1576" s="6"/>
      <c r="BP1576" s="6"/>
      <c r="BQ1576" s="6"/>
      <c r="BR1576" s="6"/>
      <c r="BS1576" s="6"/>
      <c r="BT1576" s="6"/>
      <c r="BU1576" s="6"/>
      <c r="BV1576" s="6"/>
      <c r="BW1576" s="6"/>
      <c r="BX1576" s="5"/>
      <c r="BY1576" s="7"/>
      <c r="BZ1576" s="7"/>
      <c r="CA1576" s="7"/>
      <c r="CB1576" s="7"/>
      <c r="CC1576" s="874"/>
    </row>
    <row r="1577" spans="1:81" s="400" customFormat="1" ht="14.25" customHeight="1" x14ac:dyDescent="0.25">
      <c r="A1577" s="5"/>
      <c r="B1577" s="5"/>
      <c r="C1577" s="5"/>
      <c r="D1577" s="5"/>
      <c r="E1577" s="5"/>
      <c r="F1577" s="5"/>
      <c r="G1577" s="5"/>
      <c r="H1577" s="5"/>
      <c r="I1577" s="5"/>
      <c r="J1577" s="5"/>
      <c r="K1577" s="5"/>
      <c r="L1577" s="5"/>
      <c r="M1577" s="5"/>
      <c r="N1577" s="5"/>
      <c r="O1577" s="5"/>
      <c r="P1577" s="5"/>
      <c r="Q1577" s="5"/>
      <c r="R1577" s="5"/>
      <c r="S1577" s="5"/>
      <c r="T1577" s="5"/>
      <c r="U1577" s="5"/>
      <c r="V1577" s="5"/>
      <c r="W1577" s="5"/>
      <c r="X1577" s="5"/>
      <c r="Y1577" s="5"/>
      <c r="Z1577" s="5"/>
      <c r="AA1577" s="5"/>
      <c r="AB1577" s="6"/>
      <c r="AC1577" s="6"/>
      <c r="AD1577" s="6"/>
      <c r="AE1577" s="6"/>
      <c r="AF1577" s="6"/>
      <c r="AG1577" s="6"/>
      <c r="AH1577" s="6"/>
      <c r="AI1577" s="6"/>
      <c r="AJ1577" s="6"/>
      <c r="AK1577" s="6"/>
      <c r="AL1577" s="6"/>
      <c r="AM1577" s="6"/>
      <c r="AN1577" s="6"/>
      <c r="AO1577" s="6"/>
      <c r="AP1577" s="6"/>
      <c r="AQ1577" s="6"/>
      <c r="AR1577" s="6"/>
      <c r="AS1577" s="6"/>
      <c r="AT1577" s="6"/>
      <c r="AU1577" s="6"/>
      <c r="AV1577" s="6"/>
      <c r="AW1577" s="6"/>
      <c r="AX1577" s="6"/>
      <c r="AY1577" s="6"/>
      <c r="AZ1577" s="6"/>
      <c r="BA1577" s="6"/>
      <c r="BB1577" s="6"/>
      <c r="BC1577" s="6"/>
      <c r="BD1577" s="6"/>
      <c r="BE1577" s="6"/>
      <c r="BF1577" s="6"/>
      <c r="BG1577" s="6"/>
      <c r="BH1577" s="6"/>
      <c r="BI1577" s="6"/>
      <c r="BJ1577" s="6"/>
      <c r="BK1577" s="6"/>
      <c r="BL1577" s="6"/>
      <c r="BM1577" s="6"/>
      <c r="BN1577" s="6"/>
      <c r="BO1577" s="6"/>
      <c r="BP1577" s="6"/>
      <c r="BQ1577" s="6"/>
      <c r="BR1577" s="6"/>
      <c r="BS1577" s="6"/>
      <c r="BT1577" s="6"/>
      <c r="BU1577" s="6"/>
      <c r="BV1577" s="6"/>
      <c r="BW1577" s="6"/>
      <c r="BX1577" s="5"/>
      <c r="BY1577" s="7"/>
      <c r="BZ1577" s="7"/>
      <c r="CA1577" s="7"/>
      <c r="CB1577" s="7"/>
      <c r="CC1577" s="874"/>
    </row>
    <row r="1578" spans="1:81" s="400" customFormat="1" ht="14.25" customHeight="1" x14ac:dyDescent="0.25">
      <c r="A1578" s="5"/>
      <c r="B1578" s="5"/>
      <c r="C1578" s="5"/>
      <c r="D1578" s="5"/>
      <c r="E1578" s="5"/>
      <c r="F1578" s="5"/>
      <c r="G1578" s="5"/>
      <c r="H1578" s="5"/>
      <c r="I1578" s="5"/>
      <c r="J1578" s="5"/>
      <c r="K1578" s="5"/>
      <c r="L1578" s="5"/>
      <c r="M1578" s="5"/>
      <c r="N1578" s="5"/>
      <c r="O1578" s="5"/>
      <c r="P1578" s="5"/>
      <c r="Q1578" s="5"/>
      <c r="R1578" s="5"/>
      <c r="S1578" s="5"/>
      <c r="T1578" s="5"/>
      <c r="U1578" s="5"/>
      <c r="V1578" s="5"/>
      <c r="W1578" s="5"/>
      <c r="X1578" s="5"/>
      <c r="Y1578" s="5"/>
      <c r="Z1578" s="5"/>
      <c r="AA1578" s="5"/>
      <c r="AB1578" s="6"/>
      <c r="AC1578" s="6"/>
      <c r="AD1578" s="6"/>
      <c r="AE1578" s="6"/>
      <c r="AF1578" s="6"/>
      <c r="AG1578" s="6"/>
      <c r="AH1578" s="6"/>
      <c r="AI1578" s="6"/>
      <c r="AJ1578" s="6"/>
      <c r="AK1578" s="6"/>
      <c r="AL1578" s="6"/>
      <c r="AM1578" s="6"/>
      <c r="AN1578" s="6"/>
      <c r="AO1578" s="6"/>
      <c r="AP1578" s="6"/>
      <c r="AQ1578" s="6"/>
      <c r="AR1578" s="6"/>
      <c r="AS1578" s="6"/>
      <c r="AT1578" s="6"/>
      <c r="AU1578" s="6"/>
      <c r="AV1578" s="6"/>
      <c r="AW1578" s="6"/>
      <c r="AX1578" s="6"/>
      <c r="AY1578" s="6"/>
      <c r="AZ1578" s="6"/>
      <c r="BA1578" s="6"/>
      <c r="BB1578" s="6"/>
      <c r="BC1578" s="6"/>
      <c r="BD1578" s="6"/>
      <c r="BE1578" s="6"/>
      <c r="BF1578" s="6"/>
      <c r="BG1578" s="6"/>
      <c r="BH1578" s="6"/>
      <c r="BI1578" s="6"/>
      <c r="BJ1578" s="6"/>
      <c r="BK1578" s="6"/>
      <c r="BL1578" s="6"/>
      <c r="BM1578" s="6"/>
      <c r="BN1578" s="6"/>
      <c r="BO1578" s="6"/>
      <c r="BP1578" s="6"/>
      <c r="BQ1578" s="6"/>
      <c r="BR1578" s="6"/>
      <c r="BS1578" s="6"/>
      <c r="BT1578" s="6"/>
      <c r="BU1578" s="6"/>
      <c r="BV1578" s="6"/>
      <c r="BW1578" s="6"/>
      <c r="BX1578" s="5"/>
      <c r="BY1578" s="7"/>
      <c r="BZ1578" s="7"/>
      <c r="CA1578" s="7"/>
      <c r="CB1578" s="7"/>
      <c r="CC1578" s="874"/>
    </row>
    <row r="1579" spans="1:81" s="400" customFormat="1" ht="14.25" customHeight="1" x14ac:dyDescent="0.25">
      <c r="A1579" s="5"/>
      <c r="B1579" s="5"/>
      <c r="C1579" s="5"/>
      <c r="D1579" s="5"/>
      <c r="E1579" s="5"/>
      <c r="F1579" s="5"/>
      <c r="G1579" s="5"/>
      <c r="H1579" s="5"/>
      <c r="I1579" s="5"/>
      <c r="J1579" s="5"/>
      <c r="K1579" s="5"/>
      <c r="L1579" s="5"/>
      <c r="M1579" s="5"/>
      <c r="N1579" s="5"/>
      <c r="O1579" s="5"/>
      <c r="P1579" s="5"/>
      <c r="Q1579" s="5"/>
      <c r="R1579" s="5"/>
      <c r="S1579" s="5"/>
      <c r="T1579" s="5"/>
      <c r="U1579" s="5"/>
      <c r="V1579" s="5"/>
      <c r="W1579" s="5"/>
      <c r="X1579" s="5"/>
      <c r="Y1579" s="5"/>
      <c r="Z1579" s="5"/>
      <c r="AA1579" s="5"/>
      <c r="AB1579" s="6"/>
      <c r="AC1579" s="6"/>
      <c r="AD1579" s="6"/>
      <c r="AE1579" s="6"/>
      <c r="AF1579" s="6"/>
      <c r="AG1579" s="6"/>
      <c r="AH1579" s="6"/>
      <c r="AI1579" s="6"/>
      <c r="AJ1579" s="6"/>
      <c r="AK1579" s="6"/>
      <c r="AL1579" s="6"/>
      <c r="AM1579" s="6"/>
      <c r="AN1579" s="6"/>
      <c r="AO1579" s="6"/>
      <c r="AP1579" s="6"/>
      <c r="AQ1579" s="6"/>
      <c r="AR1579" s="6"/>
      <c r="AS1579" s="6"/>
      <c r="AT1579" s="6"/>
      <c r="AU1579" s="6"/>
      <c r="AV1579" s="6"/>
      <c r="AW1579" s="6"/>
      <c r="AX1579" s="6"/>
      <c r="AY1579" s="6"/>
      <c r="AZ1579" s="6"/>
      <c r="BA1579" s="6"/>
      <c r="BB1579" s="6"/>
      <c r="BC1579" s="6"/>
      <c r="BD1579" s="6"/>
      <c r="BE1579" s="6"/>
      <c r="BF1579" s="6"/>
      <c r="BG1579" s="6"/>
      <c r="BH1579" s="6"/>
      <c r="BI1579" s="6"/>
      <c r="BJ1579" s="6"/>
      <c r="BK1579" s="6"/>
      <c r="BL1579" s="6"/>
      <c r="BM1579" s="6"/>
      <c r="BN1579" s="6"/>
      <c r="BO1579" s="6"/>
      <c r="BP1579" s="6"/>
      <c r="BQ1579" s="6"/>
      <c r="BR1579" s="6"/>
      <c r="BS1579" s="6"/>
      <c r="BT1579" s="6"/>
      <c r="BU1579" s="6"/>
      <c r="BV1579" s="6"/>
      <c r="BW1579" s="6"/>
      <c r="BX1579" s="5"/>
      <c r="BY1579" s="7"/>
      <c r="BZ1579" s="7"/>
      <c r="CA1579" s="7"/>
      <c r="CB1579" s="7"/>
      <c r="CC1579" s="874"/>
    </row>
    <row r="1580" spans="1:81" s="400" customFormat="1" ht="14.25" customHeight="1" x14ac:dyDescent="0.25">
      <c r="A1580" s="5"/>
      <c r="B1580" s="5"/>
      <c r="C1580" s="5"/>
      <c r="D1580" s="5"/>
      <c r="E1580" s="5"/>
      <c r="F1580" s="5"/>
      <c r="G1580" s="5"/>
      <c r="H1580" s="5"/>
      <c r="I1580" s="5"/>
      <c r="J1580" s="5"/>
      <c r="K1580" s="5"/>
      <c r="L1580" s="5"/>
      <c r="M1580" s="5"/>
      <c r="N1580" s="5"/>
      <c r="O1580" s="5"/>
      <c r="P1580" s="5"/>
      <c r="Q1580" s="5"/>
      <c r="R1580" s="5"/>
      <c r="S1580" s="5"/>
      <c r="T1580" s="5"/>
      <c r="U1580" s="5"/>
      <c r="V1580" s="5"/>
      <c r="W1580" s="5"/>
      <c r="X1580" s="5"/>
      <c r="Y1580" s="5"/>
      <c r="Z1580" s="5"/>
      <c r="AA1580" s="5"/>
      <c r="AB1580" s="6"/>
      <c r="AC1580" s="6"/>
      <c r="AD1580" s="6"/>
      <c r="AE1580" s="6"/>
      <c r="AF1580" s="6"/>
      <c r="AG1580" s="6"/>
      <c r="AH1580" s="6"/>
      <c r="AI1580" s="6"/>
      <c r="AJ1580" s="6"/>
      <c r="AK1580" s="6"/>
      <c r="AL1580" s="6"/>
      <c r="AM1580" s="6"/>
      <c r="AN1580" s="6"/>
      <c r="AO1580" s="6"/>
      <c r="AP1580" s="6"/>
      <c r="AQ1580" s="6"/>
      <c r="AR1580" s="6"/>
      <c r="AS1580" s="6"/>
      <c r="AT1580" s="6"/>
      <c r="AU1580" s="6"/>
      <c r="AV1580" s="6"/>
      <c r="AW1580" s="6"/>
      <c r="AX1580" s="6"/>
      <c r="AY1580" s="6"/>
      <c r="AZ1580" s="6"/>
      <c r="BA1580" s="6"/>
      <c r="BB1580" s="6"/>
      <c r="BC1580" s="6"/>
      <c r="BD1580" s="6"/>
      <c r="BE1580" s="6"/>
      <c r="BF1580" s="6"/>
      <c r="BG1580" s="6"/>
      <c r="BH1580" s="6"/>
      <c r="BI1580" s="6"/>
      <c r="BJ1580" s="6"/>
      <c r="BK1580" s="6"/>
      <c r="BL1580" s="6"/>
      <c r="BM1580" s="6"/>
      <c r="BN1580" s="6"/>
      <c r="BO1580" s="6"/>
      <c r="BP1580" s="6"/>
      <c r="BQ1580" s="6"/>
      <c r="BR1580" s="6"/>
      <c r="BS1580" s="6"/>
      <c r="BT1580" s="6"/>
      <c r="BU1580" s="6"/>
      <c r="BV1580" s="6"/>
      <c r="BW1580" s="6"/>
      <c r="BX1580" s="5"/>
      <c r="BY1580" s="7"/>
      <c r="BZ1580" s="7"/>
      <c r="CA1580" s="7"/>
      <c r="CB1580" s="7"/>
      <c r="CC1580" s="874"/>
    </row>
    <row r="1581" spans="1:81" s="400" customFormat="1" ht="14.25" customHeight="1" x14ac:dyDescent="0.25">
      <c r="A1581" s="5"/>
      <c r="B1581" s="5"/>
      <c r="C1581" s="5"/>
      <c r="D1581" s="5"/>
      <c r="E1581" s="5"/>
      <c r="F1581" s="5"/>
      <c r="G1581" s="5"/>
      <c r="H1581" s="5"/>
      <c r="I1581" s="5"/>
      <c r="J1581" s="5"/>
      <c r="K1581" s="5"/>
      <c r="L1581" s="5"/>
      <c r="M1581" s="5"/>
      <c r="N1581" s="5"/>
      <c r="O1581" s="5"/>
      <c r="P1581" s="5"/>
      <c r="Q1581" s="5"/>
      <c r="R1581" s="5"/>
      <c r="S1581" s="5"/>
      <c r="T1581" s="5"/>
      <c r="U1581" s="5"/>
      <c r="V1581" s="5"/>
      <c r="W1581" s="5"/>
      <c r="X1581" s="5"/>
      <c r="Y1581" s="5"/>
      <c r="Z1581" s="5"/>
      <c r="AA1581" s="5"/>
      <c r="AB1581" s="6"/>
      <c r="AC1581" s="6"/>
      <c r="AD1581" s="6"/>
      <c r="AE1581" s="6"/>
      <c r="AF1581" s="6"/>
      <c r="AG1581" s="6"/>
      <c r="AH1581" s="6"/>
      <c r="AI1581" s="6"/>
      <c r="AJ1581" s="6"/>
      <c r="AK1581" s="6"/>
      <c r="AL1581" s="6"/>
      <c r="AM1581" s="6"/>
      <c r="AN1581" s="6"/>
      <c r="AO1581" s="6"/>
      <c r="AP1581" s="6"/>
      <c r="AQ1581" s="6"/>
      <c r="AR1581" s="6"/>
      <c r="AS1581" s="6"/>
      <c r="AT1581" s="6"/>
      <c r="AU1581" s="6"/>
      <c r="AV1581" s="6"/>
      <c r="AW1581" s="6"/>
      <c r="AX1581" s="6"/>
      <c r="AY1581" s="6"/>
      <c r="AZ1581" s="6"/>
      <c r="BA1581" s="6"/>
      <c r="BB1581" s="6"/>
      <c r="BC1581" s="6"/>
      <c r="BD1581" s="6"/>
      <c r="BE1581" s="6"/>
      <c r="BF1581" s="6"/>
      <c r="BG1581" s="6"/>
      <c r="BH1581" s="6"/>
      <c r="BI1581" s="6"/>
      <c r="BJ1581" s="6"/>
      <c r="BK1581" s="6"/>
      <c r="BL1581" s="6"/>
      <c r="BM1581" s="6"/>
      <c r="BN1581" s="6"/>
      <c r="BO1581" s="6"/>
      <c r="BP1581" s="6"/>
      <c r="BQ1581" s="6"/>
      <c r="BR1581" s="6"/>
      <c r="BS1581" s="6"/>
      <c r="BT1581" s="6"/>
      <c r="BU1581" s="6"/>
      <c r="BV1581" s="6"/>
      <c r="BW1581" s="6"/>
      <c r="BX1581" s="5"/>
      <c r="BY1581" s="7"/>
      <c r="BZ1581" s="7"/>
      <c r="CA1581" s="7"/>
      <c r="CB1581" s="7"/>
      <c r="CC1581" s="874"/>
    </row>
    <row r="1582" spans="1:81" s="400" customFormat="1" ht="14.25" customHeight="1" x14ac:dyDescent="0.25">
      <c r="A1582" s="5"/>
      <c r="B1582" s="5"/>
      <c r="C1582" s="5"/>
      <c r="D1582" s="5"/>
      <c r="E1582" s="5"/>
      <c r="F1582" s="5"/>
      <c r="G1582" s="5"/>
      <c r="H1582" s="5"/>
      <c r="I1582" s="5"/>
      <c r="J1582" s="5"/>
      <c r="K1582" s="5"/>
      <c r="L1582" s="5"/>
      <c r="M1582" s="5"/>
      <c r="N1582" s="5"/>
      <c r="O1582" s="5"/>
      <c r="P1582" s="5"/>
      <c r="Q1582" s="5"/>
      <c r="R1582" s="5"/>
      <c r="S1582" s="5"/>
      <c r="T1582" s="5"/>
      <c r="U1582" s="5"/>
      <c r="V1582" s="5"/>
      <c r="W1582" s="5"/>
      <c r="X1582" s="5"/>
      <c r="Y1582" s="5"/>
      <c r="Z1582" s="5"/>
      <c r="AA1582" s="5"/>
      <c r="AB1582" s="6"/>
      <c r="AC1582" s="6"/>
      <c r="AD1582" s="6"/>
      <c r="AE1582" s="6"/>
      <c r="AF1582" s="6"/>
      <c r="AG1582" s="6"/>
      <c r="AH1582" s="6"/>
      <c r="AI1582" s="6"/>
      <c r="AJ1582" s="6"/>
      <c r="AK1582" s="6"/>
      <c r="AL1582" s="6"/>
      <c r="AM1582" s="6"/>
      <c r="AN1582" s="6"/>
      <c r="AO1582" s="6"/>
      <c r="AP1582" s="6"/>
      <c r="AQ1582" s="6"/>
      <c r="AR1582" s="6"/>
      <c r="AS1582" s="6"/>
      <c r="AT1582" s="6"/>
      <c r="AU1582" s="6"/>
      <c r="AV1582" s="6"/>
      <c r="AW1582" s="6"/>
      <c r="AX1582" s="6"/>
      <c r="AY1582" s="6"/>
      <c r="AZ1582" s="6"/>
      <c r="BA1582" s="6"/>
      <c r="BB1582" s="6"/>
      <c r="BC1582" s="6"/>
      <c r="BD1582" s="6"/>
      <c r="BE1582" s="6"/>
      <c r="BF1582" s="6"/>
      <c r="BG1582" s="6"/>
      <c r="BH1582" s="6"/>
      <c r="BI1582" s="6"/>
      <c r="BJ1582" s="6"/>
      <c r="BK1582" s="6"/>
      <c r="BL1582" s="6"/>
      <c r="BM1582" s="6"/>
      <c r="BN1582" s="6"/>
      <c r="BO1582" s="6"/>
      <c r="BP1582" s="6"/>
      <c r="BQ1582" s="6"/>
      <c r="BR1582" s="6"/>
      <c r="BS1582" s="6"/>
      <c r="BT1582" s="6"/>
      <c r="BU1582" s="6"/>
      <c r="BV1582" s="6"/>
      <c r="BW1582" s="6"/>
      <c r="BX1582" s="5"/>
      <c r="BY1582" s="7"/>
      <c r="BZ1582" s="7"/>
      <c r="CA1582" s="7"/>
      <c r="CB1582" s="7"/>
      <c r="CC1582" s="874"/>
    </row>
    <row r="1583" spans="1:81" s="400" customFormat="1" ht="14.25" customHeight="1" x14ac:dyDescent="0.25">
      <c r="A1583" s="5"/>
      <c r="B1583" s="5"/>
      <c r="C1583" s="5"/>
      <c r="D1583" s="5"/>
      <c r="E1583" s="5"/>
      <c r="F1583" s="5"/>
      <c r="G1583" s="5"/>
      <c r="H1583" s="5"/>
      <c r="I1583" s="5"/>
      <c r="J1583" s="5"/>
      <c r="K1583" s="5"/>
      <c r="L1583" s="5"/>
      <c r="M1583" s="5"/>
      <c r="N1583" s="5"/>
      <c r="O1583" s="5"/>
      <c r="P1583" s="5"/>
      <c r="Q1583" s="5"/>
      <c r="R1583" s="5"/>
      <c r="S1583" s="5"/>
      <c r="T1583" s="5"/>
      <c r="U1583" s="5"/>
      <c r="V1583" s="5"/>
      <c r="W1583" s="5"/>
      <c r="X1583" s="5"/>
      <c r="Y1583" s="5"/>
      <c r="Z1583" s="5"/>
      <c r="AA1583" s="5"/>
      <c r="AB1583" s="6"/>
      <c r="AC1583" s="6"/>
      <c r="AD1583" s="6"/>
      <c r="AE1583" s="6"/>
      <c r="AF1583" s="6"/>
      <c r="AG1583" s="6"/>
      <c r="AH1583" s="6"/>
      <c r="AI1583" s="6"/>
      <c r="AJ1583" s="6"/>
      <c r="AK1583" s="6"/>
      <c r="AL1583" s="6"/>
      <c r="AM1583" s="6"/>
      <c r="AN1583" s="6"/>
      <c r="AO1583" s="6"/>
      <c r="AP1583" s="6"/>
      <c r="AQ1583" s="6"/>
      <c r="AR1583" s="6"/>
      <c r="AS1583" s="6"/>
      <c r="AT1583" s="6"/>
      <c r="AU1583" s="6"/>
      <c r="AV1583" s="6"/>
      <c r="AW1583" s="6"/>
      <c r="AX1583" s="6"/>
      <c r="AY1583" s="6"/>
      <c r="AZ1583" s="6"/>
      <c r="BA1583" s="6"/>
      <c r="BB1583" s="6"/>
      <c r="BC1583" s="6"/>
      <c r="BD1583" s="6"/>
      <c r="BE1583" s="6"/>
      <c r="BF1583" s="6"/>
      <c r="BG1583" s="6"/>
      <c r="BH1583" s="6"/>
      <c r="BI1583" s="6"/>
      <c r="BJ1583" s="6"/>
      <c r="BK1583" s="6"/>
      <c r="BL1583" s="6"/>
      <c r="BM1583" s="6"/>
      <c r="BN1583" s="6"/>
      <c r="BO1583" s="6"/>
      <c r="BP1583" s="6"/>
      <c r="BQ1583" s="6"/>
      <c r="BR1583" s="6"/>
      <c r="BS1583" s="6"/>
      <c r="BT1583" s="6"/>
      <c r="BU1583" s="6"/>
      <c r="BV1583" s="6"/>
      <c r="BW1583" s="6"/>
      <c r="BX1583" s="5"/>
      <c r="BY1583" s="7"/>
      <c r="BZ1583" s="7"/>
      <c r="CA1583" s="7"/>
      <c r="CB1583" s="7"/>
      <c r="CC1583" s="874"/>
    </row>
    <row r="1584" spans="1:81" s="400" customFormat="1" ht="14.25" customHeight="1" x14ac:dyDescent="0.25">
      <c r="A1584" s="5"/>
      <c r="B1584" s="5"/>
      <c r="C1584" s="5"/>
      <c r="D1584" s="5"/>
      <c r="E1584" s="5"/>
      <c r="F1584" s="5"/>
      <c r="G1584" s="5"/>
      <c r="H1584" s="5"/>
      <c r="I1584" s="5"/>
      <c r="J1584" s="5"/>
      <c r="K1584" s="5"/>
      <c r="L1584" s="5"/>
      <c r="M1584" s="5"/>
      <c r="N1584" s="5"/>
      <c r="O1584" s="5"/>
      <c r="P1584" s="5"/>
      <c r="Q1584" s="5"/>
      <c r="R1584" s="5"/>
      <c r="S1584" s="5"/>
      <c r="T1584" s="5"/>
      <c r="U1584" s="5"/>
      <c r="V1584" s="5"/>
      <c r="W1584" s="5"/>
      <c r="X1584" s="5"/>
      <c r="Y1584" s="5"/>
      <c r="Z1584" s="5"/>
      <c r="AA1584" s="5"/>
      <c r="AB1584" s="6"/>
      <c r="AC1584" s="6"/>
      <c r="AD1584" s="6"/>
      <c r="AE1584" s="6"/>
      <c r="AF1584" s="6"/>
      <c r="AG1584" s="6"/>
      <c r="AH1584" s="6"/>
      <c r="AI1584" s="6"/>
      <c r="AJ1584" s="6"/>
      <c r="AK1584" s="6"/>
      <c r="AL1584" s="6"/>
      <c r="AM1584" s="6"/>
      <c r="AN1584" s="6"/>
      <c r="AO1584" s="6"/>
      <c r="AP1584" s="6"/>
      <c r="AQ1584" s="6"/>
      <c r="AR1584" s="6"/>
      <c r="AS1584" s="6"/>
      <c r="AT1584" s="6"/>
      <c r="AU1584" s="6"/>
      <c r="AV1584" s="6"/>
      <c r="AW1584" s="6"/>
      <c r="AX1584" s="6"/>
      <c r="AY1584" s="6"/>
      <c r="AZ1584" s="6"/>
      <c r="BA1584" s="6"/>
      <c r="BB1584" s="6"/>
      <c r="BC1584" s="6"/>
      <c r="BD1584" s="6"/>
      <c r="BE1584" s="6"/>
      <c r="BF1584" s="6"/>
      <c r="BG1584" s="6"/>
      <c r="BH1584" s="6"/>
      <c r="BI1584" s="6"/>
      <c r="BJ1584" s="6"/>
      <c r="BK1584" s="6"/>
      <c r="BL1584" s="6"/>
      <c r="BM1584" s="6"/>
      <c r="BN1584" s="6"/>
      <c r="BO1584" s="6"/>
      <c r="BP1584" s="6"/>
      <c r="BQ1584" s="6"/>
      <c r="BR1584" s="6"/>
      <c r="BS1584" s="6"/>
      <c r="BT1584" s="6"/>
      <c r="BU1584" s="6"/>
      <c r="BV1584" s="6"/>
      <c r="BW1584" s="6"/>
      <c r="BX1584" s="5"/>
      <c r="BY1584" s="7"/>
      <c r="BZ1584" s="7"/>
      <c r="CA1584" s="7"/>
      <c r="CB1584" s="7"/>
      <c r="CC1584" s="874"/>
    </row>
    <row r="1585" spans="1:81" s="400" customFormat="1" ht="14.25" customHeight="1" x14ac:dyDescent="0.25">
      <c r="A1585" s="5"/>
      <c r="B1585" s="5"/>
      <c r="C1585" s="5"/>
      <c r="D1585" s="5"/>
      <c r="E1585" s="5"/>
      <c r="F1585" s="5"/>
      <c r="G1585" s="5"/>
      <c r="H1585" s="5"/>
      <c r="I1585" s="5"/>
      <c r="J1585" s="5"/>
      <c r="K1585" s="5"/>
      <c r="L1585" s="5"/>
      <c r="M1585" s="5"/>
      <c r="N1585" s="5"/>
      <c r="O1585" s="5"/>
      <c r="P1585" s="5"/>
      <c r="Q1585" s="5"/>
      <c r="R1585" s="5"/>
      <c r="S1585" s="5"/>
      <c r="T1585" s="5"/>
      <c r="U1585" s="5"/>
      <c r="V1585" s="5"/>
      <c r="W1585" s="5"/>
      <c r="X1585" s="5"/>
      <c r="Y1585" s="5"/>
      <c r="Z1585" s="5"/>
      <c r="AA1585" s="5"/>
      <c r="AB1585" s="6"/>
      <c r="AC1585" s="6"/>
      <c r="AD1585" s="6"/>
      <c r="AE1585" s="6"/>
      <c r="AF1585" s="6"/>
      <c r="AG1585" s="6"/>
      <c r="AH1585" s="6"/>
      <c r="AI1585" s="6"/>
      <c r="AJ1585" s="6"/>
      <c r="AK1585" s="6"/>
      <c r="AL1585" s="6"/>
      <c r="AM1585" s="6"/>
      <c r="AN1585" s="6"/>
      <c r="AO1585" s="6"/>
      <c r="AP1585" s="6"/>
      <c r="AQ1585" s="6"/>
      <c r="AR1585" s="6"/>
      <c r="AS1585" s="6"/>
      <c r="AT1585" s="6"/>
      <c r="AU1585" s="6"/>
      <c r="AV1585" s="6"/>
      <c r="AW1585" s="6"/>
      <c r="AX1585" s="6"/>
      <c r="AY1585" s="6"/>
      <c r="AZ1585" s="6"/>
      <c r="BA1585" s="6"/>
      <c r="BB1585" s="6"/>
      <c r="BC1585" s="6"/>
      <c r="BD1585" s="6"/>
      <c r="BE1585" s="6"/>
      <c r="BF1585" s="6"/>
      <c r="BG1585" s="6"/>
      <c r="BH1585" s="6"/>
      <c r="BI1585" s="6"/>
      <c r="BJ1585" s="6"/>
      <c r="BK1585" s="6"/>
      <c r="BL1585" s="6"/>
      <c r="BM1585" s="6"/>
      <c r="BN1585" s="6"/>
      <c r="BO1585" s="6"/>
      <c r="BP1585" s="6"/>
      <c r="BQ1585" s="6"/>
      <c r="BR1585" s="6"/>
      <c r="BS1585" s="6"/>
      <c r="BT1585" s="6"/>
      <c r="BU1585" s="6"/>
      <c r="BV1585" s="6"/>
      <c r="BW1585" s="6"/>
      <c r="BX1585" s="5"/>
      <c r="BY1585" s="7"/>
      <c r="BZ1585" s="7"/>
      <c r="CA1585" s="7"/>
      <c r="CB1585" s="7"/>
      <c r="CC1585" s="874"/>
    </row>
    <row r="1586" spans="1:81" s="400" customFormat="1" ht="14.25" customHeight="1" x14ac:dyDescent="0.25">
      <c r="A1586" s="5"/>
      <c r="B1586" s="5"/>
      <c r="C1586" s="5"/>
      <c r="D1586" s="5"/>
      <c r="E1586" s="5"/>
      <c r="F1586" s="5"/>
      <c r="G1586" s="5"/>
      <c r="H1586" s="5"/>
      <c r="I1586" s="5"/>
      <c r="J1586" s="5"/>
      <c r="K1586" s="5"/>
      <c r="L1586" s="5"/>
      <c r="M1586" s="5"/>
      <c r="N1586" s="5"/>
      <c r="O1586" s="5"/>
      <c r="P1586" s="5"/>
      <c r="Q1586" s="5"/>
      <c r="R1586" s="5"/>
      <c r="S1586" s="5"/>
      <c r="T1586" s="5"/>
      <c r="U1586" s="5"/>
      <c r="V1586" s="5"/>
      <c r="W1586" s="5"/>
      <c r="X1586" s="5"/>
      <c r="Y1586" s="5"/>
      <c r="Z1586" s="5"/>
      <c r="AA1586" s="5"/>
      <c r="AB1586" s="6"/>
      <c r="AC1586" s="6"/>
      <c r="AD1586" s="6"/>
      <c r="AE1586" s="6"/>
      <c r="AF1586" s="6"/>
      <c r="AG1586" s="6"/>
      <c r="AH1586" s="6"/>
      <c r="AI1586" s="6"/>
      <c r="AJ1586" s="6"/>
      <c r="AK1586" s="6"/>
      <c r="AL1586" s="6"/>
      <c r="AM1586" s="6"/>
      <c r="AN1586" s="6"/>
      <c r="AO1586" s="6"/>
      <c r="AP1586" s="6"/>
      <c r="AQ1586" s="6"/>
      <c r="AR1586" s="6"/>
      <c r="AS1586" s="6"/>
      <c r="AT1586" s="6"/>
      <c r="AU1586" s="6"/>
      <c r="AV1586" s="6"/>
      <c r="AW1586" s="6"/>
      <c r="AX1586" s="6"/>
      <c r="AY1586" s="6"/>
      <c r="AZ1586" s="6"/>
      <c r="BA1586" s="6"/>
      <c r="BB1586" s="6"/>
      <c r="BC1586" s="6"/>
      <c r="BD1586" s="6"/>
      <c r="BE1586" s="6"/>
      <c r="BF1586" s="6"/>
      <c r="BG1586" s="6"/>
      <c r="BH1586" s="6"/>
      <c r="BI1586" s="6"/>
      <c r="BJ1586" s="6"/>
      <c r="BK1586" s="6"/>
      <c r="BL1586" s="6"/>
      <c r="BM1586" s="6"/>
      <c r="BN1586" s="6"/>
      <c r="BO1586" s="6"/>
      <c r="BP1586" s="6"/>
      <c r="BQ1586" s="6"/>
      <c r="BR1586" s="6"/>
      <c r="BS1586" s="6"/>
      <c r="BT1586" s="6"/>
      <c r="BU1586" s="6"/>
      <c r="BV1586" s="6"/>
      <c r="BW1586" s="6"/>
      <c r="BX1586" s="5"/>
      <c r="BY1586" s="7"/>
      <c r="BZ1586" s="7"/>
      <c r="CA1586" s="7"/>
      <c r="CB1586" s="7"/>
      <c r="CC1586" s="874"/>
    </row>
    <row r="1587" spans="1:81" s="400" customFormat="1" ht="14.25" customHeight="1" x14ac:dyDescent="0.25">
      <c r="A1587" s="5"/>
      <c r="B1587" s="5"/>
      <c r="C1587" s="5"/>
      <c r="D1587" s="5"/>
      <c r="E1587" s="5"/>
      <c r="F1587" s="5"/>
      <c r="G1587" s="5"/>
      <c r="H1587" s="5"/>
      <c r="I1587" s="5"/>
      <c r="J1587" s="5"/>
      <c r="K1587" s="5"/>
      <c r="L1587" s="5"/>
      <c r="M1587" s="5"/>
      <c r="N1587" s="5"/>
      <c r="O1587" s="5"/>
      <c r="P1587" s="5"/>
      <c r="Q1587" s="5"/>
      <c r="R1587" s="5"/>
      <c r="S1587" s="5"/>
      <c r="T1587" s="5"/>
      <c r="U1587" s="5"/>
      <c r="V1587" s="5"/>
      <c r="W1587" s="5"/>
      <c r="X1587" s="5"/>
      <c r="Y1587" s="5"/>
      <c r="Z1587" s="5"/>
      <c r="AA1587" s="5"/>
      <c r="AB1587" s="6"/>
      <c r="AC1587" s="6"/>
      <c r="AD1587" s="6"/>
      <c r="AE1587" s="6"/>
      <c r="AF1587" s="6"/>
      <c r="AG1587" s="6"/>
      <c r="AH1587" s="6"/>
      <c r="AI1587" s="6"/>
      <c r="AJ1587" s="6"/>
      <c r="AK1587" s="6"/>
      <c r="AL1587" s="6"/>
      <c r="AM1587" s="6"/>
      <c r="AN1587" s="6"/>
      <c r="AO1587" s="6"/>
      <c r="AP1587" s="6"/>
      <c r="AQ1587" s="6"/>
      <c r="AR1587" s="6"/>
      <c r="AS1587" s="6"/>
      <c r="AT1587" s="6"/>
      <c r="AU1587" s="6"/>
      <c r="AV1587" s="6"/>
      <c r="AW1587" s="6"/>
      <c r="AX1587" s="6"/>
      <c r="AY1587" s="6"/>
      <c r="AZ1587" s="6"/>
      <c r="BA1587" s="6"/>
      <c r="BB1587" s="6"/>
      <c r="BC1587" s="6"/>
      <c r="BD1587" s="6"/>
      <c r="BE1587" s="6"/>
      <c r="BF1587" s="6"/>
      <c r="BG1587" s="6"/>
      <c r="BH1587" s="6"/>
      <c r="BI1587" s="6"/>
      <c r="BJ1587" s="6"/>
      <c r="BK1587" s="6"/>
      <c r="BL1587" s="6"/>
      <c r="BM1587" s="6"/>
      <c r="BN1587" s="6"/>
      <c r="BO1587" s="6"/>
      <c r="BP1587" s="6"/>
      <c r="BQ1587" s="6"/>
      <c r="BR1587" s="6"/>
      <c r="BS1587" s="6"/>
      <c r="BT1587" s="6"/>
      <c r="BU1587" s="6"/>
      <c r="BV1587" s="6"/>
      <c r="BW1587" s="6"/>
      <c r="BX1587" s="5"/>
      <c r="BY1587" s="7"/>
      <c r="BZ1587" s="7"/>
      <c r="CA1587" s="7"/>
      <c r="CB1587" s="7"/>
      <c r="CC1587" s="874"/>
    </row>
    <row r="1588" spans="1:81" s="400" customFormat="1" ht="14.25" customHeight="1" x14ac:dyDescent="0.25">
      <c r="A1588" s="5"/>
      <c r="B1588" s="5"/>
      <c r="C1588" s="5"/>
      <c r="D1588" s="5"/>
      <c r="E1588" s="5"/>
      <c r="F1588" s="5"/>
      <c r="G1588" s="5"/>
      <c r="H1588" s="5"/>
      <c r="I1588" s="5"/>
      <c r="J1588" s="5"/>
      <c r="K1588" s="5"/>
      <c r="L1588" s="5"/>
      <c r="M1588" s="5"/>
      <c r="N1588" s="5"/>
      <c r="O1588" s="5"/>
      <c r="P1588" s="5"/>
      <c r="Q1588" s="5"/>
      <c r="R1588" s="5"/>
      <c r="S1588" s="5"/>
      <c r="T1588" s="5"/>
      <c r="U1588" s="5"/>
      <c r="V1588" s="5"/>
      <c r="W1588" s="5"/>
      <c r="X1588" s="5"/>
      <c r="Y1588" s="5"/>
      <c r="Z1588" s="5"/>
      <c r="AA1588" s="5"/>
      <c r="AB1588" s="6"/>
      <c r="AC1588" s="6"/>
      <c r="AD1588" s="6"/>
      <c r="AE1588" s="6"/>
      <c r="AF1588" s="6"/>
      <c r="AG1588" s="6"/>
      <c r="AH1588" s="6"/>
      <c r="AI1588" s="6"/>
      <c r="AJ1588" s="6"/>
      <c r="AK1588" s="6"/>
      <c r="AL1588" s="6"/>
      <c r="AM1588" s="6"/>
      <c r="AN1588" s="6"/>
      <c r="AO1588" s="6"/>
      <c r="AP1588" s="6"/>
      <c r="AQ1588" s="6"/>
      <c r="AR1588" s="6"/>
      <c r="AS1588" s="6"/>
      <c r="AT1588" s="6"/>
      <c r="AU1588" s="6"/>
      <c r="AV1588" s="6"/>
      <c r="AW1588" s="6"/>
      <c r="AX1588" s="6"/>
      <c r="AY1588" s="6"/>
      <c r="AZ1588" s="6"/>
      <c r="BA1588" s="6"/>
      <c r="BB1588" s="6"/>
      <c r="BC1588" s="6"/>
      <c r="BD1588" s="6"/>
      <c r="BE1588" s="6"/>
      <c r="BF1588" s="6"/>
      <c r="BG1588" s="6"/>
      <c r="BH1588" s="6"/>
      <c r="BI1588" s="6"/>
      <c r="BJ1588" s="6"/>
      <c r="BK1588" s="6"/>
      <c r="BL1588" s="6"/>
      <c r="BM1588" s="6"/>
      <c r="BN1588" s="6"/>
      <c r="BO1588" s="6"/>
      <c r="BP1588" s="6"/>
      <c r="BQ1588" s="6"/>
      <c r="BR1588" s="6"/>
      <c r="BS1588" s="6"/>
      <c r="BT1588" s="6"/>
      <c r="BU1588" s="6"/>
      <c r="BV1588" s="6"/>
      <c r="BW1588" s="6"/>
      <c r="BX1588" s="5"/>
      <c r="BY1588" s="7"/>
      <c r="BZ1588" s="7"/>
      <c r="CA1588" s="7"/>
      <c r="CB1588" s="7"/>
      <c r="CC1588" s="874"/>
    </row>
    <row r="1589" spans="1:81" s="400" customFormat="1" ht="14.25" customHeight="1" x14ac:dyDescent="0.25">
      <c r="A1589" s="5"/>
      <c r="B1589" s="5"/>
      <c r="C1589" s="5"/>
      <c r="D1589" s="5"/>
      <c r="E1589" s="5"/>
      <c r="F1589" s="5"/>
      <c r="G1589" s="5"/>
      <c r="H1589" s="5"/>
      <c r="I1589" s="5"/>
      <c r="J1589" s="5"/>
      <c r="K1589" s="5"/>
      <c r="L1589" s="5"/>
      <c r="M1589" s="5"/>
      <c r="N1589" s="5"/>
      <c r="O1589" s="5"/>
      <c r="P1589" s="5"/>
      <c r="Q1589" s="5"/>
      <c r="R1589" s="5"/>
      <c r="S1589" s="5"/>
      <c r="T1589" s="5"/>
      <c r="U1589" s="5"/>
      <c r="V1589" s="5"/>
      <c r="W1589" s="5"/>
      <c r="X1589" s="5"/>
      <c r="Y1589" s="5"/>
      <c r="Z1589" s="5"/>
      <c r="AA1589" s="5"/>
      <c r="AB1589" s="6"/>
      <c r="AC1589" s="6"/>
      <c r="AD1589" s="6"/>
      <c r="AE1589" s="6"/>
      <c r="AF1589" s="6"/>
      <c r="AG1589" s="6"/>
      <c r="AH1589" s="6"/>
      <c r="AI1589" s="6"/>
      <c r="AJ1589" s="6"/>
      <c r="AK1589" s="6"/>
      <c r="AL1589" s="6"/>
      <c r="AM1589" s="6"/>
      <c r="AN1589" s="6"/>
      <c r="AO1589" s="6"/>
      <c r="AP1589" s="6"/>
      <c r="AQ1589" s="6"/>
      <c r="AR1589" s="6"/>
      <c r="AS1589" s="6"/>
      <c r="AT1589" s="6"/>
      <c r="AU1589" s="6"/>
      <c r="AV1589" s="6"/>
      <c r="AW1589" s="6"/>
      <c r="AX1589" s="6"/>
      <c r="AY1589" s="6"/>
      <c r="AZ1589" s="6"/>
      <c r="BA1589" s="6"/>
      <c r="BB1589" s="6"/>
      <c r="BC1589" s="6"/>
      <c r="BD1589" s="6"/>
      <c r="BE1589" s="6"/>
      <c r="BF1589" s="6"/>
      <c r="BG1589" s="6"/>
      <c r="BH1589" s="6"/>
      <c r="BI1589" s="6"/>
      <c r="BJ1589" s="6"/>
      <c r="BK1589" s="6"/>
      <c r="BL1589" s="6"/>
      <c r="BM1589" s="6"/>
      <c r="BN1589" s="6"/>
      <c r="BO1589" s="6"/>
      <c r="BP1589" s="6"/>
      <c r="BQ1589" s="6"/>
      <c r="BR1589" s="6"/>
      <c r="BS1589" s="6"/>
      <c r="BT1589" s="6"/>
      <c r="BU1589" s="6"/>
      <c r="BV1589" s="6"/>
      <c r="BW1589" s="6"/>
      <c r="BX1589" s="5"/>
      <c r="BY1589" s="7"/>
      <c r="BZ1589" s="7"/>
      <c r="CA1589" s="7"/>
      <c r="CB1589" s="7"/>
      <c r="CC1589" s="874"/>
    </row>
    <row r="1590" spans="1:81" s="400" customFormat="1" ht="14.25" customHeight="1" x14ac:dyDescent="0.25">
      <c r="A1590" s="5"/>
      <c r="B1590" s="5"/>
      <c r="C1590" s="5"/>
      <c r="D1590" s="5"/>
      <c r="E1590" s="5"/>
      <c r="F1590" s="5"/>
      <c r="G1590" s="5"/>
      <c r="H1590" s="5"/>
      <c r="I1590" s="5"/>
      <c r="J1590" s="5"/>
      <c r="K1590" s="5"/>
      <c r="L1590" s="5"/>
      <c r="M1590" s="5"/>
      <c r="N1590" s="5"/>
      <c r="O1590" s="5"/>
      <c r="P1590" s="5"/>
      <c r="Q1590" s="5"/>
      <c r="R1590" s="5"/>
      <c r="S1590" s="5"/>
      <c r="T1590" s="5"/>
      <c r="U1590" s="5"/>
      <c r="V1590" s="5"/>
      <c r="W1590" s="5"/>
      <c r="X1590" s="5"/>
      <c r="Y1590" s="5"/>
      <c r="Z1590" s="5"/>
      <c r="AA1590" s="5"/>
      <c r="AB1590" s="6"/>
      <c r="AC1590" s="6"/>
      <c r="AD1590" s="6"/>
      <c r="AE1590" s="6"/>
      <c r="AF1590" s="6"/>
      <c r="AG1590" s="6"/>
      <c r="AH1590" s="6"/>
      <c r="AI1590" s="6"/>
      <c r="AJ1590" s="6"/>
      <c r="AK1590" s="6"/>
      <c r="AL1590" s="6"/>
      <c r="AM1590" s="6"/>
      <c r="AN1590" s="6"/>
      <c r="AO1590" s="6"/>
      <c r="AP1590" s="6"/>
      <c r="AQ1590" s="6"/>
      <c r="AR1590" s="6"/>
      <c r="AS1590" s="6"/>
      <c r="AT1590" s="6"/>
      <c r="AU1590" s="6"/>
      <c r="AV1590" s="6"/>
      <c r="AW1590" s="6"/>
      <c r="AX1590" s="6"/>
      <c r="AY1590" s="6"/>
      <c r="AZ1590" s="6"/>
      <c r="BA1590" s="6"/>
      <c r="BB1590" s="6"/>
      <c r="BC1590" s="6"/>
      <c r="BD1590" s="6"/>
      <c r="BE1590" s="6"/>
      <c r="BF1590" s="6"/>
      <c r="BG1590" s="6"/>
      <c r="BH1590" s="6"/>
      <c r="BI1590" s="6"/>
      <c r="BJ1590" s="6"/>
      <c r="BK1590" s="6"/>
      <c r="BL1590" s="6"/>
      <c r="BM1590" s="6"/>
      <c r="BN1590" s="6"/>
      <c r="BO1590" s="6"/>
      <c r="BP1590" s="6"/>
      <c r="BQ1590" s="6"/>
      <c r="BR1590" s="6"/>
      <c r="BS1590" s="6"/>
      <c r="BT1590" s="6"/>
      <c r="BU1590" s="6"/>
      <c r="BV1590" s="6"/>
      <c r="BW1590" s="6"/>
      <c r="BX1590" s="5"/>
      <c r="BY1590" s="7"/>
      <c r="BZ1590" s="7"/>
      <c r="CA1590" s="7"/>
      <c r="CB1590" s="7"/>
      <c r="CC1590" s="874"/>
    </row>
    <row r="1591" spans="1:81" s="400" customFormat="1" ht="14.25" customHeight="1" x14ac:dyDescent="0.25">
      <c r="A1591" s="5"/>
      <c r="B1591" s="5"/>
      <c r="C1591" s="5"/>
      <c r="D1591" s="5"/>
      <c r="E1591" s="5"/>
      <c r="F1591" s="5"/>
      <c r="G1591" s="5"/>
      <c r="H1591" s="5"/>
      <c r="I1591" s="5"/>
      <c r="J1591" s="5"/>
      <c r="K1591" s="5"/>
      <c r="L1591" s="5"/>
      <c r="M1591" s="5"/>
      <c r="N1591" s="5"/>
      <c r="O1591" s="5"/>
      <c r="P1591" s="5"/>
      <c r="Q1591" s="5"/>
      <c r="R1591" s="5"/>
      <c r="S1591" s="5"/>
      <c r="T1591" s="5"/>
      <c r="U1591" s="5"/>
      <c r="V1591" s="5"/>
      <c r="W1591" s="5"/>
      <c r="X1591" s="5"/>
      <c r="Y1591" s="5"/>
      <c r="Z1591" s="5"/>
      <c r="AA1591" s="5"/>
      <c r="AB1591" s="6"/>
      <c r="AC1591" s="6"/>
      <c r="AD1591" s="6"/>
      <c r="AE1591" s="6"/>
      <c r="AF1591" s="6"/>
      <c r="AG1591" s="6"/>
      <c r="AH1591" s="6"/>
      <c r="AI1591" s="6"/>
      <c r="AJ1591" s="6"/>
      <c r="AK1591" s="6"/>
      <c r="AL1591" s="6"/>
      <c r="AM1591" s="6"/>
      <c r="AN1591" s="6"/>
      <c r="AO1591" s="6"/>
      <c r="AP1591" s="6"/>
      <c r="AQ1591" s="6"/>
      <c r="AR1591" s="6"/>
      <c r="AS1591" s="6"/>
      <c r="AT1591" s="6"/>
      <c r="AU1591" s="6"/>
      <c r="AV1591" s="6"/>
      <c r="AW1591" s="6"/>
      <c r="AX1591" s="6"/>
      <c r="AY1591" s="6"/>
      <c r="AZ1591" s="6"/>
      <c r="BA1591" s="6"/>
      <c r="BB1591" s="6"/>
      <c r="BC1591" s="6"/>
      <c r="BD1591" s="6"/>
      <c r="BE1591" s="6"/>
      <c r="BF1591" s="6"/>
      <c r="BG1591" s="6"/>
      <c r="BH1591" s="6"/>
      <c r="BI1591" s="6"/>
      <c r="BJ1591" s="6"/>
      <c r="BK1591" s="6"/>
      <c r="BL1591" s="6"/>
      <c r="BM1591" s="6"/>
      <c r="BN1591" s="6"/>
      <c r="BO1591" s="6"/>
      <c r="BP1591" s="6"/>
      <c r="BQ1591" s="6"/>
      <c r="BR1591" s="6"/>
      <c r="BS1591" s="6"/>
      <c r="BT1591" s="6"/>
      <c r="BU1591" s="6"/>
      <c r="BV1591" s="6"/>
      <c r="BW1591" s="6"/>
      <c r="BX1591" s="5"/>
      <c r="BY1591" s="7"/>
      <c r="BZ1591" s="7"/>
      <c r="CA1591" s="7"/>
      <c r="CB1591" s="7"/>
      <c r="CC1591" s="874"/>
    </row>
    <row r="1592" spans="1:81" s="400" customFormat="1" ht="14.25" customHeight="1" x14ac:dyDescent="0.25">
      <c r="A1592" s="5"/>
      <c r="B1592" s="5"/>
      <c r="C1592" s="5"/>
      <c r="D1592" s="5"/>
      <c r="E1592" s="5"/>
      <c r="F1592" s="5"/>
      <c r="G1592" s="5"/>
      <c r="H1592" s="5"/>
      <c r="I1592" s="5"/>
      <c r="J1592" s="5"/>
      <c r="K1592" s="5"/>
      <c r="L1592" s="5"/>
      <c r="M1592" s="5"/>
      <c r="N1592" s="5"/>
      <c r="O1592" s="5"/>
      <c r="P1592" s="5"/>
      <c r="Q1592" s="5"/>
      <c r="R1592" s="5"/>
      <c r="S1592" s="5"/>
      <c r="T1592" s="5"/>
      <c r="U1592" s="5"/>
      <c r="V1592" s="5"/>
      <c r="W1592" s="5"/>
      <c r="X1592" s="5"/>
      <c r="Y1592" s="5"/>
      <c r="Z1592" s="5"/>
      <c r="AA1592" s="5"/>
      <c r="AB1592" s="6"/>
      <c r="AC1592" s="6"/>
      <c r="AD1592" s="6"/>
      <c r="AE1592" s="6"/>
      <c r="AF1592" s="6"/>
      <c r="AG1592" s="6"/>
      <c r="AH1592" s="6"/>
      <c r="AI1592" s="6"/>
      <c r="AJ1592" s="6"/>
      <c r="AK1592" s="6"/>
      <c r="AL1592" s="6"/>
      <c r="AM1592" s="6"/>
      <c r="AN1592" s="6"/>
      <c r="AO1592" s="6"/>
      <c r="AP1592" s="6"/>
      <c r="AQ1592" s="6"/>
      <c r="AR1592" s="6"/>
      <c r="AS1592" s="6"/>
      <c r="AT1592" s="6"/>
      <c r="AU1592" s="6"/>
      <c r="AV1592" s="6"/>
      <c r="AW1592" s="6"/>
      <c r="AX1592" s="6"/>
      <c r="AY1592" s="6"/>
      <c r="AZ1592" s="6"/>
      <c r="BA1592" s="6"/>
      <c r="BB1592" s="6"/>
      <c r="BC1592" s="6"/>
      <c r="BD1592" s="6"/>
      <c r="BE1592" s="6"/>
      <c r="BF1592" s="6"/>
      <c r="BG1592" s="6"/>
      <c r="BH1592" s="6"/>
      <c r="BI1592" s="6"/>
      <c r="BJ1592" s="6"/>
      <c r="BK1592" s="6"/>
      <c r="BL1592" s="6"/>
      <c r="BM1592" s="6"/>
      <c r="BN1592" s="6"/>
      <c r="BO1592" s="6"/>
      <c r="BP1592" s="6"/>
      <c r="BQ1592" s="6"/>
      <c r="BR1592" s="6"/>
      <c r="BS1592" s="6"/>
      <c r="BT1592" s="6"/>
      <c r="BU1592" s="6"/>
      <c r="BV1592" s="6"/>
      <c r="BW1592" s="6"/>
      <c r="BX1592" s="5"/>
      <c r="BY1592" s="7"/>
      <c r="BZ1592" s="7"/>
      <c r="CA1592" s="7"/>
      <c r="CB1592" s="7"/>
      <c r="CC1592" s="874"/>
    </row>
    <row r="1593" spans="1:81" s="400" customFormat="1" ht="14.25" customHeight="1" x14ac:dyDescent="0.25">
      <c r="A1593" s="5"/>
      <c r="B1593" s="5"/>
      <c r="C1593" s="5"/>
      <c r="D1593" s="5"/>
      <c r="E1593" s="5"/>
      <c r="F1593" s="5"/>
      <c r="G1593" s="5"/>
      <c r="H1593" s="5"/>
      <c r="I1593" s="5"/>
      <c r="J1593" s="5"/>
      <c r="K1593" s="5"/>
      <c r="L1593" s="5"/>
      <c r="M1593" s="5"/>
      <c r="N1593" s="5"/>
      <c r="O1593" s="5"/>
      <c r="P1593" s="5"/>
      <c r="Q1593" s="5"/>
      <c r="R1593" s="5"/>
      <c r="S1593" s="5"/>
      <c r="T1593" s="5"/>
      <c r="U1593" s="5"/>
      <c r="V1593" s="5"/>
      <c r="W1593" s="5"/>
      <c r="X1593" s="5"/>
      <c r="Y1593" s="5"/>
      <c r="Z1593" s="5"/>
      <c r="AA1593" s="5"/>
      <c r="AB1593" s="6"/>
      <c r="AC1593" s="6"/>
      <c r="AD1593" s="6"/>
      <c r="AE1593" s="6"/>
      <c r="AF1593" s="6"/>
      <c r="AG1593" s="6"/>
      <c r="AH1593" s="6"/>
      <c r="AI1593" s="6"/>
      <c r="AJ1593" s="6"/>
      <c r="AK1593" s="6"/>
      <c r="AL1593" s="6"/>
      <c r="AM1593" s="6"/>
      <c r="AN1593" s="6"/>
      <c r="AO1593" s="6"/>
      <c r="AP1593" s="6"/>
      <c r="AQ1593" s="6"/>
      <c r="AR1593" s="6"/>
      <c r="AS1593" s="6"/>
      <c r="AT1593" s="6"/>
      <c r="AU1593" s="6"/>
      <c r="AV1593" s="6"/>
      <c r="AW1593" s="6"/>
      <c r="AX1593" s="6"/>
      <c r="AY1593" s="6"/>
      <c r="AZ1593" s="6"/>
      <c r="BA1593" s="6"/>
      <c r="BB1593" s="6"/>
      <c r="BC1593" s="6"/>
      <c r="BD1593" s="6"/>
      <c r="BE1593" s="6"/>
      <c r="BF1593" s="6"/>
      <c r="BG1593" s="6"/>
      <c r="BH1593" s="6"/>
      <c r="BI1593" s="6"/>
      <c r="BJ1593" s="6"/>
      <c r="BK1593" s="6"/>
      <c r="BL1593" s="6"/>
      <c r="BM1593" s="6"/>
      <c r="BN1593" s="6"/>
      <c r="BO1593" s="6"/>
      <c r="BP1593" s="6"/>
      <c r="BQ1593" s="6"/>
      <c r="BR1593" s="6"/>
      <c r="BS1593" s="6"/>
      <c r="BT1593" s="6"/>
      <c r="BU1593" s="6"/>
      <c r="BV1593" s="6"/>
      <c r="BW1593" s="6"/>
      <c r="BX1593" s="5"/>
      <c r="BY1593" s="7"/>
      <c r="BZ1593" s="7"/>
      <c r="CA1593" s="7"/>
      <c r="CB1593" s="7"/>
      <c r="CC1593" s="874"/>
    </row>
    <row r="1594" spans="1:81" s="400" customFormat="1" ht="14.25" customHeight="1" x14ac:dyDescent="0.25">
      <c r="A1594" s="5"/>
      <c r="B1594" s="5"/>
      <c r="C1594" s="5"/>
      <c r="D1594" s="5"/>
      <c r="E1594" s="5"/>
      <c r="F1594" s="5"/>
      <c r="G1594" s="5"/>
      <c r="H1594" s="5"/>
      <c r="I1594" s="5"/>
      <c r="J1594" s="5"/>
      <c r="K1594" s="5"/>
      <c r="L1594" s="5"/>
      <c r="M1594" s="5"/>
      <c r="N1594" s="5"/>
      <c r="O1594" s="5"/>
      <c r="P1594" s="5"/>
      <c r="Q1594" s="5"/>
      <c r="R1594" s="5"/>
      <c r="S1594" s="5"/>
      <c r="T1594" s="5"/>
      <c r="U1594" s="5"/>
      <c r="V1594" s="5"/>
      <c r="W1594" s="5"/>
      <c r="X1594" s="5"/>
      <c r="Y1594" s="5"/>
      <c r="Z1594" s="5"/>
      <c r="AA1594" s="5"/>
      <c r="AB1594" s="6"/>
      <c r="AC1594" s="6"/>
      <c r="AD1594" s="6"/>
      <c r="AE1594" s="6"/>
      <c r="AF1594" s="6"/>
      <c r="AG1594" s="6"/>
      <c r="AH1594" s="6"/>
      <c r="AI1594" s="6"/>
      <c r="AJ1594" s="6"/>
      <c r="AK1594" s="6"/>
      <c r="AL1594" s="6"/>
      <c r="AM1594" s="6"/>
      <c r="AN1594" s="6"/>
      <c r="AO1594" s="6"/>
      <c r="AP1594" s="6"/>
      <c r="AQ1594" s="6"/>
      <c r="AR1594" s="6"/>
      <c r="AS1594" s="6"/>
      <c r="AT1594" s="6"/>
      <c r="AU1594" s="6"/>
      <c r="AV1594" s="6"/>
      <c r="AW1594" s="6"/>
      <c r="AX1594" s="6"/>
      <c r="AY1594" s="6"/>
      <c r="AZ1594" s="6"/>
      <c r="BA1594" s="6"/>
      <c r="BB1594" s="6"/>
      <c r="BC1594" s="6"/>
      <c r="BD1594" s="6"/>
      <c r="BE1594" s="6"/>
      <c r="BF1594" s="6"/>
      <c r="BG1594" s="6"/>
      <c r="BH1594" s="6"/>
      <c r="BI1594" s="6"/>
      <c r="BJ1594" s="6"/>
      <c r="BK1594" s="6"/>
      <c r="BL1594" s="6"/>
      <c r="BM1594" s="6"/>
      <c r="BN1594" s="6"/>
      <c r="BO1594" s="6"/>
      <c r="BP1594" s="6"/>
      <c r="BQ1594" s="6"/>
      <c r="BR1594" s="6"/>
      <c r="BS1594" s="6"/>
      <c r="BT1594" s="6"/>
      <c r="BU1594" s="6"/>
      <c r="BV1594" s="6"/>
      <c r="BW1594" s="6"/>
      <c r="BX1594" s="5"/>
      <c r="BY1594" s="7"/>
      <c r="BZ1594" s="7"/>
      <c r="CA1594" s="7"/>
      <c r="CB1594" s="7"/>
      <c r="CC1594" s="874"/>
    </row>
    <row r="1595" spans="1:81" s="400" customFormat="1" ht="14.25" customHeight="1" x14ac:dyDescent="0.25">
      <c r="A1595" s="5"/>
      <c r="B1595" s="5"/>
      <c r="C1595" s="5"/>
      <c r="D1595" s="5"/>
      <c r="E1595" s="5"/>
      <c r="F1595" s="5"/>
      <c r="G1595" s="5"/>
      <c r="H1595" s="5"/>
      <c r="I1595" s="5"/>
      <c r="J1595" s="5"/>
      <c r="K1595" s="5"/>
      <c r="L1595" s="5"/>
      <c r="M1595" s="5"/>
      <c r="N1595" s="5"/>
      <c r="O1595" s="5"/>
      <c r="P1595" s="5"/>
      <c r="Q1595" s="5"/>
      <c r="R1595" s="5"/>
      <c r="S1595" s="5"/>
      <c r="T1595" s="5"/>
      <c r="U1595" s="5"/>
      <c r="V1595" s="5"/>
      <c r="W1595" s="5"/>
      <c r="X1595" s="5"/>
      <c r="Y1595" s="5"/>
      <c r="Z1595" s="5"/>
      <c r="AA1595" s="5"/>
      <c r="AB1595" s="6"/>
      <c r="AC1595" s="6"/>
      <c r="AD1595" s="6"/>
      <c r="AE1595" s="6"/>
      <c r="AF1595" s="6"/>
      <c r="AG1595" s="6"/>
      <c r="AH1595" s="6"/>
      <c r="AI1595" s="6"/>
      <c r="AJ1595" s="6"/>
      <c r="AK1595" s="6"/>
      <c r="AL1595" s="6"/>
      <c r="AM1595" s="6"/>
      <c r="AN1595" s="6"/>
      <c r="AO1595" s="6"/>
      <c r="AP1595" s="6"/>
      <c r="AQ1595" s="6"/>
      <c r="AR1595" s="6"/>
      <c r="AS1595" s="6"/>
      <c r="AT1595" s="6"/>
      <c r="AU1595" s="6"/>
      <c r="AV1595" s="6"/>
      <c r="AW1595" s="6"/>
      <c r="AX1595" s="6"/>
      <c r="AY1595" s="6"/>
      <c r="AZ1595" s="6"/>
      <c r="BA1595" s="6"/>
      <c r="BB1595" s="6"/>
      <c r="BC1595" s="6"/>
      <c r="BD1595" s="6"/>
      <c r="BE1595" s="6"/>
      <c r="BF1595" s="6"/>
      <c r="BG1595" s="6"/>
      <c r="BH1595" s="6"/>
      <c r="BI1595" s="6"/>
      <c r="BJ1595" s="6"/>
      <c r="BK1595" s="6"/>
      <c r="BL1595" s="6"/>
      <c r="BM1595" s="6"/>
      <c r="BN1595" s="6"/>
      <c r="BO1595" s="6"/>
      <c r="BP1595" s="6"/>
      <c r="BQ1595" s="6"/>
      <c r="BR1595" s="6"/>
      <c r="BS1595" s="6"/>
      <c r="BT1595" s="6"/>
      <c r="BU1595" s="6"/>
      <c r="BV1595" s="6"/>
      <c r="BW1595" s="6"/>
      <c r="BX1595" s="5"/>
      <c r="BY1595" s="7"/>
      <c r="BZ1595" s="7"/>
      <c r="CA1595" s="7"/>
      <c r="CB1595" s="7"/>
      <c r="CC1595" s="874"/>
    </row>
    <row r="1596" spans="1:81" s="400" customFormat="1" ht="14.25" customHeight="1" x14ac:dyDescent="0.25">
      <c r="A1596" s="5"/>
      <c r="B1596" s="5"/>
      <c r="C1596" s="5"/>
      <c r="D1596" s="5"/>
      <c r="E1596" s="5"/>
      <c r="F1596" s="5"/>
      <c r="G1596" s="5"/>
      <c r="H1596" s="5"/>
      <c r="I1596" s="5"/>
      <c r="J1596" s="5"/>
      <c r="K1596" s="5"/>
      <c r="L1596" s="5"/>
      <c r="M1596" s="5"/>
      <c r="N1596" s="5"/>
      <c r="O1596" s="5"/>
      <c r="P1596" s="5"/>
      <c r="Q1596" s="5"/>
      <c r="R1596" s="5"/>
      <c r="S1596" s="5"/>
      <c r="T1596" s="5"/>
      <c r="U1596" s="5"/>
      <c r="V1596" s="5"/>
      <c r="W1596" s="5"/>
      <c r="X1596" s="5"/>
      <c r="Y1596" s="5"/>
      <c r="Z1596" s="5"/>
      <c r="AA1596" s="5"/>
      <c r="AB1596" s="6"/>
      <c r="AC1596" s="6"/>
      <c r="AD1596" s="6"/>
      <c r="AE1596" s="6"/>
      <c r="AF1596" s="6"/>
      <c r="AG1596" s="6"/>
      <c r="AH1596" s="6"/>
      <c r="AI1596" s="6"/>
      <c r="AJ1596" s="6"/>
      <c r="AK1596" s="6"/>
      <c r="AL1596" s="6"/>
      <c r="AM1596" s="6"/>
      <c r="AN1596" s="6"/>
      <c r="AO1596" s="6"/>
      <c r="AP1596" s="6"/>
      <c r="AQ1596" s="6"/>
      <c r="AR1596" s="6"/>
      <c r="AS1596" s="6"/>
      <c r="AT1596" s="6"/>
      <c r="AU1596" s="6"/>
      <c r="AV1596" s="6"/>
      <c r="AW1596" s="6"/>
      <c r="AX1596" s="6"/>
      <c r="AY1596" s="6"/>
      <c r="AZ1596" s="6"/>
      <c r="BA1596" s="6"/>
      <c r="BB1596" s="6"/>
      <c r="BC1596" s="6"/>
      <c r="BD1596" s="6"/>
      <c r="BE1596" s="6"/>
      <c r="BF1596" s="6"/>
      <c r="BG1596" s="6"/>
      <c r="BH1596" s="6"/>
      <c r="BI1596" s="6"/>
      <c r="BJ1596" s="6"/>
      <c r="BK1596" s="6"/>
      <c r="BL1596" s="6"/>
      <c r="BM1596" s="6"/>
      <c r="BN1596" s="6"/>
      <c r="BO1596" s="6"/>
      <c r="BP1596" s="6"/>
      <c r="BQ1596" s="6"/>
      <c r="BR1596" s="6"/>
      <c r="BS1596" s="6"/>
      <c r="BT1596" s="6"/>
      <c r="BU1596" s="6"/>
      <c r="BV1596" s="6"/>
      <c r="BW1596" s="6"/>
      <c r="BX1596" s="5"/>
      <c r="BY1596" s="7"/>
      <c r="BZ1596" s="7"/>
      <c r="CA1596" s="7"/>
      <c r="CB1596" s="7"/>
      <c r="CC1596" s="874"/>
    </row>
    <row r="1597" spans="1:81" s="400" customFormat="1" ht="14.25" customHeight="1" x14ac:dyDescent="0.25">
      <c r="A1597" s="5"/>
      <c r="B1597" s="5"/>
      <c r="C1597" s="5"/>
      <c r="D1597" s="5"/>
      <c r="E1597" s="5"/>
      <c r="F1597" s="5"/>
      <c r="G1597" s="5"/>
      <c r="H1597" s="5"/>
      <c r="I1597" s="5"/>
      <c r="J1597" s="5"/>
      <c r="K1597" s="5"/>
      <c r="L1597" s="5"/>
      <c r="M1597" s="5"/>
      <c r="N1597" s="5"/>
      <c r="O1597" s="5"/>
      <c r="P1597" s="5"/>
      <c r="Q1597" s="5"/>
      <c r="R1597" s="5"/>
      <c r="S1597" s="5"/>
      <c r="T1597" s="5"/>
      <c r="U1597" s="5"/>
      <c r="V1597" s="5"/>
      <c r="W1597" s="5"/>
      <c r="X1597" s="5"/>
      <c r="Y1597" s="5"/>
      <c r="Z1597" s="5"/>
      <c r="AA1597" s="5"/>
      <c r="AB1597" s="6"/>
      <c r="AC1597" s="6"/>
      <c r="AD1597" s="6"/>
      <c r="AE1597" s="6"/>
      <c r="AF1597" s="6"/>
      <c r="AG1597" s="6"/>
      <c r="AH1597" s="6"/>
      <c r="AI1597" s="6"/>
      <c r="AJ1597" s="6"/>
      <c r="AK1597" s="6"/>
      <c r="AL1597" s="6"/>
      <c r="AM1597" s="6"/>
      <c r="AN1597" s="6"/>
      <c r="AO1597" s="6"/>
      <c r="AP1597" s="6"/>
      <c r="AQ1597" s="6"/>
      <c r="AR1597" s="6"/>
      <c r="AS1597" s="6"/>
      <c r="AT1597" s="6"/>
      <c r="AU1597" s="6"/>
      <c r="AV1597" s="6"/>
      <c r="AW1597" s="6"/>
      <c r="AX1597" s="6"/>
      <c r="AY1597" s="6"/>
      <c r="AZ1597" s="6"/>
      <c r="BA1597" s="6"/>
      <c r="BB1597" s="6"/>
      <c r="BC1597" s="6"/>
      <c r="BD1597" s="6"/>
      <c r="BE1597" s="6"/>
      <c r="BF1597" s="6"/>
      <c r="BG1597" s="6"/>
      <c r="BH1597" s="6"/>
      <c r="BI1597" s="6"/>
      <c r="BJ1597" s="6"/>
      <c r="BK1597" s="6"/>
      <c r="BL1597" s="6"/>
      <c r="BM1597" s="6"/>
      <c r="BN1597" s="6"/>
      <c r="BO1597" s="6"/>
      <c r="BP1597" s="6"/>
      <c r="BQ1597" s="6"/>
      <c r="BR1597" s="6"/>
      <c r="BS1597" s="6"/>
      <c r="BT1597" s="6"/>
      <c r="BU1597" s="6"/>
      <c r="BV1597" s="6"/>
      <c r="BW1597" s="6"/>
      <c r="BX1597" s="5"/>
      <c r="BY1597" s="7"/>
      <c r="BZ1597" s="7"/>
      <c r="CA1597" s="7"/>
      <c r="CB1597" s="7"/>
      <c r="CC1597" s="874"/>
    </row>
    <row r="1598" spans="1:81" s="400" customFormat="1" ht="14.25" customHeight="1" x14ac:dyDescent="0.25">
      <c r="A1598" s="5"/>
      <c r="B1598" s="5"/>
      <c r="C1598" s="5"/>
      <c r="D1598" s="5"/>
      <c r="E1598" s="5"/>
      <c r="F1598" s="5"/>
      <c r="G1598" s="5"/>
      <c r="H1598" s="5"/>
      <c r="I1598" s="5"/>
      <c r="J1598" s="5"/>
      <c r="K1598" s="5"/>
      <c r="L1598" s="5"/>
      <c r="M1598" s="5"/>
      <c r="N1598" s="5"/>
      <c r="O1598" s="5"/>
      <c r="P1598" s="5"/>
      <c r="Q1598" s="5"/>
      <c r="R1598" s="5"/>
      <c r="S1598" s="5"/>
      <c r="T1598" s="5"/>
      <c r="U1598" s="5"/>
      <c r="V1598" s="5"/>
      <c r="W1598" s="5"/>
      <c r="X1598" s="5"/>
      <c r="Y1598" s="5"/>
      <c r="Z1598" s="5"/>
      <c r="AA1598" s="5"/>
      <c r="AB1598" s="6"/>
      <c r="AC1598" s="6"/>
      <c r="AD1598" s="6"/>
      <c r="AE1598" s="6"/>
      <c r="AF1598" s="6"/>
      <c r="AG1598" s="6"/>
      <c r="AH1598" s="6"/>
      <c r="AI1598" s="6"/>
      <c r="AJ1598" s="6"/>
      <c r="AK1598" s="6"/>
      <c r="AL1598" s="6"/>
      <c r="AM1598" s="6"/>
      <c r="AN1598" s="6"/>
      <c r="AO1598" s="6"/>
      <c r="AP1598" s="6"/>
      <c r="AQ1598" s="6"/>
      <c r="AR1598" s="6"/>
      <c r="AS1598" s="6"/>
      <c r="AT1598" s="6"/>
      <c r="AU1598" s="6"/>
      <c r="AV1598" s="6"/>
      <c r="AW1598" s="6"/>
      <c r="AX1598" s="6"/>
      <c r="AY1598" s="6"/>
      <c r="AZ1598" s="6"/>
      <c r="BA1598" s="6"/>
      <c r="BB1598" s="6"/>
      <c r="BC1598" s="6"/>
      <c r="BD1598" s="6"/>
      <c r="BE1598" s="6"/>
      <c r="BF1598" s="6"/>
      <c r="BG1598" s="6"/>
      <c r="BH1598" s="6"/>
      <c r="BI1598" s="6"/>
      <c r="BJ1598" s="6"/>
      <c r="BK1598" s="6"/>
      <c r="BL1598" s="6"/>
      <c r="BM1598" s="6"/>
      <c r="BN1598" s="6"/>
      <c r="BO1598" s="6"/>
      <c r="BP1598" s="6"/>
      <c r="BQ1598" s="6"/>
      <c r="BR1598" s="6"/>
      <c r="BS1598" s="6"/>
      <c r="BT1598" s="6"/>
      <c r="BU1598" s="6"/>
      <c r="BV1598" s="6"/>
      <c r="BW1598" s="6"/>
      <c r="BX1598" s="5"/>
      <c r="BY1598" s="7"/>
      <c r="BZ1598" s="7"/>
      <c r="CA1598" s="7"/>
      <c r="CB1598" s="7"/>
      <c r="CC1598" s="874"/>
    </row>
    <row r="1599" spans="1:81" s="400" customFormat="1" ht="14.25" customHeight="1" x14ac:dyDescent="0.25">
      <c r="A1599" s="5"/>
      <c r="B1599" s="5"/>
      <c r="C1599" s="5"/>
      <c r="D1599" s="5"/>
      <c r="E1599" s="5"/>
      <c r="F1599" s="5"/>
      <c r="G1599" s="5"/>
      <c r="H1599" s="5"/>
      <c r="I1599" s="5"/>
      <c r="J1599" s="5"/>
      <c r="K1599" s="5"/>
      <c r="L1599" s="5"/>
      <c r="M1599" s="5"/>
      <c r="N1599" s="5"/>
      <c r="O1599" s="5"/>
      <c r="P1599" s="5"/>
      <c r="Q1599" s="5"/>
      <c r="R1599" s="5"/>
      <c r="S1599" s="5"/>
      <c r="T1599" s="5"/>
      <c r="U1599" s="5"/>
      <c r="V1599" s="5"/>
      <c r="W1599" s="5"/>
      <c r="X1599" s="5"/>
      <c r="Y1599" s="5"/>
      <c r="Z1599" s="5"/>
      <c r="AA1599" s="5"/>
      <c r="AB1599" s="6"/>
      <c r="AC1599" s="6"/>
      <c r="AD1599" s="6"/>
      <c r="AE1599" s="6"/>
      <c r="AF1599" s="6"/>
      <c r="AG1599" s="6"/>
      <c r="AH1599" s="6"/>
      <c r="AI1599" s="6"/>
      <c r="AJ1599" s="6"/>
      <c r="AK1599" s="6"/>
      <c r="AL1599" s="6"/>
      <c r="AM1599" s="6"/>
      <c r="AN1599" s="6"/>
      <c r="AO1599" s="6"/>
      <c r="AP1599" s="6"/>
      <c r="AQ1599" s="6"/>
      <c r="AR1599" s="6"/>
      <c r="AS1599" s="6"/>
      <c r="AT1599" s="6"/>
      <c r="AU1599" s="6"/>
      <c r="AV1599" s="6"/>
      <c r="AW1599" s="6"/>
      <c r="AX1599" s="6"/>
      <c r="AY1599" s="6"/>
      <c r="AZ1599" s="6"/>
      <c r="BA1599" s="6"/>
      <c r="BB1599" s="6"/>
      <c r="BC1599" s="6"/>
      <c r="BD1599" s="6"/>
      <c r="BE1599" s="6"/>
      <c r="BF1599" s="6"/>
      <c r="BG1599" s="6"/>
      <c r="BH1599" s="6"/>
      <c r="BI1599" s="6"/>
      <c r="BJ1599" s="6"/>
      <c r="BK1599" s="6"/>
      <c r="BL1599" s="6"/>
      <c r="BM1599" s="6"/>
      <c r="BN1599" s="6"/>
      <c r="BO1599" s="6"/>
      <c r="BP1599" s="6"/>
      <c r="BQ1599" s="6"/>
      <c r="BR1599" s="6"/>
      <c r="BS1599" s="6"/>
      <c r="BT1599" s="6"/>
      <c r="BU1599" s="6"/>
      <c r="BV1599" s="6"/>
      <c r="BW1599" s="6"/>
      <c r="BX1599" s="5"/>
      <c r="BY1599" s="7"/>
      <c r="BZ1599" s="7"/>
      <c r="CA1599" s="7"/>
      <c r="CB1599" s="7"/>
      <c r="CC1599" s="874"/>
    </row>
    <row r="1600" spans="1:81" s="400" customFormat="1" ht="14.25" customHeight="1" x14ac:dyDescent="0.25">
      <c r="A1600" s="5"/>
      <c r="B1600" s="5"/>
      <c r="C1600" s="5"/>
      <c r="D1600" s="5"/>
      <c r="E1600" s="5"/>
      <c r="F1600" s="5"/>
      <c r="G1600" s="5"/>
      <c r="H1600" s="5"/>
      <c r="I1600" s="5"/>
      <c r="J1600" s="5"/>
      <c r="K1600" s="5"/>
      <c r="L1600" s="5"/>
      <c r="M1600" s="5"/>
      <c r="N1600" s="5"/>
      <c r="O1600" s="5"/>
      <c r="P1600" s="5"/>
      <c r="Q1600" s="5"/>
      <c r="R1600" s="5"/>
      <c r="S1600" s="5"/>
      <c r="T1600" s="5"/>
      <c r="U1600" s="5"/>
      <c r="V1600" s="5"/>
      <c r="W1600" s="5"/>
      <c r="X1600" s="5"/>
      <c r="Y1600" s="5"/>
      <c r="Z1600" s="5"/>
      <c r="AA1600" s="5"/>
      <c r="AB1600" s="6"/>
      <c r="AC1600" s="6"/>
      <c r="AD1600" s="6"/>
      <c r="AE1600" s="6"/>
      <c r="AF1600" s="6"/>
      <c r="AG1600" s="6"/>
      <c r="AH1600" s="6"/>
      <c r="AI1600" s="6"/>
      <c r="AJ1600" s="6"/>
      <c r="AK1600" s="6"/>
      <c r="AL1600" s="6"/>
      <c r="AM1600" s="6"/>
      <c r="AN1600" s="6"/>
      <c r="AO1600" s="6"/>
      <c r="AP1600" s="6"/>
      <c r="AQ1600" s="6"/>
      <c r="AR1600" s="6"/>
      <c r="AS1600" s="6"/>
      <c r="AT1600" s="6"/>
      <c r="AU1600" s="6"/>
      <c r="AV1600" s="6"/>
      <c r="AW1600" s="6"/>
      <c r="AX1600" s="6"/>
      <c r="AY1600" s="6"/>
      <c r="AZ1600" s="6"/>
      <c r="BA1600" s="6"/>
      <c r="BB1600" s="6"/>
      <c r="BC1600" s="6"/>
      <c r="BD1600" s="6"/>
      <c r="BE1600" s="6"/>
      <c r="BF1600" s="6"/>
      <c r="BG1600" s="6"/>
      <c r="BH1600" s="6"/>
      <c r="BI1600" s="6"/>
      <c r="BJ1600" s="6"/>
      <c r="BK1600" s="6"/>
      <c r="BL1600" s="6"/>
      <c r="BM1600" s="6"/>
      <c r="BN1600" s="6"/>
      <c r="BO1600" s="6"/>
      <c r="BP1600" s="6"/>
      <c r="BQ1600" s="6"/>
      <c r="BR1600" s="6"/>
      <c r="BS1600" s="6"/>
      <c r="BT1600" s="6"/>
      <c r="BU1600" s="6"/>
      <c r="BV1600" s="6"/>
      <c r="BW1600" s="6"/>
      <c r="BX1600" s="5"/>
      <c r="BY1600" s="7"/>
      <c r="BZ1600" s="7"/>
      <c r="CA1600" s="7"/>
      <c r="CB1600" s="7"/>
      <c r="CC1600" s="874"/>
    </row>
    <row r="1601" spans="1:81" s="400" customFormat="1" ht="14.25" customHeight="1" x14ac:dyDescent="0.25">
      <c r="A1601" s="5"/>
      <c r="B1601" s="5"/>
      <c r="C1601" s="5"/>
      <c r="D1601" s="5"/>
      <c r="E1601" s="5"/>
      <c r="F1601" s="5"/>
      <c r="G1601" s="5"/>
      <c r="H1601" s="5"/>
      <c r="I1601" s="5"/>
      <c r="J1601" s="5"/>
      <c r="K1601" s="5"/>
      <c r="L1601" s="5"/>
      <c r="M1601" s="5"/>
      <c r="N1601" s="5"/>
      <c r="O1601" s="5"/>
      <c r="P1601" s="5"/>
      <c r="Q1601" s="5"/>
      <c r="R1601" s="5"/>
      <c r="S1601" s="5"/>
      <c r="T1601" s="5"/>
      <c r="U1601" s="5"/>
      <c r="V1601" s="5"/>
      <c r="W1601" s="5"/>
      <c r="X1601" s="5"/>
      <c r="Y1601" s="5"/>
      <c r="Z1601" s="5"/>
      <c r="AA1601" s="5"/>
      <c r="AB1601" s="6"/>
      <c r="AC1601" s="6"/>
      <c r="AD1601" s="6"/>
      <c r="AE1601" s="6"/>
      <c r="AF1601" s="6"/>
      <c r="AG1601" s="6"/>
      <c r="AH1601" s="6"/>
      <c r="AI1601" s="6"/>
      <c r="AJ1601" s="6"/>
      <c r="AK1601" s="6"/>
      <c r="AL1601" s="6"/>
      <c r="AM1601" s="6"/>
      <c r="AN1601" s="6"/>
      <c r="AO1601" s="6"/>
      <c r="AP1601" s="6"/>
      <c r="AQ1601" s="6"/>
      <c r="AR1601" s="6"/>
      <c r="AS1601" s="6"/>
      <c r="AT1601" s="6"/>
      <c r="AU1601" s="6"/>
      <c r="AV1601" s="6"/>
      <c r="AW1601" s="6"/>
      <c r="AX1601" s="6"/>
      <c r="AY1601" s="6"/>
      <c r="AZ1601" s="6"/>
      <c r="BA1601" s="6"/>
      <c r="BB1601" s="6"/>
      <c r="BC1601" s="6"/>
      <c r="BD1601" s="6"/>
      <c r="BE1601" s="6"/>
      <c r="BF1601" s="6"/>
      <c r="BG1601" s="6"/>
      <c r="BH1601" s="6"/>
      <c r="BI1601" s="6"/>
      <c r="BJ1601" s="6"/>
      <c r="BK1601" s="6"/>
      <c r="BL1601" s="6"/>
      <c r="BM1601" s="6"/>
      <c r="BN1601" s="6"/>
      <c r="BO1601" s="6"/>
      <c r="BP1601" s="6"/>
      <c r="BQ1601" s="6"/>
      <c r="BR1601" s="6"/>
      <c r="BS1601" s="6"/>
      <c r="BT1601" s="6"/>
      <c r="BU1601" s="6"/>
      <c r="BV1601" s="6"/>
      <c r="BW1601" s="6"/>
      <c r="BX1601" s="5"/>
      <c r="BY1601" s="7"/>
      <c r="BZ1601" s="7"/>
      <c r="CA1601" s="7"/>
      <c r="CB1601" s="7"/>
      <c r="CC1601" s="874"/>
    </row>
    <row r="1602" spans="1:81" s="400" customFormat="1" ht="14.25" customHeight="1" x14ac:dyDescent="0.25">
      <c r="A1602" s="5"/>
      <c r="B1602" s="5"/>
      <c r="C1602" s="5"/>
      <c r="D1602" s="5"/>
      <c r="E1602" s="5"/>
      <c r="F1602" s="5"/>
      <c r="G1602" s="5"/>
      <c r="H1602" s="5"/>
      <c r="I1602" s="5"/>
      <c r="J1602" s="5"/>
      <c r="K1602" s="5"/>
      <c r="L1602" s="5"/>
      <c r="M1602" s="5"/>
      <c r="N1602" s="5"/>
      <c r="O1602" s="5"/>
      <c r="P1602" s="5"/>
      <c r="Q1602" s="5"/>
      <c r="R1602" s="5"/>
      <c r="S1602" s="5"/>
      <c r="T1602" s="5"/>
      <c r="U1602" s="5"/>
      <c r="V1602" s="5"/>
      <c r="W1602" s="5"/>
      <c r="X1602" s="5"/>
      <c r="Y1602" s="5"/>
      <c r="Z1602" s="5"/>
      <c r="AA1602" s="5"/>
      <c r="AB1602" s="6"/>
      <c r="AC1602" s="6"/>
      <c r="AD1602" s="6"/>
      <c r="AE1602" s="6"/>
      <c r="AF1602" s="6"/>
      <c r="AG1602" s="6"/>
      <c r="AH1602" s="6"/>
      <c r="AI1602" s="6"/>
      <c r="AJ1602" s="6"/>
      <c r="AK1602" s="6"/>
      <c r="AL1602" s="6"/>
      <c r="AM1602" s="6"/>
      <c r="AN1602" s="6"/>
      <c r="AO1602" s="6"/>
      <c r="AP1602" s="6"/>
      <c r="AQ1602" s="6"/>
      <c r="AR1602" s="6"/>
      <c r="AS1602" s="6"/>
      <c r="AT1602" s="6"/>
      <c r="AU1602" s="6"/>
      <c r="AV1602" s="6"/>
      <c r="AW1602" s="6"/>
      <c r="AX1602" s="6"/>
      <c r="AY1602" s="6"/>
      <c r="AZ1602" s="6"/>
      <c r="BA1602" s="6"/>
      <c r="BB1602" s="6"/>
      <c r="BC1602" s="6"/>
      <c r="BD1602" s="6"/>
      <c r="BE1602" s="6"/>
      <c r="BF1602" s="6"/>
      <c r="BG1602" s="6"/>
      <c r="BH1602" s="6"/>
      <c r="BI1602" s="6"/>
      <c r="BJ1602" s="6"/>
      <c r="BK1602" s="6"/>
      <c r="BL1602" s="6"/>
      <c r="BM1602" s="6"/>
      <c r="BN1602" s="6"/>
      <c r="BO1602" s="6"/>
      <c r="BP1602" s="6"/>
      <c r="BQ1602" s="6"/>
      <c r="BR1602" s="6"/>
      <c r="BS1602" s="6"/>
      <c r="BT1602" s="6"/>
      <c r="BU1602" s="6"/>
      <c r="BV1602" s="6"/>
      <c r="BW1602" s="6"/>
      <c r="BX1602" s="5"/>
      <c r="BY1602" s="7"/>
      <c r="BZ1602" s="7"/>
      <c r="CA1602" s="7"/>
      <c r="CB1602" s="7"/>
      <c r="CC1602" s="874"/>
    </row>
    <row r="1603" spans="1:81" s="400" customFormat="1" ht="14.25" customHeight="1" x14ac:dyDescent="0.25">
      <c r="A1603" s="5"/>
      <c r="B1603" s="5"/>
      <c r="C1603" s="5"/>
      <c r="D1603" s="5"/>
      <c r="E1603" s="5"/>
      <c r="F1603" s="5"/>
      <c r="G1603" s="5"/>
      <c r="H1603" s="5"/>
      <c r="I1603" s="5"/>
      <c r="J1603" s="5"/>
      <c r="K1603" s="5"/>
      <c r="L1603" s="5"/>
      <c r="M1603" s="5"/>
      <c r="N1603" s="5"/>
      <c r="O1603" s="5"/>
      <c r="P1603" s="5"/>
      <c r="Q1603" s="5"/>
      <c r="R1603" s="5"/>
      <c r="S1603" s="5"/>
      <c r="T1603" s="5"/>
      <c r="U1603" s="5"/>
      <c r="V1603" s="5"/>
      <c r="W1603" s="5"/>
      <c r="X1603" s="5"/>
      <c r="Y1603" s="5"/>
      <c r="Z1603" s="5"/>
      <c r="AA1603" s="5"/>
      <c r="AB1603" s="6"/>
      <c r="AC1603" s="6"/>
      <c r="AD1603" s="6"/>
      <c r="AE1603" s="6"/>
      <c r="AF1603" s="6"/>
      <c r="AG1603" s="6"/>
      <c r="AH1603" s="6"/>
      <c r="AI1603" s="6"/>
      <c r="AJ1603" s="6"/>
      <c r="AK1603" s="6"/>
      <c r="AL1603" s="6"/>
      <c r="AM1603" s="6"/>
      <c r="AN1603" s="6"/>
      <c r="AO1603" s="6"/>
      <c r="AP1603" s="6"/>
      <c r="AQ1603" s="6"/>
      <c r="AR1603" s="6"/>
      <c r="AS1603" s="6"/>
      <c r="AT1603" s="6"/>
      <c r="AU1603" s="6"/>
      <c r="AV1603" s="6"/>
      <c r="AW1603" s="6"/>
      <c r="AX1603" s="6"/>
      <c r="AY1603" s="6"/>
      <c r="AZ1603" s="6"/>
      <c r="BA1603" s="6"/>
      <c r="BB1603" s="6"/>
      <c r="BC1603" s="6"/>
      <c r="BD1603" s="6"/>
      <c r="BE1603" s="6"/>
      <c r="BF1603" s="6"/>
      <c r="BG1603" s="6"/>
      <c r="BH1603" s="6"/>
      <c r="BI1603" s="6"/>
      <c r="BJ1603" s="6"/>
      <c r="BK1603" s="6"/>
      <c r="BL1603" s="6"/>
      <c r="BM1603" s="6"/>
      <c r="BN1603" s="6"/>
      <c r="BO1603" s="6"/>
      <c r="BP1603" s="6"/>
      <c r="BQ1603" s="6"/>
      <c r="BR1603" s="6"/>
      <c r="BS1603" s="6"/>
      <c r="BT1603" s="6"/>
      <c r="BU1603" s="6"/>
      <c r="BV1603" s="6"/>
      <c r="BW1603" s="6"/>
      <c r="BX1603" s="5"/>
      <c r="BY1603" s="7"/>
      <c r="BZ1603" s="7"/>
      <c r="CA1603" s="7"/>
      <c r="CB1603" s="7"/>
      <c r="CC1603" s="874"/>
    </row>
    <row r="1604" spans="1:81" s="400" customFormat="1" ht="14.25" customHeight="1" x14ac:dyDescent="0.25">
      <c r="A1604" s="5"/>
      <c r="B1604" s="5"/>
      <c r="C1604" s="5"/>
      <c r="D1604" s="5"/>
      <c r="E1604" s="5"/>
      <c r="F1604" s="5"/>
      <c r="G1604" s="5"/>
      <c r="H1604" s="5"/>
      <c r="I1604" s="5"/>
      <c r="J1604" s="5"/>
      <c r="K1604" s="5"/>
      <c r="L1604" s="5"/>
      <c r="M1604" s="5"/>
      <c r="N1604" s="5"/>
      <c r="O1604" s="5"/>
      <c r="P1604" s="5"/>
      <c r="Q1604" s="5"/>
      <c r="R1604" s="5"/>
      <c r="S1604" s="5"/>
      <c r="T1604" s="5"/>
      <c r="U1604" s="5"/>
      <c r="V1604" s="5"/>
      <c r="W1604" s="5"/>
      <c r="X1604" s="5"/>
      <c r="Y1604" s="5"/>
      <c r="Z1604" s="5"/>
      <c r="AA1604" s="5"/>
      <c r="AB1604" s="6"/>
      <c r="AC1604" s="6"/>
      <c r="AD1604" s="6"/>
      <c r="AE1604" s="6"/>
      <c r="AF1604" s="6"/>
      <c r="AG1604" s="6"/>
      <c r="AH1604" s="6"/>
      <c r="AI1604" s="6"/>
      <c r="AJ1604" s="6"/>
      <c r="AK1604" s="6"/>
      <c r="AL1604" s="6"/>
      <c r="AM1604" s="6"/>
      <c r="AN1604" s="6"/>
      <c r="AO1604" s="6"/>
      <c r="AP1604" s="6"/>
      <c r="AQ1604" s="6"/>
      <c r="AR1604" s="6"/>
      <c r="AS1604" s="6"/>
      <c r="AT1604" s="6"/>
      <c r="AU1604" s="6"/>
      <c r="AV1604" s="6"/>
      <c r="AW1604" s="6"/>
      <c r="AX1604" s="6"/>
      <c r="AY1604" s="6"/>
      <c r="AZ1604" s="6"/>
      <c r="BA1604" s="6"/>
      <c r="BB1604" s="6"/>
      <c r="BC1604" s="6"/>
      <c r="BD1604" s="6"/>
      <c r="BE1604" s="6"/>
      <c r="BF1604" s="6"/>
      <c r="BG1604" s="6"/>
      <c r="BH1604" s="6"/>
      <c r="BI1604" s="6"/>
      <c r="BJ1604" s="6"/>
      <c r="BK1604" s="6"/>
      <c r="BL1604" s="6"/>
      <c r="BM1604" s="6"/>
      <c r="BN1604" s="6"/>
      <c r="BO1604" s="6"/>
      <c r="BP1604" s="6"/>
      <c r="BQ1604" s="6"/>
      <c r="BR1604" s="6"/>
      <c r="BS1604" s="6"/>
      <c r="BT1604" s="6"/>
      <c r="BU1604" s="6"/>
      <c r="BV1604" s="6"/>
      <c r="BW1604" s="6"/>
      <c r="BX1604" s="5"/>
      <c r="BY1604" s="7"/>
      <c r="BZ1604" s="7"/>
      <c r="CA1604" s="7"/>
      <c r="CB1604" s="7"/>
      <c r="CC1604" s="874"/>
    </row>
    <row r="1605" spans="1:81" s="400" customFormat="1" ht="14.25" customHeight="1" x14ac:dyDescent="0.25">
      <c r="A1605" s="5"/>
      <c r="B1605" s="5"/>
      <c r="C1605" s="5"/>
      <c r="D1605" s="5"/>
      <c r="E1605" s="5"/>
      <c r="F1605" s="5"/>
      <c r="G1605" s="5"/>
      <c r="H1605" s="5"/>
      <c r="I1605" s="5"/>
      <c r="J1605" s="5"/>
      <c r="K1605" s="5"/>
      <c r="L1605" s="5"/>
      <c r="M1605" s="5"/>
      <c r="N1605" s="5"/>
      <c r="O1605" s="5"/>
      <c r="P1605" s="5"/>
      <c r="Q1605" s="5"/>
      <c r="R1605" s="5"/>
      <c r="S1605" s="5"/>
      <c r="T1605" s="5"/>
      <c r="U1605" s="5"/>
      <c r="V1605" s="5"/>
      <c r="W1605" s="5"/>
      <c r="X1605" s="5"/>
      <c r="Y1605" s="5"/>
      <c r="Z1605" s="5"/>
      <c r="AA1605" s="5"/>
      <c r="AB1605" s="6"/>
      <c r="AC1605" s="6"/>
      <c r="AD1605" s="6"/>
      <c r="AE1605" s="6"/>
      <c r="AF1605" s="6"/>
      <c r="AG1605" s="6"/>
      <c r="AH1605" s="6"/>
      <c r="AI1605" s="6"/>
      <c r="AJ1605" s="6"/>
      <c r="AK1605" s="6"/>
      <c r="AL1605" s="6"/>
      <c r="AM1605" s="6"/>
      <c r="AN1605" s="6"/>
      <c r="AO1605" s="6"/>
      <c r="AP1605" s="6"/>
      <c r="AQ1605" s="6"/>
      <c r="AR1605" s="6"/>
      <c r="AS1605" s="6"/>
      <c r="AT1605" s="6"/>
      <c r="AU1605" s="6"/>
      <c r="AV1605" s="6"/>
      <c r="AW1605" s="6"/>
      <c r="AX1605" s="6"/>
      <c r="AY1605" s="6"/>
      <c r="AZ1605" s="6"/>
      <c r="BA1605" s="6"/>
      <c r="BB1605" s="6"/>
      <c r="BC1605" s="6"/>
      <c r="BD1605" s="6"/>
      <c r="BE1605" s="6"/>
      <c r="BF1605" s="6"/>
      <c r="BG1605" s="6"/>
      <c r="BH1605" s="6"/>
      <c r="BI1605" s="6"/>
      <c r="BJ1605" s="6"/>
      <c r="BK1605" s="6"/>
      <c r="BL1605" s="6"/>
      <c r="BM1605" s="6"/>
      <c r="BN1605" s="6"/>
      <c r="BO1605" s="6"/>
      <c r="BP1605" s="6"/>
      <c r="BQ1605" s="6"/>
      <c r="BR1605" s="6"/>
      <c r="BS1605" s="6"/>
      <c r="BT1605" s="6"/>
      <c r="BU1605" s="6"/>
      <c r="BV1605" s="6"/>
      <c r="BW1605" s="6"/>
      <c r="BX1605" s="5"/>
      <c r="BY1605" s="7"/>
      <c r="BZ1605" s="7"/>
      <c r="CA1605" s="7"/>
      <c r="CB1605" s="7"/>
      <c r="CC1605" s="874"/>
    </row>
    <row r="1606" spans="1:81" s="400" customFormat="1" ht="14.25" customHeight="1" x14ac:dyDescent="0.25">
      <c r="A1606" s="5"/>
      <c r="B1606" s="5"/>
      <c r="C1606" s="5"/>
      <c r="D1606" s="5"/>
      <c r="E1606" s="5"/>
      <c r="F1606" s="5"/>
      <c r="G1606" s="5"/>
      <c r="H1606" s="5"/>
      <c r="I1606" s="5"/>
      <c r="J1606" s="5"/>
      <c r="K1606" s="5"/>
      <c r="L1606" s="5"/>
      <c r="M1606" s="5"/>
      <c r="N1606" s="5"/>
      <c r="O1606" s="5"/>
      <c r="P1606" s="5"/>
      <c r="Q1606" s="5"/>
      <c r="R1606" s="5"/>
      <c r="S1606" s="5"/>
      <c r="T1606" s="5"/>
      <c r="U1606" s="5"/>
      <c r="V1606" s="5"/>
      <c r="W1606" s="5"/>
      <c r="X1606" s="5"/>
      <c r="Y1606" s="5"/>
      <c r="Z1606" s="5"/>
      <c r="AA1606" s="5"/>
      <c r="AB1606" s="6"/>
      <c r="AC1606" s="6"/>
      <c r="AD1606" s="6"/>
      <c r="AE1606" s="6"/>
      <c r="AF1606" s="6"/>
      <c r="AG1606" s="6"/>
      <c r="AH1606" s="6"/>
      <c r="AI1606" s="6"/>
      <c r="AJ1606" s="6"/>
      <c r="AK1606" s="6"/>
      <c r="AL1606" s="6"/>
      <c r="AM1606" s="6"/>
      <c r="AN1606" s="6"/>
      <c r="AO1606" s="6"/>
      <c r="AP1606" s="6"/>
      <c r="AQ1606" s="6"/>
      <c r="AR1606" s="6"/>
      <c r="AS1606" s="6"/>
      <c r="AT1606" s="6"/>
      <c r="AU1606" s="6"/>
      <c r="AV1606" s="6"/>
      <c r="AW1606" s="6"/>
      <c r="AX1606" s="6"/>
      <c r="AY1606" s="6"/>
      <c r="AZ1606" s="6"/>
      <c r="BA1606" s="6"/>
      <c r="BB1606" s="6"/>
      <c r="BC1606" s="6"/>
      <c r="BD1606" s="6"/>
      <c r="BE1606" s="6"/>
      <c r="BF1606" s="6"/>
      <c r="BG1606" s="6"/>
      <c r="BH1606" s="6"/>
      <c r="BI1606" s="6"/>
      <c r="BJ1606" s="6"/>
      <c r="BK1606" s="6"/>
      <c r="BL1606" s="6"/>
      <c r="BM1606" s="6"/>
      <c r="BN1606" s="6"/>
      <c r="BO1606" s="6"/>
      <c r="BP1606" s="6"/>
      <c r="BQ1606" s="6"/>
      <c r="BR1606" s="6"/>
      <c r="BS1606" s="6"/>
      <c r="BT1606" s="6"/>
      <c r="BU1606" s="6"/>
      <c r="BV1606" s="6"/>
      <c r="BW1606" s="6"/>
      <c r="BX1606" s="5"/>
      <c r="BY1606" s="7"/>
      <c r="BZ1606" s="7"/>
      <c r="CA1606" s="7"/>
      <c r="CB1606" s="7"/>
      <c r="CC1606" s="874"/>
    </row>
    <row r="1607" spans="1:81" s="400" customFormat="1" ht="14.25" customHeight="1" x14ac:dyDescent="0.25">
      <c r="A1607" s="5"/>
      <c r="B1607" s="5"/>
      <c r="C1607" s="5"/>
      <c r="D1607" s="5"/>
      <c r="E1607" s="5"/>
      <c r="F1607" s="5"/>
      <c r="G1607" s="5"/>
      <c r="H1607" s="5"/>
      <c r="I1607" s="5"/>
      <c r="J1607" s="5"/>
      <c r="K1607" s="5"/>
      <c r="L1607" s="5"/>
      <c r="M1607" s="5"/>
      <c r="N1607" s="5"/>
      <c r="O1607" s="5"/>
      <c r="P1607" s="5"/>
      <c r="Q1607" s="5"/>
      <c r="R1607" s="5"/>
      <c r="S1607" s="5"/>
      <c r="T1607" s="5"/>
      <c r="U1607" s="5"/>
      <c r="V1607" s="5"/>
      <c r="W1607" s="5"/>
      <c r="X1607" s="5"/>
      <c r="Y1607" s="5"/>
      <c r="Z1607" s="5"/>
      <c r="AA1607" s="5"/>
      <c r="AB1607" s="6"/>
      <c r="AC1607" s="6"/>
      <c r="AD1607" s="6"/>
      <c r="AE1607" s="6"/>
      <c r="AF1607" s="6"/>
      <c r="AG1607" s="6"/>
      <c r="AH1607" s="6"/>
      <c r="AI1607" s="6"/>
      <c r="AJ1607" s="6"/>
      <c r="AK1607" s="6"/>
      <c r="AL1607" s="6"/>
      <c r="AM1607" s="6"/>
      <c r="AN1607" s="6"/>
      <c r="AO1607" s="6"/>
      <c r="AP1607" s="6"/>
      <c r="AQ1607" s="6"/>
      <c r="AR1607" s="6"/>
      <c r="AS1607" s="6"/>
      <c r="AT1607" s="6"/>
      <c r="AU1607" s="6"/>
      <c r="AV1607" s="6"/>
      <c r="AW1607" s="6"/>
      <c r="AX1607" s="6"/>
      <c r="AY1607" s="6"/>
      <c r="AZ1607" s="6"/>
      <c r="BA1607" s="6"/>
      <c r="BB1607" s="6"/>
      <c r="BC1607" s="6"/>
      <c r="BD1607" s="6"/>
      <c r="BE1607" s="6"/>
      <c r="BF1607" s="6"/>
      <c r="BG1607" s="6"/>
      <c r="BH1607" s="6"/>
      <c r="BI1607" s="6"/>
      <c r="BJ1607" s="6"/>
      <c r="BK1607" s="6"/>
      <c r="BL1607" s="6"/>
      <c r="BM1607" s="6"/>
      <c r="BN1607" s="6"/>
      <c r="BO1607" s="6"/>
      <c r="BP1607" s="6"/>
      <c r="BQ1607" s="6"/>
      <c r="BR1607" s="6"/>
      <c r="BS1607" s="6"/>
      <c r="BT1607" s="6"/>
      <c r="BU1607" s="6"/>
      <c r="BV1607" s="6"/>
      <c r="BW1607" s="6"/>
      <c r="BX1607" s="5"/>
      <c r="BY1607" s="7"/>
      <c r="BZ1607" s="7"/>
      <c r="CA1607" s="7"/>
      <c r="CB1607" s="7"/>
      <c r="CC1607" s="874"/>
    </row>
    <row r="1608" spans="1:81" s="400" customFormat="1" ht="14.25" customHeight="1" x14ac:dyDescent="0.25">
      <c r="A1608" s="5"/>
      <c r="B1608" s="5"/>
      <c r="C1608" s="5"/>
      <c r="D1608" s="5"/>
      <c r="E1608" s="5"/>
      <c r="F1608" s="5"/>
      <c r="G1608" s="5"/>
      <c r="H1608" s="5"/>
      <c r="I1608" s="5"/>
      <c r="J1608" s="5"/>
      <c r="K1608" s="5"/>
      <c r="L1608" s="5"/>
      <c r="M1608" s="5"/>
      <c r="N1608" s="5"/>
      <c r="O1608" s="5"/>
      <c r="P1608" s="5"/>
      <c r="Q1608" s="5"/>
      <c r="R1608" s="5"/>
      <c r="S1608" s="5"/>
      <c r="T1608" s="5"/>
      <c r="U1608" s="5"/>
      <c r="V1608" s="5"/>
      <c r="W1608" s="5"/>
      <c r="X1608" s="5"/>
      <c r="Y1608" s="5"/>
      <c r="Z1608" s="5"/>
      <c r="AA1608" s="5"/>
      <c r="AB1608" s="6"/>
      <c r="AC1608" s="6"/>
      <c r="AD1608" s="6"/>
      <c r="AE1608" s="6"/>
      <c r="AF1608" s="6"/>
      <c r="AG1608" s="6"/>
      <c r="AH1608" s="6"/>
      <c r="AI1608" s="6"/>
      <c r="AJ1608" s="6"/>
      <c r="AK1608" s="6"/>
      <c r="AL1608" s="6"/>
      <c r="AM1608" s="6"/>
      <c r="AN1608" s="6"/>
      <c r="AO1608" s="6"/>
      <c r="AP1608" s="6"/>
      <c r="AQ1608" s="6"/>
      <c r="AR1608" s="6"/>
      <c r="AS1608" s="6"/>
      <c r="AT1608" s="6"/>
      <c r="AU1608" s="6"/>
      <c r="AV1608" s="6"/>
      <c r="AW1608" s="6"/>
      <c r="AX1608" s="6"/>
      <c r="AY1608" s="6"/>
      <c r="AZ1608" s="6"/>
      <c r="BA1608" s="6"/>
      <c r="BB1608" s="6"/>
      <c r="BC1608" s="6"/>
      <c r="BD1608" s="6"/>
      <c r="BE1608" s="6"/>
      <c r="BF1608" s="6"/>
      <c r="BG1608" s="6"/>
      <c r="BH1608" s="6"/>
      <c r="BI1608" s="6"/>
      <c r="BJ1608" s="6"/>
      <c r="BK1608" s="6"/>
      <c r="BL1608" s="6"/>
      <c r="BM1608" s="6"/>
      <c r="BN1608" s="6"/>
      <c r="BO1608" s="6"/>
      <c r="BP1608" s="6"/>
      <c r="BQ1608" s="6"/>
      <c r="BR1608" s="6"/>
      <c r="BS1608" s="6"/>
      <c r="BT1608" s="6"/>
      <c r="BU1608" s="6"/>
      <c r="BV1608" s="6"/>
      <c r="BW1608" s="6"/>
      <c r="BX1608" s="5"/>
      <c r="BY1608" s="7"/>
      <c r="BZ1608" s="7"/>
      <c r="CA1608" s="7"/>
      <c r="CB1608" s="7"/>
      <c r="CC1608" s="874"/>
    </row>
    <row r="1609" spans="1:81" s="400" customFormat="1" ht="14.25" customHeight="1" x14ac:dyDescent="0.25">
      <c r="A1609" s="5"/>
      <c r="B1609" s="5"/>
      <c r="C1609" s="5"/>
      <c r="D1609" s="5"/>
      <c r="E1609" s="5"/>
      <c r="F1609" s="5"/>
      <c r="G1609" s="5"/>
      <c r="H1609" s="5"/>
      <c r="I1609" s="5"/>
      <c r="J1609" s="5"/>
      <c r="K1609" s="5"/>
      <c r="L1609" s="5"/>
      <c r="M1609" s="5"/>
      <c r="N1609" s="5"/>
      <c r="O1609" s="5"/>
      <c r="P1609" s="5"/>
      <c r="Q1609" s="5"/>
      <c r="R1609" s="5"/>
      <c r="S1609" s="5"/>
      <c r="T1609" s="5"/>
      <c r="U1609" s="5"/>
      <c r="V1609" s="5"/>
      <c r="W1609" s="5"/>
      <c r="X1609" s="5"/>
      <c r="Y1609" s="5"/>
      <c r="Z1609" s="5"/>
      <c r="AA1609" s="5"/>
      <c r="AB1609" s="6"/>
      <c r="AC1609" s="6"/>
      <c r="AD1609" s="6"/>
      <c r="AE1609" s="6"/>
      <c r="AF1609" s="6"/>
      <c r="AG1609" s="6"/>
      <c r="AH1609" s="6"/>
      <c r="AI1609" s="6"/>
      <c r="AJ1609" s="6"/>
      <c r="AK1609" s="6"/>
      <c r="AL1609" s="6"/>
      <c r="AM1609" s="6"/>
      <c r="AN1609" s="6"/>
      <c r="AO1609" s="6"/>
      <c r="AP1609" s="6"/>
      <c r="AQ1609" s="6"/>
      <c r="AR1609" s="6"/>
      <c r="AS1609" s="6"/>
      <c r="AT1609" s="6"/>
      <c r="AU1609" s="6"/>
      <c r="AV1609" s="6"/>
      <c r="AW1609" s="6"/>
      <c r="AX1609" s="6"/>
      <c r="AY1609" s="6"/>
      <c r="AZ1609" s="6"/>
      <c r="BA1609" s="6"/>
      <c r="BB1609" s="6"/>
      <c r="BC1609" s="6"/>
      <c r="BD1609" s="6"/>
      <c r="BE1609" s="6"/>
      <c r="BF1609" s="6"/>
      <c r="BG1609" s="6"/>
      <c r="BH1609" s="6"/>
      <c r="BI1609" s="6"/>
      <c r="BJ1609" s="6"/>
      <c r="BK1609" s="6"/>
      <c r="BL1609" s="6"/>
      <c r="BM1609" s="6"/>
      <c r="BN1609" s="6"/>
      <c r="BO1609" s="6"/>
      <c r="BP1609" s="6"/>
      <c r="BQ1609" s="6"/>
      <c r="BR1609" s="6"/>
      <c r="BS1609" s="6"/>
      <c r="BT1609" s="6"/>
      <c r="BU1609" s="6"/>
      <c r="BV1609" s="6"/>
      <c r="BW1609" s="6"/>
      <c r="BX1609" s="5"/>
      <c r="BY1609" s="7"/>
      <c r="BZ1609" s="7"/>
      <c r="CA1609" s="7"/>
      <c r="CB1609" s="7"/>
      <c r="CC1609" s="874"/>
    </row>
    <row r="1610" spans="1:81" s="400" customFormat="1" ht="14.25" customHeight="1" x14ac:dyDescent="0.25">
      <c r="A1610" s="5"/>
      <c r="B1610" s="5"/>
      <c r="C1610" s="5"/>
      <c r="D1610" s="5"/>
      <c r="E1610" s="5"/>
      <c r="F1610" s="5"/>
      <c r="G1610" s="5"/>
      <c r="H1610" s="5"/>
      <c r="I1610" s="5"/>
      <c r="J1610" s="5"/>
      <c r="K1610" s="5"/>
      <c r="L1610" s="5"/>
      <c r="M1610" s="5"/>
      <c r="N1610" s="5"/>
      <c r="O1610" s="5"/>
      <c r="P1610" s="5"/>
      <c r="Q1610" s="5"/>
      <c r="R1610" s="5"/>
      <c r="S1610" s="5"/>
      <c r="T1610" s="5"/>
      <c r="U1610" s="5"/>
      <c r="V1610" s="5"/>
      <c r="W1610" s="5"/>
      <c r="X1610" s="5"/>
      <c r="Y1610" s="5"/>
      <c r="Z1610" s="5"/>
      <c r="AA1610" s="5"/>
      <c r="AB1610" s="6"/>
      <c r="AC1610" s="6"/>
      <c r="AD1610" s="6"/>
      <c r="AE1610" s="6"/>
      <c r="AF1610" s="6"/>
      <c r="AG1610" s="6"/>
      <c r="AH1610" s="6"/>
      <c r="AI1610" s="6"/>
      <c r="AJ1610" s="6"/>
      <c r="AK1610" s="6"/>
      <c r="AL1610" s="6"/>
      <c r="AM1610" s="6"/>
      <c r="AN1610" s="6"/>
      <c r="AO1610" s="6"/>
      <c r="AP1610" s="6"/>
      <c r="AQ1610" s="6"/>
      <c r="AR1610" s="6"/>
      <c r="AS1610" s="6"/>
      <c r="AT1610" s="6"/>
      <c r="AU1610" s="6"/>
      <c r="AV1610" s="6"/>
      <c r="AW1610" s="6"/>
      <c r="AX1610" s="6"/>
      <c r="AY1610" s="6"/>
      <c r="AZ1610" s="6"/>
      <c r="BA1610" s="6"/>
      <c r="BB1610" s="6"/>
      <c r="BC1610" s="6"/>
      <c r="BD1610" s="6"/>
      <c r="BE1610" s="6"/>
      <c r="BF1610" s="6"/>
      <c r="BG1610" s="6"/>
      <c r="BH1610" s="6"/>
      <c r="BI1610" s="6"/>
      <c r="BJ1610" s="6"/>
      <c r="BK1610" s="6"/>
      <c r="BL1610" s="6"/>
      <c r="BM1610" s="6"/>
      <c r="BN1610" s="6"/>
      <c r="BO1610" s="6"/>
      <c r="BP1610" s="6"/>
      <c r="BQ1610" s="6"/>
      <c r="BR1610" s="6"/>
      <c r="BS1610" s="6"/>
      <c r="BT1610" s="6"/>
      <c r="BU1610" s="6"/>
      <c r="BV1610" s="6"/>
      <c r="BW1610" s="6"/>
      <c r="BX1610" s="5"/>
      <c r="BY1610" s="7"/>
      <c r="BZ1610" s="7"/>
      <c r="CA1610" s="7"/>
      <c r="CB1610" s="7"/>
      <c r="CC1610" s="874"/>
    </row>
    <row r="1611" spans="1:81" s="400" customFormat="1" ht="14.25" customHeight="1" x14ac:dyDescent="0.25">
      <c r="A1611" s="5"/>
      <c r="B1611" s="5"/>
      <c r="C1611" s="5"/>
      <c r="D1611" s="5"/>
      <c r="E1611" s="5"/>
      <c r="F1611" s="5"/>
      <c r="G1611" s="5"/>
      <c r="H1611" s="5"/>
      <c r="I1611" s="5"/>
      <c r="J1611" s="5"/>
      <c r="K1611" s="5"/>
      <c r="L1611" s="5"/>
      <c r="M1611" s="5"/>
      <c r="N1611" s="5"/>
      <c r="O1611" s="5"/>
      <c r="P1611" s="5"/>
      <c r="Q1611" s="5"/>
      <c r="R1611" s="5"/>
      <c r="S1611" s="5"/>
      <c r="T1611" s="5"/>
      <c r="U1611" s="5"/>
      <c r="V1611" s="5"/>
      <c r="W1611" s="5"/>
      <c r="X1611" s="5"/>
      <c r="Y1611" s="5"/>
      <c r="Z1611" s="5"/>
      <c r="AA1611" s="5"/>
      <c r="AB1611" s="6"/>
      <c r="AC1611" s="6"/>
      <c r="AD1611" s="6"/>
      <c r="AE1611" s="6"/>
      <c r="AF1611" s="6"/>
      <c r="AG1611" s="6"/>
      <c r="AH1611" s="6"/>
      <c r="AI1611" s="6"/>
      <c r="AJ1611" s="6"/>
      <c r="AK1611" s="6"/>
      <c r="AL1611" s="6"/>
      <c r="AM1611" s="6"/>
      <c r="AN1611" s="6"/>
      <c r="AO1611" s="6"/>
      <c r="AP1611" s="6"/>
      <c r="AQ1611" s="6"/>
      <c r="AR1611" s="6"/>
      <c r="AS1611" s="6"/>
      <c r="AT1611" s="6"/>
      <c r="AU1611" s="6"/>
      <c r="AV1611" s="6"/>
      <c r="AW1611" s="6"/>
      <c r="AX1611" s="6"/>
      <c r="AY1611" s="6"/>
      <c r="AZ1611" s="6"/>
      <c r="BA1611" s="6"/>
      <c r="BB1611" s="6"/>
      <c r="BC1611" s="6"/>
      <c r="BD1611" s="6"/>
      <c r="BE1611" s="6"/>
      <c r="BF1611" s="6"/>
      <c r="BG1611" s="6"/>
      <c r="BH1611" s="6"/>
      <c r="BI1611" s="6"/>
      <c r="BJ1611" s="6"/>
      <c r="BK1611" s="6"/>
      <c r="BL1611" s="6"/>
      <c r="BM1611" s="6"/>
      <c r="BN1611" s="6"/>
      <c r="BO1611" s="6"/>
      <c r="BP1611" s="6"/>
      <c r="BQ1611" s="6"/>
      <c r="BR1611" s="6"/>
      <c r="BS1611" s="6"/>
      <c r="BT1611" s="6"/>
      <c r="BU1611" s="6"/>
      <c r="BV1611" s="6"/>
      <c r="BW1611" s="6"/>
      <c r="BX1611" s="5"/>
      <c r="BY1611" s="7"/>
      <c r="BZ1611" s="7"/>
      <c r="CA1611" s="7"/>
      <c r="CB1611" s="7"/>
      <c r="CC1611" s="874"/>
    </row>
    <row r="1612" spans="1:81" s="400" customFormat="1" ht="14.25" customHeight="1" x14ac:dyDescent="0.25">
      <c r="A1612" s="5"/>
      <c r="B1612" s="5"/>
      <c r="C1612" s="5"/>
      <c r="D1612" s="5"/>
      <c r="E1612" s="5"/>
      <c r="F1612" s="5"/>
      <c r="G1612" s="5"/>
      <c r="H1612" s="5"/>
      <c r="I1612" s="5"/>
      <c r="J1612" s="5"/>
      <c r="K1612" s="5"/>
      <c r="L1612" s="5"/>
      <c r="M1612" s="5"/>
      <c r="N1612" s="5"/>
      <c r="O1612" s="5"/>
      <c r="P1612" s="5"/>
      <c r="Q1612" s="5"/>
      <c r="R1612" s="5"/>
      <c r="S1612" s="5"/>
      <c r="T1612" s="5"/>
      <c r="U1612" s="5"/>
      <c r="V1612" s="5"/>
      <c r="W1612" s="5"/>
      <c r="X1612" s="5"/>
      <c r="Y1612" s="5"/>
      <c r="Z1612" s="5"/>
      <c r="AA1612" s="5"/>
      <c r="AB1612" s="6"/>
      <c r="AC1612" s="6"/>
      <c r="AD1612" s="6"/>
      <c r="AE1612" s="6"/>
      <c r="AF1612" s="6"/>
      <c r="AG1612" s="6"/>
      <c r="AH1612" s="6"/>
      <c r="AI1612" s="6"/>
      <c r="AJ1612" s="6"/>
      <c r="AK1612" s="6"/>
      <c r="AL1612" s="6"/>
      <c r="AM1612" s="6"/>
      <c r="AN1612" s="6"/>
      <c r="AO1612" s="6"/>
      <c r="AP1612" s="6"/>
      <c r="AQ1612" s="6"/>
      <c r="AR1612" s="6"/>
      <c r="AS1612" s="6"/>
      <c r="AT1612" s="6"/>
      <c r="AU1612" s="6"/>
      <c r="AV1612" s="6"/>
      <c r="AW1612" s="6"/>
      <c r="AX1612" s="6"/>
      <c r="AY1612" s="6"/>
      <c r="AZ1612" s="6"/>
      <c r="BA1612" s="6"/>
      <c r="BB1612" s="6"/>
      <c r="BC1612" s="6"/>
      <c r="BD1612" s="6"/>
      <c r="BE1612" s="6"/>
      <c r="BF1612" s="6"/>
      <c r="BG1612" s="6"/>
      <c r="BH1612" s="6"/>
      <c r="BI1612" s="6"/>
      <c r="BJ1612" s="6"/>
      <c r="BK1612" s="6"/>
      <c r="BL1612" s="6"/>
      <c r="BM1612" s="6"/>
      <c r="BN1612" s="6"/>
      <c r="BO1612" s="6"/>
      <c r="BP1612" s="6"/>
      <c r="BQ1612" s="6"/>
      <c r="BR1612" s="6"/>
      <c r="BS1612" s="6"/>
      <c r="BT1612" s="6"/>
      <c r="BU1612" s="6"/>
      <c r="BV1612" s="6"/>
      <c r="BW1612" s="6"/>
      <c r="BX1612" s="5"/>
      <c r="BY1612" s="7"/>
      <c r="BZ1612" s="7"/>
      <c r="CA1612" s="7"/>
      <c r="CB1612" s="7"/>
      <c r="CC1612" s="874"/>
    </row>
    <row r="1613" spans="1:81" s="400" customFormat="1" ht="14.25" customHeight="1" x14ac:dyDescent="0.25">
      <c r="A1613" s="5"/>
      <c r="B1613" s="5"/>
      <c r="C1613" s="5"/>
      <c r="D1613" s="5"/>
      <c r="E1613" s="5"/>
      <c r="F1613" s="5"/>
      <c r="G1613" s="5"/>
      <c r="H1613" s="5"/>
      <c r="I1613" s="5"/>
      <c r="J1613" s="5"/>
      <c r="K1613" s="5"/>
      <c r="L1613" s="5"/>
      <c r="M1613" s="5"/>
      <c r="N1613" s="5"/>
      <c r="O1613" s="5"/>
      <c r="P1613" s="5"/>
      <c r="Q1613" s="5"/>
      <c r="R1613" s="5"/>
      <c r="S1613" s="5"/>
      <c r="T1613" s="5"/>
      <c r="U1613" s="5"/>
      <c r="V1613" s="5"/>
      <c r="W1613" s="5"/>
      <c r="X1613" s="5"/>
      <c r="Y1613" s="5"/>
      <c r="Z1613" s="5"/>
      <c r="AA1613" s="5"/>
      <c r="AB1613" s="6"/>
      <c r="AC1613" s="6"/>
      <c r="AD1613" s="6"/>
      <c r="AE1613" s="6"/>
      <c r="AF1613" s="6"/>
      <c r="AG1613" s="6"/>
      <c r="AH1613" s="6"/>
      <c r="AI1613" s="6"/>
      <c r="AJ1613" s="6"/>
      <c r="AK1613" s="6"/>
      <c r="AL1613" s="6"/>
      <c r="AM1613" s="6"/>
      <c r="AN1613" s="6"/>
      <c r="AO1613" s="6"/>
      <c r="AP1613" s="6"/>
      <c r="AQ1613" s="6"/>
      <c r="AR1613" s="6"/>
      <c r="AS1613" s="6"/>
      <c r="AT1613" s="6"/>
      <c r="AU1613" s="6"/>
      <c r="AV1613" s="6"/>
      <c r="AW1613" s="6"/>
      <c r="AX1613" s="6"/>
      <c r="AY1613" s="6"/>
      <c r="AZ1613" s="6"/>
      <c r="BA1613" s="6"/>
      <c r="BB1613" s="6"/>
      <c r="BC1613" s="6"/>
      <c r="BD1613" s="6"/>
      <c r="BE1613" s="6"/>
      <c r="BF1613" s="6"/>
      <c r="BG1613" s="6"/>
      <c r="BH1613" s="6"/>
      <c r="BI1613" s="6"/>
      <c r="BJ1613" s="6"/>
      <c r="BK1613" s="6"/>
      <c r="BL1613" s="6"/>
      <c r="BM1613" s="6"/>
      <c r="BN1613" s="6"/>
      <c r="BO1613" s="6"/>
      <c r="BP1613" s="6"/>
      <c r="BQ1613" s="6"/>
      <c r="BR1613" s="6"/>
      <c r="BS1613" s="6"/>
      <c r="BT1613" s="6"/>
      <c r="BU1613" s="6"/>
      <c r="BV1613" s="6"/>
      <c r="BW1613" s="6"/>
      <c r="BX1613" s="5"/>
      <c r="BY1613" s="7"/>
      <c r="BZ1613" s="7"/>
      <c r="CA1613" s="7"/>
      <c r="CB1613" s="7"/>
      <c r="CC1613" s="874"/>
    </row>
    <row r="1614" spans="1:81" s="400" customFormat="1" ht="14.25" customHeight="1" x14ac:dyDescent="0.25">
      <c r="A1614" s="5"/>
      <c r="B1614" s="5"/>
      <c r="C1614" s="5"/>
      <c r="D1614" s="5"/>
      <c r="E1614" s="5"/>
      <c r="F1614" s="5"/>
      <c r="G1614" s="5"/>
      <c r="H1614" s="5"/>
      <c r="I1614" s="5"/>
      <c r="J1614" s="5"/>
      <c r="K1614" s="5"/>
      <c r="L1614" s="5"/>
      <c r="M1614" s="5"/>
      <c r="N1614" s="5"/>
      <c r="O1614" s="5"/>
      <c r="P1614" s="5"/>
      <c r="Q1614" s="5"/>
      <c r="R1614" s="5"/>
      <c r="S1614" s="5"/>
      <c r="T1614" s="5"/>
      <c r="U1614" s="5"/>
      <c r="V1614" s="5"/>
      <c r="W1614" s="5"/>
      <c r="X1614" s="5"/>
      <c r="Y1614" s="5"/>
      <c r="Z1614" s="5"/>
      <c r="AA1614" s="5"/>
      <c r="AB1614" s="6"/>
      <c r="AC1614" s="6"/>
      <c r="AD1614" s="6"/>
      <c r="AE1614" s="6"/>
      <c r="AF1614" s="6"/>
      <c r="AG1614" s="6"/>
      <c r="AH1614" s="6"/>
      <c r="AI1614" s="6"/>
      <c r="AJ1614" s="6"/>
      <c r="AK1614" s="6"/>
      <c r="AL1614" s="6"/>
      <c r="AM1614" s="6"/>
      <c r="AN1614" s="6"/>
      <c r="AO1614" s="6"/>
      <c r="AP1614" s="6"/>
      <c r="AQ1614" s="6"/>
      <c r="AR1614" s="6"/>
      <c r="AS1614" s="6"/>
      <c r="AT1614" s="6"/>
      <c r="AU1614" s="6"/>
      <c r="AV1614" s="6"/>
      <c r="AW1614" s="6"/>
      <c r="AX1614" s="6"/>
      <c r="AY1614" s="6"/>
      <c r="AZ1614" s="6"/>
      <c r="BA1614" s="6"/>
      <c r="BB1614" s="6"/>
      <c r="BC1614" s="6"/>
      <c r="BD1614" s="6"/>
      <c r="BE1614" s="6"/>
      <c r="BF1614" s="6"/>
      <c r="BG1614" s="6"/>
      <c r="BH1614" s="6"/>
      <c r="BI1614" s="6"/>
      <c r="BJ1614" s="6"/>
      <c r="BK1614" s="6"/>
      <c r="BL1614" s="6"/>
      <c r="BM1614" s="6"/>
      <c r="BN1614" s="6"/>
      <c r="BO1614" s="6"/>
      <c r="BP1614" s="6"/>
      <c r="BQ1614" s="6"/>
      <c r="BR1614" s="6"/>
      <c r="BS1614" s="6"/>
      <c r="BT1614" s="6"/>
      <c r="BU1614" s="6"/>
      <c r="BV1614" s="6"/>
      <c r="BW1614" s="6"/>
      <c r="BX1614" s="5"/>
      <c r="BY1614" s="7"/>
      <c r="BZ1614" s="7"/>
      <c r="CA1614" s="7"/>
      <c r="CB1614" s="7"/>
      <c r="CC1614" s="874"/>
    </row>
    <row r="1615" spans="1:81" s="400" customFormat="1" ht="14.25" customHeight="1" x14ac:dyDescent="0.25">
      <c r="A1615" s="5"/>
      <c r="B1615" s="5"/>
      <c r="C1615" s="5"/>
      <c r="D1615" s="5"/>
      <c r="E1615" s="5"/>
      <c r="F1615" s="5"/>
      <c r="G1615" s="5"/>
      <c r="H1615" s="5"/>
      <c r="I1615" s="5"/>
      <c r="J1615" s="5"/>
      <c r="K1615" s="5"/>
      <c r="L1615" s="5"/>
      <c r="M1615" s="5"/>
      <c r="N1615" s="5"/>
      <c r="O1615" s="5"/>
      <c r="P1615" s="5"/>
      <c r="Q1615" s="5"/>
      <c r="R1615" s="5"/>
      <c r="S1615" s="5"/>
      <c r="T1615" s="5"/>
      <c r="U1615" s="5"/>
      <c r="V1615" s="5"/>
      <c r="W1615" s="5"/>
      <c r="X1615" s="5"/>
      <c r="Y1615" s="5"/>
      <c r="Z1615" s="5"/>
      <c r="AA1615" s="5"/>
      <c r="AB1615" s="6"/>
      <c r="AC1615" s="6"/>
      <c r="AD1615" s="6"/>
      <c r="AE1615" s="6"/>
      <c r="AF1615" s="6"/>
      <c r="AG1615" s="6"/>
      <c r="AH1615" s="6"/>
      <c r="AI1615" s="6"/>
      <c r="AJ1615" s="6"/>
      <c r="AK1615" s="6"/>
      <c r="AL1615" s="6"/>
      <c r="AM1615" s="6"/>
      <c r="AN1615" s="6"/>
      <c r="AO1615" s="6"/>
      <c r="AP1615" s="6"/>
      <c r="AQ1615" s="6"/>
      <c r="AR1615" s="6"/>
      <c r="AS1615" s="6"/>
      <c r="AT1615" s="6"/>
      <c r="AU1615" s="6"/>
      <c r="AV1615" s="6"/>
      <c r="AW1615" s="6"/>
      <c r="AX1615" s="6"/>
      <c r="AY1615" s="6"/>
      <c r="AZ1615" s="6"/>
      <c r="BA1615" s="6"/>
      <c r="BB1615" s="6"/>
      <c r="BC1615" s="6"/>
      <c r="BD1615" s="6"/>
      <c r="BE1615" s="6"/>
      <c r="BF1615" s="6"/>
      <c r="BG1615" s="6"/>
      <c r="BH1615" s="6"/>
      <c r="BI1615" s="6"/>
      <c r="BJ1615" s="6"/>
      <c r="BK1615" s="6"/>
      <c r="BL1615" s="6"/>
      <c r="BM1615" s="6"/>
      <c r="BN1615" s="6"/>
      <c r="BO1615" s="6"/>
      <c r="BP1615" s="6"/>
      <c r="BQ1615" s="6"/>
      <c r="BR1615" s="6"/>
      <c r="BS1615" s="6"/>
      <c r="BT1615" s="6"/>
      <c r="BU1615" s="6"/>
      <c r="BV1615" s="6"/>
      <c r="BW1615" s="6"/>
      <c r="BX1615" s="5"/>
      <c r="BY1615" s="7"/>
      <c r="BZ1615" s="7"/>
      <c r="CA1615" s="7"/>
      <c r="CB1615" s="7"/>
      <c r="CC1615" s="874"/>
    </row>
    <row r="1616" spans="1:81" s="400" customFormat="1" ht="14.25" customHeight="1" x14ac:dyDescent="0.25">
      <c r="A1616" s="5"/>
      <c r="B1616" s="5"/>
      <c r="C1616" s="5"/>
      <c r="D1616" s="5"/>
      <c r="E1616" s="5"/>
      <c r="F1616" s="5"/>
      <c r="G1616" s="5"/>
      <c r="H1616" s="5"/>
      <c r="I1616" s="5"/>
      <c r="J1616" s="5"/>
      <c r="K1616" s="5"/>
      <c r="L1616" s="5"/>
      <c r="M1616" s="5"/>
      <c r="N1616" s="5"/>
      <c r="O1616" s="5"/>
      <c r="P1616" s="5"/>
      <c r="Q1616" s="5"/>
      <c r="R1616" s="5"/>
      <c r="S1616" s="5"/>
      <c r="T1616" s="5"/>
      <c r="U1616" s="5"/>
      <c r="V1616" s="5"/>
      <c r="W1616" s="5"/>
      <c r="X1616" s="5"/>
      <c r="Y1616" s="5"/>
      <c r="Z1616" s="5"/>
      <c r="AA1616" s="5"/>
      <c r="AB1616" s="6"/>
      <c r="AC1616" s="6"/>
      <c r="AD1616" s="6"/>
      <c r="AE1616" s="6"/>
      <c r="AF1616" s="6"/>
      <c r="AG1616" s="6"/>
      <c r="AH1616" s="6"/>
      <c r="AI1616" s="6"/>
      <c r="AJ1616" s="6"/>
      <c r="AK1616" s="6"/>
      <c r="AL1616" s="6"/>
      <c r="AM1616" s="6"/>
      <c r="AN1616" s="6"/>
      <c r="AO1616" s="6"/>
      <c r="AP1616" s="6"/>
      <c r="AQ1616" s="6"/>
      <c r="AR1616" s="6"/>
      <c r="AS1616" s="6"/>
      <c r="AT1616" s="6"/>
      <c r="AU1616" s="6"/>
      <c r="AV1616" s="6"/>
      <c r="AW1616" s="6"/>
      <c r="AX1616" s="6"/>
      <c r="AY1616" s="6"/>
      <c r="AZ1616" s="6"/>
      <c r="BA1616" s="6"/>
      <c r="BB1616" s="6"/>
      <c r="BC1616" s="6"/>
      <c r="BD1616" s="6"/>
      <c r="BE1616" s="6"/>
      <c r="BF1616" s="6"/>
      <c r="BG1616" s="6"/>
      <c r="BH1616" s="6"/>
      <c r="BI1616" s="6"/>
      <c r="BJ1616" s="6"/>
      <c r="BK1616" s="6"/>
      <c r="BL1616" s="6"/>
      <c r="BM1616" s="6"/>
      <c r="BN1616" s="6"/>
      <c r="BO1616" s="6"/>
      <c r="BP1616" s="6"/>
      <c r="BQ1616" s="6"/>
      <c r="BR1616" s="6"/>
      <c r="BS1616" s="6"/>
      <c r="BT1616" s="6"/>
      <c r="BU1616" s="6"/>
      <c r="BV1616" s="6"/>
      <c r="BW1616" s="6"/>
      <c r="BX1616" s="5"/>
      <c r="BY1616" s="7"/>
      <c r="BZ1616" s="7"/>
      <c r="CA1616" s="7"/>
      <c r="CB1616" s="7"/>
      <c r="CC1616" s="874"/>
    </row>
    <row r="1617" spans="1:81" s="400" customFormat="1" ht="14.25" customHeight="1" x14ac:dyDescent="0.25">
      <c r="A1617" s="5"/>
      <c r="B1617" s="5"/>
      <c r="C1617" s="5"/>
      <c r="D1617" s="5"/>
      <c r="E1617" s="5"/>
      <c r="F1617" s="5"/>
      <c r="G1617" s="5"/>
      <c r="H1617" s="5"/>
      <c r="I1617" s="5"/>
      <c r="J1617" s="5"/>
      <c r="K1617" s="5"/>
      <c r="L1617" s="5"/>
      <c r="M1617" s="5"/>
      <c r="N1617" s="5"/>
      <c r="O1617" s="5"/>
      <c r="P1617" s="5"/>
      <c r="Q1617" s="5"/>
      <c r="R1617" s="5"/>
      <c r="S1617" s="5"/>
      <c r="T1617" s="5"/>
      <c r="U1617" s="5"/>
      <c r="V1617" s="5"/>
      <c r="W1617" s="5"/>
      <c r="X1617" s="5"/>
      <c r="Y1617" s="5"/>
      <c r="Z1617" s="5"/>
      <c r="AA1617" s="5"/>
      <c r="AB1617" s="6"/>
      <c r="AC1617" s="6"/>
      <c r="AD1617" s="6"/>
      <c r="AE1617" s="6"/>
      <c r="AF1617" s="6"/>
      <c r="AG1617" s="6"/>
      <c r="AH1617" s="6"/>
      <c r="AI1617" s="6"/>
      <c r="AJ1617" s="6"/>
      <c r="AK1617" s="6"/>
      <c r="AL1617" s="6"/>
      <c r="AM1617" s="6"/>
      <c r="AN1617" s="6"/>
      <c r="AO1617" s="6"/>
      <c r="AP1617" s="6"/>
      <c r="AQ1617" s="6"/>
      <c r="AR1617" s="6"/>
      <c r="AS1617" s="6"/>
      <c r="AT1617" s="6"/>
      <c r="AU1617" s="6"/>
      <c r="AV1617" s="6"/>
      <c r="AW1617" s="6"/>
      <c r="AX1617" s="6"/>
      <c r="AY1617" s="6"/>
      <c r="AZ1617" s="6"/>
      <c r="BA1617" s="6"/>
      <c r="BB1617" s="6"/>
      <c r="BC1617" s="6"/>
      <c r="BD1617" s="6"/>
      <c r="BE1617" s="6"/>
      <c r="BF1617" s="6"/>
      <c r="BG1617" s="6"/>
      <c r="BH1617" s="6"/>
      <c r="BI1617" s="6"/>
      <c r="BJ1617" s="6"/>
      <c r="BK1617" s="6"/>
      <c r="BL1617" s="6"/>
      <c r="BM1617" s="6"/>
      <c r="BN1617" s="6"/>
      <c r="BO1617" s="6"/>
      <c r="BP1617" s="6"/>
      <c r="BQ1617" s="6"/>
      <c r="BR1617" s="6"/>
      <c r="BS1617" s="6"/>
      <c r="BT1617" s="6"/>
      <c r="BU1617" s="6"/>
      <c r="BV1617" s="6"/>
      <c r="BW1617" s="6"/>
      <c r="BX1617" s="5"/>
      <c r="BY1617" s="7"/>
      <c r="BZ1617" s="7"/>
      <c r="CA1617" s="7"/>
      <c r="CB1617" s="7"/>
      <c r="CC1617" s="874"/>
    </row>
    <row r="1618" spans="1:81" s="400" customFormat="1" ht="14.25" customHeight="1" x14ac:dyDescent="0.25">
      <c r="A1618" s="5"/>
      <c r="B1618" s="5"/>
      <c r="C1618" s="5"/>
      <c r="D1618" s="5"/>
      <c r="E1618" s="5"/>
      <c r="F1618" s="5"/>
      <c r="G1618" s="5"/>
      <c r="H1618" s="5"/>
      <c r="I1618" s="5"/>
      <c r="J1618" s="5"/>
      <c r="K1618" s="5"/>
      <c r="L1618" s="5"/>
      <c r="M1618" s="5"/>
      <c r="N1618" s="5"/>
      <c r="O1618" s="5"/>
      <c r="P1618" s="5"/>
      <c r="Q1618" s="5"/>
      <c r="R1618" s="5"/>
      <c r="S1618" s="5"/>
      <c r="T1618" s="5"/>
      <c r="U1618" s="5"/>
      <c r="V1618" s="5"/>
      <c r="W1618" s="5"/>
      <c r="X1618" s="5"/>
      <c r="Y1618" s="5"/>
      <c r="Z1618" s="5"/>
      <c r="AA1618" s="5"/>
      <c r="AB1618" s="6"/>
      <c r="AC1618" s="6"/>
      <c r="AD1618" s="6"/>
      <c r="AE1618" s="6"/>
      <c r="AF1618" s="6"/>
      <c r="AG1618" s="6"/>
      <c r="AH1618" s="6"/>
      <c r="AI1618" s="6"/>
      <c r="AJ1618" s="6"/>
      <c r="AK1618" s="6"/>
      <c r="AL1618" s="6"/>
      <c r="AM1618" s="6"/>
      <c r="AN1618" s="6"/>
      <c r="AO1618" s="6"/>
      <c r="AP1618" s="6"/>
      <c r="AQ1618" s="6"/>
      <c r="AR1618" s="6"/>
      <c r="AS1618" s="6"/>
      <c r="AT1618" s="6"/>
      <c r="AU1618" s="6"/>
      <c r="AV1618" s="6"/>
      <c r="AW1618" s="6"/>
      <c r="AX1618" s="6"/>
      <c r="AY1618" s="6"/>
      <c r="AZ1618" s="6"/>
      <c r="BA1618" s="6"/>
      <c r="BB1618" s="6"/>
      <c r="BC1618" s="6"/>
      <c r="BD1618" s="6"/>
      <c r="BE1618" s="6"/>
      <c r="BF1618" s="6"/>
      <c r="BG1618" s="6"/>
      <c r="BH1618" s="6"/>
      <c r="BI1618" s="6"/>
      <c r="BJ1618" s="6"/>
      <c r="BK1618" s="6"/>
      <c r="BL1618" s="6"/>
      <c r="BM1618" s="6"/>
      <c r="BN1618" s="6"/>
      <c r="BO1618" s="6"/>
      <c r="BP1618" s="6"/>
      <c r="BQ1618" s="6"/>
      <c r="BR1618" s="6"/>
      <c r="BS1618" s="6"/>
      <c r="BT1618" s="6"/>
      <c r="BU1618" s="6"/>
      <c r="BV1618" s="6"/>
      <c r="BW1618" s="6"/>
      <c r="BX1618" s="5"/>
      <c r="BY1618" s="7"/>
      <c r="BZ1618" s="7"/>
      <c r="CA1618" s="7"/>
      <c r="CB1618" s="7"/>
      <c r="CC1618" s="874"/>
    </row>
    <row r="1619" spans="1:81" s="400" customFormat="1" ht="14.25" customHeight="1" x14ac:dyDescent="0.25">
      <c r="A1619" s="5"/>
      <c r="B1619" s="5"/>
      <c r="C1619" s="5"/>
      <c r="D1619" s="5"/>
      <c r="E1619" s="5"/>
      <c r="F1619" s="5"/>
      <c r="G1619" s="5"/>
      <c r="H1619" s="5"/>
      <c r="I1619" s="5"/>
      <c r="J1619" s="5"/>
      <c r="K1619" s="5"/>
      <c r="L1619" s="5"/>
      <c r="M1619" s="5"/>
      <c r="N1619" s="5"/>
      <c r="O1619" s="5"/>
      <c r="P1619" s="5"/>
      <c r="Q1619" s="5"/>
      <c r="R1619" s="5"/>
      <c r="S1619" s="5"/>
      <c r="T1619" s="5"/>
      <c r="U1619" s="5"/>
      <c r="V1619" s="5"/>
      <c r="W1619" s="5"/>
      <c r="X1619" s="5"/>
      <c r="Y1619" s="5"/>
      <c r="Z1619" s="5"/>
      <c r="AA1619" s="5"/>
      <c r="AB1619" s="6"/>
      <c r="AC1619" s="6"/>
      <c r="AD1619" s="6"/>
      <c r="AE1619" s="6"/>
      <c r="AF1619" s="6"/>
      <c r="AG1619" s="6"/>
      <c r="AH1619" s="6"/>
      <c r="AI1619" s="6"/>
      <c r="AJ1619" s="6"/>
      <c r="AK1619" s="6"/>
      <c r="AL1619" s="6"/>
      <c r="AM1619" s="6"/>
      <c r="AN1619" s="6"/>
      <c r="AO1619" s="6"/>
      <c r="AP1619" s="6"/>
      <c r="AQ1619" s="6"/>
      <c r="AR1619" s="6"/>
      <c r="AS1619" s="6"/>
      <c r="AT1619" s="6"/>
      <c r="AU1619" s="6"/>
      <c r="AV1619" s="6"/>
      <c r="AW1619" s="6"/>
      <c r="AX1619" s="6"/>
      <c r="AY1619" s="6"/>
      <c r="AZ1619" s="6"/>
      <c r="BA1619" s="6"/>
      <c r="BB1619" s="6"/>
      <c r="BC1619" s="6"/>
      <c r="BD1619" s="6"/>
      <c r="BE1619" s="6"/>
      <c r="BF1619" s="6"/>
      <c r="BG1619" s="6"/>
      <c r="BH1619" s="6"/>
      <c r="BI1619" s="6"/>
      <c r="BJ1619" s="6"/>
      <c r="BK1619" s="6"/>
      <c r="BL1619" s="6"/>
      <c r="BM1619" s="6"/>
      <c r="BN1619" s="6"/>
      <c r="BO1619" s="6"/>
      <c r="BP1619" s="6"/>
      <c r="BQ1619" s="6"/>
      <c r="BR1619" s="6"/>
      <c r="BS1619" s="6"/>
      <c r="BT1619" s="6"/>
      <c r="BU1619" s="6"/>
      <c r="BV1619" s="6"/>
      <c r="BW1619" s="6"/>
      <c r="BX1619" s="5"/>
      <c r="BY1619" s="7"/>
      <c r="BZ1619" s="7"/>
      <c r="CA1619" s="7"/>
      <c r="CB1619" s="7"/>
      <c r="CC1619" s="874"/>
    </row>
    <row r="1620" spans="1:81" s="400" customFormat="1" ht="14.25" customHeight="1" x14ac:dyDescent="0.25">
      <c r="A1620" s="5"/>
      <c r="B1620" s="5"/>
      <c r="C1620" s="5"/>
      <c r="D1620" s="5"/>
      <c r="E1620" s="5"/>
      <c r="F1620" s="5"/>
      <c r="G1620" s="5"/>
      <c r="H1620" s="5"/>
      <c r="I1620" s="5"/>
      <c r="J1620" s="5"/>
      <c r="K1620" s="5"/>
      <c r="L1620" s="5"/>
      <c r="M1620" s="5"/>
      <c r="N1620" s="5"/>
      <c r="O1620" s="5"/>
      <c r="P1620" s="5"/>
      <c r="Q1620" s="5"/>
      <c r="R1620" s="5"/>
      <c r="S1620" s="5"/>
      <c r="T1620" s="5"/>
      <c r="U1620" s="5"/>
      <c r="V1620" s="5"/>
      <c r="W1620" s="5"/>
      <c r="X1620" s="5"/>
      <c r="Y1620" s="5"/>
      <c r="Z1620" s="5"/>
      <c r="AA1620" s="5"/>
      <c r="AB1620" s="6"/>
      <c r="AC1620" s="6"/>
      <c r="AD1620" s="6"/>
      <c r="AE1620" s="6"/>
      <c r="AF1620" s="6"/>
      <c r="AG1620" s="6"/>
      <c r="AH1620" s="6"/>
      <c r="AI1620" s="6"/>
      <c r="AJ1620" s="6"/>
      <c r="AK1620" s="6"/>
      <c r="AL1620" s="6"/>
      <c r="AM1620" s="6"/>
      <c r="AN1620" s="6"/>
      <c r="AO1620" s="6"/>
      <c r="AP1620" s="6"/>
      <c r="AQ1620" s="6"/>
      <c r="AR1620" s="6"/>
      <c r="AS1620" s="6"/>
      <c r="AT1620" s="6"/>
      <c r="AU1620" s="6"/>
      <c r="AV1620" s="6"/>
      <c r="AW1620" s="6"/>
      <c r="AX1620" s="6"/>
      <c r="AY1620" s="6"/>
      <c r="AZ1620" s="6"/>
      <c r="BA1620" s="6"/>
      <c r="BB1620" s="6"/>
      <c r="BC1620" s="6"/>
      <c r="BD1620" s="6"/>
      <c r="BE1620" s="6"/>
      <c r="BF1620" s="6"/>
      <c r="BG1620" s="6"/>
      <c r="BH1620" s="6"/>
      <c r="BI1620" s="6"/>
      <c r="BJ1620" s="6"/>
      <c r="BK1620" s="6"/>
      <c r="BL1620" s="6"/>
      <c r="BM1620" s="6"/>
      <c r="BN1620" s="6"/>
      <c r="BO1620" s="6"/>
      <c r="BP1620" s="6"/>
      <c r="BQ1620" s="6"/>
      <c r="BR1620" s="6"/>
      <c r="BS1620" s="6"/>
      <c r="BT1620" s="6"/>
      <c r="BU1620" s="6"/>
      <c r="BV1620" s="6"/>
      <c r="BW1620" s="6"/>
      <c r="BX1620" s="5"/>
      <c r="BY1620" s="7"/>
      <c r="BZ1620" s="7"/>
      <c r="CA1620" s="7"/>
      <c r="CB1620" s="7"/>
      <c r="CC1620" s="874"/>
    </row>
    <row r="1621" spans="1:81" s="400" customFormat="1" ht="14.25" customHeight="1" x14ac:dyDescent="0.25">
      <c r="A1621" s="5"/>
      <c r="B1621" s="5"/>
      <c r="C1621" s="5"/>
      <c r="D1621" s="5"/>
      <c r="E1621" s="5"/>
      <c r="F1621" s="5"/>
      <c r="G1621" s="5"/>
      <c r="H1621" s="5"/>
      <c r="I1621" s="5"/>
      <c r="J1621" s="5"/>
      <c r="K1621" s="5"/>
      <c r="L1621" s="5"/>
      <c r="M1621" s="5"/>
      <c r="N1621" s="5"/>
      <c r="O1621" s="5"/>
      <c r="P1621" s="5"/>
      <c r="Q1621" s="5"/>
      <c r="R1621" s="5"/>
      <c r="S1621" s="5"/>
      <c r="T1621" s="5"/>
      <c r="U1621" s="5"/>
      <c r="V1621" s="5"/>
      <c r="W1621" s="5"/>
      <c r="X1621" s="5"/>
      <c r="Y1621" s="5"/>
      <c r="Z1621" s="5"/>
      <c r="AA1621" s="5"/>
      <c r="AB1621" s="6"/>
      <c r="AC1621" s="6"/>
      <c r="AD1621" s="6"/>
      <c r="AE1621" s="6"/>
      <c r="AF1621" s="6"/>
      <c r="AG1621" s="6"/>
      <c r="AH1621" s="6"/>
      <c r="AI1621" s="6"/>
      <c r="AJ1621" s="6"/>
      <c r="AK1621" s="6"/>
      <c r="AL1621" s="6"/>
      <c r="AM1621" s="6"/>
      <c r="AN1621" s="6"/>
      <c r="AO1621" s="6"/>
      <c r="AP1621" s="6"/>
      <c r="AQ1621" s="6"/>
      <c r="AR1621" s="6"/>
      <c r="AS1621" s="6"/>
      <c r="AT1621" s="6"/>
      <c r="AU1621" s="6"/>
      <c r="AV1621" s="6"/>
      <c r="AW1621" s="6"/>
      <c r="AX1621" s="6"/>
      <c r="AY1621" s="6"/>
      <c r="AZ1621" s="6"/>
      <c r="BA1621" s="6"/>
      <c r="BB1621" s="6"/>
      <c r="BC1621" s="6"/>
      <c r="BD1621" s="6"/>
      <c r="BE1621" s="6"/>
      <c r="BF1621" s="6"/>
      <c r="BG1621" s="6"/>
      <c r="BH1621" s="6"/>
      <c r="BI1621" s="6"/>
      <c r="BJ1621" s="6"/>
      <c r="BK1621" s="6"/>
      <c r="BL1621" s="6"/>
      <c r="BM1621" s="6"/>
      <c r="BN1621" s="6"/>
      <c r="BO1621" s="6"/>
      <c r="BP1621" s="6"/>
      <c r="BQ1621" s="6"/>
      <c r="BR1621" s="6"/>
      <c r="BS1621" s="6"/>
      <c r="BT1621" s="6"/>
      <c r="BU1621" s="6"/>
      <c r="BV1621" s="6"/>
      <c r="BW1621" s="6"/>
      <c r="BX1621" s="5"/>
      <c r="BY1621" s="7"/>
      <c r="BZ1621" s="7"/>
      <c r="CA1621" s="7"/>
      <c r="CB1621" s="7"/>
      <c r="CC1621" s="874"/>
    </row>
    <row r="1622" spans="1:81" s="400" customFormat="1" ht="14.25" customHeight="1" x14ac:dyDescent="0.25">
      <c r="A1622" s="5"/>
      <c r="B1622" s="5"/>
      <c r="C1622" s="5"/>
      <c r="D1622" s="5"/>
      <c r="E1622" s="5"/>
      <c r="F1622" s="5"/>
      <c r="G1622" s="5"/>
      <c r="H1622" s="5"/>
      <c r="I1622" s="5"/>
      <c r="J1622" s="5"/>
      <c r="K1622" s="5"/>
      <c r="L1622" s="5"/>
      <c r="M1622" s="5"/>
      <c r="N1622" s="5"/>
      <c r="O1622" s="5"/>
      <c r="P1622" s="5"/>
      <c r="Q1622" s="5"/>
      <c r="R1622" s="5"/>
      <c r="S1622" s="5"/>
      <c r="T1622" s="5"/>
      <c r="U1622" s="5"/>
      <c r="V1622" s="5"/>
      <c r="W1622" s="5"/>
      <c r="X1622" s="5"/>
      <c r="Y1622" s="5"/>
      <c r="Z1622" s="5"/>
      <c r="AA1622" s="5"/>
      <c r="AB1622" s="6"/>
      <c r="AC1622" s="6"/>
      <c r="AD1622" s="6"/>
      <c r="AE1622" s="6"/>
      <c r="AF1622" s="6"/>
      <c r="AG1622" s="6"/>
      <c r="AH1622" s="6"/>
      <c r="AI1622" s="6"/>
      <c r="AJ1622" s="6"/>
      <c r="AK1622" s="6"/>
      <c r="AL1622" s="6"/>
      <c r="AM1622" s="6"/>
      <c r="AN1622" s="6"/>
      <c r="AO1622" s="6"/>
      <c r="AP1622" s="6"/>
      <c r="AQ1622" s="6"/>
      <c r="AR1622" s="6"/>
      <c r="AS1622" s="6"/>
      <c r="AT1622" s="6"/>
      <c r="AU1622" s="6"/>
      <c r="AV1622" s="6"/>
      <c r="AW1622" s="6"/>
      <c r="AX1622" s="6"/>
      <c r="AY1622" s="6"/>
      <c r="AZ1622" s="6"/>
      <c r="BA1622" s="6"/>
      <c r="BB1622" s="6"/>
      <c r="BC1622" s="6"/>
      <c r="BD1622" s="6"/>
      <c r="BE1622" s="6"/>
      <c r="BF1622" s="6"/>
      <c r="BG1622" s="6"/>
      <c r="BH1622" s="6"/>
      <c r="BI1622" s="6"/>
      <c r="BJ1622" s="6"/>
      <c r="BK1622" s="6"/>
      <c r="BL1622" s="6"/>
      <c r="BM1622" s="6"/>
      <c r="BN1622" s="6"/>
      <c r="BO1622" s="6"/>
      <c r="BP1622" s="6"/>
      <c r="BQ1622" s="6"/>
      <c r="BR1622" s="6"/>
      <c r="BS1622" s="6"/>
      <c r="BT1622" s="6"/>
      <c r="BU1622" s="6"/>
      <c r="BV1622" s="6"/>
      <c r="BW1622" s="6"/>
      <c r="BX1622" s="5"/>
      <c r="BY1622" s="7"/>
      <c r="BZ1622" s="7"/>
      <c r="CA1622" s="7"/>
      <c r="CB1622" s="7"/>
      <c r="CC1622" s="874"/>
    </row>
    <row r="1623" spans="1:81" s="400" customFormat="1" ht="14.25" customHeight="1" x14ac:dyDescent="0.25">
      <c r="A1623" s="5"/>
      <c r="B1623" s="5"/>
      <c r="C1623" s="5"/>
      <c r="D1623" s="5"/>
      <c r="E1623" s="5"/>
      <c r="F1623" s="5"/>
      <c r="G1623" s="5"/>
      <c r="H1623" s="5"/>
      <c r="I1623" s="5"/>
      <c r="J1623" s="5"/>
      <c r="K1623" s="5"/>
      <c r="L1623" s="5"/>
      <c r="M1623" s="5"/>
      <c r="N1623" s="5"/>
      <c r="O1623" s="5"/>
      <c r="P1623" s="5"/>
      <c r="Q1623" s="5"/>
      <c r="R1623" s="5"/>
      <c r="S1623" s="5"/>
      <c r="T1623" s="5"/>
      <c r="U1623" s="5"/>
      <c r="V1623" s="5"/>
      <c r="W1623" s="5"/>
      <c r="X1623" s="5"/>
      <c r="Y1623" s="5"/>
      <c r="Z1623" s="5"/>
      <c r="AA1623" s="5"/>
      <c r="AB1623" s="6"/>
      <c r="AC1623" s="6"/>
      <c r="AD1623" s="6"/>
      <c r="AE1623" s="6"/>
      <c r="AF1623" s="6"/>
      <c r="AG1623" s="6"/>
      <c r="AH1623" s="6"/>
      <c r="AI1623" s="6"/>
      <c r="AJ1623" s="6"/>
      <c r="AK1623" s="6"/>
      <c r="AL1623" s="6"/>
      <c r="AM1623" s="6"/>
      <c r="AN1623" s="6"/>
      <c r="AO1623" s="6"/>
      <c r="AP1623" s="6"/>
      <c r="AQ1623" s="6"/>
      <c r="AR1623" s="6"/>
      <c r="AS1623" s="6"/>
      <c r="AT1623" s="6"/>
      <c r="AU1623" s="6"/>
      <c r="AV1623" s="6"/>
      <c r="AW1623" s="6"/>
      <c r="AX1623" s="6"/>
      <c r="AY1623" s="6"/>
      <c r="AZ1623" s="6"/>
      <c r="BA1623" s="6"/>
      <c r="BB1623" s="6"/>
      <c r="BC1623" s="6"/>
      <c r="BD1623" s="6"/>
      <c r="BE1623" s="6"/>
      <c r="BF1623" s="6"/>
      <c r="BG1623" s="6"/>
      <c r="BH1623" s="6"/>
      <c r="BI1623" s="6"/>
      <c r="BJ1623" s="6"/>
      <c r="BK1623" s="6"/>
      <c r="BL1623" s="6"/>
      <c r="BM1623" s="6"/>
      <c r="BN1623" s="6"/>
      <c r="BO1623" s="6"/>
      <c r="BP1623" s="6"/>
      <c r="BQ1623" s="6"/>
      <c r="BR1623" s="6"/>
      <c r="BS1623" s="6"/>
      <c r="BT1623" s="6"/>
      <c r="BU1623" s="6"/>
      <c r="BV1623" s="6"/>
      <c r="BW1623" s="6"/>
      <c r="BX1623" s="5"/>
      <c r="BY1623" s="7"/>
      <c r="BZ1623" s="7"/>
      <c r="CA1623" s="7"/>
      <c r="CB1623" s="7"/>
      <c r="CC1623" s="874"/>
    </row>
    <row r="1624" spans="1:81" s="400" customFormat="1" ht="14.25" customHeight="1" x14ac:dyDescent="0.25">
      <c r="A1624" s="5"/>
      <c r="B1624" s="5"/>
      <c r="C1624" s="5"/>
      <c r="D1624" s="5"/>
      <c r="E1624" s="5"/>
      <c r="F1624" s="5"/>
      <c r="G1624" s="5"/>
      <c r="H1624" s="5"/>
      <c r="I1624" s="5"/>
      <c r="J1624" s="5"/>
      <c r="K1624" s="5"/>
      <c r="L1624" s="5"/>
      <c r="M1624" s="5"/>
      <c r="N1624" s="5"/>
      <c r="O1624" s="5"/>
      <c r="P1624" s="5"/>
      <c r="Q1624" s="5"/>
      <c r="R1624" s="5"/>
      <c r="S1624" s="5"/>
      <c r="T1624" s="5"/>
      <c r="U1624" s="5"/>
      <c r="V1624" s="5"/>
      <c r="W1624" s="5"/>
      <c r="X1624" s="5"/>
      <c r="Y1624" s="5"/>
      <c r="Z1624" s="5"/>
      <c r="AA1624" s="5"/>
      <c r="AB1624" s="6"/>
      <c r="AC1624" s="6"/>
      <c r="AD1624" s="6"/>
      <c r="AE1624" s="6"/>
      <c r="AF1624" s="6"/>
      <c r="AG1624" s="6"/>
      <c r="AH1624" s="6"/>
      <c r="AI1624" s="6"/>
      <c r="AJ1624" s="6"/>
      <c r="AK1624" s="6"/>
      <c r="AL1624" s="6"/>
      <c r="AM1624" s="6"/>
      <c r="AN1624" s="6"/>
      <c r="AO1624" s="6"/>
      <c r="AP1624" s="6"/>
      <c r="AQ1624" s="6"/>
      <c r="AR1624" s="6"/>
      <c r="AS1624" s="6"/>
      <c r="AT1624" s="6"/>
      <c r="AU1624" s="6"/>
      <c r="AV1624" s="6"/>
      <c r="AW1624" s="6"/>
      <c r="AX1624" s="6"/>
      <c r="AY1624" s="6"/>
      <c r="AZ1624" s="6"/>
      <c r="BA1624" s="6"/>
      <c r="BB1624" s="6"/>
      <c r="BC1624" s="6"/>
      <c r="BD1624" s="6"/>
      <c r="BE1624" s="6"/>
      <c r="BF1624" s="6"/>
      <c r="BG1624" s="6"/>
      <c r="BH1624" s="6"/>
      <c r="BI1624" s="6"/>
      <c r="BJ1624" s="6"/>
      <c r="BK1624" s="6"/>
      <c r="BL1624" s="6"/>
      <c r="BM1624" s="6"/>
      <c r="BN1624" s="6"/>
      <c r="BO1624" s="6"/>
      <c r="BP1624" s="6"/>
      <c r="BQ1624" s="6"/>
      <c r="BR1624" s="6"/>
      <c r="BS1624" s="6"/>
      <c r="BT1624" s="6"/>
      <c r="BU1624" s="6"/>
      <c r="BV1624" s="6"/>
      <c r="BW1624" s="6"/>
      <c r="BX1624" s="5"/>
      <c r="BY1624" s="7"/>
      <c r="BZ1624" s="7"/>
      <c r="CA1624" s="7"/>
      <c r="CB1624" s="7"/>
      <c r="CC1624" s="874"/>
    </row>
    <row r="1625" spans="1:81" s="400" customFormat="1" ht="14.25" customHeight="1" x14ac:dyDescent="0.25">
      <c r="A1625" s="5"/>
      <c r="B1625" s="5"/>
      <c r="C1625" s="5"/>
      <c r="D1625" s="5"/>
      <c r="E1625" s="5"/>
      <c r="F1625" s="5"/>
      <c r="G1625" s="5"/>
      <c r="H1625" s="5"/>
      <c r="I1625" s="5"/>
      <c r="J1625" s="5"/>
      <c r="K1625" s="5"/>
      <c r="L1625" s="5"/>
      <c r="M1625" s="5"/>
      <c r="N1625" s="5"/>
      <c r="O1625" s="5"/>
      <c r="P1625" s="5"/>
      <c r="Q1625" s="5"/>
      <c r="R1625" s="5"/>
      <c r="S1625" s="5"/>
      <c r="T1625" s="5"/>
      <c r="U1625" s="5"/>
      <c r="V1625" s="5"/>
      <c r="W1625" s="5"/>
      <c r="X1625" s="5"/>
      <c r="Y1625" s="5"/>
      <c r="Z1625" s="5"/>
      <c r="AA1625" s="5"/>
      <c r="AB1625" s="6"/>
      <c r="AC1625" s="6"/>
      <c r="AD1625" s="6"/>
      <c r="AE1625" s="6"/>
      <c r="AF1625" s="6"/>
      <c r="AG1625" s="6"/>
      <c r="AH1625" s="6"/>
      <c r="AI1625" s="6"/>
      <c r="AJ1625" s="6"/>
      <c r="AK1625" s="6"/>
      <c r="AL1625" s="6"/>
      <c r="AM1625" s="6"/>
      <c r="AN1625" s="6"/>
      <c r="AO1625" s="6"/>
      <c r="AP1625" s="6"/>
      <c r="AQ1625" s="6"/>
      <c r="AR1625" s="6"/>
      <c r="AS1625" s="6"/>
      <c r="AT1625" s="6"/>
      <c r="AU1625" s="6"/>
      <c r="AV1625" s="6"/>
      <c r="AW1625" s="6"/>
      <c r="AX1625" s="6"/>
      <c r="AY1625" s="6"/>
      <c r="AZ1625" s="6"/>
      <c r="BA1625" s="6"/>
      <c r="BB1625" s="6"/>
      <c r="BC1625" s="6"/>
      <c r="BD1625" s="6"/>
      <c r="BE1625" s="6"/>
      <c r="BF1625" s="6"/>
      <c r="BG1625" s="6"/>
      <c r="BH1625" s="6"/>
      <c r="BI1625" s="6"/>
      <c r="BJ1625" s="6"/>
      <c r="BK1625" s="6"/>
      <c r="BL1625" s="6"/>
      <c r="BM1625" s="6"/>
      <c r="BN1625" s="6"/>
      <c r="BO1625" s="6"/>
      <c r="BP1625" s="6"/>
      <c r="BQ1625" s="6"/>
      <c r="BR1625" s="6"/>
      <c r="BS1625" s="6"/>
      <c r="BT1625" s="6"/>
      <c r="BU1625" s="6"/>
      <c r="BV1625" s="6"/>
      <c r="BW1625" s="6"/>
      <c r="BX1625" s="5"/>
      <c r="BY1625" s="7"/>
      <c r="BZ1625" s="7"/>
      <c r="CA1625" s="7"/>
      <c r="CB1625" s="7"/>
      <c r="CC1625" s="874"/>
    </row>
    <row r="1626" spans="1:81" s="400" customFormat="1" ht="14.25" customHeight="1" x14ac:dyDescent="0.25">
      <c r="A1626" s="5"/>
      <c r="B1626" s="5"/>
      <c r="C1626" s="5"/>
      <c r="D1626" s="5"/>
      <c r="E1626" s="5"/>
      <c r="F1626" s="5"/>
      <c r="G1626" s="5"/>
      <c r="H1626" s="5"/>
      <c r="I1626" s="5"/>
      <c r="J1626" s="5"/>
      <c r="K1626" s="5"/>
      <c r="L1626" s="5"/>
      <c r="M1626" s="5"/>
      <c r="N1626" s="5"/>
      <c r="O1626" s="5"/>
      <c r="P1626" s="5"/>
      <c r="Q1626" s="5"/>
      <c r="R1626" s="5"/>
      <c r="S1626" s="5"/>
      <c r="T1626" s="5"/>
      <c r="U1626" s="5"/>
      <c r="V1626" s="5"/>
      <c r="W1626" s="5"/>
      <c r="X1626" s="5"/>
      <c r="Y1626" s="5"/>
      <c r="Z1626" s="5"/>
      <c r="AA1626" s="5"/>
      <c r="AB1626" s="6"/>
      <c r="AC1626" s="6"/>
      <c r="AD1626" s="6"/>
      <c r="AE1626" s="6"/>
      <c r="AF1626" s="6"/>
      <c r="AG1626" s="6"/>
      <c r="AH1626" s="6"/>
      <c r="AI1626" s="6"/>
      <c r="AJ1626" s="6"/>
      <c r="AK1626" s="6"/>
      <c r="AL1626" s="6"/>
      <c r="AM1626" s="6"/>
      <c r="AN1626" s="6"/>
      <c r="AO1626" s="6"/>
      <c r="AP1626" s="6"/>
      <c r="AQ1626" s="6"/>
      <c r="AR1626" s="6"/>
      <c r="AS1626" s="6"/>
      <c r="AT1626" s="6"/>
      <c r="AU1626" s="6"/>
      <c r="AV1626" s="6"/>
      <c r="AW1626" s="6"/>
      <c r="AX1626" s="6"/>
      <c r="AY1626" s="6"/>
      <c r="AZ1626" s="6"/>
      <c r="BA1626" s="6"/>
      <c r="BB1626" s="6"/>
      <c r="BC1626" s="6"/>
      <c r="BD1626" s="6"/>
      <c r="BE1626" s="6"/>
      <c r="BF1626" s="6"/>
      <c r="BG1626" s="6"/>
      <c r="BH1626" s="6"/>
      <c r="BI1626" s="6"/>
      <c r="BJ1626" s="6"/>
      <c r="BK1626" s="6"/>
      <c r="BL1626" s="6"/>
      <c r="BM1626" s="6"/>
      <c r="BN1626" s="6"/>
      <c r="BO1626" s="6"/>
      <c r="BP1626" s="6"/>
      <c r="BQ1626" s="6"/>
      <c r="BR1626" s="6"/>
      <c r="BS1626" s="6"/>
      <c r="BT1626" s="6"/>
      <c r="BU1626" s="6"/>
      <c r="BV1626" s="6"/>
      <c r="BW1626" s="6"/>
      <c r="BX1626" s="5"/>
      <c r="BY1626" s="7"/>
      <c r="BZ1626" s="7"/>
      <c r="CA1626" s="7"/>
      <c r="CB1626" s="7"/>
      <c r="CC1626" s="874"/>
    </row>
    <row r="1627" spans="1:81" s="400" customFormat="1" ht="14.25" customHeight="1" x14ac:dyDescent="0.25">
      <c r="A1627" s="5"/>
      <c r="B1627" s="5"/>
      <c r="C1627" s="5"/>
      <c r="D1627" s="5"/>
      <c r="E1627" s="5"/>
      <c r="F1627" s="5"/>
      <c r="G1627" s="5"/>
      <c r="H1627" s="5"/>
      <c r="I1627" s="5"/>
      <c r="J1627" s="5"/>
      <c r="K1627" s="5"/>
      <c r="L1627" s="5"/>
      <c r="M1627" s="5"/>
      <c r="N1627" s="5"/>
      <c r="O1627" s="5"/>
      <c r="P1627" s="5"/>
      <c r="Q1627" s="5"/>
      <c r="R1627" s="5"/>
      <c r="S1627" s="5"/>
      <c r="T1627" s="5"/>
      <c r="U1627" s="5"/>
      <c r="V1627" s="5"/>
      <c r="W1627" s="5"/>
      <c r="X1627" s="5"/>
      <c r="Y1627" s="5"/>
      <c r="Z1627" s="5"/>
      <c r="AA1627" s="5"/>
      <c r="AB1627" s="6"/>
      <c r="AC1627" s="6"/>
      <c r="AD1627" s="6"/>
      <c r="AE1627" s="6"/>
      <c r="AF1627" s="6"/>
      <c r="AG1627" s="6"/>
      <c r="AH1627" s="6"/>
      <c r="AI1627" s="6"/>
      <c r="AJ1627" s="6"/>
      <c r="AK1627" s="6"/>
      <c r="AL1627" s="6"/>
      <c r="AM1627" s="6"/>
      <c r="AN1627" s="6"/>
      <c r="AO1627" s="6"/>
      <c r="AP1627" s="6"/>
      <c r="AQ1627" s="6"/>
      <c r="AR1627" s="6"/>
      <c r="AS1627" s="6"/>
      <c r="AT1627" s="6"/>
      <c r="AU1627" s="6"/>
      <c r="AV1627" s="6"/>
      <c r="AW1627" s="6"/>
      <c r="AX1627" s="6"/>
      <c r="AY1627" s="6"/>
      <c r="AZ1627" s="6"/>
      <c r="BA1627" s="6"/>
      <c r="BB1627" s="6"/>
      <c r="BC1627" s="6"/>
      <c r="BD1627" s="6"/>
      <c r="BE1627" s="6"/>
      <c r="BF1627" s="6"/>
      <c r="BG1627" s="6"/>
      <c r="BH1627" s="6"/>
      <c r="BI1627" s="6"/>
      <c r="BJ1627" s="6"/>
      <c r="BK1627" s="6"/>
      <c r="BL1627" s="6"/>
      <c r="BM1627" s="6"/>
      <c r="BN1627" s="6"/>
      <c r="BO1627" s="6"/>
      <c r="BP1627" s="6"/>
      <c r="BQ1627" s="6"/>
      <c r="BR1627" s="6"/>
      <c r="BS1627" s="6"/>
      <c r="BT1627" s="6"/>
      <c r="BU1627" s="6"/>
      <c r="BV1627" s="6"/>
      <c r="BW1627" s="6"/>
      <c r="BX1627" s="5"/>
      <c r="BY1627" s="7"/>
      <c r="BZ1627" s="7"/>
      <c r="CA1627" s="7"/>
      <c r="CB1627" s="7"/>
      <c r="CC1627" s="874"/>
    </row>
    <row r="1628" spans="1:81" s="400" customFormat="1" ht="14.25" customHeight="1" x14ac:dyDescent="0.25">
      <c r="A1628" s="5"/>
      <c r="B1628" s="5"/>
      <c r="C1628" s="5"/>
      <c r="D1628" s="5"/>
      <c r="E1628" s="5"/>
      <c r="F1628" s="5"/>
      <c r="G1628" s="5"/>
      <c r="H1628" s="5"/>
      <c r="I1628" s="5"/>
      <c r="J1628" s="5"/>
      <c r="K1628" s="5"/>
      <c r="L1628" s="5"/>
      <c r="M1628" s="5"/>
      <c r="N1628" s="5"/>
      <c r="O1628" s="5"/>
      <c r="P1628" s="5"/>
      <c r="Q1628" s="5"/>
      <c r="R1628" s="5"/>
      <c r="S1628" s="5"/>
      <c r="T1628" s="5"/>
      <c r="U1628" s="5"/>
      <c r="V1628" s="5"/>
      <c r="W1628" s="5"/>
      <c r="X1628" s="5"/>
      <c r="Y1628" s="5"/>
      <c r="Z1628" s="5"/>
      <c r="AA1628" s="5"/>
      <c r="AB1628" s="6"/>
      <c r="AC1628" s="6"/>
      <c r="AD1628" s="6"/>
      <c r="AE1628" s="6"/>
      <c r="AF1628" s="6"/>
      <c r="AG1628" s="6"/>
      <c r="AH1628" s="6"/>
      <c r="AI1628" s="6"/>
      <c r="AJ1628" s="6"/>
      <c r="AK1628" s="6"/>
      <c r="AL1628" s="6"/>
      <c r="AM1628" s="6"/>
      <c r="AN1628" s="6"/>
      <c r="AO1628" s="6"/>
      <c r="AP1628" s="6"/>
      <c r="AQ1628" s="6"/>
      <c r="AR1628" s="6"/>
      <c r="AS1628" s="6"/>
      <c r="AT1628" s="6"/>
      <c r="AU1628" s="6"/>
      <c r="AV1628" s="6"/>
      <c r="AW1628" s="6"/>
      <c r="AX1628" s="6"/>
      <c r="AY1628" s="6"/>
      <c r="AZ1628" s="6"/>
      <c r="BA1628" s="6"/>
      <c r="BB1628" s="6"/>
      <c r="BC1628" s="6"/>
      <c r="BD1628" s="6"/>
      <c r="BE1628" s="6"/>
      <c r="BF1628" s="6"/>
      <c r="BG1628" s="6"/>
      <c r="BH1628" s="6"/>
      <c r="BI1628" s="6"/>
      <c r="BJ1628" s="6"/>
      <c r="BK1628" s="6"/>
      <c r="BL1628" s="6"/>
      <c r="BM1628" s="6"/>
      <c r="BN1628" s="6"/>
      <c r="BO1628" s="6"/>
      <c r="BP1628" s="6"/>
      <c r="BQ1628" s="6"/>
      <c r="BR1628" s="6"/>
      <c r="BS1628" s="6"/>
      <c r="BT1628" s="6"/>
      <c r="BU1628" s="6"/>
      <c r="BV1628" s="6"/>
      <c r="BW1628" s="6"/>
      <c r="BX1628" s="5"/>
      <c r="BY1628" s="7"/>
      <c r="BZ1628" s="7"/>
      <c r="CA1628" s="7"/>
      <c r="CB1628" s="7"/>
      <c r="CC1628" s="874"/>
    </row>
    <row r="1629" spans="1:81" s="400" customFormat="1" ht="14.25" customHeight="1" x14ac:dyDescent="0.25">
      <c r="A1629" s="5"/>
      <c r="B1629" s="5"/>
      <c r="C1629" s="5"/>
      <c r="D1629" s="5"/>
      <c r="E1629" s="5"/>
      <c r="F1629" s="5"/>
      <c r="G1629" s="5"/>
      <c r="H1629" s="5"/>
      <c r="I1629" s="5"/>
      <c r="J1629" s="5"/>
      <c r="K1629" s="5"/>
      <c r="L1629" s="5"/>
      <c r="M1629" s="5"/>
      <c r="N1629" s="5"/>
      <c r="O1629" s="5"/>
      <c r="P1629" s="5"/>
      <c r="Q1629" s="5"/>
      <c r="R1629" s="5"/>
      <c r="S1629" s="5"/>
      <c r="T1629" s="5"/>
      <c r="U1629" s="5"/>
      <c r="V1629" s="5"/>
      <c r="W1629" s="5"/>
      <c r="X1629" s="5"/>
      <c r="Y1629" s="5"/>
      <c r="Z1629" s="5"/>
      <c r="AA1629" s="5"/>
      <c r="AB1629" s="6"/>
      <c r="AC1629" s="6"/>
      <c r="AD1629" s="6"/>
      <c r="AE1629" s="6"/>
      <c r="AF1629" s="6"/>
      <c r="AG1629" s="6"/>
      <c r="AH1629" s="6"/>
      <c r="AI1629" s="6"/>
      <c r="AJ1629" s="6"/>
      <c r="AK1629" s="6"/>
      <c r="AL1629" s="6"/>
      <c r="AM1629" s="6"/>
      <c r="AN1629" s="6"/>
      <c r="AO1629" s="6"/>
      <c r="AP1629" s="6"/>
      <c r="AQ1629" s="6"/>
      <c r="AR1629" s="6"/>
      <c r="AS1629" s="6"/>
      <c r="AT1629" s="6"/>
      <c r="AU1629" s="6"/>
      <c r="AV1629" s="6"/>
      <c r="AW1629" s="6"/>
      <c r="AX1629" s="6"/>
      <c r="AY1629" s="6"/>
      <c r="AZ1629" s="6"/>
      <c r="BA1629" s="6"/>
      <c r="BB1629" s="6"/>
      <c r="BC1629" s="6"/>
      <c r="BD1629" s="6"/>
      <c r="BE1629" s="6"/>
      <c r="BF1629" s="6"/>
      <c r="BG1629" s="6"/>
      <c r="BH1629" s="6"/>
      <c r="BI1629" s="6"/>
      <c r="BJ1629" s="6"/>
      <c r="BK1629" s="6"/>
      <c r="BL1629" s="6"/>
      <c r="BM1629" s="6"/>
      <c r="BN1629" s="6"/>
      <c r="BO1629" s="6"/>
      <c r="BP1629" s="6"/>
      <c r="BQ1629" s="6"/>
      <c r="BR1629" s="6"/>
      <c r="BS1629" s="6"/>
      <c r="BT1629" s="6"/>
      <c r="BU1629" s="6"/>
      <c r="BV1629" s="6"/>
      <c r="BW1629" s="6"/>
      <c r="BX1629" s="5"/>
      <c r="BY1629" s="7"/>
      <c r="BZ1629" s="7"/>
      <c r="CA1629" s="7"/>
      <c r="CB1629" s="7"/>
      <c r="CC1629" s="874"/>
    </row>
    <row r="1630" spans="1:81" s="400" customFormat="1" ht="14.25" customHeight="1" x14ac:dyDescent="0.25">
      <c r="A1630" s="5"/>
      <c r="B1630" s="5"/>
      <c r="C1630" s="5"/>
      <c r="D1630" s="5"/>
      <c r="E1630" s="5"/>
      <c r="F1630" s="5"/>
      <c r="G1630" s="5"/>
      <c r="H1630" s="5"/>
      <c r="I1630" s="5"/>
      <c r="J1630" s="5"/>
      <c r="K1630" s="5"/>
      <c r="L1630" s="5"/>
      <c r="M1630" s="5"/>
      <c r="N1630" s="5"/>
      <c r="O1630" s="5"/>
      <c r="P1630" s="5"/>
      <c r="Q1630" s="5"/>
      <c r="R1630" s="5"/>
      <c r="S1630" s="5"/>
      <c r="T1630" s="5"/>
      <c r="U1630" s="5"/>
      <c r="V1630" s="5"/>
      <c r="W1630" s="5"/>
      <c r="X1630" s="5"/>
      <c r="Y1630" s="5"/>
      <c r="Z1630" s="5"/>
      <c r="AA1630" s="5"/>
      <c r="AB1630" s="6"/>
      <c r="AC1630" s="6"/>
      <c r="AD1630" s="6"/>
      <c r="AE1630" s="6"/>
      <c r="AF1630" s="6"/>
      <c r="AG1630" s="6"/>
      <c r="AH1630" s="6"/>
      <c r="AI1630" s="6"/>
      <c r="AJ1630" s="6"/>
      <c r="AK1630" s="6"/>
      <c r="AL1630" s="6"/>
      <c r="AM1630" s="6"/>
      <c r="AN1630" s="6"/>
      <c r="AO1630" s="6"/>
      <c r="AP1630" s="6"/>
      <c r="AQ1630" s="6"/>
      <c r="AR1630" s="6"/>
      <c r="AS1630" s="6"/>
      <c r="AT1630" s="6"/>
      <c r="AU1630" s="6"/>
      <c r="AV1630" s="6"/>
      <c r="AW1630" s="6"/>
      <c r="AX1630" s="6"/>
      <c r="AY1630" s="6"/>
      <c r="AZ1630" s="6"/>
      <c r="BA1630" s="6"/>
      <c r="BB1630" s="6"/>
      <c r="BC1630" s="6"/>
      <c r="BD1630" s="6"/>
      <c r="BE1630" s="6"/>
      <c r="BF1630" s="6"/>
      <c r="BG1630" s="6"/>
      <c r="BH1630" s="6"/>
      <c r="BI1630" s="6"/>
      <c r="BJ1630" s="6"/>
      <c r="BK1630" s="6"/>
      <c r="BL1630" s="6"/>
      <c r="BM1630" s="6"/>
      <c r="BN1630" s="6"/>
      <c r="BO1630" s="6"/>
      <c r="BP1630" s="6"/>
      <c r="BQ1630" s="6"/>
      <c r="BR1630" s="6"/>
      <c r="BS1630" s="6"/>
      <c r="BT1630" s="6"/>
      <c r="BU1630" s="6"/>
      <c r="BV1630" s="6"/>
      <c r="BW1630" s="6"/>
      <c r="BX1630" s="5"/>
      <c r="BY1630" s="7"/>
      <c r="BZ1630" s="7"/>
      <c r="CA1630" s="7"/>
      <c r="CB1630" s="7"/>
      <c r="CC1630" s="874"/>
    </row>
    <row r="1631" spans="1:81" s="400" customFormat="1" ht="14.25" customHeight="1" x14ac:dyDescent="0.25">
      <c r="A1631" s="5"/>
      <c r="B1631" s="5"/>
      <c r="C1631" s="5"/>
      <c r="D1631" s="5"/>
      <c r="E1631" s="5"/>
      <c r="F1631" s="5"/>
      <c r="G1631" s="5"/>
      <c r="H1631" s="5"/>
      <c r="I1631" s="5"/>
      <c r="J1631" s="5"/>
      <c r="K1631" s="5"/>
      <c r="L1631" s="5"/>
      <c r="M1631" s="5"/>
      <c r="N1631" s="5"/>
      <c r="O1631" s="5"/>
      <c r="P1631" s="5"/>
      <c r="Q1631" s="5"/>
      <c r="R1631" s="5"/>
      <c r="S1631" s="5"/>
      <c r="T1631" s="5"/>
      <c r="U1631" s="5"/>
      <c r="V1631" s="5"/>
      <c r="W1631" s="5"/>
      <c r="X1631" s="5"/>
      <c r="Y1631" s="5"/>
      <c r="Z1631" s="5"/>
      <c r="AA1631" s="5"/>
      <c r="AB1631" s="6"/>
      <c r="AC1631" s="6"/>
      <c r="AD1631" s="6"/>
      <c r="AE1631" s="6"/>
      <c r="AF1631" s="6"/>
      <c r="AG1631" s="6"/>
      <c r="AH1631" s="6"/>
      <c r="AI1631" s="6"/>
      <c r="AJ1631" s="6"/>
      <c r="AK1631" s="6"/>
      <c r="AL1631" s="6"/>
      <c r="AM1631" s="6"/>
      <c r="AN1631" s="6"/>
      <c r="AO1631" s="6"/>
      <c r="AP1631" s="6"/>
      <c r="AQ1631" s="6"/>
      <c r="AR1631" s="6"/>
      <c r="AS1631" s="6"/>
      <c r="AT1631" s="6"/>
      <c r="AU1631" s="6"/>
      <c r="AV1631" s="6"/>
      <c r="AW1631" s="6"/>
      <c r="AX1631" s="6"/>
      <c r="AY1631" s="6"/>
      <c r="AZ1631" s="6"/>
      <c r="BA1631" s="6"/>
      <c r="BB1631" s="6"/>
      <c r="BC1631" s="6"/>
      <c r="BD1631" s="6"/>
      <c r="BE1631" s="6"/>
      <c r="BF1631" s="6"/>
      <c r="BG1631" s="6"/>
      <c r="BH1631" s="6"/>
      <c r="BI1631" s="6"/>
      <c r="BJ1631" s="6"/>
      <c r="BK1631" s="6"/>
      <c r="BL1631" s="6"/>
      <c r="BM1631" s="6"/>
      <c r="BN1631" s="6"/>
      <c r="BO1631" s="6"/>
      <c r="BP1631" s="6"/>
      <c r="BQ1631" s="6"/>
      <c r="BR1631" s="6"/>
      <c r="BS1631" s="6"/>
      <c r="BT1631" s="6"/>
      <c r="BU1631" s="6"/>
      <c r="BV1631" s="6"/>
      <c r="BW1631" s="6"/>
      <c r="BX1631" s="5"/>
      <c r="BY1631" s="7"/>
      <c r="BZ1631" s="7"/>
      <c r="CA1631" s="7"/>
      <c r="CB1631" s="7"/>
      <c r="CC1631" s="874"/>
    </row>
    <row r="1632" spans="1:81" s="400" customFormat="1" ht="14.25" customHeight="1" x14ac:dyDescent="0.25">
      <c r="A1632" s="5"/>
      <c r="B1632" s="5"/>
      <c r="C1632" s="5"/>
      <c r="D1632" s="5"/>
      <c r="E1632" s="5"/>
      <c r="F1632" s="5"/>
      <c r="G1632" s="5"/>
      <c r="H1632" s="5"/>
      <c r="I1632" s="5"/>
      <c r="J1632" s="5"/>
      <c r="K1632" s="5"/>
      <c r="L1632" s="5"/>
      <c r="M1632" s="5"/>
      <c r="N1632" s="5"/>
      <c r="O1632" s="5"/>
      <c r="P1632" s="5"/>
      <c r="Q1632" s="5"/>
      <c r="R1632" s="5"/>
      <c r="S1632" s="5"/>
      <c r="T1632" s="5"/>
      <c r="U1632" s="5"/>
      <c r="V1632" s="5"/>
      <c r="W1632" s="5"/>
      <c r="X1632" s="5"/>
      <c r="Y1632" s="5"/>
      <c r="Z1632" s="5"/>
      <c r="AA1632" s="5"/>
      <c r="AB1632" s="6"/>
      <c r="AC1632" s="6"/>
      <c r="AD1632" s="6"/>
      <c r="AE1632" s="6"/>
      <c r="AF1632" s="6"/>
      <c r="AG1632" s="6"/>
      <c r="AH1632" s="6"/>
      <c r="AI1632" s="6"/>
      <c r="AJ1632" s="6"/>
      <c r="AK1632" s="6"/>
      <c r="AL1632" s="6"/>
      <c r="AM1632" s="6"/>
      <c r="AN1632" s="6"/>
      <c r="AO1632" s="6"/>
      <c r="AP1632" s="6"/>
      <c r="AQ1632" s="6"/>
      <c r="AR1632" s="6"/>
      <c r="AS1632" s="6"/>
      <c r="AT1632" s="6"/>
      <c r="AU1632" s="6"/>
      <c r="AV1632" s="6"/>
      <c r="AW1632" s="6"/>
      <c r="AX1632" s="6"/>
      <c r="AY1632" s="6"/>
      <c r="AZ1632" s="6"/>
      <c r="BA1632" s="6"/>
      <c r="BB1632" s="6"/>
      <c r="BC1632" s="6"/>
      <c r="BD1632" s="6"/>
      <c r="BE1632" s="6"/>
      <c r="BF1632" s="6"/>
      <c r="BG1632" s="6"/>
      <c r="BH1632" s="6"/>
      <c r="BI1632" s="6"/>
      <c r="BJ1632" s="6"/>
      <c r="BK1632" s="6"/>
      <c r="BL1632" s="6"/>
      <c r="BM1632" s="6"/>
      <c r="BN1632" s="6"/>
      <c r="BO1632" s="6"/>
      <c r="BP1632" s="6"/>
      <c r="BQ1632" s="6"/>
      <c r="BR1632" s="6"/>
      <c r="BS1632" s="6"/>
      <c r="BT1632" s="6"/>
      <c r="BU1632" s="6"/>
      <c r="BV1632" s="6"/>
      <c r="BW1632" s="6"/>
      <c r="BX1632" s="5"/>
      <c r="BY1632" s="7"/>
      <c r="BZ1632" s="7"/>
      <c r="CA1632" s="7"/>
      <c r="CB1632" s="7"/>
      <c r="CC1632" s="874"/>
    </row>
    <row r="1633" spans="1:81" s="400" customFormat="1" ht="14.25" customHeight="1" x14ac:dyDescent="0.25">
      <c r="A1633" s="5"/>
      <c r="B1633" s="5"/>
      <c r="C1633" s="5"/>
      <c r="D1633" s="5"/>
      <c r="E1633" s="5"/>
      <c r="F1633" s="5"/>
      <c r="G1633" s="5"/>
      <c r="H1633" s="5"/>
      <c r="I1633" s="5"/>
      <c r="J1633" s="5"/>
      <c r="K1633" s="5"/>
      <c r="L1633" s="5"/>
      <c r="M1633" s="5"/>
      <c r="N1633" s="5"/>
      <c r="O1633" s="5"/>
      <c r="P1633" s="5"/>
      <c r="Q1633" s="5"/>
      <c r="R1633" s="5"/>
      <c r="S1633" s="5"/>
      <c r="T1633" s="5"/>
      <c r="U1633" s="5"/>
      <c r="V1633" s="5"/>
      <c r="W1633" s="5"/>
      <c r="X1633" s="5"/>
      <c r="Y1633" s="5"/>
      <c r="Z1633" s="5"/>
      <c r="AA1633" s="5"/>
      <c r="AB1633" s="6"/>
      <c r="AC1633" s="6"/>
      <c r="AD1633" s="6"/>
      <c r="AE1633" s="6"/>
      <c r="AF1633" s="6"/>
      <c r="AG1633" s="6"/>
      <c r="AH1633" s="6"/>
      <c r="AI1633" s="6"/>
      <c r="AJ1633" s="6"/>
      <c r="AK1633" s="6"/>
      <c r="AL1633" s="6"/>
      <c r="AM1633" s="6"/>
      <c r="AN1633" s="6"/>
      <c r="AO1633" s="6"/>
      <c r="AP1633" s="6"/>
      <c r="AQ1633" s="6"/>
      <c r="AR1633" s="6"/>
      <c r="AS1633" s="6"/>
      <c r="AT1633" s="6"/>
      <c r="AU1633" s="6"/>
      <c r="AV1633" s="6"/>
      <c r="AW1633" s="6"/>
      <c r="AX1633" s="6"/>
      <c r="AY1633" s="6"/>
      <c r="AZ1633" s="6"/>
      <c r="BA1633" s="6"/>
      <c r="BB1633" s="6"/>
      <c r="BC1633" s="6"/>
      <c r="BD1633" s="6"/>
      <c r="BE1633" s="6"/>
      <c r="BF1633" s="6"/>
      <c r="BG1633" s="6"/>
      <c r="BH1633" s="6"/>
      <c r="BI1633" s="6"/>
      <c r="BJ1633" s="6"/>
      <c r="BK1633" s="6"/>
      <c r="BL1633" s="6"/>
      <c r="BM1633" s="6"/>
      <c r="BN1633" s="6"/>
      <c r="BO1633" s="6"/>
      <c r="BP1633" s="6"/>
      <c r="BQ1633" s="6"/>
      <c r="BR1633" s="6"/>
      <c r="BS1633" s="6"/>
      <c r="BT1633" s="6"/>
      <c r="BU1633" s="6"/>
      <c r="BV1633" s="6"/>
      <c r="BW1633" s="6"/>
      <c r="BX1633" s="5"/>
      <c r="BY1633" s="7"/>
      <c r="BZ1633" s="7"/>
      <c r="CA1633" s="7"/>
      <c r="CB1633" s="7"/>
      <c r="CC1633" s="874"/>
    </row>
    <row r="1634" spans="1:81" s="400" customFormat="1" ht="14.25" customHeight="1" x14ac:dyDescent="0.25">
      <c r="A1634" s="5"/>
      <c r="B1634" s="5"/>
      <c r="C1634" s="5"/>
      <c r="D1634" s="5"/>
      <c r="E1634" s="5"/>
      <c r="F1634" s="5"/>
      <c r="G1634" s="5"/>
      <c r="H1634" s="5"/>
      <c r="I1634" s="5"/>
      <c r="J1634" s="5"/>
      <c r="K1634" s="5"/>
      <c r="L1634" s="5"/>
      <c r="M1634" s="5"/>
      <c r="N1634" s="5"/>
      <c r="O1634" s="5"/>
      <c r="P1634" s="5"/>
      <c r="Q1634" s="5"/>
      <c r="R1634" s="5"/>
      <c r="S1634" s="5"/>
      <c r="T1634" s="5"/>
      <c r="U1634" s="5"/>
      <c r="V1634" s="5"/>
      <c r="W1634" s="5"/>
      <c r="X1634" s="5"/>
      <c r="Y1634" s="5"/>
      <c r="Z1634" s="5"/>
      <c r="AA1634" s="5"/>
      <c r="AB1634" s="6"/>
      <c r="AC1634" s="6"/>
      <c r="AD1634" s="6"/>
      <c r="AE1634" s="6"/>
      <c r="AF1634" s="6"/>
      <c r="AG1634" s="6"/>
      <c r="AH1634" s="6"/>
      <c r="AI1634" s="6"/>
      <c r="AJ1634" s="6"/>
      <c r="AK1634" s="6"/>
      <c r="AL1634" s="6"/>
      <c r="AM1634" s="6"/>
      <c r="AN1634" s="6"/>
      <c r="AO1634" s="6"/>
      <c r="AP1634" s="6"/>
      <c r="AQ1634" s="6"/>
      <c r="AR1634" s="6"/>
      <c r="AS1634" s="6"/>
      <c r="AT1634" s="6"/>
      <c r="AU1634" s="6"/>
      <c r="AV1634" s="6"/>
      <c r="AW1634" s="6"/>
      <c r="AX1634" s="6"/>
      <c r="AY1634" s="6"/>
      <c r="AZ1634" s="6"/>
      <c r="BA1634" s="6"/>
      <c r="BB1634" s="6"/>
      <c r="BC1634" s="6"/>
      <c r="BD1634" s="6"/>
      <c r="BE1634" s="6"/>
      <c r="BF1634" s="6"/>
      <c r="BG1634" s="6"/>
      <c r="BH1634" s="6"/>
      <c r="BI1634" s="6"/>
      <c r="BJ1634" s="6"/>
      <c r="BK1634" s="6"/>
      <c r="BL1634" s="6"/>
      <c r="BM1634" s="6"/>
      <c r="BN1634" s="6"/>
      <c r="BO1634" s="6"/>
      <c r="BP1634" s="6"/>
      <c r="BQ1634" s="6"/>
      <c r="BR1634" s="6"/>
      <c r="BS1634" s="6"/>
      <c r="BT1634" s="6"/>
      <c r="BU1634" s="6"/>
      <c r="BV1634" s="6"/>
      <c r="BW1634" s="6"/>
      <c r="BX1634" s="5"/>
      <c r="BY1634" s="7"/>
      <c r="BZ1634" s="7"/>
      <c r="CA1634" s="7"/>
      <c r="CB1634" s="7"/>
      <c r="CC1634" s="874"/>
    </row>
    <row r="1635" spans="1:81" s="400" customFormat="1" ht="14.25" customHeight="1" x14ac:dyDescent="0.25">
      <c r="A1635" s="5"/>
      <c r="B1635" s="5"/>
      <c r="C1635" s="5"/>
      <c r="D1635" s="5"/>
      <c r="E1635" s="5"/>
      <c r="F1635" s="5"/>
      <c r="G1635" s="5"/>
      <c r="H1635" s="5"/>
      <c r="I1635" s="5"/>
      <c r="J1635" s="5"/>
      <c r="K1635" s="5"/>
      <c r="L1635" s="5"/>
      <c r="M1635" s="5"/>
      <c r="N1635" s="5"/>
      <c r="O1635" s="5"/>
      <c r="P1635" s="5"/>
      <c r="Q1635" s="5"/>
      <c r="R1635" s="5"/>
      <c r="S1635" s="5"/>
      <c r="T1635" s="5"/>
      <c r="U1635" s="5"/>
      <c r="V1635" s="5"/>
      <c r="W1635" s="5"/>
      <c r="X1635" s="5"/>
      <c r="Y1635" s="5"/>
      <c r="Z1635" s="5"/>
      <c r="AA1635" s="5"/>
      <c r="AB1635" s="6"/>
      <c r="AC1635" s="6"/>
      <c r="AD1635" s="6"/>
      <c r="AE1635" s="6"/>
      <c r="AF1635" s="6"/>
      <c r="AG1635" s="6"/>
      <c r="AH1635" s="6"/>
      <c r="AI1635" s="6"/>
      <c r="AJ1635" s="6"/>
      <c r="AK1635" s="6"/>
      <c r="AL1635" s="6"/>
      <c r="AM1635" s="6"/>
      <c r="AN1635" s="6"/>
      <c r="AO1635" s="6"/>
      <c r="AP1635" s="6"/>
      <c r="AQ1635" s="6"/>
      <c r="AR1635" s="6"/>
      <c r="AS1635" s="6"/>
      <c r="AT1635" s="6"/>
      <c r="AU1635" s="6"/>
      <c r="AV1635" s="6"/>
      <c r="AW1635" s="6"/>
      <c r="AX1635" s="6"/>
      <c r="AY1635" s="6"/>
      <c r="AZ1635" s="6"/>
      <c r="BA1635" s="6"/>
      <c r="BB1635" s="6"/>
      <c r="BC1635" s="6"/>
      <c r="BD1635" s="6"/>
      <c r="BE1635" s="6"/>
      <c r="BF1635" s="6"/>
      <c r="BG1635" s="6"/>
      <c r="BH1635" s="6"/>
      <c r="BI1635" s="6"/>
      <c r="BJ1635" s="6"/>
      <c r="BK1635" s="6"/>
      <c r="BL1635" s="6"/>
      <c r="BM1635" s="6"/>
      <c r="BN1635" s="6"/>
      <c r="BO1635" s="6"/>
      <c r="BP1635" s="6"/>
      <c r="BQ1635" s="6"/>
      <c r="BR1635" s="6"/>
      <c r="BS1635" s="6"/>
      <c r="BT1635" s="6"/>
      <c r="BU1635" s="6"/>
      <c r="BV1635" s="6"/>
      <c r="BW1635" s="6"/>
      <c r="BX1635" s="5"/>
      <c r="BY1635" s="7"/>
      <c r="BZ1635" s="7"/>
      <c r="CA1635" s="7"/>
      <c r="CB1635" s="7"/>
      <c r="CC1635" s="874"/>
    </row>
    <row r="1636" spans="1:81" s="400" customFormat="1" ht="14.25" customHeight="1" x14ac:dyDescent="0.25">
      <c r="A1636" s="5"/>
      <c r="B1636" s="5"/>
      <c r="C1636" s="5"/>
      <c r="D1636" s="5"/>
      <c r="E1636" s="5"/>
      <c r="F1636" s="5"/>
      <c r="G1636" s="5"/>
      <c r="H1636" s="5"/>
      <c r="I1636" s="5"/>
      <c r="J1636" s="5"/>
      <c r="K1636" s="5"/>
      <c r="L1636" s="5"/>
      <c r="M1636" s="5"/>
      <c r="N1636" s="5"/>
      <c r="O1636" s="5"/>
      <c r="P1636" s="5"/>
      <c r="Q1636" s="5"/>
      <c r="R1636" s="5"/>
      <c r="S1636" s="5"/>
      <c r="T1636" s="5"/>
      <c r="U1636" s="5"/>
      <c r="V1636" s="5"/>
      <c r="W1636" s="5"/>
      <c r="X1636" s="5"/>
      <c r="Y1636" s="5"/>
      <c r="Z1636" s="5"/>
      <c r="AA1636" s="5"/>
      <c r="AB1636" s="6"/>
      <c r="AC1636" s="6"/>
      <c r="AD1636" s="6"/>
      <c r="AE1636" s="6"/>
      <c r="AF1636" s="6"/>
      <c r="AG1636" s="6"/>
      <c r="AH1636" s="6"/>
      <c r="AI1636" s="6"/>
      <c r="AJ1636" s="6"/>
      <c r="AK1636" s="6"/>
      <c r="AL1636" s="6"/>
      <c r="AM1636" s="6"/>
      <c r="AN1636" s="6"/>
      <c r="AO1636" s="6"/>
      <c r="AP1636" s="6"/>
      <c r="AQ1636" s="6"/>
      <c r="AR1636" s="6"/>
      <c r="AS1636" s="6"/>
      <c r="AT1636" s="6"/>
      <c r="AU1636" s="6"/>
      <c r="AV1636" s="6"/>
      <c r="AW1636" s="6"/>
      <c r="AX1636" s="6"/>
      <c r="AY1636" s="6"/>
      <c r="AZ1636" s="6"/>
      <c r="BA1636" s="6"/>
      <c r="BB1636" s="6"/>
      <c r="BC1636" s="6"/>
      <c r="BD1636" s="6"/>
      <c r="BE1636" s="6"/>
      <c r="BF1636" s="6"/>
      <c r="BG1636" s="6"/>
      <c r="BH1636" s="6"/>
      <c r="BI1636" s="6"/>
      <c r="BJ1636" s="6"/>
      <c r="BK1636" s="6"/>
      <c r="BL1636" s="6"/>
      <c r="BM1636" s="6"/>
      <c r="BN1636" s="6"/>
      <c r="BO1636" s="6"/>
      <c r="BP1636" s="6"/>
      <c r="BQ1636" s="6"/>
      <c r="BR1636" s="6"/>
      <c r="BS1636" s="6"/>
      <c r="BT1636" s="6"/>
      <c r="BU1636" s="6"/>
      <c r="BV1636" s="6"/>
      <c r="BW1636" s="6"/>
      <c r="BX1636" s="5"/>
      <c r="BY1636" s="7"/>
      <c r="BZ1636" s="7"/>
      <c r="CA1636" s="7"/>
      <c r="CB1636" s="7"/>
      <c r="CC1636" s="874"/>
    </row>
    <row r="1637" spans="1:81" s="400" customFormat="1" ht="14.25" customHeight="1" x14ac:dyDescent="0.25">
      <c r="A1637" s="5"/>
      <c r="B1637" s="5"/>
      <c r="C1637" s="5"/>
      <c r="D1637" s="5"/>
      <c r="E1637" s="5"/>
      <c r="F1637" s="5"/>
      <c r="G1637" s="5"/>
      <c r="H1637" s="5"/>
      <c r="I1637" s="5"/>
      <c r="J1637" s="5"/>
      <c r="K1637" s="5"/>
      <c r="L1637" s="5"/>
      <c r="M1637" s="5"/>
      <c r="N1637" s="5"/>
      <c r="O1637" s="5"/>
      <c r="P1637" s="5"/>
      <c r="Q1637" s="5"/>
      <c r="R1637" s="5"/>
      <c r="S1637" s="5"/>
      <c r="T1637" s="5"/>
      <c r="U1637" s="5"/>
      <c r="V1637" s="5"/>
      <c r="W1637" s="5"/>
      <c r="X1637" s="5"/>
      <c r="Y1637" s="5"/>
      <c r="Z1637" s="5"/>
      <c r="AA1637" s="5"/>
      <c r="AB1637" s="6"/>
      <c r="AC1637" s="6"/>
      <c r="AD1637" s="6"/>
      <c r="AE1637" s="6"/>
      <c r="AF1637" s="6"/>
      <c r="AG1637" s="6"/>
      <c r="AH1637" s="6"/>
      <c r="AI1637" s="6"/>
      <c r="AJ1637" s="6"/>
      <c r="AK1637" s="6"/>
      <c r="AL1637" s="6"/>
      <c r="AM1637" s="6"/>
      <c r="AN1637" s="6"/>
      <c r="AO1637" s="6"/>
      <c r="AP1637" s="6"/>
      <c r="AQ1637" s="6"/>
      <c r="AR1637" s="6"/>
      <c r="AS1637" s="6"/>
      <c r="AT1637" s="6"/>
      <c r="AU1637" s="6"/>
      <c r="AV1637" s="6"/>
      <c r="AW1637" s="6"/>
      <c r="AX1637" s="6"/>
      <c r="AY1637" s="6"/>
      <c r="AZ1637" s="6"/>
      <c r="BA1637" s="6"/>
      <c r="BB1637" s="6"/>
      <c r="BC1637" s="6"/>
      <c r="BD1637" s="6"/>
      <c r="BE1637" s="6"/>
      <c r="BF1637" s="6"/>
      <c r="BG1637" s="6"/>
      <c r="BH1637" s="6"/>
      <c r="BI1637" s="6"/>
      <c r="BJ1637" s="6"/>
      <c r="BK1637" s="6"/>
      <c r="BL1637" s="6"/>
      <c r="BM1637" s="6"/>
      <c r="BN1637" s="6"/>
      <c r="BO1637" s="6"/>
      <c r="BP1637" s="6"/>
      <c r="BQ1637" s="6"/>
      <c r="BR1637" s="6"/>
      <c r="BS1637" s="6"/>
      <c r="BT1637" s="6"/>
      <c r="BU1637" s="6"/>
      <c r="BV1637" s="6"/>
      <c r="BW1637" s="6"/>
      <c r="BX1637" s="5"/>
      <c r="BY1637" s="7"/>
      <c r="BZ1637" s="7"/>
      <c r="CA1637" s="7"/>
      <c r="CB1637" s="7"/>
      <c r="CC1637" s="874"/>
    </row>
    <row r="1638" spans="1:81" s="400" customFormat="1" ht="14.25" customHeight="1" x14ac:dyDescent="0.25">
      <c r="A1638" s="5"/>
      <c r="B1638" s="5"/>
      <c r="C1638" s="5"/>
      <c r="D1638" s="5"/>
      <c r="E1638" s="5"/>
      <c r="F1638" s="5"/>
      <c r="G1638" s="5"/>
      <c r="H1638" s="5"/>
      <c r="I1638" s="5"/>
      <c r="J1638" s="5"/>
      <c r="K1638" s="5"/>
      <c r="L1638" s="5"/>
      <c r="M1638" s="5"/>
      <c r="N1638" s="5"/>
      <c r="O1638" s="5"/>
      <c r="P1638" s="5"/>
      <c r="Q1638" s="5"/>
      <c r="R1638" s="5"/>
      <c r="S1638" s="5"/>
      <c r="T1638" s="5"/>
      <c r="U1638" s="5"/>
      <c r="V1638" s="5"/>
      <c r="W1638" s="5"/>
      <c r="X1638" s="5"/>
      <c r="Y1638" s="5"/>
      <c r="Z1638" s="5"/>
      <c r="AA1638" s="5"/>
      <c r="AB1638" s="6"/>
      <c r="AC1638" s="6"/>
      <c r="AD1638" s="6"/>
      <c r="AE1638" s="6"/>
      <c r="AF1638" s="6"/>
      <c r="AG1638" s="6"/>
      <c r="AH1638" s="6"/>
      <c r="AI1638" s="6"/>
      <c r="AJ1638" s="6"/>
      <c r="AK1638" s="6"/>
      <c r="AL1638" s="6"/>
      <c r="AM1638" s="6"/>
      <c r="AN1638" s="6"/>
      <c r="AO1638" s="6"/>
      <c r="AP1638" s="6"/>
      <c r="AQ1638" s="6"/>
      <c r="AR1638" s="6"/>
      <c r="AS1638" s="6"/>
      <c r="AT1638" s="6"/>
      <c r="AU1638" s="6"/>
      <c r="AV1638" s="6"/>
      <c r="AW1638" s="6"/>
      <c r="AX1638" s="6"/>
      <c r="AY1638" s="6"/>
      <c r="AZ1638" s="6"/>
      <c r="BA1638" s="6"/>
      <c r="BB1638" s="6"/>
      <c r="BC1638" s="6"/>
      <c r="BD1638" s="6"/>
      <c r="BE1638" s="6"/>
      <c r="BF1638" s="6"/>
      <c r="BG1638" s="6"/>
      <c r="BH1638" s="6"/>
      <c r="BI1638" s="6"/>
      <c r="BJ1638" s="6"/>
      <c r="BK1638" s="6"/>
      <c r="BL1638" s="6"/>
      <c r="BM1638" s="6"/>
      <c r="BN1638" s="6"/>
      <c r="BO1638" s="6"/>
      <c r="BP1638" s="6"/>
      <c r="BQ1638" s="6"/>
      <c r="BR1638" s="6"/>
      <c r="BS1638" s="6"/>
      <c r="BT1638" s="6"/>
      <c r="BU1638" s="6"/>
      <c r="BV1638" s="6"/>
      <c r="BW1638" s="6"/>
      <c r="BX1638" s="5"/>
      <c r="BY1638" s="7"/>
      <c r="BZ1638" s="7"/>
      <c r="CA1638" s="7"/>
      <c r="CB1638" s="7"/>
      <c r="CC1638" s="874"/>
    </row>
    <row r="1639" spans="1:81" s="400" customFormat="1" ht="14.25" customHeight="1" x14ac:dyDescent="0.25">
      <c r="A1639" s="5"/>
      <c r="B1639" s="5"/>
      <c r="C1639" s="5"/>
      <c r="D1639" s="5"/>
      <c r="E1639" s="5"/>
      <c r="F1639" s="5"/>
      <c r="G1639" s="5"/>
      <c r="H1639" s="5"/>
      <c r="I1639" s="5"/>
      <c r="J1639" s="5"/>
      <c r="K1639" s="5"/>
      <c r="L1639" s="5"/>
      <c r="M1639" s="5"/>
      <c r="N1639" s="5"/>
      <c r="O1639" s="5"/>
      <c r="P1639" s="5"/>
      <c r="Q1639" s="5"/>
      <c r="R1639" s="5"/>
      <c r="S1639" s="5"/>
      <c r="T1639" s="5"/>
      <c r="U1639" s="5"/>
      <c r="V1639" s="5"/>
      <c r="W1639" s="5"/>
      <c r="X1639" s="5"/>
      <c r="Y1639" s="5"/>
      <c r="Z1639" s="5"/>
      <c r="AA1639" s="5"/>
      <c r="AB1639" s="6"/>
      <c r="AC1639" s="6"/>
      <c r="AD1639" s="6"/>
      <c r="AE1639" s="6"/>
      <c r="AF1639" s="6"/>
      <c r="AG1639" s="6"/>
      <c r="AH1639" s="6"/>
      <c r="AI1639" s="6"/>
      <c r="AJ1639" s="6"/>
      <c r="AK1639" s="6"/>
      <c r="AL1639" s="6"/>
      <c r="AM1639" s="6"/>
      <c r="AN1639" s="6"/>
      <c r="AO1639" s="6"/>
      <c r="AP1639" s="6"/>
      <c r="AQ1639" s="6"/>
      <c r="AR1639" s="6"/>
      <c r="AS1639" s="6"/>
      <c r="AT1639" s="6"/>
      <c r="AU1639" s="6"/>
      <c r="AV1639" s="6"/>
      <c r="AW1639" s="6"/>
      <c r="AX1639" s="6"/>
      <c r="AY1639" s="6"/>
      <c r="AZ1639" s="6"/>
      <c r="BA1639" s="6"/>
      <c r="BB1639" s="6"/>
      <c r="BC1639" s="6"/>
      <c r="BD1639" s="6"/>
      <c r="BE1639" s="6"/>
      <c r="BF1639" s="6"/>
      <c r="BG1639" s="6"/>
      <c r="BH1639" s="6"/>
      <c r="BI1639" s="6"/>
      <c r="BJ1639" s="6"/>
      <c r="BK1639" s="6"/>
      <c r="BL1639" s="6"/>
      <c r="BM1639" s="6"/>
      <c r="BN1639" s="6"/>
      <c r="BO1639" s="6"/>
      <c r="BP1639" s="6"/>
      <c r="BQ1639" s="6"/>
      <c r="BR1639" s="6"/>
      <c r="BS1639" s="6"/>
      <c r="BT1639" s="6"/>
      <c r="BU1639" s="6"/>
      <c r="BV1639" s="6"/>
      <c r="BW1639" s="6"/>
      <c r="BX1639" s="5"/>
      <c r="BY1639" s="7"/>
      <c r="BZ1639" s="7"/>
      <c r="CA1639" s="7"/>
      <c r="CB1639" s="7"/>
      <c r="CC1639" s="874"/>
    </row>
    <row r="1640" spans="1:81" s="400" customFormat="1" ht="14.25" customHeight="1" x14ac:dyDescent="0.25">
      <c r="A1640" s="5"/>
      <c r="B1640" s="5"/>
      <c r="C1640" s="5"/>
      <c r="D1640" s="5"/>
      <c r="E1640" s="5"/>
      <c r="F1640" s="5"/>
      <c r="G1640" s="5"/>
      <c r="H1640" s="5"/>
      <c r="I1640" s="5"/>
      <c r="J1640" s="5"/>
      <c r="K1640" s="5"/>
      <c r="L1640" s="5"/>
      <c r="M1640" s="5"/>
      <c r="N1640" s="5"/>
      <c r="O1640" s="5"/>
      <c r="P1640" s="5"/>
      <c r="Q1640" s="5"/>
      <c r="R1640" s="5"/>
      <c r="S1640" s="5"/>
      <c r="T1640" s="5"/>
      <c r="U1640" s="5"/>
      <c r="V1640" s="5"/>
      <c r="W1640" s="5"/>
      <c r="X1640" s="5"/>
      <c r="Y1640" s="5"/>
      <c r="Z1640" s="5"/>
      <c r="AA1640" s="5"/>
      <c r="AB1640" s="6"/>
      <c r="AC1640" s="6"/>
      <c r="AD1640" s="6"/>
      <c r="AE1640" s="6"/>
      <c r="AF1640" s="6"/>
      <c r="AG1640" s="6"/>
      <c r="AH1640" s="6"/>
      <c r="AI1640" s="6"/>
      <c r="AJ1640" s="6"/>
      <c r="AK1640" s="6"/>
      <c r="AL1640" s="6"/>
      <c r="AM1640" s="6"/>
      <c r="AN1640" s="6"/>
      <c r="AO1640" s="6"/>
      <c r="AP1640" s="6"/>
      <c r="AQ1640" s="6"/>
      <c r="AR1640" s="6"/>
      <c r="AS1640" s="6"/>
      <c r="AT1640" s="6"/>
      <c r="AU1640" s="6"/>
      <c r="AV1640" s="6"/>
      <c r="AW1640" s="6"/>
      <c r="AX1640" s="6"/>
      <c r="AY1640" s="6"/>
      <c r="AZ1640" s="6"/>
      <c r="BA1640" s="6"/>
      <c r="BB1640" s="6"/>
      <c r="BC1640" s="6"/>
      <c r="BD1640" s="6"/>
      <c r="BE1640" s="6"/>
      <c r="BF1640" s="6"/>
      <c r="BG1640" s="6"/>
      <c r="BH1640" s="6"/>
      <c r="BI1640" s="6"/>
      <c r="BJ1640" s="6"/>
      <c r="BK1640" s="6"/>
      <c r="BL1640" s="6"/>
      <c r="BM1640" s="6"/>
      <c r="BN1640" s="6"/>
      <c r="BO1640" s="6"/>
      <c r="BP1640" s="6"/>
      <c r="BQ1640" s="6"/>
      <c r="BR1640" s="6"/>
      <c r="BS1640" s="6"/>
      <c r="BT1640" s="6"/>
      <c r="BU1640" s="6"/>
      <c r="BV1640" s="6"/>
      <c r="BW1640" s="6"/>
      <c r="BX1640" s="5"/>
      <c r="BY1640" s="7"/>
      <c r="BZ1640" s="7"/>
      <c r="CA1640" s="7"/>
      <c r="CB1640" s="7"/>
      <c r="CC1640" s="874"/>
    </row>
    <row r="1641" spans="1:81" s="400" customFormat="1" ht="14.25" customHeight="1" x14ac:dyDescent="0.25">
      <c r="A1641" s="5"/>
      <c r="B1641" s="5"/>
      <c r="C1641" s="5"/>
      <c r="D1641" s="5"/>
      <c r="E1641" s="5"/>
      <c r="F1641" s="5"/>
      <c r="G1641" s="5"/>
      <c r="H1641" s="5"/>
      <c r="I1641" s="5"/>
      <c r="J1641" s="5"/>
      <c r="K1641" s="5"/>
      <c r="L1641" s="5"/>
      <c r="M1641" s="5"/>
      <c r="N1641" s="5"/>
      <c r="O1641" s="5"/>
      <c r="P1641" s="5"/>
      <c r="Q1641" s="5"/>
      <c r="R1641" s="5"/>
      <c r="S1641" s="5"/>
      <c r="T1641" s="5"/>
      <c r="U1641" s="5"/>
      <c r="V1641" s="5"/>
      <c r="W1641" s="5"/>
      <c r="X1641" s="5"/>
      <c r="Y1641" s="5"/>
      <c r="Z1641" s="5"/>
      <c r="AA1641" s="5"/>
      <c r="AB1641" s="6"/>
      <c r="AC1641" s="6"/>
      <c r="AD1641" s="6"/>
      <c r="AE1641" s="6"/>
      <c r="AF1641" s="6"/>
      <c r="AG1641" s="6"/>
      <c r="AH1641" s="6"/>
      <c r="AI1641" s="6"/>
      <c r="AJ1641" s="6"/>
      <c r="AK1641" s="6"/>
      <c r="AL1641" s="6"/>
      <c r="AM1641" s="6"/>
      <c r="AN1641" s="6"/>
      <c r="AO1641" s="6"/>
      <c r="AP1641" s="6"/>
      <c r="AQ1641" s="6"/>
      <c r="AR1641" s="6"/>
      <c r="AS1641" s="6"/>
      <c r="AT1641" s="6"/>
      <c r="AU1641" s="6"/>
      <c r="AV1641" s="6"/>
      <c r="AW1641" s="6"/>
      <c r="AX1641" s="6"/>
      <c r="AY1641" s="6"/>
      <c r="AZ1641" s="6"/>
      <c r="BA1641" s="6"/>
      <c r="BB1641" s="6"/>
      <c r="BC1641" s="6"/>
      <c r="BD1641" s="6"/>
      <c r="BE1641" s="6"/>
      <c r="BF1641" s="6"/>
      <c r="BG1641" s="6"/>
      <c r="BH1641" s="6"/>
      <c r="BI1641" s="6"/>
      <c r="BJ1641" s="6"/>
      <c r="BK1641" s="6"/>
      <c r="BL1641" s="6"/>
      <c r="BM1641" s="6"/>
      <c r="BN1641" s="6"/>
      <c r="BO1641" s="6"/>
      <c r="BP1641" s="6"/>
      <c r="BQ1641" s="6"/>
      <c r="BR1641" s="6"/>
      <c r="BS1641" s="6"/>
      <c r="BT1641" s="6"/>
      <c r="BU1641" s="6"/>
      <c r="BV1641" s="6"/>
      <c r="BW1641" s="6"/>
      <c r="BX1641" s="5"/>
      <c r="BY1641" s="7"/>
      <c r="BZ1641" s="7"/>
      <c r="CA1641" s="7"/>
      <c r="CB1641" s="7"/>
      <c r="CC1641" s="874"/>
    </row>
    <row r="1642" spans="1:81" s="400" customFormat="1" ht="14.25" customHeight="1" x14ac:dyDescent="0.25">
      <c r="A1642" s="5"/>
      <c r="B1642" s="5"/>
      <c r="C1642" s="5"/>
      <c r="D1642" s="5"/>
      <c r="E1642" s="5"/>
      <c r="F1642" s="5"/>
      <c r="G1642" s="5"/>
      <c r="H1642" s="5"/>
      <c r="I1642" s="5"/>
      <c r="J1642" s="5"/>
      <c r="K1642" s="5"/>
      <c r="L1642" s="5"/>
      <c r="M1642" s="5"/>
      <c r="N1642" s="5"/>
      <c r="O1642" s="5"/>
      <c r="P1642" s="5"/>
      <c r="Q1642" s="5"/>
      <c r="R1642" s="5"/>
      <c r="S1642" s="5"/>
      <c r="T1642" s="5"/>
      <c r="U1642" s="5"/>
      <c r="V1642" s="5"/>
      <c r="W1642" s="5"/>
      <c r="X1642" s="5"/>
      <c r="Y1642" s="5"/>
      <c r="Z1642" s="5"/>
      <c r="AA1642" s="5"/>
      <c r="AB1642" s="6"/>
      <c r="AC1642" s="6"/>
      <c r="AD1642" s="6"/>
      <c r="AE1642" s="6"/>
      <c r="AF1642" s="6"/>
      <c r="AG1642" s="6"/>
      <c r="AH1642" s="6"/>
      <c r="AI1642" s="6"/>
      <c r="AJ1642" s="6"/>
      <c r="AK1642" s="6"/>
      <c r="AL1642" s="6"/>
      <c r="AM1642" s="6"/>
      <c r="AN1642" s="6"/>
      <c r="AO1642" s="6"/>
      <c r="AP1642" s="6"/>
      <c r="AQ1642" s="6"/>
      <c r="AR1642" s="6"/>
      <c r="AS1642" s="6"/>
      <c r="AT1642" s="6"/>
      <c r="AU1642" s="6"/>
      <c r="AV1642" s="6"/>
      <c r="AW1642" s="6"/>
      <c r="AX1642" s="6"/>
      <c r="AY1642" s="6"/>
      <c r="AZ1642" s="6"/>
      <c r="BA1642" s="6"/>
      <c r="BB1642" s="6"/>
      <c r="BC1642" s="6"/>
      <c r="BD1642" s="6"/>
      <c r="BE1642" s="6"/>
      <c r="BF1642" s="6"/>
      <c r="BG1642" s="6"/>
      <c r="BH1642" s="6"/>
      <c r="BI1642" s="6"/>
      <c r="BJ1642" s="6"/>
      <c r="BK1642" s="6"/>
      <c r="BL1642" s="6"/>
      <c r="BM1642" s="6"/>
      <c r="BN1642" s="6"/>
      <c r="BO1642" s="6"/>
      <c r="BP1642" s="6"/>
      <c r="BQ1642" s="6"/>
      <c r="BR1642" s="6"/>
      <c r="BS1642" s="6"/>
      <c r="BT1642" s="6"/>
      <c r="BU1642" s="6"/>
      <c r="BV1642" s="6"/>
      <c r="BW1642" s="6"/>
      <c r="BX1642" s="5"/>
      <c r="BY1642" s="7"/>
      <c r="BZ1642" s="7"/>
      <c r="CA1642" s="7"/>
      <c r="CB1642" s="7"/>
      <c r="CC1642" s="874"/>
    </row>
    <row r="1643" spans="1:81" s="400" customFormat="1" ht="14.25" customHeight="1" x14ac:dyDescent="0.25">
      <c r="A1643" s="5"/>
      <c r="B1643" s="5"/>
      <c r="C1643" s="5"/>
      <c r="D1643" s="5"/>
      <c r="E1643" s="5"/>
      <c r="F1643" s="5"/>
      <c r="G1643" s="5"/>
      <c r="H1643" s="5"/>
      <c r="I1643" s="5"/>
      <c r="J1643" s="5"/>
      <c r="K1643" s="5"/>
      <c r="L1643" s="5"/>
      <c r="M1643" s="5"/>
      <c r="N1643" s="5"/>
      <c r="O1643" s="5"/>
      <c r="P1643" s="5"/>
      <c r="Q1643" s="5"/>
      <c r="R1643" s="5"/>
      <c r="S1643" s="5"/>
      <c r="T1643" s="5"/>
      <c r="U1643" s="5"/>
      <c r="V1643" s="5"/>
      <c r="W1643" s="5"/>
      <c r="X1643" s="5"/>
      <c r="Y1643" s="5"/>
      <c r="Z1643" s="5"/>
      <c r="AA1643" s="5"/>
      <c r="AB1643" s="6"/>
      <c r="AC1643" s="6"/>
      <c r="AD1643" s="6"/>
      <c r="AE1643" s="6"/>
      <c r="AF1643" s="6"/>
      <c r="AG1643" s="6"/>
      <c r="AH1643" s="6"/>
      <c r="AI1643" s="6"/>
      <c r="AJ1643" s="6"/>
      <c r="AK1643" s="6"/>
      <c r="AL1643" s="6"/>
      <c r="AM1643" s="6"/>
      <c r="AN1643" s="6"/>
      <c r="AO1643" s="6"/>
      <c r="AP1643" s="6"/>
      <c r="AQ1643" s="6"/>
      <c r="AR1643" s="6"/>
      <c r="AS1643" s="6"/>
      <c r="AT1643" s="6"/>
      <c r="AU1643" s="6"/>
      <c r="AV1643" s="6"/>
      <c r="AW1643" s="6"/>
      <c r="AX1643" s="6"/>
      <c r="AY1643" s="6"/>
      <c r="AZ1643" s="6"/>
      <c r="BA1643" s="6"/>
      <c r="BB1643" s="6"/>
      <c r="BC1643" s="6"/>
      <c r="BD1643" s="6"/>
      <c r="BE1643" s="6"/>
      <c r="BF1643" s="6"/>
      <c r="BG1643" s="6"/>
      <c r="BH1643" s="6"/>
      <c r="BI1643" s="6"/>
      <c r="BJ1643" s="6"/>
      <c r="BK1643" s="6"/>
      <c r="BL1643" s="6"/>
      <c r="BM1643" s="6"/>
      <c r="BN1643" s="6"/>
      <c r="BO1643" s="6"/>
      <c r="BP1643" s="6"/>
      <c r="BQ1643" s="6"/>
      <c r="BR1643" s="6"/>
      <c r="BS1643" s="6"/>
      <c r="BT1643" s="6"/>
      <c r="BU1643" s="6"/>
      <c r="BV1643" s="6"/>
      <c r="BW1643" s="6"/>
      <c r="BX1643" s="5"/>
      <c r="BY1643" s="7"/>
      <c r="BZ1643" s="7"/>
      <c r="CA1643" s="7"/>
      <c r="CB1643" s="7"/>
      <c r="CC1643" s="874"/>
    </row>
    <row r="1644" spans="1:81" s="400" customFormat="1" ht="14.25" customHeight="1" x14ac:dyDescent="0.25">
      <c r="A1644" s="5"/>
      <c r="B1644" s="5"/>
      <c r="C1644" s="5"/>
      <c r="D1644" s="5"/>
      <c r="E1644" s="5"/>
      <c r="F1644" s="5"/>
      <c r="G1644" s="5"/>
      <c r="H1644" s="5"/>
      <c r="I1644" s="5"/>
      <c r="J1644" s="5"/>
      <c r="K1644" s="5"/>
      <c r="L1644" s="5"/>
      <c r="M1644" s="5"/>
      <c r="N1644" s="5"/>
      <c r="O1644" s="5"/>
      <c r="P1644" s="5"/>
      <c r="Q1644" s="5"/>
      <c r="R1644" s="5"/>
      <c r="S1644" s="5"/>
      <c r="T1644" s="5"/>
      <c r="U1644" s="5"/>
      <c r="V1644" s="5"/>
      <c r="W1644" s="5"/>
      <c r="X1644" s="5"/>
      <c r="Y1644" s="5"/>
      <c r="Z1644" s="5"/>
      <c r="AA1644" s="5"/>
      <c r="AB1644" s="6"/>
      <c r="AC1644" s="6"/>
      <c r="AD1644" s="6"/>
      <c r="AE1644" s="6"/>
      <c r="AF1644" s="6"/>
      <c r="AG1644" s="6"/>
      <c r="AH1644" s="6"/>
      <c r="AI1644" s="6"/>
      <c r="AJ1644" s="6"/>
      <c r="AK1644" s="6"/>
      <c r="AL1644" s="6"/>
      <c r="AM1644" s="6"/>
      <c r="AN1644" s="6"/>
      <c r="AO1644" s="6"/>
      <c r="AP1644" s="6"/>
      <c r="AQ1644" s="6"/>
      <c r="AR1644" s="6"/>
      <c r="AS1644" s="6"/>
      <c r="AT1644" s="6"/>
      <c r="AU1644" s="6"/>
      <c r="AV1644" s="6"/>
      <c r="AW1644" s="6"/>
      <c r="AX1644" s="6"/>
      <c r="AY1644" s="6"/>
      <c r="AZ1644" s="6"/>
      <c r="BA1644" s="6"/>
      <c r="BB1644" s="6"/>
      <c r="BC1644" s="6"/>
      <c r="BD1644" s="6"/>
      <c r="BE1644" s="6"/>
      <c r="BF1644" s="6"/>
      <c r="BG1644" s="6"/>
      <c r="BH1644" s="6"/>
      <c r="BI1644" s="6"/>
      <c r="BJ1644" s="6"/>
      <c r="BK1644" s="6"/>
      <c r="BL1644" s="6"/>
      <c r="BM1644" s="6"/>
      <c r="BN1644" s="6"/>
      <c r="BO1644" s="6"/>
      <c r="BP1644" s="6"/>
      <c r="BQ1644" s="6"/>
      <c r="BR1644" s="6"/>
      <c r="BS1644" s="6"/>
      <c r="BT1644" s="6"/>
      <c r="BU1644" s="6"/>
      <c r="BV1644" s="6"/>
      <c r="BW1644" s="6"/>
      <c r="BX1644" s="5"/>
      <c r="BY1644" s="7"/>
      <c r="BZ1644" s="7"/>
      <c r="CA1644" s="7"/>
      <c r="CB1644" s="7"/>
      <c r="CC1644" s="874"/>
    </row>
    <row r="1645" spans="1:81" s="400" customFormat="1" ht="14.25" customHeight="1" x14ac:dyDescent="0.25">
      <c r="A1645" s="5"/>
      <c r="B1645" s="5"/>
      <c r="C1645" s="5"/>
      <c r="D1645" s="5"/>
      <c r="E1645" s="5"/>
      <c r="F1645" s="5"/>
      <c r="G1645" s="5"/>
      <c r="H1645" s="5"/>
      <c r="I1645" s="5"/>
      <c r="J1645" s="5"/>
      <c r="K1645" s="5"/>
      <c r="L1645" s="5"/>
      <c r="M1645" s="5"/>
      <c r="N1645" s="5"/>
      <c r="O1645" s="5"/>
      <c r="P1645" s="5"/>
      <c r="Q1645" s="5"/>
      <c r="R1645" s="5"/>
      <c r="S1645" s="5"/>
      <c r="T1645" s="5"/>
      <c r="U1645" s="5"/>
      <c r="V1645" s="5"/>
      <c r="W1645" s="5"/>
      <c r="X1645" s="5"/>
      <c r="Y1645" s="5"/>
      <c r="Z1645" s="5"/>
      <c r="AA1645" s="5"/>
      <c r="AB1645" s="6"/>
      <c r="AC1645" s="6"/>
      <c r="AD1645" s="6"/>
      <c r="AE1645" s="6"/>
      <c r="AF1645" s="6"/>
      <c r="AG1645" s="6"/>
      <c r="AH1645" s="6"/>
      <c r="AI1645" s="6"/>
      <c r="AJ1645" s="6"/>
      <c r="AK1645" s="6"/>
      <c r="AL1645" s="6"/>
      <c r="AM1645" s="6"/>
      <c r="AN1645" s="6"/>
      <c r="AO1645" s="6"/>
      <c r="AP1645" s="6"/>
      <c r="AQ1645" s="6"/>
      <c r="AR1645" s="6"/>
      <c r="AS1645" s="6"/>
      <c r="AT1645" s="6"/>
      <c r="AU1645" s="6"/>
      <c r="AV1645" s="6"/>
      <c r="AW1645" s="6"/>
      <c r="AX1645" s="6"/>
      <c r="AY1645" s="6"/>
      <c r="AZ1645" s="6"/>
      <c r="BA1645" s="6"/>
      <c r="BB1645" s="6"/>
      <c r="BC1645" s="6"/>
      <c r="BD1645" s="6"/>
      <c r="BE1645" s="6"/>
      <c r="BF1645" s="6"/>
      <c r="BG1645" s="6"/>
      <c r="BH1645" s="6"/>
      <c r="BI1645" s="6"/>
      <c r="BJ1645" s="6"/>
      <c r="BK1645" s="6"/>
      <c r="BL1645" s="6"/>
      <c r="BM1645" s="6"/>
      <c r="BN1645" s="6"/>
      <c r="BO1645" s="6"/>
      <c r="BP1645" s="6"/>
      <c r="BQ1645" s="6"/>
      <c r="BR1645" s="6"/>
      <c r="BS1645" s="6"/>
      <c r="BT1645" s="6"/>
      <c r="BU1645" s="6"/>
      <c r="BV1645" s="6"/>
      <c r="BW1645" s="6"/>
      <c r="BX1645" s="5"/>
      <c r="BY1645" s="7"/>
      <c r="BZ1645" s="7"/>
      <c r="CA1645" s="7"/>
      <c r="CB1645" s="7"/>
      <c r="CC1645" s="874"/>
    </row>
    <row r="1646" spans="1:81" s="400" customFormat="1" ht="14.25" customHeight="1" x14ac:dyDescent="0.25">
      <c r="A1646" s="5"/>
      <c r="B1646" s="5"/>
      <c r="C1646" s="5"/>
      <c r="D1646" s="5"/>
      <c r="E1646" s="5"/>
      <c r="F1646" s="5"/>
      <c r="G1646" s="5"/>
      <c r="H1646" s="5"/>
      <c r="I1646" s="5"/>
      <c r="J1646" s="5"/>
      <c r="K1646" s="5"/>
      <c r="L1646" s="5"/>
      <c r="M1646" s="5"/>
      <c r="N1646" s="5"/>
      <c r="O1646" s="5"/>
      <c r="P1646" s="5"/>
      <c r="Q1646" s="5"/>
      <c r="R1646" s="5"/>
      <c r="S1646" s="5"/>
      <c r="T1646" s="5"/>
      <c r="U1646" s="5"/>
      <c r="V1646" s="5"/>
      <c r="W1646" s="5"/>
      <c r="X1646" s="5"/>
      <c r="Y1646" s="5"/>
      <c r="Z1646" s="5"/>
      <c r="AA1646" s="5"/>
      <c r="AB1646" s="6"/>
      <c r="AC1646" s="6"/>
      <c r="AD1646" s="6"/>
      <c r="AE1646" s="6"/>
      <c r="AF1646" s="6"/>
      <c r="AG1646" s="6"/>
      <c r="AH1646" s="6"/>
      <c r="AI1646" s="6"/>
      <c r="AJ1646" s="6"/>
      <c r="AK1646" s="6"/>
      <c r="AL1646" s="6"/>
      <c r="AM1646" s="6"/>
      <c r="AN1646" s="6"/>
      <c r="AO1646" s="6"/>
      <c r="AP1646" s="6"/>
      <c r="AQ1646" s="6"/>
      <c r="AR1646" s="6"/>
      <c r="AS1646" s="6"/>
      <c r="AT1646" s="6"/>
      <c r="AU1646" s="6"/>
      <c r="AV1646" s="6"/>
      <c r="AW1646" s="6"/>
      <c r="AX1646" s="6"/>
      <c r="AY1646" s="6"/>
      <c r="AZ1646" s="6"/>
      <c r="BA1646" s="6"/>
      <c r="BB1646" s="6"/>
      <c r="BC1646" s="6"/>
      <c r="BD1646" s="6"/>
      <c r="BE1646" s="6"/>
      <c r="BF1646" s="6"/>
      <c r="BG1646" s="6"/>
      <c r="BH1646" s="6"/>
      <c r="BI1646" s="6"/>
      <c r="BJ1646" s="6"/>
      <c r="BK1646" s="6"/>
      <c r="BL1646" s="6"/>
      <c r="BM1646" s="6"/>
      <c r="BN1646" s="6"/>
      <c r="BO1646" s="6"/>
      <c r="BP1646" s="6"/>
      <c r="BQ1646" s="6"/>
      <c r="BR1646" s="6"/>
      <c r="BS1646" s="6"/>
      <c r="BT1646" s="6"/>
      <c r="BU1646" s="6"/>
      <c r="BV1646" s="6"/>
      <c r="BW1646" s="6"/>
      <c r="BX1646" s="5"/>
      <c r="BY1646" s="7"/>
      <c r="BZ1646" s="7"/>
      <c r="CA1646" s="7"/>
      <c r="CB1646" s="7"/>
      <c r="CC1646" s="874"/>
    </row>
    <row r="1647" spans="1:81" s="400" customFormat="1" ht="14.25" customHeight="1" x14ac:dyDescent="0.25">
      <c r="A1647" s="5"/>
      <c r="B1647" s="5"/>
      <c r="C1647" s="5"/>
      <c r="D1647" s="5"/>
      <c r="E1647" s="5"/>
      <c r="F1647" s="5"/>
      <c r="G1647" s="5"/>
      <c r="H1647" s="5"/>
      <c r="I1647" s="5"/>
      <c r="J1647" s="5"/>
      <c r="K1647" s="5"/>
      <c r="L1647" s="5"/>
      <c r="M1647" s="5"/>
      <c r="N1647" s="5"/>
      <c r="O1647" s="5"/>
      <c r="P1647" s="5"/>
      <c r="Q1647" s="5"/>
      <c r="R1647" s="5"/>
      <c r="S1647" s="5"/>
      <c r="T1647" s="5"/>
      <c r="U1647" s="5"/>
      <c r="V1647" s="5"/>
      <c r="W1647" s="5"/>
      <c r="X1647" s="5"/>
      <c r="Y1647" s="5"/>
      <c r="Z1647" s="5"/>
      <c r="AA1647" s="5"/>
      <c r="AB1647" s="6"/>
      <c r="AC1647" s="6"/>
      <c r="AD1647" s="6"/>
      <c r="AE1647" s="6"/>
      <c r="AF1647" s="6"/>
      <c r="AG1647" s="6"/>
      <c r="AH1647" s="6"/>
      <c r="AI1647" s="6"/>
      <c r="AJ1647" s="6"/>
      <c r="AK1647" s="6"/>
      <c r="AL1647" s="6"/>
      <c r="AM1647" s="6"/>
      <c r="AN1647" s="6"/>
      <c r="AO1647" s="6"/>
      <c r="AP1647" s="6"/>
      <c r="AQ1647" s="6"/>
      <c r="AR1647" s="6"/>
      <c r="AS1647" s="6"/>
      <c r="AT1647" s="6"/>
      <c r="AU1647" s="6"/>
      <c r="AV1647" s="6"/>
      <c r="AW1647" s="6"/>
      <c r="AX1647" s="6"/>
      <c r="AY1647" s="6"/>
      <c r="AZ1647" s="6"/>
      <c r="BA1647" s="6"/>
      <c r="BB1647" s="6"/>
      <c r="BC1647" s="6"/>
      <c r="BD1647" s="6"/>
      <c r="BE1647" s="6"/>
      <c r="BF1647" s="6"/>
      <c r="BG1647" s="6"/>
      <c r="BH1647" s="6"/>
      <c r="BI1647" s="6"/>
      <c r="BJ1647" s="6"/>
      <c r="BK1647" s="6"/>
      <c r="BL1647" s="6"/>
      <c r="BM1647" s="6"/>
      <c r="BN1647" s="6"/>
      <c r="BO1647" s="6"/>
      <c r="BP1647" s="6"/>
      <c r="BQ1647" s="6"/>
      <c r="BR1647" s="6"/>
      <c r="BS1647" s="6"/>
      <c r="BT1647" s="6"/>
      <c r="BU1647" s="6"/>
      <c r="BV1647" s="6"/>
      <c r="BW1647" s="6"/>
      <c r="BX1647" s="5"/>
      <c r="BY1647" s="7"/>
      <c r="BZ1647" s="7"/>
      <c r="CA1647" s="7"/>
      <c r="CB1647" s="7"/>
      <c r="CC1647" s="874"/>
    </row>
    <row r="1648" spans="1:81" s="400" customFormat="1" ht="14.25" customHeight="1" x14ac:dyDescent="0.25">
      <c r="A1648" s="5"/>
      <c r="B1648" s="5"/>
      <c r="C1648" s="5"/>
      <c r="D1648" s="5"/>
      <c r="E1648" s="5"/>
      <c r="F1648" s="5"/>
      <c r="G1648" s="5"/>
      <c r="H1648" s="5"/>
      <c r="I1648" s="5"/>
      <c r="J1648" s="5"/>
      <c r="K1648" s="5"/>
      <c r="L1648" s="5"/>
      <c r="M1648" s="5"/>
      <c r="N1648" s="5"/>
      <c r="O1648" s="5"/>
      <c r="P1648" s="5"/>
      <c r="Q1648" s="5"/>
      <c r="R1648" s="5"/>
      <c r="S1648" s="5"/>
      <c r="T1648" s="5"/>
      <c r="U1648" s="5"/>
      <c r="V1648" s="5"/>
      <c r="W1648" s="5"/>
      <c r="X1648" s="5"/>
      <c r="Y1648" s="5"/>
      <c r="Z1648" s="5"/>
      <c r="AA1648" s="5"/>
      <c r="AB1648" s="6"/>
      <c r="AC1648" s="6"/>
      <c r="AD1648" s="6"/>
      <c r="AE1648" s="6"/>
      <c r="AF1648" s="6"/>
      <c r="AG1648" s="6"/>
      <c r="AH1648" s="6"/>
      <c r="AI1648" s="6"/>
      <c r="AJ1648" s="6"/>
      <c r="AK1648" s="6"/>
      <c r="AL1648" s="6"/>
      <c r="AM1648" s="6"/>
      <c r="AN1648" s="6"/>
      <c r="AO1648" s="6"/>
      <c r="AP1648" s="6"/>
      <c r="AQ1648" s="6"/>
      <c r="AR1648" s="6"/>
      <c r="AS1648" s="6"/>
      <c r="AT1648" s="6"/>
      <c r="AU1648" s="6"/>
      <c r="AV1648" s="6"/>
      <c r="AW1648" s="6"/>
      <c r="AX1648" s="6"/>
      <c r="AY1648" s="6"/>
      <c r="AZ1648" s="6"/>
      <c r="BA1648" s="6"/>
      <c r="BB1648" s="6"/>
      <c r="BC1648" s="6"/>
      <c r="BD1648" s="6"/>
      <c r="BE1648" s="6"/>
      <c r="BF1648" s="6"/>
      <c r="BG1648" s="6"/>
      <c r="BH1648" s="6"/>
      <c r="BI1648" s="6"/>
      <c r="BJ1648" s="6"/>
      <c r="BK1648" s="6"/>
      <c r="BL1648" s="6"/>
      <c r="BM1648" s="6"/>
      <c r="BN1648" s="6"/>
      <c r="BO1648" s="6"/>
      <c r="BP1648" s="6"/>
      <c r="BQ1648" s="6"/>
      <c r="BR1648" s="6"/>
      <c r="BS1648" s="6"/>
      <c r="BT1648" s="6"/>
      <c r="BU1648" s="6"/>
      <c r="BV1648" s="6"/>
      <c r="BW1648" s="6"/>
      <c r="BX1648" s="5"/>
      <c r="BY1648" s="7"/>
      <c r="BZ1648" s="7"/>
      <c r="CA1648" s="7"/>
      <c r="CB1648" s="7"/>
      <c r="CC1648" s="874"/>
    </row>
    <row r="1649" spans="1:81" s="400" customFormat="1" ht="14.25" customHeight="1" x14ac:dyDescent="0.25">
      <c r="A1649" s="5"/>
      <c r="B1649" s="5"/>
      <c r="C1649" s="5"/>
      <c r="D1649" s="5"/>
      <c r="E1649" s="5"/>
      <c r="F1649" s="5"/>
      <c r="G1649" s="5"/>
      <c r="H1649" s="5"/>
      <c r="I1649" s="5"/>
      <c r="J1649" s="5"/>
      <c r="K1649" s="5"/>
      <c r="L1649" s="5"/>
      <c r="M1649" s="5"/>
      <c r="N1649" s="5"/>
      <c r="O1649" s="5"/>
      <c r="P1649" s="5"/>
      <c r="Q1649" s="5"/>
      <c r="R1649" s="5"/>
      <c r="S1649" s="5"/>
      <c r="T1649" s="5"/>
      <c r="U1649" s="5"/>
      <c r="V1649" s="5"/>
      <c r="W1649" s="5"/>
      <c r="X1649" s="5"/>
      <c r="Y1649" s="5"/>
      <c r="Z1649" s="5"/>
      <c r="AA1649" s="5"/>
      <c r="AB1649" s="6"/>
      <c r="AC1649" s="6"/>
      <c r="AD1649" s="6"/>
      <c r="AE1649" s="6"/>
      <c r="AF1649" s="6"/>
      <c r="AG1649" s="6"/>
      <c r="AH1649" s="6"/>
      <c r="AI1649" s="6"/>
      <c r="AJ1649" s="6"/>
      <c r="AK1649" s="6"/>
      <c r="AL1649" s="6"/>
      <c r="AM1649" s="6"/>
      <c r="AN1649" s="6"/>
      <c r="AO1649" s="6"/>
      <c r="AP1649" s="6"/>
      <c r="AQ1649" s="6"/>
      <c r="AR1649" s="6"/>
      <c r="AS1649" s="6"/>
      <c r="AT1649" s="6"/>
      <c r="AU1649" s="6"/>
      <c r="AV1649" s="6"/>
      <c r="AW1649" s="6"/>
      <c r="AX1649" s="6"/>
      <c r="AY1649" s="6"/>
      <c r="AZ1649" s="6"/>
      <c r="BA1649" s="6"/>
      <c r="BB1649" s="6"/>
      <c r="BC1649" s="6"/>
      <c r="BD1649" s="6"/>
      <c r="BE1649" s="6"/>
      <c r="BF1649" s="6"/>
      <c r="BG1649" s="6"/>
      <c r="BH1649" s="6"/>
      <c r="BI1649" s="6"/>
      <c r="BJ1649" s="6"/>
      <c r="BK1649" s="6"/>
      <c r="BL1649" s="6"/>
      <c r="BM1649" s="6"/>
      <c r="BN1649" s="6"/>
      <c r="BO1649" s="6"/>
      <c r="BP1649" s="6"/>
      <c r="BQ1649" s="6"/>
      <c r="BR1649" s="6"/>
      <c r="BS1649" s="6"/>
      <c r="BT1649" s="6"/>
      <c r="BU1649" s="6"/>
      <c r="BV1649" s="6"/>
      <c r="BW1649" s="6"/>
      <c r="BX1649" s="5"/>
      <c r="BY1649" s="7"/>
      <c r="BZ1649" s="7"/>
      <c r="CA1649" s="7"/>
      <c r="CB1649" s="7"/>
      <c r="CC1649" s="874"/>
    </row>
    <row r="1650" spans="1:81" s="400" customFormat="1" ht="14.25" customHeight="1" x14ac:dyDescent="0.25">
      <c r="A1650" s="5"/>
      <c r="B1650" s="5"/>
      <c r="C1650" s="5"/>
      <c r="D1650" s="5"/>
      <c r="E1650" s="5"/>
      <c r="F1650" s="5"/>
      <c r="G1650" s="5"/>
      <c r="H1650" s="5"/>
      <c r="I1650" s="5"/>
      <c r="J1650" s="5"/>
      <c r="K1650" s="5"/>
      <c r="L1650" s="5"/>
      <c r="M1650" s="5"/>
      <c r="N1650" s="5"/>
      <c r="O1650" s="5"/>
      <c r="P1650" s="5"/>
      <c r="Q1650" s="5"/>
      <c r="R1650" s="5"/>
      <c r="S1650" s="5"/>
      <c r="T1650" s="5"/>
      <c r="U1650" s="5"/>
      <c r="V1650" s="5"/>
      <c r="W1650" s="5"/>
      <c r="X1650" s="5"/>
      <c r="Y1650" s="5"/>
      <c r="Z1650" s="5"/>
      <c r="AA1650" s="5"/>
      <c r="AB1650" s="6"/>
      <c r="AC1650" s="6"/>
      <c r="AD1650" s="6"/>
      <c r="AE1650" s="6"/>
      <c r="AF1650" s="6"/>
      <c r="AG1650" s="6"/>
      <c r="AH1650" s="6"/>
      <c r="AI1650" s="6"/>
      <c r="AJ1650" s="6"/>
      <c r="AK1650" s="6"/>
      <c r="AL1650" s="6"/>
      <c r="AM1650" s="6"/>
      <c r="AN1650" s="6"/>
      <c r="AO1650" s="6"/>
      <c r="AP1650" s="6"/>
      <c r="AQ1650" s="6"/>
      <c r="AR1650" s="6"/>
      <c r="AS1650" s="6"/>
      <c r="AT1650" s="6"/>
      <c r="AU1650" s="6"/>
      <c r="AV1650" s="6"/>
      <c r="AW1650" s="6"/>
      <c r="AX1650" s="6"/>
      <c r="AY1650" s="6"/>
      <c r="AZ1650" s="6"/>
      <c r="BA1650" s="6"/>
      <c r="BB1650" s="6"/>
      <c r="BC1650" s="6"/>
      <c r="BD1650" s="6"/>
      <c r="BE1650" s="6"/>
      <c r="BF1650" s="6"/>
      <c r="BG1650" s="6"/>
      <c r="BH1650" s="6"/>
      <c r="BI1650" s="6"/>
      <c r="BJ1650" s="6"/>
      <c r="BK1650" s="6"/>
      <c r="BL1650" s="6"/>
      <c r="BM1650" s="6"/>
      <c r="BN1650" s="6"/>
      <c r="BO1650" s="6"/>
      <c r="BP1650" s="6"/>
      <c r="BQ1650" s="6"/>
      <c r="BR1650" s="6"/>
      <c r="BS1650" s="6"/>
      <c r="BT1650" s="6"/>
      <c r="BU1650" s="6"/>
      <c r="BV1650" s="6"/>
      <c r="BW1650" s="6"/>
      <c r="BX1650" s="5"/>
      <c r="BY1650" s="7"/>
      <c r="BZ1650" s="7"/>
      <c r="CA1650" s="7"/>
      <c r="CB1650" s="7"/>
      <c r="CC1650" s="874"/>
    </row>
    <row r="1651" spans="1:81" s="400" customFormat="1" ht="14.25" customHeight="1" x14ac:dyDescent="0.25">
      <c r="A1651" s="5"/>
      <c r="B1651" s="5"/>
      <c r="C1651" s="5"/>
      <c r="D1651" s="5"/>
      <c r="E1651" s="5"/>
      <c r="F1651" s="5"/>
      <c r="G1651" s="5"/>
      <c r="H1651" s="5"/>
      <c r="I1651" s="5"/>
      <c r="J1651" s="5"/>
      <c r="K1651" s="5"/>
      <c r="L1651" s="5"/>
      <c r="M1651" s="5"/>
      <c r="N1651" s="5"/>
      <c r="O1651" s="5"/>
      <c r="P1651" s="5"/>
      <c r="Q1651" s="5"/>
      <c r="R1651" s="5"/>
      <c r="S1651" s="5"/>
      <c r="T1651" s="5"/>
      <c r="U1651" s="5"/>
      <c r="V1651" s="5"/>
      <c r="W1651" s="5"/>
      <c r="X1651" s="5"/>
      <c r="Y1651" s="5"/>
      <c r="Z1651" s="5"/>
      <c r="AA1651" s="5"/>
      <c r="AB1651" s="6"/>
      <c r="AC1651" s="6"/>
      <c r="AD1651" s="6"/>
      <c r="AE1651" s="6"/>
      <c r="AF1651" s="6"/>
      <c r="AG1651" s="6"/>
      <c r="AH1651" s="6"/>
      <c r="AI1651" s="6"/>
      <c r="AJ1651" s="6"/>
      <c r="AK1651" s="6"/>
      <c r="AL1651" s="6"/>
      <c r="AM1651" s="6"/>
      <c r="AN1651" s="6"/>
      <c r="AO1651" s="6"/>
      <c r="AP1651" s="6"/>
      <c r="AQ1651" s="6"/>
      <c r="AR1651" s="6"/>
      <c r="AS1651" s="6"/>
      <c r="AT1651" s="6"/>
      <c r="AU1651" s="6"/>
      <c r="AV1651" s="6"/>
      <c r="AW1651" s="6"/>
      <c r="AX1651" s="6"/>
      <c r="AY1651" s="6"/>
      <c r="AZ1651" s="6"/>
      <c r="BA1651" s="6"/>
      <c r="BB1651" s="6"/>
      <c r="BC1651" s="6"/>
      <c r="BD1651" s="6"/>
      <c r="BE1651" s="6"/>
      <c r="BF1651" s="6"/>
      <c r="BG1651" s="6"/>
      <c r="BH1651" s="6"/>
      <c r="BI1651" s="6"/>
      <c r="BJ1651" s="6"/>
      <c r="BK1651" s="6"/>
      <c r="BL1651" s="6"/>
      <c r="BM1651" s="6"/>
      <c r="BN1651" s="6"/>
      <c r="BO1651" s="6"/>
      <c r="BP1651" s="6"/>
      <c r="BQ1651" s="6"/>
      <c r="BR1651" s="6"/>
      <c r="BS1651" s="6"/>
      <c r="BT1651" s="6"/>
      <c r="BU1651" s="6"/>
      <c r="BV1651" s="6"/>
      <c r="BW1651" s="6"/>
      <c r="BX1651" s="5"/>
      <c r="BY1651" s="7"/>
      <c r="BZ1651" s="7"/>
      <c r="CA1651" s="7"/>
      <c r="CB1651" s="7"/>
      <c r="CC1651" s="874"/>
    </row>
    <row r="1652" spans="1:81" s="400" customFormat="1" ht="14.25" customHeight="1" x14ac:dyDescent="0.25">
      <c r="A1652" s="5"/>
      <c r="B1652" s="5"/>
      <c r="C1652" s="5"/>
      <c r="D1652" s="5"/>
      <c r="E1652" s="5"/>
      <c r="F1652" s="5"/>
      <c r="G1652" s="5"/>
      <c r="H1652" s="5"/>
      <c r="I1652" s="5"/>
      <c r="J1652" s="5"/>
      <c r="K1652" s="5"/>
      <c r="L1652" s="5"/>
      <c r="M1652" s="5"/>
      <c r="N1652" s="5"/>
      <c r="O1652" s="5"/>
      <c r="P1652" s="5"/>
      <c r="Q1652" s="5"/>
      <c r="R1652" s="5"/>
      <c r="S1652" s="5"/>
      <c r="T1652" s="5"/>
      <c r="U1652" s="5"/>
      <c r="V1652" s="5"/>
      <c r="W1652" s="5"/>
      <c r="X1652" s="5"/>
      <c r="Y1652" s="5"/>
      <c r="Z1652" s="5"/>
      <c r="AA1652" s="5"/>
      <c r="AB1652" s="6"/>
      <c r="AC1652" s="6"/>
      <c r="AD1652" s="6"/>
      <c r="AE1652" s="6"/>
      <c r="AF1652" s="6"/>
      <c r="AG1652" s="6"/>
      <c r="AH1652" s="6"/>
      <c r="AI1652" s="6"/>
      <c r="AJ1652" s="6"/>
      <c r="AK1652" s="6"/>
      <c r="AL1652" s="6"/>
      <c r="AM1652" s="6"/>
      <c r="AN1652" s="6"/>
      <c r="AO1652" s="6"/>
      <c r="AP1652" s="6"/>
      <c r="AQ1652" s="6"/>
      <c r="AR1652" s="6"/>
      <c r="AS1652" s="6"/>
      <c r="AT1652" s="6"/>
      <c r="AU1652" s="6"/>
      <c r="AV1652" s="6"/>
      <c r="AW1652" s="6"/>
      <c r="AX1652" s="6"/>
      <c r="AY1652" s="6"/>
      <c r="AZ1652" s="6"/>
      <c r="BA1652" s="6"/>
      <c r="BB1652" s="6"/>
      <c r="BC1652" s="6"/>
      <c r="BD1652" s="6"/>
      <c r="BE1652" s="6"/>
      <c r="BF1652" s="6"/>
      <c r="BG1652" s="6"/>
      <c r="BH1652" s="6"/>
      <c r="BI1652" s="6"/>
      <c r="BJ1652" s="6"/>
      <c r="BK1652" s="6"/>
      <c r="BL1652" s="6"/>
      <c r="BM1652" s="6"/>
      <c r="BN1652" s="6"/>
      <c r="BO1652" s="6"/>
      <c r="BP1652" s="6"/>
      <c r="BQ1652" s="6"/>
      <c r="BR1652" s="6"/>
      <c r="BS1652" s="6"/>
      <c r="BT1652" s="6"/>
      <c r="BU1652" s="6"/>
      <c r="BV1652" s="6"/>
      <c r="BW1652" s="6"/>
      <c r="BX1652" s="5"/>
      <c r="BY1652" s="7"/>
      <c r="BZ1652" s="7"/>
      <c r="CA1652" s="7"/>
      <c r="CB1652" s="7"/>
      <c r="CC1652" s="874"/>
    </row>
    <row r="1653" spans="1:81" s="400" customFormat="1" ht="14.25" customHeight="1" x14ac:dyDescent="0.25">
      <c r="A1653" s="5"/>
      <c r="B1653" s="5"/>
      <c r="C1653" s="5"/>
      <c r="D1653" s="5"/>
      <c r="E1653" s="5"/>
      <c r="F1653" s="5"/>
      <c r="G1653" s="5"/>
      <c r="H1653" s="5"/>
      <c r="I1653" s="5"/>
      <c r="J1653" s="5"/>
      <c r="K1653" s="5"/>
      <c r="L1653" s="5"/>
      <c r="M1653" s="5"/>
      <c r="N1653" s="5"/>
      <c r="O1653" s="5"/>
      <c r="P1653" s="5"/>
      <c r="Q1653" s="5"/>
      <c r="R1653" s="5"/>
      <c r="S1653" s="5"/>
      <c r="T1653" s="5"/>
      <c r="U1653" s="5"/>
      <c r="V1653" s="5"/>
      <c r="W1653" s="5"/>
      <c r="X1653" s="5"/>
      <c r="Y1653" s="5"/>
      <c r="Z1653" s="5"/>
      <c r="AA1653" s="5"/>
      <c r="AB1653" s="6"/>
      <c r="AC1653" s="6"/>
      <c r="AD1653" s="6"/>
      <c r="AE1653" s="6"/>
      <c r="AF1653" s="6"/>
      <c r="AG1653" s="6"/>
      <c r="AH1653" s="6"/>
      <c r="AI1653" s="6"/>
      <c r="AJ1653" s="6"/>
      <c r="AK1653" s="6"/>
      <c r="AL1653" s="6"/>
      <c r="AM1653" s="6"/>
      <c r="AN1653" s="6"/>
      <c r="AO1653" s="6"/>
      <c r="AP1653" s="6"/>
      <c r="AQ1653" s="6"/>
      <c r="AR1653" s="6"/>
      <c r="AS1653" s="6"/>
      <c r="AT1653" s="6"/>
      <c r="AU1653" s="6"/>
      <c r="AV1653" s="6"/>
      <c r="AW1653" s="6"/>
      <c r="AX1653" s="6"/>
      <c r="AY1653" s="6"/>
      <c r="AZ1653" s="6"/>
      <c r="BA1653" s="6"/>
      <c r="BB1653" s="6"/>
      <c r="BC1653" s="6"/>
      <c r="BD1653" s="6"/>
      <c r="BE1653" s="6"/>
      <c r="BF1653" s="6"/>
      <c r="BG1653" s="6"/>
      <c r="BH1653" s="6"/>
      <c r="BI1653" s="6"/>
      <c r="BJ1653" s="6"/>
      <c r="BK1653" s="6"/>
      <c r="BL1653" s="6"/>
      <c r="BM1653" s="6"/>
      <c r="BN1653" s="6"/>
      <c r="BO1653" s="6"/>
      <c r="BP1653" s="6"/>
      <c r="BQ1653" s="6"/>
      <c r="BR1653" s="6"/>
      <c r="BS1653" s="6"/>
      <c r="BT1653" s="6"/>
      <c r="BU1653" s="6"/>
      <c r="BV1653" s="6"/>
      <c r="BW1653" s="6"/>
      <c r="BX1653" s="5"/>
      <c r="BY1653" s="7"/>
      <c r="BZ1653" s="7"/>
      <c r="CA1653" s="7"/>
      <c r="CB1653" s="7"/>
      <c r="CC1653" s="874"/>
    </row>
    <row r="1654" spans="1:81" s="400" customFormat="1" ht="14.25" customHeight="1" x14ac:dyDescent="0.25">
      <c r="A1654" s="5"/>
      <c r="B1654" s="5"/>
      <c r="C1654" s="5"/>
      <c r="D1654" s="5"/>
      <c r="E1654" s="5"/>
      <c r="F1654" s="5"/>
      <c r="G1654" s="5"/>
      <c r="H1654" s="5"/>
      <c r="I1654" s="5"/>
      <c r="J1654" s="5"/>
      <c r="K1654" s="5"/>
      <c r="L1654" s="5"/>
      <c r="M1654" s="5"/>
      <c r="N1654" s="5"/>
      <c r="O1654" s="5"/>
      <c r="P1654" s="5"/>
      <c r="Q1654" s="5"/>
      <c r="R1654" s="5"/>
      <c r="S1654" s="5"/>
      <c r="T1654" s="5"/>
      <c r="U1654" s="5"/>
      <c r="V1654" s="5"/>
      <c r="W1654" s="5"/>
      <c r="X1654" s="5"/>
      <c r="Y1654" s="5"/>
      <c r="Z1654" s="5"/>
      <c r="AA1654" s="5"/>
      <c r="AB1654" s="6"/>
      <c r="AC1654" s="6"/>
      <c r="AD1654" s="6"/>
      <c r="AE1654" s="6"/>
      <c r="AF1654" s="6"/>
      <c r="AG1654" s="6"/>
      <c r="AH1654" s="6"/>
      <c r="AI1654" s="6"/>
      <c r="AJ1654" s="6"/>
      <c r="AK1654" s="6"/>
      <c r="AL1654" s="6"/>
      <c r="AM1654" s="6"/>
      <c r="AN1654" s="6"/>
      <c r="AO1654" s="6"/>
      <c r="AP1654" s="6"/>
      <c r="AQ1654" s="6"/>
      <c r="AR1654" s="6"/>
      <c r="AS1654" s="6"/>
      <c r="AT1654" s="6"/>
      <c r="AU1654" s="6"/>
      <c r="AV1654" s="6"/>
      <c r="AW1654" s="6"/>
      <c r="AX1654" s="6"/>
      <c r="AY1654" s="6"/>
      <c r="AZ1654" s="6"/>
      <c r="BA1654" s="6"/>
      <c r="BB1654" s="6"/>
      <c r="BC1654" s="6"/>
      <c r="BD1654" s="6"/>
      <c r="BE1654" s="6"/>
      <c r="BF1654" s="6"/>
      <c r="BG1654" s="6"/>
      <c r="BH1654" s="6"/>
      <c r="BI1654" s="6"/>
      <c r="BJ1654" s="6"/>
      <c r="BK1654" s="6"/>
      <c r="BL1654" s="6"/>
      <c r="BM1654" s="6"/>
      <c r="BN1654" s="6"/>
      <c r="BO1654" s="6"/>
      <c r="BP1654" s="6"/>
      <c r="BQ1654" s="6"/>
      <c r="BR1654" s="6"/>
      <c r="BS1654" s="6"/>
      <c r="BT1654" s="6"/>
      <c r="BU1654" s="6"/>
      <c r="BV1654" s="6"/>
      <c r="BW1654" s="6"/>
      <c r="BX1654" s="5"/>
      <c r="BY1654" s="7"/>
      <c r="BZ1654" s="7"/>
      <c r="CA1654" s="7"/>
      <c r="CB1654" s="7"/>
      <c r="CC1654" s="874"/>
    </row>
    <row r="1655" spans="1:81" s="400" customFormat="1" ht="14.25" customHeight="1" x14ac:dyDescent="0.25">
      <c r="A1655" s="5"/>
      <c r="B1655" s="5"/>
      <c r="C1655" s="5"/>
      <c r="D1655" s="5"/>
      <c r="E1655" s="5"/>
      <c r="F1655" s="5"/>
      <c r="G1655" s="5"/>
      <c r="H1655" s="5"/>
      <c r="I1655" s="5"/>
      <c r="J1655" s="5"/>
      <c r="K1655" s="5"/>
      <c r="L1655" s="5"/>
      <c r="M1655" s="5"/>
      <c r="N1655" s="5"/>
      <c r="O1655" s="5"/>
      <c r="P1655" s="5"/>
      <c r="Q1655" s="5"/>
      <c r="R1655" s="5"/>
      <c r="S1655" s="5"/>
      <c r="T1655" s="5"/>
      <c r="U1655" s="5"/>
      <c r="V1655" s="5"/>
      <c r="W1655" s="5"/>
      <c r="X1655" s="5"/>
      <c r="Y1655" s="5"/>
      <c r="Z1655" s="5"/>
      <c r="AA1655" s="5"/>
      <c r="AB1655" s="6"/>
      <c r="AC1655" s="6"/>
      <c r="AD1655" s="6"/>
      <c r="AE1655" s="6"/>
      <c r="AF1655" s="6"/>
      <c r="AG1655" s="6"/>
      <c r="AH1655" s="6"/>
      <c r="AI1655" s="6"/>
      <c r="AJ1655" s="6"/>
      <c r="AK1655" s="6"/>
      <c r="AL1655" s="6"/>
      <c r="AM1655" s="6"/>
      <c r="AN1655" s="6"/>
      <c r="AO1655" s="6"/>
      <c r="AP1655" s="6"/>
      <c r="AQ1655" s="6"/>
      <c r="AR1655" s="6"/>
      <c r="AS1655" s="6"/>
      <c r="AT1655" s="6"/>
      <c r="AU1655" s="6"/>
      <c r="AV1655" s="6"/>
      <c r="AW1655" s="6"/>
      <c r="AX1655" s="6"/>
      <c r="AY1655" s="6"/>
      <c r="AZ1655" s="6"/>
      <c r="BA1655" s="6"/>
      <c r="BB1655" s="6"/>
      <c r="BC1655" s="6"/>
      <c r="BD1655" s="6"/>
      <c r="BE1655" s="6"/>
      <c r="BF1655" s="6"/>
      <c r="BG1655" s="6"/>
      <c r="BH1655" s="6"/>
      <c r="BI1655" s="6"/>
      <c r="BJ1655" s="6"/>
      <c r="BK1655" s="6"/>
      <c r="BL1655" s="6"/>
      <c r="BM1655" s="6"/>
      <c r="BN1655" s="6"/>
      <c r="BO1655" s="6"/>
      <c r="BP1655" s="6"/>
      <c r="BQ1655" s="6"/>
      <c r="BR1655" s="6"/>
      <c r="BS1655" s="6"/>
      <c r="BT1655" s="6"/>
      <c r="BU1655" s="6"/>
      <c r="BV1655" s="6"/>
      <c r="BW1655" s="6"/>
      <c r="BX1655" s="5"/>
      <c r="BY1655" s="7"/>
      <c r="BZ1655" s="7"/>
      <c r="CA1655" s="7"/>
      <c r="CB1655" s="7"/>
      <c r="CC1655" s="874"/>
    </row>
    <row r="1656" spans="1:81" s="400" customFormat="1" ht="14.25" customHeight="1" x14ac:dyDescent="0.25">
      <c r="A1656" s="5"/>
      <c r="B1656" s="5"/>
      <c r="C1656" s="5"/>
      <c r="D1656" s="5"/>
      <c r="E1656" s="5"/>
      <c r="F1656" s="5"/>
      <c r="G1656" s="5"/>
      <c r="H1656" s="5"/>
      <c r="I1656" s="5"/>
      <c r="J1656" s="5"/>
      <c r="K1656" s="5"/>
      <c r="L1656" s="5"/>
      <c r="M1656" s="5"/>
      <c r="N1656" s="5"/>
      <c r="O1656" s="5"/>
      <c r="P1656" s="5"/>
      <c r="Q1656" s="5"/>
      <c r="R1656" s="5"/>
      <c r="S1656" s="5"/>
      <c r="T1656" s="5"/>
      <c r="U1656" s="5"/>
      <c r="V1656" s="5"/>
      <c r="W1656" s="5"/>
      <c r="X1656" s="5"/>
      <c r="Y1656" s="5"/>
      <c r="Z1656" s="5"/>
      <c r="AA1656" s="5"/>
      <c r="AB1656" s="6"/>
      <c r="AC1656" s="6"/>
      <c r="AD1656" s="6"/>
      <c r="AE1656" s="6"/>
      <c r="AF1656" s="6"/>
      <c r="AG1656" s="6"/>
      <c r="AH1656" s="6"/>
      <c r="AI1656" s="6"/>
      <c r="AJ1656" s="6"/>
      <c r="AK1656" s="6"/>
      <c r="AL1656" s="6"/>
      <c r="AM1656" s="6"/>
      <c r="AN1656" s="6"/>
      <c r="AO1656" s="6"/>
      <c r="AP1656" s="6"/>
      <c r="AQ1656" s="6"/>
      <c r="AR1656" s="6"/>
      <c r="AS1656" s="6"/>
      <c r="AT1656" s="6"/>
      <c r="AU1656" s="6"/>
      <c r="AV1656" s="6"/>
      <c r="AW1656" s="6"/>
      <c r="AX1656" s="6"/>
      <c r="AY1656" s="6"/>
      <c r="AZ1656" s="6"/>
      <c r="BA1656" s="6"/>
      <c r="BB1656" s="6"/>
      <c r="BC1656" s="6"/>
      <c r="BD1656" s="6"/>
      <c r="BE1656" s="6"/>
      <c r="BF1656" s="6"/>
      <c r="BG1656" s="6"/>
      <c r="BH1656" s="6"/>
      <c r="BI1656" s="6"/>
      <c r="BJ1656" s="6"/>
      <c r="BK1656" s="6"/>
      <c r="BL1656" s="6"/>
      <c r="BM1656" s="6"/>
      <c r="BN1656" s="6"/>
      <c r="BO1656" s="6"/>
      <c r="BP1656" s="6"/>
      <c r="BQ1656" s="6"/>
      <c r="BR1656" s="6"/>
      <c r="BS1656" s="6"/>
      <c r="BT1656" s="6"/>
      <c r="BU1656" s="6"/>
      <c r="BV1656" s="6"/>
      <c r="BW1656" s="6"/>
      <c r="BX1656" s="5"/>
      <c r="BY1656" s="7"/>
      <c r="BZ1656" s="7"/>
      <c r="CA1656" s="7"/>
      <c r="CB1656" s="7"/>
      <c r="CC1656" s="874"/>
    </row>
    <row r="1657" spans="1:81" s="400" customFormat="1" ht="14.25" customHeight="1" x14ac:dyDescent="0.25">
      <c r="A1657" s="5"/>
      <c r="B1657" s="5"/>
      <c r="C1657" s="5"/>
      <c r="D1657" s="5"/>
      <c r="E1657" s="5"/>
      <c r="F1657" s="5"/>
      <c r="G1657" s="5"/>
      <c r="H1657" s="5"/>
      <c r="I1657" s="5"/>
      <c r="J1657" s="5"/>
      <c r="K1657" s="5"/>
      <c r="L1657" s="5"/>
      <c r="M1657" s="5"/>
      <c r="N1657" s="5"/>
      <c r="O1657" s="5"/>
      <c r="P1657" s="5"/>
      <c r="Q1657" s="5"/>
      <c r="R1657" s="5"/>
      <c r="S1657" s="5"/>
      <c r="T1657" s="5"/>
      <c r="U1657" s="5"/>
      <c r="V1657" s="5"/>
      <c r="W1657" s="5"/>
      <c r="X1657" s="5"/>
      <c r="Y1657" s="5"/>
      <c r="Z1657" s="5"/>
      <c r="AA1657" s="5"/>
      <c r="AB1657" s="6"/>
      <c r="AC1657" s="6"/>
      <c r="AD1657" s="6"/>
      <c r="AE1657" s="6"/>
      <c r="AF1657" s="6"/>
      <c r="AG1657" s="6"/>
      <c r="AH1657" s="6"/>
      <c r="AI1657" s="6"/>
      <c r="AJ1657" s="6"/>
      <c r="AK1657" s="6"/>
      <c r="AL1657" s="6"/>
      <c r="AM1657" s="6"/>
      <c r="AN1657" s="6"/>
      <c r="AO1657" s="6"/>
      <c r="AP1657" s="6"/>
      <c r="AQ1657" s="6"/>
      <c r="AR1657" s="6"/>
      <c r="AS1657" s="6"/>
      <c r="AT1657" s="6"/>
      <c r="AU1657" s="6"/>
      <c r="AV1657" s="6"/>
      <c r="AW1657" s="6"/>
      <c r="AX1657" s="6"/>
      <c r="AY1657" s="6"/>
      <c r="AZ1657" s="6"/>
      <c r="BA1657" s="6"/>
      <c r="BB1657" s="6"/>
      <c r="BC1657" s="6"/>
      <c r="BD1657" s="6"/>
      <c r="BE1657" s="6"/>
      <c r="BF1657" s="6"/>
      <c r="BG1657" s="6"/>
      <c r="BH1657" s="6"/>
      <c r="BI1657" s="6"/>
      <c r="BJ1657" s="6"/>
      <c r="BK1657" s="6"/>
      <c r="BL1657" s="6"/>
      <c r="BM1657" s="6"/>
      <c r="BN1657" s="6"/>
      <c r="BO1657" s="6"/>
      <c r="BP1657" s="6"/>
      <c r="BQ1657" s="6"/>
      <c r="BR1657" s="6"/>
      <c r="BS1657" s="6"/>
      <c r="BT1657" s="6"/>
      <c r="BU1657" s="6"/>
      <c r="BV1657" s="6"/>
      <c r="BW1657" s="6"/>
      <c r="BX1657" s="5"/>
      <c r="BY1657" s="7"/>
      <c r="BZ1657" s="7"/>
      <c r="CA1657" s="7"/>
      <c r="CB1657" s="7"/>
      <c r="CC1657" s="874"/>
    </row>
    <row r="1658" spans="1:81" s="400" customFormat="1" ht="14.25" customHeight="1" x14ac:dyDescent="0.25">
      <c r="A1658" s="5"/>
      <c r="B1658" s="5"/>
      <c r="C1658" s="5"/>
      <c r="D1658" s="5"/>
      <c r="E1658" s="5"/>
      <c r="F1658" s="5"/>
      <c r="G1658" s="5"/>
      <c r="H1658" s="5"/>
      <c r="I1658" s="5"/>
      <c r="J1658" s="5"/>
      <c r="K1658" s="5"/>
      <c r="L1658" s="5"/>
      <c r="M1658" s="5"/>
      <c r="N1658" s="5"/>
      <c r="O1658" s="5"/>
      <c r="P1658" s="5"/>
      <c r="Q1658" s="5"/>
      <c r="R1658" s="5"/>
      <c r="S1658" s="5"/>
      <c r="T1658" s="5"/>
      <c r="U1658" s="5"/>
      <c r="V1658" s="5"/>
      <c r="W1658" s="5"/>
      <c r="X1658" s="5"/>
      <c r="Y1658" s="5"/>
      <c r="Z1658" s="5"/>
      <c r="AA1658" s="5"/>
      <c r="AB1658" s="6"/>
      <c r="AC1658" s="6"/>
      <c r="AD1658" s="6"/>
      <c r="AE1658" s="6"/>
      <c r="AF1658" s="6"/>
      <c r="AG1658" s="6"/>
      <c r="AH1658" s="6"/>
      <c r="AI1658" s="6"/>
      <c r="AJ1658" s="6"/>
      <c r="AK1658" s="6"/>
      <c r="AL1658" s="6"/>
      <c r="AM1658" s="6"/>
      <c r="AN1658" s="6"/>
      <c r="AO1658" s="6"/>
      <c r="AP1658" s="6"/>
      <c r="AQ1658" s="6"/>
      <c r="AR1658" s="6"/>
      <c r="AS1658" s="6"/>
      <c r="AT1658" s="6"/>
      <c r="AU1658" s="6"/>
      <c r="AV1658" s="6"/>
      <c r="AW1658" s="6"/>
      <c r="AX1658" s="6"/>
      <c r="AY1658" s="6"/>
      <c r="AZ1658" s="6"/>
      <c r="BA1658" s="6"/>
      <c r="BB1658" s="6"/>
      <c r="BC1658" s="6"/>
      <c r="BD1658" s="6"/>
      <c r="BE1658" s="6"/>
      <c r="BF1658" s="6"/>
      <c r="BG1658" s="6"/>
      <c r="BH1658" s="6"/>
      <c r="BI1658" s="6"/>
      <c r="BJ1658" s="6"/>
      <c r="BK1658" s="6"/>
      <c r="BL1658" s="6"/>
      <c r="BM1658" s="6"/>
      <c r="BN1658" s="6"/>
      <c r="BO1658" s="6"/>
      <c r="BP1658" s="6"/>
      <c r="BQ1658" s="6"/>
      <c r="BR1658" s="6"/>
      <c r="BS1658" s="6"/>
      <c r="BT1658" s="6"/>
      <c r="BU1658" s="6"/>
      <c r="BV1658" s="6"/>
      <c r="BW1658" s="6"/>
      <c r="BX1658" s="5"/>
      <c r="BY1658" s="7"/>
      <c r="BZ1658" s="7"/>
      <c r="CA1658" s="7"/>
      <c r="CB1658" s="7"/>
      <c r="CC1658" s="874"/>
    </row>
    <row r="1659" spans="1:81" s="400" customFormat="1" ht="14.25" customHeight="1" x14ac:dyDescent="0.25">
      <c r="A1659" s="5"/>
      <c r="B1659" s="5"/>
      <c r="C1659" s="5"/>
      <c r="D1659" s="5"/>
      <c r="E1659" s="5"/>
      <c r="F1659" s="5"/>
      <c r="G1659" s="5"/>
      <c r="H1659" s="5"/>
      <c r="I1659" s="5"/>
      <c r="J1659" s="5"/>
      <c r="K1659" s="5"/>
      <c r="L1659" s="5"/>
      <c r="M1659" s="5"/>
      <c r="N1659" s="5"/>
      <c r="O1659" s="5"/>
      <c r="P1659" s="5"/>
      <c r="Q1659" s="5"/>
      <c r="R1659" s="5"/>
      <c r="S1659" s="5"/>
      <c r="T1659" s="5"/>
      <c r="U1659" s="5"/>
      <c r="V1659" s="5"/>
      <c r="W1659" s="5"/>
      <c r="X1659" s="5"/>
      <c r="Y1659" s="5"/>
      <c r="Z1659" s="5"/>
      <c r="AA1659" s="5"/>
      <c r="AB1659" s="6"/>
      <c r="AC1659" s="6"/>
      <c r="AD1659" s="6"/>
      <c r="AE1659" s="6"/>
      <c r="AF1659" s="6"/>
      <c r="AG1659" s="6"/>
      <c r="AH1659" s="6"/>
      <c r="AI1659" s="6"/>
      <c r="AJ1659" s="6"/>
      <c r="AK1659" s="6"/>
      <c r="AL1659" s="6"/>
      <c r="AM1659" s="6"/>
      <c r="AN1659" s="6"/>
      <c r="AO1659" s="6"/>
      <c r="AP1659" s="6"/>
      <c r="AQ1659" s="6"/>
      <c r="AR1659" s="6"/>
      <c r="AS1659" s="6"/>
      <c r="AT1659" s="6"/>
      <c r="AU1659" s="6"/>
      <c r="AV1659" s="6"/>
      <c r="AW1659" s="6"/>
      <c r="AX1659" s="6"/>
      <c r="AY1659" s="6"/>
      <c r="AZ1659" s="6"/>
      <c r="BA1659" s="6"/>
      <c r="BB1659" s="6"/>
      <c r="BC1659" s="6"/>
      <c r="BD1659" s="6"/>
      <c r="BE1659" s="6"/>
      <c r="BF1659" s="6"/>
      <c r="BG1659" s="6"/>
      <c r="BH1659" s="6"/>
      <c r="BI1659" s="6"/>
      <c r="BJ1659" s="6"/>
      <c r="BK1659" s="6"/>
      <c r="BL1659" s="6"/>
      <c r="BM1659" s="6"/>
      <c r="BN1659" s="6"/>
      <c r="BO1659" s="6"/>
      <c r="BP1659" s="6"/>
      <c r="BQ1659" s="6"/>
      <c r="BR1659" s="6"/>
      <c r="BS1659" s="6"/>
      <c r="BT1659" s="6"/>
      <c r="BU1659" s="6"/>
      <c r="BV1659" s="6"/>
      <c r="BW1659" s="6"/>
      <c r="BX1659" s="5"/>
      <c r="BY1659" s="7"/>
      <c r="BZ1659" s="7"/>
      <c r="CA1659" s="7"/>
      <c r="CB1659" s="7"/>
      <c r="CC1659" s="874"/>
    </row>
    <row r="1660" spans="1:81" s="400" customFormat="1" ht="14.25" customHeight="1" x14ac:dyDescent="0.25">
      <c r="A1660" s="5"/>
      <c r="B1660" s="5"/>
      <c r="C1660" s="5"/>
      <c r="D1660" s="5"/>
      <c r="E1660" s="5"/>
      <c r="F1660" s="5"/>
      <c r="G1660" s="5"/>
      <c r="H1660" s="5"/>
      <c r="I1660" s="5"/>
      <c r="J1660" s="5"/>
      <c r="K1660" s="5"/>
      <c r="L1660" s="5"/>
      <c r="M1660" s="5"/>
      <c r="N1660" s="5"/>
      <c r="O1660" s="5"/>
      <c r="P1660" s="5"/>
      <c r="Q1660" s="5"/>
      <c r="R1660" s="5"/>
      <c r="S1660" s="5"/>
      <c r="T1660" s="5"/>
      <c r="U1660" s="5"/>
      <c r="V1660" s="5"/>
      <c r="W1660" s="5"/>
      <c r="X1660" s="5"/>
      <c r="Y1660" s="5"/>
      <c r="Z1660" s="5"/>
      <c r="AA1660" s="5"/>
      <c r="AB1660" s="6"/>
      <c r="AC1660" s="6"/>
      <c r="AD1660" s="6"/>
      <c r="AE1660" s="6"/>
      <c r="AF1660" s="6"/>
      <c r="AG1660" s="6"/>
      <c r="AH1660" s="6"/>
      <c r="AI1660" s="6"/>
      <c r="AJ1660" s="6"/>
      <c r="AK1660" s="6"/>
      <c r="AL1660" s="6"/>
      <c r="AM1660" s="6"/>
      <c r="AN1660" s="6"/>
      <c r="AO1660" s="6"/>
      <c r="AP1660" s="6"/>
      <c r="AQ1660" s="6"/>
      <c r="AR1660" s="6"/>
      <c r="AS1660" s="6"/>
      <c r="AT1660" s="6"/>
      <c r="AU1660" s="6"/>
      <c r="AV1660" s="6"/>
      <c r="AW1660" s="6"/>
      <c r="AX1660" s="6"/>
      <c r="AY1660" s="6"/>
      <c r="AZ1660" s="6"/>
      <c r="BA1660" s="6"/>
      <c r="BB1660" s="6"/>
      <c r="BC1660" s="6"/>
      <c r="BD1660" s="6"/>
      <c r="BE1660" s="6"/>
      <c r="BF1660" s="6"/>
      <c r="BG1660" s="6"/>
      <c r="BH1660" s="6"/>
      <c r="BI1660" s="6"/>
      <c r="BJ1660" s="6"/>
      <c r="BK1660" s="6"/>
      <c r="BL1660" s="6"/>
      <c r="BM1660" s="6"/>
      <c r="BN1660" s="6"/>
      <c r="BO1660" s="6"/>
      <c r="BP1660" s="6"/>
      <c r="BQ1660" s="6"/>
      <c r="BR1660" s="6"/>
      <c r="BS1660" s="6"/>
      <c r="BT1660" s="6"/>
      <c r="BU1660" s="6"/>
      <c r="BV1660" s="6"/>
      <c r="BW1660" s="6"/>
      <c r="BX1660" s="5"/>
      <c r="BY1660" s="7"/>
      <c r="BZ1660" s="7"/>
      <c r="CA1660" s="7"/>
      <c r="CB1660" s="7"/>
      <c r="CC1660" s="874"/>
    </row>
    <row r="1661" spans="1:81" s="400" customFormat="1" ht="14.25" customHeight="1" x14ac:dyDescent="0.25">
      <c r="A1661" s="5"/>
      <c r="B1661" s="5"/>
      <c r="C1661" s="5"/>
      <c r="D1661" s="5"/>
      <c r="E1661" s="5"/>
      <c r="F1661" s="5"/>
      <c r="G1661" s="5"/>
      <c r="H1661" s="5"/>
      <c r="I1661" s="5"/>
      <c r="J1661" s="5"/>
      <c r="K1661" s="5"/>
      <c r="L1661" s="5"/>
      <c r="M1661" s="5"/>
      <c r="N1661" s="5"/>
      <c r="O1661" s="5"/>
      <c r="P1661" s="5"/>
      <c r="Q1661" s="5"/>
      <c r="R1661" s="5"/>
      <c r="S1661" s="5"/>
      <c r="T1661" s="5"/>
      <c r="U1661" s="5"/>
      <c r="V1661" s="5"/>
      <c r="W1661" s="5"/>
      <c r="X1661" s="5"/>
      <c r="Y1661" s="5"/>
      <c r="Z1661" s="5"/>
      <c r="AA1661" s="5"/>
      <c r="AB1661" s="6"/>
      <c r="AC1661" s="6"/>
      <c r="AD1661" s="6"/>
      <c r="AE1661" s="6"/>
      <c r="AF1661" s="6"/>
      <c r="AG1661" s="6"/>
      <c r="AH1661" s="6"/>
      <c r="AI1661" s="6"/>
      <c r="AJ1661" s="6"/>
      <c r="AK1661" s="6"/>
      <c r="AL1661" s="6"/>
      <c r="AM1661" s="6"/>
      <c r="AN1661" s="6"/>
      <c r="AO1661" s="6"/>
      <c r="AP1661" s="6"/>
      <c r="AQ1661" s="6"/>
      <c r="AR1661" s="6"/>
      <c r="AS1661" s="6"/>
      <c r="AT1661" s="6"/>
      <c r="AU1661" s="6"/>
      <c r="AV1661" s="6"/>
      <c r="AW1661" s="6"/>
      <c r="AX1661" s="6"/>
      <c r="AY1661" s="6"/>
      <c r="AZ1661" s="6"/>
      <c r="BA1661" s="6"/>
      <c r="BB1661" s="6"/>
      <c r="BC1661" s="6"/>
      <c r="BD1661" s="6"/>
      <c r="BE1661" s="6"/>
      <c r="BF1661" s="6"/>
      <c r="BG1661" s="6"/>
      <c r="BH1661" s="6"/>
      <c r="BI1661" s="6"/>
      <c r="BJ1661" s="6"/>
      <c r="BK1661" s="6"/>
      <c r="BL1661" s="6"/>
      <c r="BM1661" s="6"/>
      <c r="BN1661" s="6"/>
      <c r="BO1661" s="6"/>
      <c r="BP1661" s="6"/>
      <c r="BQ1661" s="6"/>
      <c r="BR1661" s="6"/>
      <c r="BS1661" s="6"/>
      <c r="BT1661" s="6"/>
      <c r="BU1661" s="6"/>
      <c r="BV1661" s="6"/>
      <c r="BW1661" s="6"/>
      <c r="BX1661" s="5"/>
      <c r="BY1661" s="7"/>
      <c r="BZ1661" s="7"/>
      <c r="CA1661" s="7"/>
      <c r="CB1661" s="7"/>
      <c r="CC1661" s="874"/>
    </row>
    <row r="1662" spans="1:81" s="400" customFormat="1" ht="14.25" customHeight="1" x14ac:dyDescent="0.25">
      <c r="A1662" s="5"/>
      <c r="B1662" s="5"/>
      <c r="C1662" s="5"/>
      <c r="D1662" s="5"/>
      <c r="E1662" s="5"/>
      <c r="F1662" s="5"/>
      <c r="G1662" s="5"/>
      <c r="H1662" s="5"/>
      <c r="I1662" s="5"/>
      <c r="J1662" s="5"/>
      <c r="K1662" s="5"/>
      <c r="L1662" s="5"/>
      <c r="M1662" s="5"/>
      <c r="N1662" s="5"/>
      <c r="O1662" s="5"/>
      <c r="P1662" s="5"/>
      <c r="Q1662" s="5"/>
      <c r="R1662" s="5"/>
      <c r="S1662" s="5"/>
      <c r="T1662" s="5"/>
      <c r="U1662" s="5"/>
      <c r="V1662" s="5"/>
      <c r="W1662" s="5"/>
      <c r="X1662" s="5"/>
      <c r="Y1662" s="5"/>
      <c r="Z1662" s="5"/>
      <c r="AA1662" s="5"/>
      <c r="AB1662" s="6"/>
      <c r="AC1662" s="6"/>
      <c r="AD1662" s="6"/>
      <c r="AE1662" s="6"/>
      <c r="AF1662" s="6"/>
      <c r="AG1662" s="6"/>
      <c r="AH1662" s="6"/>
      <c r="AI1662" s="6"/>
      <c r="AJ1662" s="6"/>
      <c r="AK1662" s="6"/>
      <c r="AL1662" s="6"/>
      <c r="AM1662" s="6"/>
      <c r="AN1662" s="6"/>
      <c r="AO1662" s="6"/>
      <c r="AP1662" s="6"/>
      <c r="AQ1662" s="6"/>
      <c r="AR1662" s="6"/>
      <c r="AS1662" s="6"/>
      <c r="AT1662" s="6"/>
      <c r="AU1662" s="6"/>
      <c r="AV1662" s="6"/>
      <c r="AW1662" s="6"/>
      <c r="AX1662" s="6"/>
      <c r="AY1662" s="6"/>
      <c r="AZ1662" s="6"/>
      <c r="BA1662" s="6"/>
      <c r="BB1662" s="6"/>
      <c r="BC1662" s="6"/>
      <c r="BD1662" s="6"/>
      <c r="BE1662" s="6"/>
      <c r="BF1662" s="6"/>
      <c r="BG1662" s="6"/>
      <c r="BH1662" s="6"/>
      <c r="BI1662" s="6"/>
      <c r="BJ1662" s="6"/>
      <c r="BK1662" s="6"/>
      <c r="BL1662" s="6"/>
      <c r="BM1662" s="6"/>
      <c r="BN1662" s="6"/>
      <c r="BO1662" s="6"/>
      <c r="BP1662" s="6"/>
      <c r="BQ1662" s="6"/>
      <c r="BR1662" s="6"/>
      <c r="BS1662" s="6"/>
      <c r="BT1662" s="6"/>
      <c r="BU1662" s="6"/>
      <c r="BV1662" s="6"/>
      <c r="BW1662" s="6"/>
      <c r="BX1662" s="5"/>
      <c r="BY1662" s="7"/>
      <c r="BZ1662" s="7"/>
      <c r="CA1662" s="7"/>
      <c r="CB1662" s="7"/>
      <c r="CC1662" s="874"/>
    </row>
    <row r="1663" spans="1:81" s="400" customFormat="1" ht="14.25" customHeight="1" x14ac:dyDescent="0.25">
      <c r="A1663" s="5"/>
      <c r="B1663" s="5"/>
      <c r="C1663" s="5"/>
      <c r="D1663" s="5"/>
      <c r="E1663" s="5"/>
      <c r="F1663" s="5"/>
      <c r="G1663" s="5"/>
      <c r="H1663" s="5"/>
      <c r="I1663" s="5"/>
      <c r="J1663" s="5"/>
      <c r="K1663" s="5"/>
      <c r="L1663" s="5"/>
      <c r="M1663" s="5"/>
      <c r="N1663" s="5"/>
      <c r="O1663" s="5"/>
      <c r="P1663" s="5"/>
      <c r="Q1663" s="5"/>
      <c r="R1663" s="5"/>
      <c r="S1663" s="5"/>
      <c r="T1663" s="5"/>
      <c r="U1663" s="5"/>
      <c r="V1663" s="5"/>
      <c r="W1663" s="5"/>
      <c r="X1663" s="5"/>
      <c r="Y1663" s="5"/>
      <c r="Z1663" s="5"/>
      <c r="AA1663" s="5"/>
      <c r="AB1663" s="6"/>
      <c r="AC1663" s="6"/>
      <c r="AD1663" s="6"/>
      <c r="AE1663" s="6"/>
      <c r="AF1663" s="6"/>
      <c r="AG1663" s="6"/>
      <c r="AH1663" s="6"/>
      <c r="AI1663" s="6"/>
      <c r="AJ1663" s="6"/>
      <c r="AK1663" s="6"/>
      <c r="AL1663" s="6"/>
      <c r="AM1663" s="6"/>
      <c r="AN1663" s="6"/>
      <c r="AO1663" s="6"/>
      <c r="AP1663" s="6"/>
      <c r="AQ1663" s="6"/>
      <c r="AR1663" s="6"/>
      <c r="AS1663" s="6"/>
      <c r="AT1663" s="6"/>
      <c r="AU1663" s="6"/>
      <c r="AV1663" s="6"/>
      <c r="AW1663" s="6"/>
      <c r="AX1663" s="6"/>
      <c r="AY1663" s="6"/>
      <c r="AZ1663" s="6"/>
      <c r="BA1663" s="6"/>
      <c r="BB1663" s="6"/>
      <c r="BC1663" s="6"/>
      <c r="BD1663" s="6"/>
      <c r="BE1663" s="6"/>
      <c r="BF1663" s="6"/>
      <c r="BG1663" s="6"/>
      <c r="BH1663" s="6"/>
      <c r="BI1663" s="6"/>
      <c r="BJ1663" s="6"/>
      <c r="BK1663" s="6"/>
      <c r="BL1663" s="6"/>
      <c r="BM1663" s="6"/>
      <c r="BN1663" s="6"/>
      <c r="BO1663" s="6"/>
      <c r="BP1663" s="6"/>
      <c r="BQ1663" s="6"/>
      <c r="BR1663" s="6"/>
      <c r="BS1663" s="6"/>
      <c r="BT1663" s="6"/>
      <c r="BU1663" s="6"/>
      <c r="BV1663" s="6"/>
      <c r="BW1663" s="6"/>
      <c r="BX1663" s="5"/>
      <c r="BY1663" s="7"/>
      <c r="BZ1663" s="7"/>
      <c r="CA1663" s="7"/>
      <c r="CB1663" s="7"/>
      <c r="CC1663" s="874"/>
    </row>
    <row r="1664" spans="1:81" s="400" customFormat="1" ht="14.25" customHeight="1" x14ac:dyDescent="0.25">
      <c r="A1664" s="5"/>
      <c r="B1664" s="5"/>
      <c r="C1664" s="5"/>
      <c r="D1664" s="5"/>
      <c r="E1664" s="5"/>
      <c r="F1664" s="5"/>
      <c r="G1664" s="5"/>
      <c r="H1664" s="5"/>
      <c r="I1664" s="5"/>
      <c r="J1664" s="5"/>
      <c r="K1664" s="5"/>
      <c r="L1664" s="5"/>
      <c r="M1664" s="5"/>
      <c r="N1664" s="5"/>
      <c r="O1664" s="5"/>
      <c r="P1664" s="5"/>
      <c r="Q1664" s="5"/>
      <c r="R1664" s="5"/>
      <c r="S1664" s="5"/>
      <c r="T1664" s="5"/>
      <c r="U1664" s="5"/>
      <c r="V1664" s="5"/>
      <c r="W1664" s="5"/>
      <c r="X1664" s="5"/>
      <c r="Y1664" s="5"/>
      <c r="Z1664" s="5"/>
      <c r="AA1664" s="5"/>
      <c r="AB1664" s="6"/>
      <c r="AC1664" s="6"/>
      <c r="AD1664" s="6"/>
      <c r="AE1664" s="6"/>
      <c r="AF1664" s="6"/>
      <c r="AG1664" s="6"/>
      <c r="AH1664" s="6"/>
      <c r="AI1664" s="6"/>
      <c r="AJ1664" s="6"/>
      <c r="AK1664" s="6"/>
      <c r="AL1664" s="6"/>
      <c r="AM1664" s="6"/>
      <c r="AN1664" s="6"/>
      <c r="AO1664" s="6"/>
      <c r="AP1664" s="6"/>
      <c r="AQ1664" s="6"/>
      <c r="AR1664" s="6"/>
      <c r="AS1664" s="6"/>
      <c r="AT1664" s="6"/>
      <c r="AU1664" s="6"/>
      <c r="AV1664" s="6"/>
      <c r="AW1664" s="6"/>
      <c r="AX1664" s="6"/>
      <c r="AY1664" s="6"/>
      <c r="AZ1664" s="6"/>
      <c r="BA1664" s="6"/>
      <c r="BB1664" s="6"/>
      <c r="BC1664" s="6"/>
      <c r="BD1664" s="6"/>
      <c r="BE1664" s="6"/>
      <c r="BF1664" s="6"/>
      <c r="BG1664" s="6"/>
      <c r="BH1664" s="6"/>
      <c r="BI1664" s="6"/>
      <c r="BJ1664" s="6"/>
      <c r="BK1664" s="6"/>
      <c r="BL1664" s="6"/>
      <c r="BM1664" s="6"/>
      <c r="BN1664" s="6"/>
      <c r="BO1664" s="6"/>
      <c r="BP1664" s="6"/>
      <c r="BQ1664" s="6"/>
      <c r="BR1664" s="6"/>
      <c r="BS1664" s="6"/>
      <c r="BT1664" s="6"/>
      <c r="BU1664" s="6"/>
      <c r="BV1664" s="6"/>
      <c r="BW1664" s="6"/>
      <c r="BX1664" s="5"/>
      <c r="BY1664" s="7"/>
      <c r="BZ1664" s="7"/>
      <c r="CA1664" s="7"/>
      <c r="CB1664" s="7"/>
      <c r="CC1664" s="874"/>
    </row>
    <row r="1665" spans="1:81" s="400" customFormat="1" ht="14.25" customHeight="1" x14ac:dyDescent="0.25">
      <c r="A1665" s="5"/>
      <c r="B1665" s="5"/>
      <c r="C1665" s="5"/>
      <c r="D1665" s="5"/>
      <c r="E1665" s="5"/>
      <c r="F1665" s="5"/>
      <c r="G1665" s="5"/>
      <c r="H1665" s="5"/>
      <c r="I1665" s="5"/>
      <c r="J1665" s="5"/>
      <c r="K1665" s="5"/>
      <c r="L1665" s="5"/>
      <c r="M1665" s="5"/>
      <c r="N1665" s="5"/>
      <c r="O1665" s="5"/>
      <c r="P1665" s="5"/>
      <c r="Q1665" s="5"/>
      <c r="R1665" s="5"/>
      <c r="S1665" s="5"/>
      <c r="T1665" s="5"/>
      <c r="U1665" s="5"/>
      <c r="V1665" s="5"/>
      <c r="W1665" s="5"/>
      <c r="X1665" s="5"/>
      <c r="Y1665" s="5"/>
      <c r="Z1665" s="5"/>
      <c r="AA1665" s="5"/>
      <c r="AB1665" s="6"/>
      <c r="AC1665" s="6"/>
      <c r="AD1665" s="6"/>
      <c r="AE1665" s="6"/>
      <c r="AF1665" s="6"/>
      <c r="AG1665" s="6"/>
      <c r="AH1665" s="6"/>
      <c r="AI1665" s="6"/>
      <c r="AJ1665" s="6"/>
      <c r="AK1665" s="6"/>
      <c r="AL1665" s="6"/>
      <c r="AM1665" s="6"/>
      <c r="AN1665" s="6"/>
      <c r="AO1665" s="6"/>
      <c r="AP1665" s="6"/>
      <c r="AQ1665" s="6"/>
      <c r="AR1665" s="6"/>
      <c r="AS1665" s="6"/>
      <c r="AT1665" s="6"/>
      <c r="AU1665" s="6"/>
      <c r="AV1665" s="6"/>
      <c r="AW1665" s="6"/>
      <c r="AX1665" s="6"/>
      <c r="AY1665" s="6"/>
      <c r="AZ1665" s="6"/>
      <c r="BA1665" s="6"/>
      <c r="BB1665" s="6"/>
      <c r="BC1665" s="6"/>
      <c r="BD1665" s="6"/>
      <c r="BE1665" s="6"/>
      <c r="BF1665" s="6"/>
      <c r="BG1665" s="6"/>
      <c r="BH1665" s="6"/>
      <c r="BI1665" s="6"/>
      <c r="BJ1665" s="6"/>
      <c r="BK1665" s="6"/>
      <c r="BL1665" s="6"/>
      <c r="BM1665" s="6"/>
      <c r="BN1665" s="6"/>
      <c r="BO1665" s="6"/>
      <c r="BP1665" s="6"/>
      <c r="BQ1665" s="6"/>
      <c r="BR1665" s="6"/>
      <c r="BS1665" s="6"/>
      <c r="BT1665" s="6"/>
      <c r="BU1665" s="6"/>
      <c r="BV1665" s="6"/>
      <c r="BW1665" s="6"/>
      <c r="BX1665" s="5"/>
      <c r="BY1665" s="7"/>
      <c r="BZ1665" s="7"/>
      <c r="CA1665" s="7"/>
      <c r="CB1665" s="7"/>
      <c r="CC1665" s="874"/>
    </row>
    <row r="1666" spans="1:81" s="400" customFormat="1" ht="14.25" customHeight="1" x14ac:dyDescent="0.25">
      <c r="A1666" s="5"/>
      <c r="B1666" s="5"/>
      <c r="C1666" s="5"/>
      <c r="D1666" s="5"/>
      <c r="E1666" s="5"/>
      <c r="F1666" s="5"/>
      <c r="G1666" s="5"/>
      <c r="H1666" s="5"/>
      <c r="I1666" s="5"/>
      <c r="J1666" s="5"/>
      <c r="K1666" s="5"/>
      <c r="L1666" s="5"/>
      <c r="M1666" s="5"/>
      <c r="N1666" s="5"/>
      <c r="O1666" s="5"/>
      <c r="P1666" s="5"/>
      <c r="Q1666" s="5"/>
      <c r="R1666" s="5"/>
      <c r="S1666" s="5"/>
      <c r="T1666" s="5"/>
      <c r="U1666" s="5"/>
      <c r="V1666" s="5"/>
      <c r="W1666" s="5"/>
      <c r="X1666" s="5"/>
      <c r="Y1666" s="5"/>
      <c r="Z1666" s="5"/>
      <c r="AA1666" s="5"/>
      <c r="AB1666" s="6"/>
      <c r="AC1666" s="6"/>
      <c r="AD1666" s="6"/>
      <c r="AE1666" s="6"/>
      <c r="AF1666" s="6"/>
      <c r="AG1666" s="6"/>
      <c r="AH1666" s="6"/>
      <c r="AI1666" s="6"/>
      <c r="AJ1666" s="6"/>
      <c r="AK1666" s="6"/>
      <c r="AL1666" s="6"/>
      <c r="AM1666" s="6"/>
      <c r="AN1666" s="6"/>
      <c r="AO1666" s="6"/>
      <c r="AP1666" s="6"/>
      <c r="AQ1666" s="6"/>
      <c r="AR1666" s="6"/>
      <c r="AS1666" s="6"/>
      <c r="AT1666" s="6"/>
      <c r="AU1666" s="6"/>
      <c r="AV1666" s="6"/>
      <c r="AW1666" s="6"/>
      <c r="AX1666" s="6"/>
      <c r="AY1666" s="6"/>
      <c r="AZ1666" s="6"/>
      <c r="BA1666" s="6"/>
      <c r="BB1666" s="6"/>
      <c r="BC1666" s="6"/>
      <c r="BD1666" s="6"/>
      <c r="BE1666" s="6"/>
      <c r="BF1666" s="6"/>
      <c r="BG1666" s="6"/>
      <c r="BH1666" s="6"/>
      <c r="BI1666" s="6"/>
      <c r="BJ1666" s="6"/>
      <c r="BK1666" s="6"/>
      <c r="BL1666" s="6"/>
      <c r="BM1666" s="6"/>
      <c r="BN1666" s="6"/>
      <c r="BO1666" s="6"/>
      <c r="BP1666" s="6"/>
      <c r="BQ1666" s="6"/>
      <c r="BR1666" s="6"/>
      <c r="BS1666" s="6"/>
      <c r="BT1666" s="6"/>
      <c r="BU1666" s="6"/>
      <c r="BV1666" s="6"/>
      <c r="BW1666" s="6"/>
      <c r="BX1666" s="5"/>
      <c r="BY1666" s="7"/>
      <c r="BZ1666" s="7"/>
      <c r="CA1666" s="7"/>
      <c r="CB1666" s="7"/>
      <c r="CC1666" s="874"/>
    </row>
    <row r="1667" spans="1:81" s="400" customFormat="1" ht="14.25" customHeight="1" x14ac:dyDescent="0.25">
      <c r="A1667" s="5"/>
      <c r="B1667" s="5"/>
      <c r="C1667" s="5"/>
      <c r="D1667" s="5"/>
      <c r="E1667" s="5"/>
      <c r="F1667" s="5"/>
      <c r="G1667" s="5"/>
      <c r="H1667" s="5"/>
      <c r="I1667" s="5"/>
      <c r="J1667" s="5"/>
      <c r="K1667" s="5"/>
      <c r="L1667" s="5"/>
      <c r="M1667" s="5"/>
      <c r="N1667" s="5"/>
      <c r="O1667" s="5"/>
      <c r="P1667" s="5"/>
      <c r="Q1667" s="5"/>
      <c r="R1667" s="5"/>
      <c r="S1667" s="5"/>
      <c r="T1667" s="5"/>
      <c r="U1667" s="5"/>
      <c r="V1667" s="5"/>
      <c r="W1667" s="5"/>
      <c r="X1667" s="5"/>
      <c r="Y1667" s="5"/>
      <c r="Z1667" s="5"/>
      <c r="AA1667" s="5"/>
      <c r="AB1667" s="6"/>
      <c r="AC1667" s="6"/>
      <c r="AD1667" s="6"/>
      <c r="AE1667" s="6"/>
      <c r="AF1667" s="6"/>
      <c r="AG1667" s="6"/>
      <c r="AH1667" s="6"/>
      <c r="AI1667" s="6"/>
      <c r="AJ1667" s="6"/>
      <c r="AK1667" s="6"/>
      <c r="AL1667" s="6"/>
      <c r="AM1667" s="6"/>
      <c r="AN1667" s="6"/>
      <c r="AO1667" s="6"/>
      <c r="AP1667" s="6"/>
      <c r="AQ1667" s="6"/>
      <c r="AR1667" s="6"/>
      <c r="AS1667" s="6"/>
      <c r="AT1667" s="6"/>
      <c r="AU1667" s="6"/>
      <c r="AV1667" s="6"/>
      <c r="AW1667" s="6"/>
      <c r="AX1667" s="6"/>
      <c r="AY1667" s="6"/>
      <c r="AZ1667" s="6"/>
      <c r="BA1667" s="6"/>
      <c r="BB1667" s="6"/>
      <c r="BC1667" s="6"/>
      <c r="BD1667" s="6"/>
      <c r="BE1667" s="6"/>
      <c r="BF1667" s="6"/>
      <c r="BG1667" s="6"/>
      <c r="BH1667" s="6"/>
      <c r="BI1667" s="6"/>
      <c r="BJ1667" s="6"/>
      <c r="BK1667" s="6"/>
      <c r="BL1667" s="6"/>
      <c r="BM1667" s="6"/>
      <c r="BN1667" s="6"/>
      <c r="BO1667" s="6"/>
      <c r="BP1667" s="6"/>
      <c r="BQ1667" s="6"/>
      <c r="BR1667" s="6"/>
      <c r="BS1667" s="6"/>
      <c r="BT1667" s="6"/>
      <c r="BU1667" s="6"/>
      <c r="BV1667" s="6"/>
      <c r="BW1667" s="6"/>
      <c r="BX1667" s="5"/>
      <c r="BY1667" s="7"/>
      <c r="BZ1667" s="7"/>
      <c r="CA1667" s="7"/>
      <c r="CB1667" s="7"/>
      <c r="CC1667" s="874"/>
    </row>
    <row r="1668" spans="1:81" s="400" customFormat="1" ht="14.25" customHeight="1" x14ac:dyDescent="0.25">
      <c r="A1668" s="5"/>
      <c r="B1668" s="5"/>
      <c r="C1668" s="5"/>
      <c r="D1668" s="5"/>
      <c r="E1668" s="5"/>
      <c r="F1668" s="5"/>
      <c r="G1668" s="5"/>
      <c r="H1668" s="5"/>
      <c r="I1668" s="5"/>
      <c r="J1668" s="5"/>
      <c r="K1668" s="5"/>
      <c r="L1668" s="5"/>
      <c r="M1668" s="5"/>
      <c r="N1668" s="5"/>
      <c r="O1668" s="5"/>
      <c r="P1668" s="5"/>
      <c r="Q1668" s="5"/>
      <c r="R1668" s="5"/>
      <c r="S1668" s="5"/>
      <c r="T1668" s="5"/>
      <c r="U1668" s="5"/>
      <c r="V1668" s="5"/>
      <c r="W1668" s="5"/>
      <c r="X1668" s="5"/>
      <c r="Y1668" s="5"/>
      <c r="Z1668" s="5"/>
      <c r="AA1668" s="5"/>
      <c r="AB1668" s="6"/>
      <c r="AC1668" s="6"/>
      <c r="AD1668" s="6"/>
      <c r="AE1668" s="6"/>
      <c r="AF1668" s="6"/>
      <c r="AG1668" s="6"/>
      <c r="AH1668" s="6"/>
      <c r="AI1668" s="6"/>
      <c r="AJ1668" s="6"/>
      <c r="AK1668" s="6"/>
      <c r="AL1668" s="6"/>
      <c r="AM1668" s="6"/>
      <c r="AN1668" s="6"/>
      <c r="AO1668" s="6"/>
      <c r="AP1668" s="6"/>
      <c r="AQ1668" s="6"/>
      <c r="AR1668" s="6"/>
      <c r="AS1668" s="6"/>
      <c r="AT1668" s="6"/>
      <c r="AU1668" s="6"/>
      <c r="AV1668" s="6"/>
      <c r="AW1668" s="6"/>
      <c r="AX1668" s="6"/>
      <c r="AY1668" s="6"/>
      <c r="AZ1668" s="6"/>
      <c r="BA1668" s="6"/>
      <c r="BB1668" s="6"/>
      <c r="BC1668" s="6"/>
      <c r="BD1668" s="6"/>
      <c r="BE1668" s="6"/>
      <c r="BF1668" s="6"/>
      <c r="BG1668" s="6"/>
      <c r="BH1668" s="6"/>
      <c r="BI1668" s="6"/>
      <c r="BJ1668" s="6"/>
      <c r="BK1668" s="6"/>
      <c r="BL1668" s="6"/>
      <c r="BM1668" s="6"/>
      <c r="BN1668" s="6"/>
      <c r="BO1668" s="6"/>
      <c r="BP1668" s="6"/>
      <c r="BQ1668" s="6"/>
      <c r="BR1668" s="6"/>
      <c r="BS1668" s="6"/>
      <c r="BT1668" s="6"/>
      <c r="BU1668" s="6"/>
      <c r="BV1668" s="6"/>
      <c r="BW1668" s="6"/>
      <c r="BX1668" s="5"/>
      <c r="BY1668" s="7"/>
      <c r="BZ1668" s="7"/>
      <c r="CA1668" s="7"/>
      <c r="CB1668" s="7"/>
      <c r="CC1668" s="874"/>
    </row>
    <row r="1669" spans="1:81" s="400" customFormat="1" ht="14.25" customHeight="1" x14ac:dyDescent="0.25">
      <c r="A1669" s="5"/>
      <c r="B1669" s="5"/>
      <c r="C1669" s="5"/>
      <c r="D1669" s="5"/>
      <c r="E1669" s="5"/>
      <c r="F1669" s="5"/>
      <c r="G1669" s="5"/>
      <c r="H1669" s="5"/>
      <c r="I1669" s="5"/>
      <c r="J1669" s="5"/>
      <c r="K1669" s="5"/>
      <c r="L1669" s="5"/>
      <c r="M1669" s="5"/>
      <c r="N1669" s="5"/>
      <c r="O1669" s="5"/>
      <c r="P1669" s="5"/>
      <c r="Q1669" s="5"/>
      <c r="R1669" s="5"/>
      <c r="S1669" s="5"/>
      <c r="T1669" s="5"/>
      <c r="U1669" s="5"/>
      <c r="V1669" s="5"/>
      <c r="W1669" s="5"/>
      <c r="X1669" s="5"/>
      <c r="Y1669" s="5"/>
      <c r="Z1669" s="5"/>
      <c r="AA1669" s="5"/>
      <c r="AB1669" s="6"/>
      <c r="AC1669" s="6"/>
      <c r="AD1669" s="6"/>
      <c r="AE1669" s="6"/>
      <c r="AF1669" s="6"/>
      <c r="AG1669" s="6"/>
      <c r="AH1669" s="6"/>
      <c r="AI1669" s="6"/>
      <c r="AJ1669" s="6"/>
      <c r="AK1669" s="6"/>
      <c r="AL1669" s="6"/>
      <c r="AM1669" s="6"/>
      <c r="AN1669" s="6"/>
      <c r="AO1669" s="6"/>
      <c r="AP1669" s="6"/>
      <c r="AQ1669" s="6"/>
      <c r="AR1669" s="6"/>
      <c r="AS1669" s="6"/>
      <c r="AT1669" s="6"/>
      <c r="AU1669" s="6"/>
      <c r="AV1669" s="6"/>
      <c r="AW1669" s="6"/>
      <c r="AX1669" s="6"/>
      <c r="AY1669" s="6"/>
      <c r="AZ1669" s="6"/>
      <c r="BA1669" s="6"/>
      <c r="BB1669" s="6"/>
      <c r="BC1669" s="6"/>
      <c r="BD1669" s="6"/>
      <c r="BE1669" s="6"/>
      <c r="BF1669" s="6"/>
      <c r="BG1669" s="6"/>
      <c r="BH1669" s="6"/>
      <c r="BI1669" s="6"/>
      <c r="BJ1669" s="6"/>
      <c r="BK1669" s="6"/>
      <c r="BL1669" s="6"/>
      <c r="BM1669" s="6"/>
      <c r="BN1669" s="6"/>
      <c r="BO1669" s="6"/>
      <c r="BP1669" s="6"/>
      <c r="BQ1669" s="6"/>
      <c r="BR1669" s="6"/>
      <c r="BS1669" s="6"/>
      <c r="BT1669" s="6"/>
      <c r="BU1669" s="6"/>
      <c r="BV1669" s="6"/>
      <c r="BW1669" s="6"/>
      <c r="BX1669" s="5"/>
      <c r="BY1669" s="7"/>
      <c r="BZ1669" s="7"/>
      <c r="CA1669" s="7"/>
      <c r="CB1669" s="7"/>
      <c r="CC1669" s="874"/>
    </row>
    <row r="1670" spans="1:81" s="400" customFormat="1" ht="14.25" customHeight="1" x14ac:dyDescent="0.25">
      <c r="A1670" s="5"/>
      <c r="B1670" s="5"/>
      <c r="C1670" s="5"/>
      <c r="D1670" s="5"/>
      <c r="E1670" s="5"/>
      <c r="F1670" s="5"/>
      <c r="G1670" s="5"/>
      <c r="H1670" s="5"/>
      <c r="I1670" s="5"/>
      <c r="J1670" s="5"/>
      <c r="K1670" s="5"/>
      <c r="L1670" s="5"/>
      <c r="M1670" s="5"/>
      <c r="N1670" s="5"/>
      <c r="O1670" s="5"/>
      <c r="P1670" s="5"/>
      <c r="Q1670" s="5"/>
      <c r="R1670" s="5"/>
      <c r="S1670" s="5"/>
      <c r="T1670" s="5"/>
      <c r="U1670" s="5"/>
      <c r="V1670" s="5"/>
      <c r="W1670" s="5"/>
      <c r="X1670" s="5"/>
      <c r="Y1670" s="5"/>
      <c r="Z1670" s="5"/>
      <c r="AA1670" s="5"/>
      <c r="AB1670" s="6"/>
      <c r="AC1670" s="6"/>
      <c r="AD1670" s="6"/>
      <c r="AE1670" s="6"/>
      <c r="AF1670" s="6"/>
      <c r="AG1670" s="6"/>
      <c r="AH1670" s="6"/>
      <c r="AI1670" s="6"/>
      <c r="AJ1670" s="6"/>
      <c r="AK1670" s="6"/>
      <c r="AL1670" s="6"/>
      <c r="AM1670" s="6"/>
      <c r="AN1670" s="6"/>
      <c r="AO1670" s="6"/>
      <c r="AP1670" s="6"/>
      <c r="AQ1670" s="6"/>
      <c r="AR1670" s="6"/>
      <c r="AS1670" s="6"/>
      <c r="AT1670" s="6"/>
      <c r="AU1670" s="6"/>
      <c r="AV1670" s="6"/>
      <c r="AW1670" s="6"/>
      <c r="AX1670" s="6"/>
      <c r="AY1670" s="6"/>
      <c r="AZ1670" s="6"/>
      <c r="BA1670" s="6"/>
      <c r="BB1670" s="6"/>
      <c r="BC1670" s="6"/>
      <c r="BD1670" s="6"/>
      <c r="BE1670" s="6"/>
      <c r="BF1670" s="6"/>
      <c r="BG1670" s="6"/>
      <c r="BH1670" s="6"/>
      <c r="BI1670" s="6"/>
      <c r="BJ1670" s="6"/>
      <c r="BK1670" s="6"/>
      <c r="BL1670" s="6"/>
      <c r="BM1670" s="6"/>
      <c r="BN1670" s="6"/>
      <c r="BO1670" s="6"/>
      <c r="BP1670" s="6"/>
      <c r="BQ1670" s="6"/>
      <c r="BR1670" s="6"/>
      <c r="BS1670" s="6"/>
      <c r="BT1670" s="6"/>
      <c r="BU1670" s="6"/>
      <c r="BV1670" s="6"/>
      <c r="BW1670" s="6"/>
      <c r="BX1670" s="5"/>
      <c r="BY1670" s="7"/>
      <c r="BZ1670" s="7"/>
      <c r="CA1670" s="7"/>
      <c r="CB1670" s="7"/>
      <c r="CC1670" s="874"/>
    </row>
    <row r="1671" spans="1:81" s="400" customFormat="1" ht="14.25" customHeight="1" x14ac:dyDescent="0.25">
      <c r="A1671" s="5"/>
      <c r="B1671" s="5"/>
      <c r="C1671" s="5"/>
      <c r="D1671" s="5"/>
      <c r="E1671" s="5"/>
      <c r="F1671" s="5"/>
      <c r="G1671" s="5"/>
      <c r="H1671" s="5"/>
      <c r="I1671" s="5"/>
      <c r="J1671" s="5"/>
      <c r="K1671" s="5"/>
      <c r="L1671" s="5"/>
      <c r="M1671" s="5"/>
      <c r="N1671" s="5"/>
      <c r="O1671" s="5"/>
      <c r="P1671" s="5"/>
      <c r="Q1671" s="5"/>
      <c r="R1671" s="5"/>
      <c r="S1671" s="5"/>
      <c r="T1671" s="5"/>
      <c r="U1671" s="5"/>
      <c r="V1671" s="5"/>
      <c r="W1671" s="5"/>
      <c r="X1671" s="5"/>
      <c r="Y1671" s="5"/>
      <c r="Z1671" s="5"/>
      <c r="AA1671" s="5"/>
      <c r="AB1671" s="6"/>
      <c r="AC1671" s="6"/>
      <c r="AD1671" s="6"/>
      <c r="AE1671" s="6"/>
      <c r="AF1671" s="6"/>
      <c r="AG1671" s="6"/>
      <c r="AH1671" s="6"/>
      <c r="AI1671" s="6"/>
      <c r="AJ1671" s="6"/>
      <c r="AK1671" s="6"/>
      <c r="AL1671" s="6"/>
      <c r="AM1671" s="6"/>
      <c r="AN1671" s="6"/>
      <c r="AO1671" s="6"/>
      <c r="AP1671" s="6"/>
      <c r="AQ1671" s="6"/>
      <c r="AR1671" s="6"/>
      <c r="AS1671" s="6"/>
      <c r="AT1671" s="6"/>
      <c r="AU1671" s="6"/>
      <c r="AV1671" s="6"/>
      <c r="AW1671" s="6"/>
      <c r="AX1671" s="6"/>
      <c r="AY1671" s="6"/>
      <c r="AZ1671" s="6"/>
      <c r="BA1671" s="6"/>
      <c r="BB1671" s="6"/>
      <c r="BC1671" s="6"/>
      <c r="BD1671" s="6"/>
      <c r="BE1671" s="6"/>
      <c r="BF1671" s="6"/>
      <c r="BG1671" s="6"/>
      <c r="BH1671" s="6"/>
      <c r="BI1671" s="6"/>
      <c r="BJ1671" s="6"/>
      <c r="BK1671" s="6"/>
      <c r="BL1671" s="6"/>
      <c r="BM1671" s="6"/>
      <c r="BN1671" s="6"/>
      <c r="BO1671" s="6"/>
      <c r="BP1671" s="6"/>
      <c r="BQ1671" s="6"/>
      <c r="BR1671" s="6"/>
      <c r="BS1671" s="6"/>
      <c r="BT1671" s="6"/>
      <c r="BU1671" s="6"/>
      <c r="BV1671" s="6"/>
      <c r="BW1671" s="6"/>
      <c r="BX1671" s="5"/>
      <c r="BY1671" s="7"/>
      <c r="BZ1671" s="7"/>
      <c r="CA1671" s="7"/>
      <c r="CB1671" s="7"/>
      <c r="CC1671" s="874"/>
    </row>
    <row r="1672" spans="1:81" s="400" customFormat="1" ht="14.25" customHeight="1" x14ac:dyDescent="0.25">
      <c r="A1672" s="5"/>
      <c r="B1672" s="5"/>
      <c r="C1672" s="5"/>
      <c r="D1672" s="5"/>
      <c r="E1672" s="5"/>
      <c r="F1672" s="5"/>
      <c r="G1672" s="5"/>
      <c r="H1672" s="5"/>
      <c r="I1672" s="5"/>
      <c r="J1672" s="5"/>
      <c r="K1672" s="5"/>
      <c r="L1672" s="5"/>
      <c r="M1672" s="5"/>
      <c r="N1672" s="5"/>
      <c r="O1672" s="5"/>
      <c r="P1672" s="5"/>
      <c r="Q1672" s="5"/>
      <c r="R1672" s="5"/>
      <c r="S1672" s="5"/>
      <c r="T1672" s="5"/>
      <c r="U1672" s="5"/>
      <c r="V1672" s="5"/>
      <c r="W1672" s="5"/>
      <c r="X1672" s="5"/>
      <c r="Y1672" s="5"/>
      <c r="Z1672" s="5"/>
      <c r="AA1672" s="5"/>
      <c r="AB1672" s="6"/>
      <c r="AC1672" s="6"/>
      <c r="AD1672" s="6"/>
      <c r="AE1672" s="6"/>
      <c r="AF1672" s="6"/>
      <c r="AG1672" s="6"/>
      <c r="AH1672" s="6"/>
      <c r="AI1672" s="6"/>
      <c r="AJ1672" s="6"/>
      <c r="AK1672" s="6"/>
      <c r="AL1672" s="6"/>
      <c r="AM1672" s="6"/>
      <c r="AN1672" s="6"/>
      <c r="AO1672" s="6"/>
      <c r="AP1672" s="6"/>
      <c r="AQ1672" s="6"/>
      <c r="AR1672" s="6"/>
      <c r="AS1672" s="6"/>
      <c r="AT1672" s="6"/>
      <c r="AU1672" s="6"/>
      <c r="AV1672" s="6"/>
      <c r="AW1672" s="6"/>
      <c r="AX1672" s="6"/>
      <c r="AY1672" s="6"/>
      <c r="AZ1672" s="6"/>
      <c r="BA1672" s="6"/>
      <c r="BB1672" s="6"/>
      <c r="BC1672" s="6"/>
      <c r="BD1672" s="6"/>
      <c r="BE1672" s="6"/>
      <c r="BF1672" s="6"/>
      <c r="BG1672" s="6"/>
      <c r="BH1672" s="6"/>
      <c r="BI1672" s="6"/>
      <c r="BJ1672" s="6"/>
      <c r="BK1672" s="6"/>
      <c r="BL1672" s="6"/>
      <c r="BM1672" s="6"/>
      <c r="BN1672" s="6"/>
      <c r="BO1672" s="6"/>
      <c r="BP1672" s="6"/>
      <c r="BQ1672" s="6"/>
      <c r="BR1672" s="6"/>
      <c r="BS1672" s="6"/>
      <c r="BT1672" s="6"/>
      <c r="BU1672" s="6"/>
      <c r="BV1672" s="6"/>
      <c r="BW1672" s="6"/>
      <c r="BX1672" s="5"/>
      <c r="BY1672" s="7"/>
      <c r="BZ1672" s="7"/>
      <c r="CA1672" s="7"/>
      <c r="CB1672" s="7"/>
      <c r="CC1672" s="874"/>
    </row>
    <row r="1673" spans="1:81" s="400" customFormat="1" ht="14.25" customHeight="1" x14ac:dyDescent="0.25">
      <c r="A1673" s="5"/>
      <c r="B1673" s="5"/>
      <c r="C1673" s="5"/>
      <c r="D1673" s="5"/>
      <c r="E1673" s="5"/>
      <c r="F1673" s="5"/>
      <c r="G1673" s="5"/>
      <c r="H1673" s="5"/>
      <c r="I1673" s="5"/>
      <c r="J1673" s="5"/>
      <c r="K1673" s="5"/>
      <c r="L1673" s="5"/>
      <c r="M1673" s="5"/>
      <c r="N1673" s="5"/>
      <c r="O1673" s="5"/>
      <c r="P1673" s="5"/>
      <c r="Q1673" s="5"/>
      <c r="R1673" s="5"/>
      <c r="S1673" s="5"/>
      <c r="T1673" s="5"/>
      <c r="U1673" s="5"/>
      <c r="V1673" s="5"/>
      <c r="W1673" s="5"/>
      <c r="X1673" s="5"/>
      <c r="Y1673" s="5"/>
      <c r="Z1673" s="5"/>
      <c r="AA1673" s="5"/>
      <c r="AB1673" s="6"/>
      <c r="AC1673" s="6"/>
      <c r="AD1673" s="6"/>
      <c r="AE1673" s="6"/>
      <c r="AF1673" s="6"/>
      <c r="AG1673" s="6"/>
      <c r="AH1673" s="6"/>
      <c r="AI1673" s="6"/>
      <c r="AJ1673" s="6"/>
      <c r="AK1673" s="6"/>
      <c r="AL1673" s="6"/>
      <c r="AM1673" s="6"/>
      <c r="AN1673" s="6"/>
      <c r="AO1673" s="6"/>
      <c r="AP1673" s="6"/>
      <c r="AQ1673" s="6"/>
      <c r="AR1673" s="6"/>
      <c r="AS1673" s="6"/>
      <c r="AT1673" s="6"/>
      <c r="AU1673" s="6"/>
      <c r="AV1673" s="6"/>
      <c r="AW1673" s="6"/>
      <c r="AX1673" s="6"/>
      <c r="AY1673" s="6"/>
      <c r="AZ1673" s="6"/>
      <c r="BA1673" s="6"/>
      <c r="BB1673" s="6"/>
      <c r="BC1673" s="6"/>
      <c r="BD1673" s="6"/>
      <c r="BE1673" s="6"/>
      <c r="BF1673" s="6"/>
      <c r="BG1673" s="6"/>
      <c r="BH1673" s="6"/>
      <c r="BI1673" s="6"/>
      <c r="BJ1673" s="6"/>
      <c r="BK1673" s="6"/>
      <c r="BL1673" s="6"/>
      <c r="BM1673" s="6"/>
      <c r="BN1673" s="6"/>
      <c r="BO1673" s="6"/>
      <c r="BP1673" s="6"/>
      <c r="BQ1673" s="6"/>
      <c r="BR1673" s="6"/>
      <c r="BS1673" s="6"/>
      <c r="BT1673" s="6"/>
      <c r="BU1673" s="6"/>
      <c r="BV1673" s="6"/>
      <c r="BW1673" s="6"/>
      <c r="BX1673" s="5"/>
      <c r="BY1673" s="7"/>
      <c r="BZ1673" s="7"/>
      <c r="CA1673" s="7"/>
      <c r="CB1673" s="7"/>
      <c r="CC1673" s="874"/>
    </row>
    <row r="1674" spans="1:81" s="400" customFormat="1" ht="14.25" customHeight="1" x14ac:dyDescent="0.25">
      <c r="A1674" s="5"/>
      <c r="B1674" s="5"/>
      <c r="C1674" s="5"/>
      <c r="D1674" s="5"/>
      <c r="E1674" s="5"/>
      <c r="F1674" s="5"/>
      <c r="G1674" s="5"/>
      <c r="H1674" s="5"/>
      <c r="I1674" s="5"/>
      <c r="J1674" s="5"/>
      <c r="K1674" s="5"/>
      <c r="L1674" s="5"/>
      <c r="M1674" s="5"/>
      <c r="N1674" s="5"/>
      <c r="O1674" s="5"/>
      <c r="P1674" s="5"/>
      <c r="Q1674" s="5"/>
      <c r="R1674" s="5"/>
      <c r="S1674" s="5"/>
      <c r="T1674" s="5"/>
      <c r="U1674" s="5"/>
      <c r="V1674" s="5"/>
      <c r="W1674" s="5"/>
      <c r="X1674" s="5"/>
      <c r="Y1674" s="5"/>
      <c r="Z1674" s="5"/>
      <c r="AA1674" s="5"/>
      <c r="AB1674" s="6"/>
      <c r="AC1674" s="6"/>
      <c r="AD1674" s="6"/>
      <c r="AE1674" s="6"/>
      <c r="AF1674" s="6"/>
      <c r="AG1674" s="6"/>
      <c r="AH1674" s="6"/>
      <c r="AI1674" s="6"/>
      <c r="AJ1674" s="6"/>
      <c r="AK1674" s="6"/>
      <c r="AL1674" s="6"/>
      <c r="AM1674" s="6"/>
      <c r="AN1674" s="6"/>
      <c r="AO1674" s="6"/>
      <c r="AP1674" s="6"/>
      <c r="AQ1674" s="6"/>
      <c r="AR1674" s="6"/>
      <c r="AS1674" s="6"/>
      <c r="AT1674" s="6"/>
      <c r="AU1674" s="6"/>
      <c r="AV1674" s="6"/>
      <c r="AW1674" s="6"/>
      <c r="AX1674" s="6"/>
      <c r="AY1674" s="6"/>
      <c r="AZ1674" s="6"/>
      <c r="BA1674" s="6"/>
      <c r="BB1674" s="6"/>
      <c r="BC1674" s="6"/>
      <c r="BD1674" s="6"/>
      <c r="BE1674" s="6"/>
      <c r="BF1674" s="6"/>
      <c r="BG1674" s="6"/>
      <c r="BH1674" s="6"/>
      <c r="BI1674" s="6"/>
      <c r="BJ1674" s="6"/>
      <c r="BK1674" s="6"/>
      <c r="BL1674" s="6"/>
      <c r="BM1674" s="6"/>
      <c r="BN1674" s="6"/>
      <c r="BO1674" s="6"/>
      <c r="BP1674" s="6"/>
      <c r="BQ1674" s="6"/>
      <c r="BR1674" s="6"/>
      <c r="BS1674" s="6"/>
      <c r="BT1674" s="6"/>
      <c r="BU1674" s="6"/>
      <c r="BV1674" s="6"/>
      <c r="BW1674" s="6"/>
      <c r="BX1674" s="5"/>
      <c r="BY1674" s="7"/>
      <c r="BZ1674" s="7"/>
      <c r="CA1674" s="7"/>
      <c r="CB1674" s="7"/>
      <c r="CC1674" s="874"/>
    </row>
    <row r="1675" spans="1:81" s="400" customFormat="1" ht="14.25" customHeight="1" x14ac:dyDescent="0.25">
      <c r="A1675" s="5"/>
      <c r="B1675" s="5"/>
      <c r="C1675" s="5"/>
      <c r="D1675" s="5"/>
      <c r="E1675" s="5"/>
      <c r="F1675" s="5"/>
      <c r="G1675" s="5"/>
      <c r="H1675" s="5"/>
      <c r="I1675" s="5"/>
      <c r="J1675" s="5"/>
      <c r="K1675" s="5"/>
      <c r="L1675" s="5"/>
      <c r="M1675" s="5"/>
      <c r="N1675" s="5"/>
      <c r="O1675" s="5"/>
      <c r="P1675" s="5"/>
      <c r="Q1675" s="5"/>
      <c r="R1675" s="5"/>
      <c r="S1675" s="5"/>
      <c r="T1675" s="5"/>
      <c r="U1675" s="5"/>
      <c r="V1675" s="5"/>
      <c r="W1675" s="5"/>
      <c r="X1675" s="5"/>
      <c r="Y1675" s="5"/>
      <c r="Z1675" s="5"/>
      <c r="AA1675" s="5"/>
      <c r="AB1675" s="6"/>
      <c r="AC1675" s="6"/>
      <c r="AD1675" s="6"/>
      <c r="AE1675" s="6"/>
      <c r="AF1675" s="6"/>
      <c r="AG1675" s="6"/>
      <c r="AH1675" s="6"/>
      <c r="AI1675" s="6"/>
      <c r="AJ1675" s="6"/>
      <c r="AK1675" s="6"/>
      <c r="AL1675" s="6"/>
      <c r="AM1675" s="6"/>
      <c r="AN1675" s="6"/>
      <c r="AO1675" s="6"/>
      <c r="AP1675" s="6"/>
      <c r="AQ1675" s="6"/>
      <c r="AR1675" s="6"/>
      <c r="AS1675" s="6"/>
      <c r="AT1675" s="6"/>
      <c r="AU1675" s="6"/>
      <c r="AV1675" s="6"/>
      <c r="AW1675" s="6"/>
      <c r="AX1675" s="6"/>
      <c r="AY1675" s="6"/>
      <c r="AZ1675" s="6"/>
      <c r="BA1675" s="6"/>
      <c r="BB1675" s="6"/>
      <c r="BC1675" s="6"/>
      <c r="BD1675" s="6"/>
      <c r="BE1675" s="6"/>
      <c r="BF1675" s="6"/>
      <c r="BG1675" s="6"/>
      <c r="BH1675" s="6"/>
      <c r="BI1675" s="6"/>
      <c r="BJ1675" s="6"/>
      <c r="BK1675" s="6"/>
      <c r="BL1675" s="6"/>
      <c r="BM1675" s="6"/>
      <c r="BN1675" s="6"/>
      <c r="BO1675" s="6"/>
      <c r="BP1675" s="6"/>
      <c r="BQ1675" s="6"/>
      <c r="BR1675" s="6"/>
      <c r="BS1675" s="6"/>
      <c r="BT1675" s="6"/>
      <c r="BU1675" s="6"/>
      <c r="BV1675" s="6"/>
      <c r="BW1675" s="6"/>
      <c r="BX1675" s="5"/>
      <c r="BY1675" s="7"/>
      <c r="BZ1675" s="7"/>
      <c r="CA1675" s="7"/>
      <c r="CB1675" s="7"/>
      <c r="CC1675" s="874"/>
    </row>
    <row r="1676" spans="1:81" s="400" customFormat="1" ht="14.25" customHeight="1" x14ac:dyDescent="0.25">
      <c r="A1676" s="5"/>
      <c r="B1676" s="5"/>
      <c r="C1676" s="5"/>
      <c r="D1676" s="5"/>
      <c r="E1676" s="5"/>
      <c r="F1676" s="5"/>
      <c r="G1676" s="5"/>
      <c r="H1676" s="5"/>
      <c r="I1676" s="5"/>
      <c r="J1676" s="5"/>
      <c r="K1676" s="5"/>
      <c r="L1676" s="5"/>
      <c r="M1676" s="5"/>
      <c r="N1676" s="5"/>
      <c r="O1676" s="5"/>
      <c r="P1676" s="5"/>
      <c r="Q1676" s="5"/>
      <c r="R1676" s="5"/>
      <c r="S1676" s="5"/>
      <c r="T1676" s="5"/>
      <c r="U1676" s="5"/>
      <c r="V1676" s="5"/>
      <c r="W1676" s="5"/>
      <c r="X1676" s="5"/>
      <c r="Y1676" s="5"/>
      <c r="Z1676" s="5"/>
      <c r="AA1676" s="5"/>
      <c r="AB1676" s="6"/>
      <c r="AC1676" s="6"/>
      <c r="AD1676" s="6"/>
      <c r="AE1676" s="6"/>
      <c r="AF1676" s="6"/>
      <c r="AG1676" s="6"/>
      <c r="AH1676" s="6"/>
      <c r="AI1676" s="6"/>
      <c r="AJ1676" s="6"/>
      <c r="AK1676" s="6"/>
      <c r="AL1676" s="6"/>
      <c r="AM1676" s="6"/>
      <c r="AN1676" s="6"/>
      <c r="AO1676" s="6"/>
      <c r="AP1676" s="6"/>
      <c r="AQ1676" s="6"/>
      <c r="AR1676" s="6"/>
      <c r="AS1676" s="6"/>
      <c r="AT1676" s="6"/>
      <c r="AU1676" s="6"/>
      <c r="AV1676" s="6"/>
      <c r="AW1676" s="6"/>
      <c r="AX1676" s="6"/>
      <c r="AY1676" s="6"/>
      <c r="AZ1676" s="6"/>
      <c r="BA1676" s="6"/>
      <c r="BB1676" s="6"/>
      <c r="BC1676" s="6"/>
      <c r="BD1676" s="6"/>
      <c r="BE1676" s="6"/>
      <c r="BF1676" s="6"/>
      <c r="BG1676" s="6"/>
      <c r="BH1676" s="6"/>
      <c r="BI1676" s="6"/>
      <c r="BJ1676" s="6"/>
      <c r="BK1676" s="6"/>
      <c r="BL1676" s="6"/>
      <c r="BM1676" s="6"/>
      <c r="BN1676" s="6"/>
      <c r="BO1676" s="6"/>
      <c r="BP1676" s="6"/>
      <c r="BQ1676" s="6"/>
      <c r="BR1676" s="6"/>
      <c r="BS1676" s="6"/>
      <c r="BT1676" s="6"/>
      <c r="BU1676" s="6"/>
      <c r="BV1676" s="6"/>
      <c r="BW1676" s="6"/>
      <c r="BX1676" s="5"/>
      <c r="BY1676" s="7"/>
      <c r="BZ1676" s="7"/>
      <c r="CA1676" s="7"/>
      <c r="CB1676" s="7"/>
      <c r="CC1676" s="874"/>
    </row>
    <row r="1677" spans="1:81" s="400" customFormat="1" ht="14.25" customHeight="1" x14ac:dyDescent="0.25">
      <c r="A1677" s="5"/>
      <c r="B1677" s="5"/>
      <c r="C1677" s="5"/>
      <c r="D1677" s="5"/>
      <c r="E1677" s="5"/>
      <c r="F1677" s="5"/>
      <c r="G1677" s="5"/>
      <c r="H1677" s="5"/>
      <c r="I1677" s="5"/>
      <c r="J1677" s="5"/>
      <c r="K1677" s="5"/>
      <c r="L1677" s="5"/>
      <c r="M1677" s="5"/>
      <c r="N1677" s="5"/>
      <c r="O1677" s="5"/>
      <c r="P1677" s="5"/>
      <c r="Q1677" s="5"/>
      <c r="R1677" s="5"/>
      <c r="S1677" s="5"/>
      <c r="T1677" s="5"/>
      <c r="U1677" s="5"/>
      <c r="V1677" s="5"/>
      <c r="W1677" s="5"/>
      <c r="X1677" s="5"/>
      <c r="Y1677" s="5"/>
      <c r="Z1677" s="5"/>
      <c r="AA1677" s="5"/>
      <c r="AB1677" s="6"/>
      <c r="AC1677" s="6"/>
      <c r="AD1677" s="6"/>
      <c r="AE1677" s="6"/>
      <c r="AF1677" s="6"/>
      <c r="AG1677" s="6"/>
      <c r="AH1677" s="6"/>
      <c r="AI1677" s="6"/>
      <c r="AJ1677" s="6"/>
      <c r="AK1677" s="6"/>
      <c r="AL1677" s="6"/>
      <c r="AM1677" s="6"/>
      <c r="AN1677" s="6"/>
      <c r="AO1677" s="6"/>
      <c r="AP1677" s="6"/>
      <c r="AQ1677" s="6"/>
      <c r="AR1677" s="6"/>
      <c r="AS1677" s="6"/>
      <c r="AT1677" s="6"/>
      <c r="AU1677" s="6"/>
      <c r="AV1677" s="6"/>
      <c r="AW1677" s="6"/>
      <c r="AX1677" s="6"/>
      <c r="AY1677" s="6"/>
      <c r="AZ1677" s="6"/>
      <c r="BA1677" s="6"/>
      <c r="BB1677" s="6"/>
      <c r="BC1677" s="6"/>
      <c r="BD1677" s="6"/>
      <c r="BE1677" s="6"/>
      <c r="BF1677" s="6"/>
      <c r="BG1677" s="6"/>
      <c r="BH1677" s="6"/>
      <c r="BI1677" s="6"/>
      <c r="BJ1677" s="6"/>
      <c r="BK1677" s="6"/>
      <c r="BL1677" s="6"/>
      <c r="BM1677" s="6"/>
      <c r="BN1677" s="6"/>
      <c r="BO1677" s="6"/>
      <c r="BP1677" s="6"/>
      <c r="BQ1677" s="6"/>
      <c r="BR1677" s="6"/>
      <c r="BS1677" s="6"/>
      <c r="BT1677" s="6"/>
      <c r="BU1677" s="6"/>
      <c r="BV1677" s="6"/>
      <c r="BW1677" s="6"/>
      <c r="BX1677" s="5"/>
      <c r="BY1677" s="7"/>
      <c r="BZ1677" s="7"/>
      <c r="CA1677" s="7"/>
      <c r="CB1677" s="7"/>
      <c r="CC1677" s="874"/>
    </row>
    <row r="1678" spans="1:81" s="400" customFormat="1" ht="14.25" customHeight="1" x14ac:dyDescent="0.25">
      <c r="A1678" s="5"/>
      <c r="B1678" s="5"/>
      <c r="C1678" s="5"/>
      <c r="D1678" s="5"/>
      <c r="E1678" s="5"/>
      <c r="F1678" s="5"/>
      <c r="G1678" s="5"/>
      <c r="H1678" s="5"/>
      <c r="I1678" s="5"/>
      <c r="J1678" s="5"/>
      <c r="K1678" s="5"/>
      <c r="L1678" s="5"/>
      <c r="M1678" s="5"/>
      <c r="N1678" s="5"/>
      <c r="O1678" s="5"/>
      <c r="P1678" s="5"/>
      <c r="Q1678" s="5"/>
      <c r="R1678" s="5"/>
      <c r="S1678" s="5"/>
      <c r="T1678" s="5"/>
      <c r="U1678" s="5"/>
      <c r="V1678" s="5"/>
      <c r="W1678" s="5"/>
      <c r="X1678" s="5"/>
      <c r="Y1678" s="5"/>
      <c r="Z1678" s="5"/>
      <c r="AA1678" s="5"/>
      <c r="AB1678" s="6"/>
      <c r="AC1678" s="6"/>
      <c r="AD1678" s="6"/>
      <c r="AE1678" s="6"/>
      <c r="AF1678" s="6"/>
      <c r="AG1678" s="6"/>
      <c r="AH1678" s="6"/>
      <c r="AI1678" s="6"/>
      <c r="AJ1678" s="6"/>
      <c r="AK1678" s="6"/>
      <c r="AL1678" s="6"/>
      <c r="AM1678" s="6"/>
      <c r="AN1678" s="6"/>
      <c r="AO1678" s="6"/>
      <c r="AP1678" s="6"/>
      <c r="AQ1678" s="6"/>
      <c r="AR1678" s="6"/>
      <c r="AS1678" s="6"/>
      <c r="AT1678" s="6"/>
      <c r="AU1678" s="6"/>
      <c r="AV1678" s="6"/>
      <c r="AW1678" s="6"/>
      <c r="AX1678" s="6"/>
      <c r="AY1678" s="6"/>
      <c r="AZ1678" s="6"/>
      <c r="BA1678" s="6"/>
      <c r="BB1678" s="6"/>
      <c r="BC1678" s="6"/>
      <c r="BD1678" s="6"/>
      <c r="BE1678" s="6"/>
      <c r="BF1678" s="6"/>
      <c r="BG1678" s="6"/>
      <c r="BH1678" s="6"/>
      <c r="BI1678" s="6"/>
      <c r="BJ1678" s="6"/>
      <c r="BK1678" s="6"/>
      <c r="BL1678" s="6"/>
      <c r="BM1678" s="6"/>
      <c r="BN1678" s="6"/>
      <c r="BO1678" s="6"/>
      <c r="BP1678" s="6"/>
      <c r="BQ1678" s="6"/>
      <c r="BR1678" s="6"/>
      <c r="BS1678" s="6"/>
      <c r="BT1678" s="6"/>
      <c r="BU1678" s="6"/>
      <c r="BV1678" s="6"/>
      <c r="BW1678" s="6"/>
      <c r="BX1678" s="5"/>
      <c r="BY1678" s="7"/>
      <c r="BZ1678" s="7"/>
      <c r="CA1678" s="7"/>
      <c r="CB1678" s="7"/>
      <c r="CC1678" s="874"/>
    </row>
    <row r="1679" spans="1:81" s="400" customFormat="1" ht="14.25" customHeight="1" x14ac:dyDescent="0.25">
      <c r="A1679" s="5"/>
      <c r="B1679" s="5"/>
      <c r="C1679" s="5"/>
      <c r="D1679" s="5"/>
      <c r="E1679" s="5"/>
      <c r="F1679" s="5"/>
      <c r="G1679" s="5"/>
      <c r="H1679" s="5"/>
      <c r="I1679" s="5"/>
      <c r="J1679" s="5"/>
      <c r="K1679" s="5"/>
      <c r="L1679" s="5"/>
      <c r="M1679" s="5"/>
      <c r="N1679" s="5"/>
      <c r="O1679" s="5"/>
      <c r="P1679" s="5"/>
      <c r="Q1679" s="5"/>
      <c r="R1679" s="5"/>
      <c r="S1679" s="5"/>
      <c r="T1679" s="5"/>
      <c r="U1679" s="5"/>
      <c r="V1679" s="5"/>
      <c r="W1679" s="5"/>
      <c r="X1679" s="5"/>
      <c r="Y1679" s="5"/>
      <c r="Z1679" s="5"/>
      <c r="AA1679" s="5"/>
      <c r="AB1679" s="6"/>
      <c r="AC1679" s="6"/>
      <c r="AD1679" s="6"/>
      <c r="AE1679" s="6"/>
      <c r="AF1679" s="6"/>
      <c r="AG1679" s="6"/>
      <c r="AH1679" s="6"/>
      <c r="AI1679" s="6"/>
      <c r="AJ1679" s="6"/>
      <c r="AK1679" s="6"/>
      <c r="AL1679" s="6"/>
      <c r="AM1679" s="6"/>
      <c r="AN1679" s="6"/>
      <c r="AO1679" s="6"/>
      <c r="AP1679" s="6"/>
      <c r="AQ1679" s="6"/>
      <c r="AR1679" s="6"/>
      <c r="AS1679" s="6"/>
      <c r="AT1679" s="6"/>
      <c r="AU1679" s="6"/>
      <c r="AV1679" s="6"/>
      <c r="AW1679" s="6"/>
      <c r="AX1679" s="6"/>
      <c r="AY1679" s="6"/>
      <c r="AZ1679" s="6"/>
      <c r="BA1679" s="6"/>
      <c r="BB1679" s="6"/>
      <c r="BC1679" s="6"/>
      <c r="BD1679" s="6"/>
      <c r="BE1679" s="6"/>
      <c r="BF1679" s="6"/>
      <c r="BG1679" s="6"/>
      <c r="BH1679" s="6"/>
      <c r="BI1679" s="6"/>
      <c r="BJ1679" s="6"/>
      <c r="BK1679" s="6"/>
      <c r="BL1679" s="6"/>
      <c r="BM1679" s="6"/>
      <c r="BN1679" s="6"/>
      <c r="BO1679" s="6"/>
      <c r="BP1679" s="6"/>
      <c r="BQ1679" s="6"/>
      <c r="BR1679" s="6"/>
      <c r="BS1679" s="6"/>
      <c r="BT1679" s="6"/>
      <c r="BU1679" s="6"/>
      <c r="BV1679" s="6"/>
      <c r="BW1679" s="6"/>
      <c r="BX1679" s="5"/>
      <c r="BY1679" s="7"/>
      <c r="BZ1679" s="7"/>
      <c r="CA1679" s="7"/>
      <c r="CB1679" s="7"/>
      <c r="CC1679" s="874"/>
    </row>
    <row r="1680" spans="1:81" s="400" customFormat="1" ht="14.25" customHeight="1" x14ac:dyDescent="0.25">
      <c r="A1680" s="5"/>
      <c r="B1680" s="5"/>
      <c r="C1680" s="5"/>
      <c r="D1680" s="5"/>
      <c r="E1680" s="5"/>
      <c r="F1680" s="5"/>
      <c r="G1680" s="5"/>
      <c r="H1680" s="5"/>
      <c r="I1680" s="5"/>
      <c r="J1680" s="5"/>
      <c r="K1680" s="5"/>
      <c r="L1680" s="5"/>
      <c r="M1680" s="5"/>
      <c r="N1680" s="5"/>
      <c r="O1680" s="5"/>
      <c r="P1680" s="5"/>
      <c r="Q1680" s="5"/>
      <c r="R1680" s="5"/>
      <c r="S1680" s="5"/>
      <c r="T1680" s="5"/>
      <c r="U1680" s="5"/>
      <c r="V1680" s="5"/>
      <c r="W1680" s="5"/>
      <c r="X1680" s="5"/>
      <c r="Y1680" s="5"/>
      <c r="Z1680" s="5"/>
      <c r="AA1680" s="5"/>
      <c r="AB1680" s="6"/>
      <c r="AC1680" s="6"/>
      <c r="AD1680" s="6"/>
      <c r="AE1680" s="6"/>
      <c r="AF1680" s="6"/>
      <c r="AG1680" s="6"/>
      <c r="AH1680" s="6"/>
      <c r="AI1680" s="6"/>
      <c r="AJ1680" s="6"/>
      <c r="AK1680" s="6"/>
      <c r="AL1680" s="6"/>
      <c r="AM1680" s="6"/>
      <c r="AN1680" s="6"/>
      <c r="AO1680" s="6"/>
      <c r="AP1680" s="6"/>
      <c r="AQ1680" s="6"/>
      <c r="AR1680" s="6"/>
      <c r="AS1680" s="6"/>
      <c r="AT1680" s="6"/>
      <c r="AU1680" s="6"/>
      <c r="AV1680" s="6"/>
      <c r="AW1680" s="6"/>
      <c r="AX1680" s="6"/>
      <c r="AY1680" s="6"/>
      <c r="AZ1680" s="6"/>
      <c r="BA1680" s="6"/>
      <c r="BB1680" s="6"/>
      <c r="BC1680" s="6"/>
      <c r="BD1680" s="6"/>
      <c r="BE1680" s="6"/>
      <c r="BF1680" s="6"/>
      <c r="BG1680" s="6"/>
      <c r="BH1680" s="6"/>
      <c r="BI1680" s="6"/>
      <c r="BJ1680" s="6"/>
      <c r="BK1680" s="6"/>
      <c r="BL1680" s="6"/>
      <c r="BM1680" s="6"/>
      <c r="BN1680" s="6"/>
      <c r="BO1680" s="6"/>
      <c r="BP1680" s="6"/>
      <c r="BQ1680" s="6"/>
      <c r="BR1680" s="6"/>
      <c r="BS1680" s="6"/>
      <c r="BT1680" s="6"/>
      <c r="BU1680" s="6"/>
      <c r="BV1680" s="6"/>
      <c r="BW1680" s="6"/>
      <c r="BX1680" s="5"/>
      <c r="BY1680" s="7"/>
      <c r="BZ1680" s="7"/>
      <c r="CA1680" s="7"/>
      <c r="CB1680" s="7"/>
      <c r="CC1680" s="874"/>
    </row>
    <row r="1681" spans="1:81" s="400" customFormat="1" ht="14.25" customHeight="1" x14ac:dyDescent="0.25">
      <c r="A1681" s="5"/>
      <c r="B1681" s="5"/>
      <c r="C1681" s="5"/>
      <c r="D1681" s="5"/>
      <c r="E1681" s="5"/>
      <c r="F1681" s="5"/>
      <c r="G1681" s="5"/>
      <c r="H1681" s="5"/>
      <c r="I1681" s="5"/>
      <c r="J1681" s="5"/>
      <c r="K1681" s="5"/>
      <c r="L1681" s="5"/>
      <c r="M1681" s="5"/>
      <c r="N1681" s="5"/>
      <c r="O1681" s="5"/>
      <c r="P1681" s="5"/>
      <c r="Q1681" s="5"/>
      <c r="R1681" s="5"/>
      <c r="S1681" s="5"/>
      <c r="T1681" s="5"/>
      <c r="U1681" s="5"/>
      <c r="V1681" s="5"/>
      <c r="W1681" s="5"/>
      <c r="X1681" s="5"/>
      <c r="Y1681" s="5"/>
      <c r="Z1681" s="5"/>
      <c r="AA1681" s="5"/>
      <c r="AB1681" s="6"/>
      <c r="AC1681" s="6"/>
      <c r="AD1681" s="6"/>
      <c r="AE1681" s="6"/>
      <c r="AF1681" s="6"/>
      <c r="AG1681" s="6"/>
      <c r="AH1681" s="6"/>
      <c r="AI1681" s="6"/>
      <c r="AJ1681" s="6"/>
      <c r="AK1681" s="6"/>
      <c r="AL1681" s="6"/>
      <c r="AM1681" s="6"/>
      <c r="AN1681" s="6"/>
      <c r="AO1681" s="6"/>
      <c r="AP1681" s="6"/>
      <c r="AQ1681" s="6"/>
      <c r="AR1681" s="6"/>
      <c r="AS1681" s="6"/>
      <c r="AT1681" s="6"/>
      <c r="AU1681" s="6"/>
      <c r="AV1681" s="6"/>
      <c r="AW1681" s="6"/>
      <c r="AX1681" s="6"/>
      <c r="AY1681" s="6"/>
      <c r="AZ1681" s="6"/>
      <c r="BA1681" s="6"/>
      <c r="BB1681" s="6"/>
      <c r="BC1681" s="6"/>
      <c r="BD1681" s="6"/>
      <c r="BE1681" s="6"/>
      <c r="BF1681" s="6"/>
      <c r="BG1681" s="6"/>
      <c r="BH1681" s="6"/>
      <c r="BI1681" s="6"/>
      <c r="BJ1681" s="6"/>
      <c r="BK1681" s="6"/>
      <c r="BL1681" s="6"/>
      <c r="BM1681" s="6"/>
      <c r="BN1681" s="6"/>
      <c r="BO1681" s="6"/>
      <c r="BP1681" s="6"/>
      <c r="BQ1681" s="6"/>
      <c r="BR1681" s="6"/>
      <c r="BS1681" s="6"/>
      <c r="BT1681" s="6"/>
      <c r="BU1681" s="6"/>
      <c r="BV1681" s="6"/>
      <c r="BW1681" s="6"/>
      <c r="BX1681" s="5"/>
      <c r="BY1681" s="7"/>
      <c r="BZ1681" s="7"/>
      <c r="CA1681" s="7"/>
      <c r="CB1681" s="7"/>
      <c r="CC1681" s="874"/>
    </row>
    <row r="1682" spans="1:81" s="400" customFormat="1" ht="14.25" customHeight="1" x14ac:dyDescent="0.25">
      <c r="A1682" s="5"/>
      <c r="B1682" s="5"/>
      <c r="C1682" s="5"/>
      <c r="D1682" s="5"/>
      <c r="E1682" s="5"/>
      <c r="F1682" s="5"/>
      <c r="G1682" s="5"/>
      <c r="H1682" s="5"/>
      <c r="I1682" s="5"/>
      <c r="J1682" s="5"/>
      <c r="K1682" s="5"/>
      <c r="L1682" s="5"/>
      <c r="M1682" s="5"/>
      <c r="N1682" s="5"/>
      <c r="O1682" s="5"/>
      <c r="P1682" s="5"/>
      <c r="Q1682" s="5"/>
      <c r="R1682" s="5"/>
      <c r="S1682" s="5"/>
      <c r="T1682" s="5"/>
      <c r="U1682" s="5"/>
      <c r="V1682" s="5"/>
      <c r="W1682" s="5"/>
      <c r="X1682" s="5"/>
      <c r="Y1682" s="5"/>
      <c r="Z1682" s="5"/>
      <c r="AA1682" s="5"/>
      <c r="AB1682" s="6"/>
      <c r="AC1682" s="6"/>
      <c r="AD1682" s="6"/>
      <c r="AE1682" s="6"/>
      <c r="AF1682" s="6"/>
      <c r="AG1682" s="6"/>
      <c r="AH1682" s="6"/>
      <c r="AI1682" s="6"/>
      <c r="AJ1682" s="6"/>
      <c r="AK1682" s="6"/>
      <c r="AL1682" s="6"/>
      <c r="AM1682" s="6"/>
      <c r="AN1682" s="6"/>
      <c r="AO1682" s="6"/>
      <c r="AP1682" s="6"/>
      <c r="AQ1682" s="6"/>
      <c r="AR1682" s="6"/>
      <c r="AS1682" s="6"/>
      <c r="AT1682" s="6"/>
      <c r="AU1682" s="6"/>
      <c r="AV1682" s="6"/>
      <c r="AW1682" s="6"/>
      <c r="AX1682" s="6"/>
      <c r="AY1682" s="6"/>
      <c r="AZ1682" s="6"/>
      <c r="BA1682" s="6"/>
      <c r="BB1682" s="6"/>
      <c r="BC1682" s="6"/>
      <c r="BD1682" s="6"/>
      <c r="BE1682" s="6"/>
      <c r="BF1682" s="6"/>
      <c r="BG1682" s="6"/>
      <c r="BH1682" s="6"/>
      <c r="BI1682" s="6"/>
      <c r="BJ1682" s="6"/>
      <c r="BK1682" s="6"/>
      <c r="BL1682" s="6"/>
      <c r="BM1682" s="6"/>
      <c r="BN1682" s="6"/>
      <c r="BO1682" s="6"/>
      <c r="BP1682" s="6"/>
      <c r="BQ1682" s="6"/>
      <c r="BR1682" s="6"/>
      <c r="BS1682" s="6"/>
      <c r="BT1682" s="6"/>
      <c r="BU1682" s="6"/>
      <c r="BV1682" s="6"/>
      <c r="BW1682" s="6"/>
      <c r="BX1682" s="5"/>
      <c r="BY1682" s="7"/>
      <c r="BZ1682" s="7"/>
      <c r="CA1682" s="7"/>
      <c r="CB1682" s="7"/>
      <c r="CC1682" s="874"/>
    </row>
    <row r="1683" spans="1:81" s="400" customFormat="1" ht="14.25" customHeight="1" x14ac:dyDescent="0.25">
      <c r="A1683" s="5"/>
      <c r="B1683" s="5"/>
      <c r="C1683" s="5"/>
      <c r="D1683" s="5"/>
      <c r="E1683" s="5"/>
      <c r="F1683" s="5"/>
      <c r="G1683" s="5"/>
      <c r="H1683" s="5"/>
      <c r="I1683" s="5"/>
      <c r="J1683" s="5"/>
      <c r="K1683" s="5"/>
      <c r="L1683" s="5"/>
      <c r="M1683" s="5"/>
      <c r="N1683" s="5"/>
      <c r="O1683" s="5"/>
      <c r="P1683" s="5"/>
      <c r="Q1683" s="5"/>
      <c r="R1683" s="5"/>
      <c r="S1683" s="5"/>
      <c r="T1683" s="5"/>
      <c r="U1683" s="5"/>
      <c r="V1683" s="5"/>
      <c r="W1683" s="5"/>
      <c r="X1683" s="5"/>
      <c r="Y1683" s="5"/>
      <c r="Z1683" s="5"/>
      <c r="AA1683" s="5"/>
      <c r="AB1683" s="6"/>
      <c r="AC1683" s="6"/>
      <c r="AD1683" s="6"/>
      <c r="AE1683" s="6"/>
      <c r="AF1683" s="6"/>
      <c r="AG1683" s="6"/>
      <c r="AH1683" s="6"/>
      <c r="AI1683" s="6"/>
      <c r="AJ1683" s="6"/>
      <c r="AK1683" s="6"/>
      <c r="AL1683" s="6"/>
      <c r="AM1683" s="6"/>
      <c r="AN1683" s="6"/>
      <c r="AO1683" s="6"/>
      <c r="AP1683" s="6"/>
      <c r="AQ1683" s="6"/>
      <c r="AR1683" s="6"/>
      <c r="AS1683" s="6"/>
      <c r="AT1683" s="6"/>
      <c r="AU1683" s="6"/>
      <c r="AV1683" s="6"/>
      <c r="AW1683" s="6"/>
      <c r="AX1683" s="6"/>
      <c r="AY1683" s="6"/>
      <c r="AZ1683" s="6"/>
      <c r="BA1683" s="6"/>
      <c r="BB1683" s="6"/>
      <c r="BC1683" s="6"/>
      <c r="BD1683" s="6"/>
      <c r="BE1683" s="6"/>
      <c r="BF1683" s="6"/>
      <c r="BG1683" s="6"/>
      <c r="BH1683" s="6"/>
      <c r="BI1683" s="6"/>
      <c r="BJ1683" s="6"/>
      <c r="BK1683" s="6"/>
      <c r="BL1683" s="6"/>
      <c r="BM1683" s="6"/>
      <c r="BN1683" s="6"/>
      <c r="BO1683" s="6"/>
      <c r="BP1683" s="6"/>
      <c r="BQ1683" s="6"/>
      <c r="BR1683" s="6"/>
      <c r="BS1683" s="6"/>
      <c r="BT1683" s="6"/>
      <c r="BU1683" s="6"/>
      <c r="BV1683" s="6"/>
      <c r="BW1683" s="6"/>
      <c r="BX1683" s="5"/>
      <c r="BY1683" s="7"/>
      <c r="BZ1683" s="7"/>
      <c r="CA1683" s="7"/>
      <c r="CB1683" s="7"/>
      <c r="CC1683" s="874"/>
    </row>
    <row r="1684" spans="1:81" s="400" customFormat="1" ht="14.25" customHeight="1" x14ac:dyDescent="0.25">
      <c r="A1684" s="5"/>
      <c r="B1684" s="5"/>
      <c r="C1684" s="5"/>
      <c r="D1684" s="5"/>
      <c r="E1684" s="5"/>
      <c r="F1684" s="5"/>
      <c r="G1684" s="5"/>
      <c r="H1684" s="5"/>
      <c r="I1684" s="5"/>
      <c r="J1684" s="5"/>
      <c r="K1684" s="5"/>
      <c r="L1684" s="5"/>
      <c r="M1684" s="5"/>
      <c r="N1684" s="5"/>
      <c r="O1684" s="5"/>
      <c r="P1684" s="5"/>
      <c r="Q1684" s="5"/>
      <c r="R1684" s="5"/>
      <c r="S1684" s="5"/>
      <c r="T1684" s="5"/>
      <c r="U1684" s="5"/>
      <c r="V1684" s="5"/>
      <c r="W1684" s="5"/>
      <c r="X1684" s="5"/>
      <c r="Y1684" s="5"/>
      <c r="Z1684" s="5"/>
      <c r="AA1684" s="5"/>
      <c r="AB1684" s="6"/>
      <c r="AC1684" s="6"/>
      <c r="AD1684" s="6"/>
      <c r="AE1684" s="6"/>
      <c r="AF1684" s="6"/>
      <c r="AG1684" s="6"/>
      <c r="AH1684" s="6"/>
      <c r="AI1684" s="6"/>
      <c r="AJ1684" s="6"/>
      <c r="AK1684" s="6"/>
      <c r="AL1684" s="6"/>
      <c r="AM1684" s="6"/>
      <c r="AN1684" s="6"/>
      <c r="AO1684" s="6"/>
      <c r="AP1684" s="6"/>
      <c r="AQ1684" s="6"/>
      <c r="AR1684" s="6"/>
      <c r="AS1684" s="6"/>
      <c r="AT1684" s="6"/>
      <c r="AU1684" s="6"/>
      <c r="AV1684" s="6"/>
      <c r="AW1684" s="6"/>
      <c r="AX1684" s="6"/>
      <c r="AY1684" s="6"/>
      <c r="AZ1684" s="6"/>
      <c r="BA1684" s="6"/>
      <c r="BB1684" s="6"/>
      <c r="BC1684" s="6"/>
      <c r="BD1684" s="6"/>
      <c r="BE1684" s="6"/>
      <c r="BF1684" s="6"/>
      <c r="BG1684" s="6"/>
      <c r="BH1684" s="6"/>
      <c r="BI1684" s="6"/>
      <c r="BJ1684" s="6"/>
      <c r="BK1684" s="6"/>
      <c r="BL1684" s="6"/>
      <c r="BM1684" s="6"/>
      <c r="BN1684" s="6"/>
      <c r="BO1684" s="6"/>
      <c r="BP1684" s="6"/>
      <c r="BQ1684" s="6"/>
      <c r="BR1684" s="6"/>
      <c r="BS1684" s="6"/>
      <c r="BT1684" s="6"/>
      <c r="BU1684" s="6"/>
      <c r="BV1684" s="6"/>
      <c r="BW1684" s="6"/>
      <c r="BX1684" s="5"/>
      <c r="BY1684" s="7"/>
      <c r="BZ1684" s="7"/>
      <c r="CA1684" s="7"/>
      <c r="CB1684" s="7"/>
      <c r="CC1684" s="874"/>
    </row>
    <row r="1685" spans="1:81" s="400" customFormat="1" ht="14.25" customHeight="1" x14ac:dyDescent="0.25">
      <c r="A1685" s="5"/>
      <c r="B1685" s="5"/>
      <c r="C1685" s="5"/>
      <c r="D1685" s="5"/>
      <c r="E1685" s="5"/>
      <c r="F1685" s="5"/>
      <c r="G1685" s="5"/>
      <c r="H1685" s="5"/>
      <c r="I1685" s="5"/>
      <c r="J1685" s="5"/>
      <c r="K1685" s="5"/>
      <c r="L1685" s="5"/>
      <c r="M1685" s="5"/>
      <c r="N1685" s="5"/>
      <c r="O1685" s="5"/>
      <c r="P1685" s="5"/>
      <c r="Q1685" s="5"/>
      <c r="R1685" s="5"/>
      <c r="S1685" s="5"/>
      <c r="T1685" s="5"/>
      <c r="U1685" s="5"/>
      <c r="V1685" s="5"/>
      <c r="W1685" s="5"/>
      <c r="X1685" s="5"/>
      <c r="Y1685" s="5"/>
      <c r="Z1685" s="5"/>
      <c r="AA1685" s="5"/>
      <c r="AB1685" s="6"/>
      <c r="AC1685" s="6"/>
      <c r="AD1685" s="6"/>
      <c r="AE1685" s="6"/>
      <c r="AF1685" s="6"/>
      <c r="AG1685" s="6"/>
      <c r="AH1685" s="6"/>
      <c r="AI1685" s="6"/>
      <c r="AJ1685" s="6"/>
      <c r="AK1685" s="6"/>
      <c r="AL1685" s="6"/>
      <c r="AM1685" s="6"/>
      <c r="AN1685" s="6"/>
      <c r="AO1685" s="6"/>
      <c r="AP1685" s="6"/>
      <c r="AQ1685" s="6"/>
      <c r="AR1685" s="6"/>
      <c r="AS1685" s="6"/>
      <c r="AT1685" s="6"/>
      <c r="AU1685" s="6"/>
      <c r="AV1685" s="6"/>
      <c r="AW1685" s="6"/>
      <c r="AX1685" s="6"/>
      <c r="AY1685" s="6"/>
      <c r="AZ1685" s="6"/>
      <c r="BA1685" s="6"/>
      <c r="BB1685" s="6"/>
      <c r="BC1685" s="6"/>
      <c r="BD1685" s="6"/>
      <c r="BE1685" s="6"/>
      <c r="BF1685" s="6"/>
      <c r="BG1685" s="6"/>
      <c r="BH1685" s="6"/>
      <c r="BI1685" s="6"/>
      <c r="BJ1685" s="6"/>
      <c r="BK1685" s="6"/>
      <c r="BL1685" s="6"/>
      <c r="BM1685" s="6"/>
      <c r="BN1685" s="6"/>
      <c r="BO1685" s="6"/>
      <c r="BP1685" s="6"/>
      <c r="BQ1685" s="6"/>
      <c r="BR1685" s="6"/>
      <c r="BS1685" s="6"/>
      <c r="BT1685" s="6"/>
      <c r="BU1685" s="6"/>
      <c r="BV1685" s="6"/>
      <c r="BW1685" s="6"/>
      <c r="BX1685" s="5"/>
      <c r="BY1685" s="7"/>
      <c r="BZ1685" s="7"/>
      <c r="CA1685" s="7"/>
      <c r="CB1685" s="7"/>
      <c r="CC1685" s="874"/>
    </row>
    <row r="1686" spans="1:81" s="400" customFormat="1" ht="14.25" customHeight="1" x14ac:dyDescent="0.25">
      <c r="A1686" s="5"/>
      <c r="B1686" s="5"/>
      <c r="C1686" s="5"/>
      <c r="D1686" s="5"/>
      <c r="E1686" s="5"/>
      <c r="F1686" s="5"/>
      <c r="G1686" s="5"/>
      <c r="H1686" s="5"/>
      <c r="I1686" s="5"/>
      <c r="J1686" s="5"/>
      <c r="K1686" s="5"/>
      <c r="L1686" s="5"/>
      <c r="M1686" s="5"/>
      <c r="N1686" s="5"/>
      <c r="O1686" s="5"/>
      <c r="P1686" s="5"/>
      <c r="Q1686" s="5"/>
      <c r="R1686" s="5"/>
      <c r="S1686" s="5"/>
      <c r="T1686" s="5"/>
      <c r="U1686" s="5"/>
      <c r="V1686" s="5"/>
      <c r="W1686" s="5"/>
      <c r="X1686" s="5"/>
      <c r="Y1686" s="5"/>
      <c r="Z1686" s="5"/>
      <c r="AA1686" s="5"/>
      <c r="AB1686" s="6"/>
      <c r="AC1686" s="6"/>
      <c r="AD1686" s="6"/>
      <c r="AE1686" s="6"/>
      <c r="AF1686" s="6"/>
      <c r="AG1686" s="6"/>
      <c r="AH1686" s="6"/>
      <c r="AI1686" s="6"/>
      <c r="AJ1686" s="6"/>
      <c r="AK1686" s="6"/>
      <c r="AL1686" s="6"/>
      <c r="AM1686" s="6"/>
      <c r="AN1686" s="6"/>
      <c r="AO1686" s="6"/>
      <c r="AP1686" s="6"/>
      <c r="AQ1686" s="6"/>
      <c r="AR1686" s="6"/>
      <c r="AS1686" s="6"/>
      <c r="AT1686" s="6"/>
      <c r="AU1686" s="6"/>
      <c r="AV1686" s="6"/>
      <c r="AW1686" s="6"/>
      <c r="AX1686" s="6"/>
      <c r="AY1686" s="6"/>
      <c r="AZ1686" s="6"/>
      <c r="BA1686" s="6"/>
      <c r="BB1686" s="6"/>
      <c r="BC1686" s="6"/>
      <c r="BD1686" s="6"/>
      <c r="BE1686" s="6"/>
      <c r="BF1686" s="6"/>
      <c r="BG1686" s="6"/>
      <c r="BH1686" s="6"/>
      <c r="BI1686" s="6"/>
      <c r="BJ1686" s="6"/>
      <c r="BK1686" s="6"/>
      <c r="BL1686" s="6"/>
      <c r="BM1686" s="6"/>
      <c r="BN1686" s="6"/>
      <c r="BO1686" s="6"/>
      <c r="BP1686" s="6"/>
      <c r="BQ1686" s="6"/>
      <c r="BR1686" s="6"/>
      <c r="BS1686" s="6"/>
      <c r="BT1686" s="6"/>
      <c r="BU1686" s="6"/>
      <c r="BV1686" s="6"/>
      <c r="BW1686" s="6"/>
      <c r="BX1686" s="5"/>
      <c r="BY1686" s="7"/>
      <c r="BZ1686" s="7"/>
      <c r="CA1686" s="7"/>
      <c r="CB1686" s="7"/>
      <c r="CC1686" s="874"/>
    </row>
    <row r="1687" spans="1:81" s="400" customFormat="1" ht="14.25" customHeight="1" x14ac:dyDescent="0.25">
      <c r="A1687" s="5"/>
      <c r="B1687" s="5"/>
      <c r="C1687" s="5"/>
      <c r="D1687" s="5"/>
      <c r="E1687" s="5"/>
      <c r="F1687" s="5"/>
      <c r="G1687" s="5"/>
      <c r="H1687" s="5"/>
      <c r="I1687" s="5"/>
      <c r="J1687" s="5"/>
      <c r="K1687" s="5"/>
      <c r="L1687" s="5"/>
      <c r="M1687" s="5"/>
      <c r="N1687" s="5"/>
      <c r="O1687" s="5"/>
      <c r="P1687" s="5"/>
      <c r="Q1687" s="5"/>
      <c r="R1687" s="5"/>
      <c r="S1687" s="5"/>
      <c r="T1687" s="5"/>
      <c r="U1687" s="5"/>
      <c r="V1687" s="5"/>
      <c r="W1687" s="5"/>
      <c r="X1687" s="5"/>
      <c r="Y1687" s="5"/>
      <c r="Z1687" s="5"/>
      <c r="AA1687" s="5"/>
      <c r="AB1687" s="6"/>
      <c r="AC1687" s="6"/>
      <c r="AD1687" s="6"/>
      <c r="AE1687" s="6"/>
      <c r="AF1687" s="6"/>
      <c r="AG1687" s="6"/>
      <c r="AH1687" s="6"/>
      <c r="AI1687" s="6"/>
      <c r="AJ1687" s="6"/>
      <c r="AK1687" s="6"/>
      <c r="AL1687" s="6"/>
      <c r="AM1687" s="6"/>
      <c r="AN1687" s="6"/>
      <c r="AO1687" s="6"/>
      <c r="AP1687" s="6"/>
      <c r="AQ1687" s="6"/>
      <c r="AR1687" s="6"/>
      <c r="AS1687" s="6"/>
      <c r="AT1687" s="6"/>
      <c r="AU1687" s="6"/>
      <c r="AV1687" s="6"/>
      <c r="AW1687" s="6"/>
      <c r="AX1687" s="6"/>
      <c r="AY1687" s="6"/>
      <c r="AZ1687" s="6"/>
      <c r="BA1687" s="6"/>
      <c r="BB1687" s="6"/>
      <c r="BC1687" s="6"/>
      <c r="BD1687" s="6"/>
      <c r="BE1687" s="6"/>
      <c r="BF1687" s="6"/>
      <c r="BG1687" s="6"/>
      <c r="BH1687" s="6"/>
      <c r="BI1687" s="6"/>
      <c r="BJ1687" s="6"/>
      <c r="BK1687" s="6"/>
      <c r="BL1687" s="6"/>
      <c r="BM1687" s="6"/>
      <c r="BN1687" s="6"/>
      <c r="BO1687" s="6"/>
      <c r="BP1687" s="6"/>
      <c r="BQ1687" s="6"/>
      <c r="BR1687" s="6"/>
      <c r="BS1687" s="6"/>
      <c r="BT1687" s="6"/>
      <c r="BU1687" s="6"/>
      <c r="BV1687" s="6"/>
      <c r="BW1687" s="6"/>
      <c r="BX1687" s="5"/>
      <c r="BY1687" s="7"/>
      <c r="BZ1687" s="7"/>
      <c r="CA1687" s="7"/>
      <c r="CB1687" s="7"/>
      <c r="CC1687" s="874"/>
    </row>
    <row r="1688" spans="1:81" s="400" customFormat="1" ht="14.25" customHeight="1" x14ac:dyDescent="0.25">
      <c r="A1688" s="5"/>
      <c r="B1688" s="5"/>
      <c r="C1688" s="5"/>
      <c r="D1688" s="5"/>
      <c r="E1688" s="5"/>
      <c r="F1688" s="5"/>
      <c r="G1688" s="5"/>
      <c r="H1688" s="5"/>
      <c r="I1688" s="5"/>
      <c r="J1688" s="5"/>
      <c r="K1688" s="5"/>
      <c r="L1688" s="5"/>
      <c r="M1688" s="5"/>
      <c r="N1688" s="5"/>
      <c r="O1688" s="5"/>
      <c r="P1688" s="5"/>
      <c r="Q1688" s="5"/>
      <c r="R1688" s="5"/>
      <c r="S1688" s="5"/>
      <c r="T1688" s="5"/>
      <c r="U1688" s="5"/>
      <c r="V1688" s="5"/>
      <c r="W1688" s="5"/>
      <c r="X1688" s="5"/>
      <c r="Y1688" s="5"/>
      <c r="Z1688" s="5"/>
      <c r="AA1688" s="5"/>
      <c r="AB1688" s="6"/>
      <c r="AC1688" s="6"/>
      <c r="AD1688" s="6"/>
      <c r="AE1688" s="6"/>
      <c r="AF1688" s="6"/>
      <c r="AG1688" s="6"/>
      <c r="AH1688" s="6"/>
      <c r="AI1688" s="6"/>
      <c r="AJ1688" s="6"/>
      <c r="AK1688" s="6"/>
      <c r="AL1688" s="6"/>
      <c r="AM1688" s="6"/>
      <c r="AN1688" s="6"/>
      <c r="AO1688" s="6"/>
      <c r="AP1688" s="6"/>
      <c r="AQ1688" s="6"/>
      <c r="AR1688" s="6"/>
      <c r="AS1688" s="6"/>
      <c r="AT1688" s="6"/>
      <c r="AU1688" s="6"/>
      <c r="AV1688" s="6"/>
      <c r="AW1688" s="6"/>
      <c r="AX1688" s="6"/>
      <c r="AY1688" s="6"/>
      <c r="AZ1688" s="6"/>
      <c r="BA1688" s="6"/>
      <c r="BB1688" s="6"/>
      <c r="BC1688" s="6"/>
      <c r="BD1688" s="6"/>
      <c r="BE1688" s="6"/>
      <c r="BF1688" s="6"/>
      <c r="BG1688" s="6"/>
      <c r="BH1688" s="6"/>
      <c r="BI1688" s="6"/>
      <c r="BJ1688" s="6"/>
      <c r="BK1688" s="6"/>
      <c r="BL1688" s="6"/>
      <c r="BM1688" s="6"/>
      <c r="BN1688" s="6"/>
      <c r="BO1688" s="6"/>
      <c r="BP1688" s="6"/>
      <c r="BQ1688" s="6"/>
      <c r="BR1688" s="6"/>
      <c r="BS1688" s="6"/>
      <c r="BT1688" s="6"/>
      <c r="BU1688" s="6"/>
      <c r="BV1688" s="6"/>
      <c r="BW1688" s="6"/>
      <c r="BX1688" s="5"/>
      <c r="BY1688" s="7"/>
      <c r="BZ1688" s="7"/>
      <c r="CA1688" s="7"/>
      <c r="CB1688" s="7"/>
      <c r="CC1688" s="874"/>
    </row>
    <row r="1689" spans="1:81" s="400" customFormat="1" ht="14.25" customHeight="1" x14ac:dyDescent="0.25">
      <c r="A1689" s="5"/>
      <c r="B1689" s="5"/>
      <c r="C1689" s="5"/>
      <c r="D1689" s="5"/>
      <c r="E1689" s="5"/>
      <c r="F1689" s="5"/>
      <c r="G1689" s="5"/>
      <c r="H1689" s="5"/>
      <c r="I1689" s="5"/>
      <c r="J1689" s="5"/>
      <c r="K1689" s="5"/>
      <c r="L1689" s="5"/>
      <c r="M1689" s="5"/>
      <c r="N1689" s="5"/>
      <c r="O1689" s="5"/>
      <c r="P1689" s="5"/>
      <c r="Q1689" s="5"/>
      <c r="R1689" s="5"/>
      <c r="S1689" s="5"/>
      <c r="T1689" s="5"/>
      <c r="U1689" s="5"/>
      <c r="V1689" s="5"/>
      <c r="W1689" s="5"/>
      <c r="X1689" s="5"/>
      <c r="Y1689" s="5"/>
      <c r="Z1689" s="5"/>
      <c r="AA1689" s="5"/>
      <c r="AB1689" s="6"/>
      <c r="AC1689" s="6"/>
      <c r="AD1689" s="6"/>
      <c r="AE1689" s="6"/>
      <c r="AF1689" s="6"/>
      <c r="AG1689" s="6"/>
      <c r="AH1689" s="6"/>
      <c r="AI1689" s="6"/>
      <c r="AJ1689" s="6"/>
      <c r="AK1689" s="6"/>
      <c r="AL1689" s="6"/>
      <c r="AM1689" s="6"/>
      <c r="AN1689" s="6"/>
      <c r="AO1689" s="6"/>
      <c r="AP1689" s="6"/>
      <c r="AQ1689" s="6"/>
      <c r="AR1689" s="6"/>
      <c r="AS1689" s="6"/>
      <c r="AT1689" s="6"/>
      <c r="AU1689" s="6"/>
      <c r="AV1689" s="6"/>
      <c r="AW1689" s="6"/>
      <c r="AX1689" s="6"/>
      <c r="AY1689" s="6"/>
      <c r="AZ1689" s="6"/>
      <c r="BA1689" s="6"/>
      <c r="BB1689" s="6"/>
      <c r="BC1689" s="6"/>
      <c r="BD1689" s="6"/>
      <c r="BE1689" s="6"/>
      <c r="BF1689" s="6"/>
      <c r="BG1689" s="6"/>
      <c r="BH1689" s="6"/>
      <c r="BI1689" s="6"/>
      <c r="BJ1689" s="6"/>
      <c r="BK1689" s="6"/>
      <c r="BL1689" s="6"/>
      <c r="BM1689" s="6"/>
      <c r="BN1689" s="6"/>
      <c r="BO1689" s="6"/>
      <c r="BP1689" s="6"/>
      <c r="BQ1689" s="6"/>
      <c r="BR1689" s="6"/>
      <c r="BS1689" s="6"/>
      <c r="BT1689" s="6"/>
      <c r="BU1689" s="6"/>
      <c r="BV1689" s="6"/>
      <c r="BW1689" s="6"/>
      <c r="BX1689" s="5"/>
      <c r="BY1689" s="7"/>
      <c r="BZ1689" s="7"/>
      <c r="CA1689" s="7"/>
      <c r="CB1689" s="7"/>
      <c r="CC1689" s="874"/>
    </row>
    <row r="1690" spans="1:81" s="400" customFormat="1" ht="14.25" customHeight="1" x14ac:dyDescent="0.25">
      <c r="A1690" s="5"/>
      <c r="B1690" s="5"/>
      <c r="C1690" s="5"/>
      <c r="D1690" s="5"/>
      <c r="E1690" s="5"/>
      <c r="F1690" s="5"/>
      <c r="G1690" s="5"/>
      <c r="H1690" s="5"/>
      <c r="I1690" s="5"/>
      <c r="J1690" s="5"/>
      <c r="K1690" s="5"/>
      <c r="L1690" s="5"/>
      <c r="M1690" s="5"/>
      <c r="N1690" s="5"/>
      <c r="O1690" s="5"/>
      <c r="P1690" s="5"/>
      <c r="Q1690" s="5"/>
      <c r="R1690" s="5"/>
      <c r="S1690" s="5"/>
      <c r="T1690" s="5"/>
      <c r="U1690" s="5"/>
      <c r="V1690" s="5"/>
      <c r="W1690" s="5"/>
      <c r="X1690" s="5"/>
      <c r="Y1690" s="5"/>
      <c r="Z1690" s="5"/>
      <c r="AA1690" s="5"/>
      <c r="AB1690" s="6"/>
      <c r="AC1690" s="6"/>
      <c r="AD1690" s="6"/>
      <c r="AE1690" s="6"/>
      <c r="AF1690" s="6"/>
      <c r="AG1690" s="6"/>
      <c r="AH1690" s="6"/>
      <c r="AI1690" s="6"/>
      <c r="AJ1690" s="6"/>
      <c r="AK1690" s="6"/>
      <c r="AL1690" s="6"/>
      <c r="AM1690" s="6"/>
      <c r="AN1690" s="6"/>
      <c r="AO1690" s="6"/>
      <c r="AP1690" s="6"/>
      <c r="AQ1690" s="6"/>
      <c r="AR1690" s="6"/>
      <c r="AS1690" s="6"/>
      <c r="AT1690" s="6"/>
      <c r="AU1690" s="6"/>
      <c r="AV1690" s="6"/>
      <c r="AW1690" s="6"/>
      <c r="AX1690" s="6"/>
      <c r="AY1690" s="6"/>
      <c r="AZ1690" s="6"/>
      <c r="BA1690" s="6"/>
      <c r="BB1690" s="6"/>
      <c r="BC1690" s="6"/>
      <c r="BD1690" s="6"/>
      <c r="BE1690" s="6"/>
      <c r="BF1690" s="6"/>
      <c r="BG1690" s="6"/>
      <c r="BH1690" s="6"/>
      <c r="BI1690" s="6"/>
      <c r="BJ1690" s="6"/>
      <c r="BK1690" s="6"/>
      <c r="BL1690" s="6"/>
      <c r="BM1690" s="6"/>
      <c r="BN1690" s="6"/>
      <c r="BO1690" s="6"/>
      <c r="BP1690" s="6"/>
      <c r="BQ1690" s="6"/>
      <c r="BR1690" s="6"/>
      <c r="BS1690" s="6"/>
      <c r="BT1690" s="6"/>
      <c r="BU1690" s="6"/>
      <c r="BV1690" s="6"/>
      <c r="BW1690" s="6"/>
      <c r="BX1690" s="5"/>
      <c r="BY1690" s="7"/>
      <c r="BZ1690" s="7"/>
      <c r="CA1690" s="7"/>
      <c r="CB1690" s="7"/>
      <c r="CC1690" s="874"/>
    </row>
    <row r="1691" spans="1:81" s="400" customFormat="1" ht="14.25" customHeight="1" x14ac:dyDescent="0.25">
      <c r="A1691" s="5"/>
      <c r="B1691" s="5"/>
      <c r="C1691" s="5"/>
      <c r="D1691" s="5"/>
      <c r="E1691" s="5"/>
      <c r="F1691" s="5"/>
      <c r="G1691" s="5"/>
      <c r="H1691" s="5"/>
      <c r="I1691" s="5"/>
      <c r="J1691" s="5"/>
      <c r="K1691" s="5"/>
      <c r="L1691" s="5"/>
      <c r="M1691" s="5"/>
      <c r="N1691" s="5"/>
      <c r="O1691" s="5"/>
      <c r="P1691" s="5"/>
      <c r="Q1691" s="5"/>
      <c r="R1691" s="5"/>
      <c r="S1691" s="5"/>
      <c r="T1691" s="5"/>
      <c r="U1691" s="5"/>
      <c r="V1691" s="5"/>
      <c r="W1691" s="5"/>
      <c r="X1691" s="5"/>
      <c r="Y1691" s="5"/>
      <c r="Z1691" s="5"/>
      <c r="AA1691" s="5"/>
      <c r="AB1691" s="6"/>
      <c r="AC1691" s="6"/>
      <c r="AD1691" s="6"/>
      <c r="AE1691" s="6"/>
      <c r="AF1691" s="6"/>
      <c r="AG1691" s="6"/>
      <c r="AH1691" s="6"/>
      <c r="AI1691" s="6"/>
      <c r="AJ1691" s="6"/>
      <c r="AK1691" s="6"/>
      <c r="AL1691" s="6"/>
      <c r="AM1691" s="6"/>
      <c r="AN1691" s="6"/>
      <c r="AO1691" s="6"/>
      <c r="AP1691" s="6"/>
      <c r="AQ1691" s="6"/>
      <c r="AR1691" s="6"/>
      <c r="AS1691" s="6"/>
      <c r="AT1691" s="6"/>
      <c r="AU1691" s="6"/>
      <c r="AV1691" s="6"/>
      <c r="AW1691" s="6"/>
      <c r="AX1691" s="6"/>
      <c r="AY1691" s="6"/>
      <c r="AZ1691" s="6"/>
      <c r="BA1691" s="6"/>
      <c r="BB1691" s="6"/>
      <c r="BC1691" s="6"/>
      <c r="BD1691" s="6"/>
      <c r="BE1691" s="6"/>
      <c r="BF1691" s="6"/>
      <c r="BG1691" s="6"/>
      <c r="BH1691" s="6"/>
      <c r="BI1691" s="6"/>
      <c r="BJ1691" s="6"/>
      <c r="BK1691" s="6"/>
      <c r="BL1691" s="6"/>
      <c r="BM1691" s="6"/>
      <c r="BN1691" s="6"/>
      <c r="BO1691" s="6"/>
      <c r="BP1691" s="6"/>
      <c r="BQ1691" s="6"/>
      <c r="BR1691" s="6"/>
      <c r="BS1691" s="6"/>
      <c r="BT1691" s="6"/>
      <c r="BU1691" s="6"/>
      <c r="BV1691" s="6"/>
      <c r="BW1691" s="6"/>
      <c r="BX1691" s="5"/>
      <c r="BY1691" s="7"/>
      <c r="BZ1691" s="7"/>
      <c r="CA1691" s="7"/>
      <c r="CB1691" s="7"/>
      <c r="CC1691" s="874"/>
    </row>
    <row r="1692" spans="1:81" s="400" customFormat="1" ht="14.25" customHeight="1" x14ac:dyDescent="0.25">
      <c r="A1692" s="5"/>
      <c r="B1692" s="5"/>
      <c r="C1692" s="5"/>
      <c r="D1692" s="5"/>
      <c r="E1692" s="5"/>
      <c r="F1692" s="5"/>
      <c r="G1692" s="5"/>
      <c r="H1692" s="5"/>
      <c r="I1692" s="5"/>
      <c r="J1692" s="5"/>
      <c r="K1692" s="5"/>
      <c r="L1692" s="5"/>
      <c r="M1692" s="5"/>
      <c r="N1692" s="5"/>
      <c r="O1692" s="5"/>
      <c r="P1692" s="5"/>
      <c r="Q1692" s="5"/>
      <c r="R1692" s="5"/>
      <c r="S1692" s="5"/>
      <c r="T1692" s="5"/>
      <c r="U1692" s="5"/>
      <c r="V1692" s="5"/>
      <c r="W1692" s="5"/>
      <c r="X1692" s="5"/>
      <c r="Y1692" s="5"/>
      <c r="Z1692" s="5"/>
      <c r="AA1692" s="5"/>
      <c r="AB1692" s="6"/>
      <c r="AC1692" s="6"/>
      <c r="AD1692" s="6"/>
      <c r="AE1692" s="6"/>
      <c r="AF1692" s="6"/>
      <c r="AG1692" s="6"/>
      <c r="AH1692" s="6"/>
      <c r="AI1692" s="6"/>
      <c r="AJ1692" s="6"/>
      <c r="AK1692" s="6"/>
      <c r="AL1692" s="6"/>
      <c r="AM1692" s="6"/>
      <c r="AN1692" s="6"/>
      <c r="AO1692" s="6"/>
      <c r="AP1692" s="6"/>
      <c r="AQ1692" s="6"/>
      <c r="AR1692" s="6"/>
      <c r="AS1692" s="6"/>
      <c r="AT1692" s="6"/>
      <c r="AU1692" s="6"/>
      <c r="AV1692" s="6"/>
      <c r="AW1692" s="6"/>
      <c r="AX1692" s="6"/>
      <c r="AY1692" s="6"/>
      <c r="AZ1692" s="6"/>
      <c r="BA1692" s="6"/>
      <c r="BB1692" s="6"/>
      <c r="BC1692" s="6"/>
      <c r="BD1692" s="6"/>
      <c r="BE1692" s="6"/>
      <c r="BF1692" s="6"/>
      <c r="BG1692" s="6"/>
      <c r="BH1692" s="6"/>
      <c r="BI1692" s="6"/>
      <c r="BJ1692" s="6"/>
      <c r="BK1692" s="6"/>
      <c r="BL1692" s="6"/>
      <c r="BM1692" s="6"/>
      <c r="BN1692" s="6"/>
      <c r="BO1692" s="6"/>
      <c r="BP1692" s="6"/>
      <c r="BQ1692" s="6"/>
      <c r="BR1692" s="6"/>
      <c r="BS1692" s="6"/>
      <c r="BT1692" s="6"/>
      <c r="BU1692" s="6"/>
      <c r="BV1692" s="6"/>
      <c r="BW1692" s="6"/>
      <c r="BX1692" s="5"/>
      <c r="BY1692" s="7"/>
      <c r="BZ1692" s="7"/>
      <c r="CA1692" s="7"/>
      <c r="CB1692" s="7"/>
      <c r="CC1692" s="874"/>
    </row>
    <row r="1693" spans="1:81" s="400" customFormat="1" ht="14.25" customHeight="1" x14ac:dyDescent="0.25">
      <c r="A1693" s="5"/>
      <c r="B1693" s="5"/>
      <c r="C1693" s="5"/>
      <c r="D1693" s="5"/>
      <c r="E1693" s="5"/>
      <c r="F1693" s="5"/>
      <c r="G1693" s="5"/>
      <c r="H1693" s="5"/>
      <c r="I1693" s="5"/>
      <c r="J1693" s="5"/>
      <c r="K1693" s="5"/>
      <c r="L1693" s="5"/>
      <c r="M1693" s="5"/>
      <c r="N1693" s="5"/>
      <c r="O1693" s="5"/>
      <c r="P1693" s="5"/>
      <c r="Q1693" s="5"/>
      <c r="R1693" s="5"/>
      <c r="S1693" s="5"/>
      <c r="T1693" s="5"/>
      <c r="U1693" s="5"/>
      <c r="V1693" s="5"/>
      <c r="W1693" s="5"/>
      <c r="X1693" s="5"/>
      <c r="Y1693" s="5"/>
      <c r="Z1693" s="5"/>
      <c r="AA1693" s="5"/>
      <c r="AB1693" s="6"/>
      <c r="AC1693" s="6"/>
      <c r="AD1693" s="6"/>
      <c r="AE1693" s="6"/>
      <c r="AF1693" s="6"/>
      <c r="AG1693" s="6"/>
      <c r="AH1693" s="6"/>
      <c r="AI1693" s="6"/>
      <c r="AJ1693" s="6"/>
      <c r="AK1693" s="6"/>
      <c r="AL1693" s="6"/>
      <c r="AM1693" s="6"/>
      <c r="AN1693" s="6"/>
      <c r="AO1693" s="6"/>
      <c r="AP1693" s="6"/>
      <c r="AQ1693" s="6"/>
      <c r="AR1693" s="6"/>
      <c r="AS1693" s="6"/>
      <c r="AT1693" s="6"/>
      <c r="AU1693" s="6"/>
      <c r="AV1693" s="6"/>
      <c r="AW1693" s="6"/>
      <c r="AX1693" s="6"/>
      <c r="AY1693" s="6"/>
      <c r="AZ1693" s="6"/>
      <c r="BA1693" s="6"/>
      <c r="BB1693" s="6"/>
      <c r="BC1693" s="6"/>
      <c r="BD1693" s="6"/>
      <c r="BE1693" s="6"/>
      <c r="BF1693" s="6"/>
      <c r="BG1693" s="6"/>
      <c r="BH1693" s="6"/>
      <c r="BI1693" s="6"/>
      <c r="BJ1693" s="6"/>
      <c r="BK1693" s="6"/>
      <c r="BL1693" s="6"/>
      <c r="BM1693" s="6"/>
      <c r="BN1693" s="6"/>
      <c r="BO1693" s="6"/>
      <c r="BP1693" s="6"/>
      <c r="BQ1693" s="6"/>
      <c r="BR1693" s="6"/>
      <c r="BS1693" s="6"/>
      <c r="BT1693" s="6"/>
      <c r="BU1693" s="6"/>
      <c r="BV1693" s="6"/>
      <c r="BW1693" s="6"/>
      <c r="BX1693" s="5"/>
      <c r="BY1693" s="7"/>
      <c r="BZ1693" s="7"/>
      <c r="CA1693" s="7"/>
      <c r="CB1693" s="7"/>
      <c r="CC1693" s="874"/>
    </row>
    <row r="1694" spans="1:81" s="400" customFormat="1" ht="14.25" customHeight="1" x14ac:dyDescent="0.25">
      <c r="A1694" s="5"/>
      <c r="B1694" s="5"/>
      <c r="C1694" s="5"/>
      <c r="D1694" s="5"/>
      <c r="E1694" s="5"/>
      <c r="F1694" s="5"/>
      <c r="G1694" s="5"/>
      <c r="H1694" s="5"/>
      <c r="I1694" s="5"/>
      <c r="J1694" s="5"/>
      <c r="K1694" s="5"/>
      <c r="L1694" s="5"/>
      <c r="M1694" s="5"/>
      <c r="N1694" s="5"/>
      <c r="O1694" s="5"/>
      <c r="P1694" s="5"/>
      <c r="Q1694" s="5"/>
      <c r="R1694" s="5"/>
      <c r="S1694" s="5"/>
      <c r="T1694" s="5"/>
      <c r="U1694" s="5"/>
      <c r="V1694" s="5"/>
      <c r="W1694" s="5"/>
      <c r="X1694" s="5"/>
      <c r="Y1694" s="5"/>
      <c r="Z1694" s="5"/>
      <c r="AA1694" s="5"/>
      <c r="AB1694" s="6"/>
      <c r="AC1694" s="6"/>
      <c r="AD1694" s="6"/>
      <c r="AE1694" s="6"/>
      <c r="AF1694" s="6"/>
      <c r="AG1694" s="6"/>
      <c r="AH1694" s="6"/>
      <c r="AI1694" s="6"/>
      <c r="AJ1694" s="6"/>
      <c r="AK1694" s="6"/>
      <c r="AL1694" s="6"/>
      <c r="AM1694" s="6"/>
      <c r="AN1694" s="6"/>
      <c r="AO1694" s="6"/>
      <c r="AP1694" s="6"/>
      <c r="AQ1694" s="6"/>
      <c r="AR1694" s="6"/>
      <c r="AS1694" s="6"/>
      <c r="AT1694" s="6"/>
      <c r="AU1694" s="6"/>
      <c r="AV1694" s="6"/>
      <c r="AW1694" s="6"/>
      <c r="AX1694" s="6"/>
      <c r="AY1694" s="6"/>
      <c r="AZ1694" s="6"/>
      <c r="BA1694" s="6"/>
      <c r="BB1694" s="6"/>
      <c r="BC1694" s="6"/>
      <c r="BD1694" s="6"/>
      <c r="BE1694" s="6"/>
      <c r="BF1694" s="6"/>
      <c r="BG1694" s="6"/>
      <c r="BH1694" s="6"/>
      <c r="BI1694" s="6"/>
      <c r="BJ1694" s="6"/>
      <c r="BK1694" s="6"/>
      <c r="BL1694" s="6"/>
      <c r="BM1694" s="6"/>
      <c r="BN1694" s="6"/>
      <c r="BO1694" s="6"/>
      <c r="BP1694" s="6"/>
      <c r="BQ1694" s="6"/>
      <c r="BR1694" s="6"/>
      <c r="BS1694" s="6"/>
      <c r="BT1694" s="6"/>
      <c r="BU1694" s="6"/>
      <c r="BV1694" s="6"/>
      <c r="BW1694" s="6"/>
      <c r="BX1694" s="5"/>
      <c r="BY1694" s="7"/>
      <c r="BZ1694" s="7"/>
      <c r="CA1694" s="7"/>
      <c r="CB1694" s="7"/>
      <c r="CC1694" s="874"/>
    </row>
    <row r="1695" spans="1:81" s="400" customFormat="1" ht="14.25" customHeight="1" x14ac:dyDescent="0.25">
      <c r="A1695" s="5"/>
      <c r="B1695" s="5"/>
      <c r="C1695" s="5"/>
      <c r="D1695" s="5"/>
      <c r="E1695" s="5"/>
      <c r="F1695" s="5"/>
      <c r="G1695" s="5"/>
      <c r="H1695" s="5"/>
      <c r="I1695" s="5"/>
      <c r="J1695" s="5"/>
      <c r="K1695" s="5"/>
      <c r="L1695" s="5"/>
      <c r="M1695" s="5"/>
      <c r="N1695" s="5"/>
      <c r="O1695" s="5"/>
      <c r="P1695" s="5"/>
      <c r="Q1695" s="5"/>
      <c r="R1695" s="5"/>
      <c r="S1695" s="5"/>
      <c r="T1695" s="5"/>
      <c r="U1695" s="5"/>
      <c r="V1695" s="5"/>
      <c r="W1695" s="5"/>
      <c r="X1695" s="5"/>
      <c r="Y1695" s="5"/>
      <c r="Z1695" s="5"/>
      <c r="AA1695" s="5"/>
      <c r="AB1695" s="6"/>
      <c r="AC1695" s="6"/>
      <c r="AD1695" s="6"/>
      <c r="AE1695" s="6"/>
      <c r="AF1695" s="6"/>
      <c r="AG1695" s="6"/>
      <c r="AH1695" s="6"/>
      <c r="AI1695" s="6"/>
      <c r="AJ1695" s="6"/>
      <c r="AK1695" s="6"/>
      <c r="AL1695" s="6"/>
      <c r="AM1695" s="6"/>
      <c r="AN1695" s="6"/>
      <c r="AO1695" s="6"/>
      <c r="AP1695" s="6"/>
      <c r="AQ1695" s="6"/>
      <c r="AR1695" s="6"/>
      <c r="AS1695" s="6"/>
      <c r="AT1695" s="6"/>
      <c r="AU1695" s="6"/>
      <c r="AV1695" s="6"/>
      <c r="AW1695" s="6"/>
      <c r="AX1695" s="6"/>
      <c r="AY1695" s="6"/>
      <c r="AZ1695" s="6"/>
      <c r="BA1695" s="6"/>
      <c r="BB1695" s="6"/>
      <c r="BC1695" s="6"/>
      <c r="BD1695" s="6"/>
      <c r="BE1695" s="6"/>
      <c r="BF1695" s="6"/>
      <c r="BG1695" s="6"/>
      <c r="BH1695" s="6"/>
      <c r="BI1695" s="6"/>
      <c r="BJ1695" s="6"/>
      <c r="BK1695" s="6"/>
      <c r="BL1695" s="6"/>
      <c r="BM1695" s="6"/>
      <c r="BN1695" s="6"/>
      <c r="BO1695" s="6"/>
      <c r="BP1695" s="6"/>
      <c r="BQ1695" s="6"/>
      <c r="BR1695" s="6"/>
      <c r="BS1695" s="6"/>
      <c r="BT1695" s="6"/>
      <c r="BU1695" s="6"/>
      <c r="BV1695" s="6"/>
      <c r="BW1695" s="6"/>
      <c r="BX1695" s="5"/>
      <c r="BY1695" s="7"/>
      <c r="BZ1695" s="7"/>
      <c r="CA1695" s="7"/>
      <c r="CB1695" s="7"/>
      <c r="CC1695" s="874"/>
    </row>
    <row r="1696" spans="1:81" s="400" customFormat="1" ht="14.25" customHeight="1" x14ac:dyDescent="0.25">
      <c r="A1696" s="5"/>
      <c r="B1696" s="5"/>
      <c r="C1696" s="5"/>
      <c r="D1696" s="5"/>
      <c r="E1696" s="5"/>
      <c r="F1696" s="5"/>
      <c r="G1696" s="5"/>
      <c r="H1696" s="5"/>
      <c r="I1696" s="5"/>
      <c r="J1696" s="5"/>
      <c r="K1696" s="5"/>
      <c r="L1696" s="5"/>
      <c r="M1696" s="5"/>
      <c r="N1696" s="5"/>
      <c r="O1696" s="5"/>
      <c r="P1696" s="5"/>
      <c r="Q1696" s="5"/>
      <c r="R1696" s="5"/>
      <c r="S1696" s="5"/>
      <c r="T1696" s="5"/>
      <c r="U1696" s="5"/>
      <c r="V1696" s="5"/>
      <c r="W1696" s="5"/>
      <c r="X1696" s="5"/>
      <c r="Y1696" s="5"/>
      <c r="Z1696" s="5"/>
      <c r="AA1696" s="5"/>
      <c r="AB1696" s="6"/>
      <c r="AC1696" s="6"/>
      <c r="AD1696" s="6"/>
      <c r="AE1696" s="6"/>
      <c r="AF1696" s="6"/>
      <c r="AG1696" s="6"/>
      <c r="AH1696" s="6"/>
      <c r="AI1696" s="6"/>
      <c r="AJ1696" s="6"/>
      <c r="AK1696" s="6"/>
      <c r="AL1696" s="6"/>
      <c r="AM1696" s="6"/>
      <c r="AN1696" s="6"/>
      <c r="AO1696" s="6"/>
      <c r="AP1696" s="6"/>
      <c r="AQ1696" s="6"/>
      <c r="AR1696" s="6"/>
      <c r="AS1696" s="6"/>
      <c r="AT1696" s="6"/>
      <c r="AU1696" s="6"/>
      <c r="AV1696" s="6"/>
      <c r="AW1696" s="6"/>
      <c r="AX1696" s="6"/>
      <c r="AY1696" s="6"/>
      <c r="AZ1696" s="6"/>
      <c r="BA1696" s="6"/>
      <c r="BB1696" s="6"/>
      <c r="BC1696" s="6"/>
      <c r="BD1696" s="6"/>
      <c r="BE1696" s="6"/>
      <c r="BF1696" s="6"/>
      <c r="BG1696" s="6"/>
      <c r="BH1696" s="6"/>
      <c r="BI1696" s="6"/>
      <c r="BJ1696" s="6"/>
      <c r="BK1696" s="6"/>
      <c r="BL1696" s="6"/>
      <c r="BM1696" s="6"/>
      <c r="BN1696" s="6"/>
      <c r="BO1696" s="6"/>
      <c r="BP1696" s="6"/>
      <c r="BQ1696" s="6"/>
      <c r="BR1696" s="6"/>
      <c r="BS1696" s="6"/>
      <c r="BT1696" s="6"/>
      <c r="BU1696" s="6"/>
      <c r="BV1696" s="6"/>
      <c r="BW1696" s="6"/>
      <c r="BX1696" s="5"/>
      <c r="BY1696" s="7"/>
      <c r="BZ1696" s="7"/>
      <c r="CA1696" s="7"/>
      <c r="CB1696" s="7"/>
      <c r="CC1696" s="874"/>
    </row>
    <row r="1697" spans="1:81" s="400" customFormat="1" ht="14.25" customHeight="1" x14ac:dyDescent="0.25">
      <c r="A1697" s="5"/>
      <c r="B1697" s="5"/>
      <c r="C1697" s="5"/>
      <c r="D1697" s="5"/>
      <c r="E1697" s="5"/>
      <c r="F1697" s="5"/>
      <c r="G1697" s="5"/>
      <c r="H1697" s="5"/>
      <c r="I1697" s="5"/>
      <c r="J1697" s="5"/>
      <c r="K1697" s="5"/>
      <c r="L1697" s="5"/>
      <c r="M1697" s="5"/>
      <c r="N1697" s="5"/>
      <c r="O1697" s="5"/>
      <c r="P1697" s="5"/>
      <c r="Q1697" s="5"/>
      <c r="R1697" s="5"/>
      <c r="S1697" s="5"/>
      <c r="T1697" s="5"/>
      <c r="U1697" s="5"/>
      <c r="V1697" s="5"/>
      <c r="W1697" s="5"/>
      <c r="X1697" s="5"/>
      <c r="Y1697" s="5"/>
      <c r="Z1697" s="5"/>
      <c r="AA1697" s="5"/>
      <c r="AB1697" s="6"/>
      <c r="AC1697" s="6"/>
      <c r="AD1697" s="6"/>
      <c r="AE1697" s="6"/>
      <c r="AF1697" s="6"/>
      <c r="AG1697" s="6"/>
      <c r="AH1697" s="6"/>
      <c r="AI1697" s="6"/>
      <c r="AJ1697" s="6"/>
      <c r="AK1697" s="6"/>
      <c r="AL1697" s="6"/>
      <c r="AM1697" s="6"/>
      <c r="AN1697" s="6"/>
      <c r="AO1697" s="6"/>
      <c r="AP1697" s="6"/>
      <c r="AQ1697" s="6"/>
      <c r="AR1697" s="6"/>
      <c r="AS1697" s="6"/>
      <c r="AT1697" s="6"/>
      <c r="AU1697" s="6"/>
      <c r="AV1697" s="6"/>
      <c r="AW1697" s="6"/>
      <c r="AX1697" s="6"/>
      <c r="AY1697" s="6"/>
      <c r="AZ1697" s="6"/>
      <c r="BA1697" s="6"/>
      <c r="BB1697" s="6"/>
      <c r="BC1697" s="6"/>
      <c r="BD1697" s="6"/>
      <c r="BE1697" s="6"/>
      <c r="BF1697" s="6"/>
      <c r="BG1697" s="6"/>
      <c r="BH1697" s="6"/>
      <c r="BI1697" s="6"/>
      <c r="BJ1697" s="6"/>
      <c r="BK1697" s="6"/>
      <c r="BL1697" s="6"/>
      <c r="BM1697" s="6"/>
      <c r="BN1697" s="6"/>
      <c r="BO1697" s="6"/>
      <c r="BP1697" s="6"/>
      <c r="BQ1697" s="6"/>
      <c r="BR1697" s="6"/>
      <c r="BS1697" s="6"/>
      <c r="BT1697" s="6"/>
      <c r="BU1697" s="6"/>
      <c r="BV1697" s="6"/>
      <c r="BW1697" s="6"/>
      <c r="BX1697" s="5"/>
      <c r="BY1697" s="7"/>
      <c r="BZ1697" s="7"/>
      <c r="CA1697" s="7"/>
      <c r="CB1697" s="7"/>
      <c r="CC1697" s="874"/>
    </row>
    <row r="1698" spans="1:81" s="400" customFormat="1" ht="14.25" customHeight="1" x14ac:dyDescent="0.25">
      <c r="A1698" s="5"/>
      <c r="B1698" s="5"/>
      <c r="C1698" s="5"/>
      <c r="D1698" s="5"/>
      <c r="E1698" s="5"/>
      <c r="F1698" s="5"/>
      <c r="G1698" s="5"/>
      <c r="H1698" s="5"/>
      <c r="I1698" s="5"/>
      <c r="J1698" s="5"/>
      <c r="K1698" s="5"/>
      <c r="L1698" s="5"/>
      <c r="M1698" s="5"/>
      <c r="N1698" s="5"/>
      <c r="O1698" s="5"/>
      <c r="P1698" s="5"/>
      <c r="Q1698" s="5"/>
      <c r="R1698" s="5"/>
      <c r="S1698" s="5"/>
      <c r="T1698" s="5"/>
      <c r="U1698" s="5"/>
      <c r="V1698" s="5"/>
      <c r="W1698" s="5"/>
      <c r="X1698" s="5"/>
      <c r="Y1698" s="5"/>
      <c r="Z1698" s="5"/>
      <c r="AA1698" s="5"/>
      <c r="AB1698" s="6"/>
      <c r="AC1698" s="6"/>
      <c r="AD1698" s="6"/>
      <c r="AE1698" s="6"/>
      <c r="AF1698" s="6"/>
      <c r="AG1698" s="6"/>
      <c r="AH1698" s="6"/>
      <c r="AI1698" s="6"/>
      <c r="AJ1698" s="6"/>
      <c r="AK1698" s="6"/>
      <c r="AL1698" s="6"/>
      <c r="AM1698" s="6"/>
      <c r="AN1698" s="6"/>
      <c r="AO1698" s="6"/>
      <c r="AP1698" s="6"/>
      <c r="AQ1698" s="6"/>
      <c r="AR1698" s="6"/>
      <c r="AS1698" s="6"/>
      <c r="AT1698" s="6"/>
      <c r="AU1698" s="6"/>
      <c r="AV1698" s="6"/>
      <c r="AW1698" s="6"/>
      <c r="AX1698" s="6"/>
      <c r="AY1698" s="6"/>
      <c r="AZ1698" s="6"/>
      <c r="BA1698" s="6"/>
      <c r="BB1698" s="6"/>
      <c r="BC1698" s="6"/>
      <c r="BD1698" s="6"/>
      <c r="BE1698" s="6"/>
      <c r="BF1698" s="6"/>
      <c r="BG1698" s="6"/>
      <c r="BH1698" s="6"/>
      <c r="BI1698" s="6"/>
      <c r="BJ1698" s="6"/>
      <c r="BK1698" s="6"/>
      <c r="BL1698" s="6"/>
      <c r="BM1698" s="6"/>
      <c r="BN1698" s="6"/>
      <c r="BO1698" s="6"/>
      <c r="BP1698" s="6"/>
      <c r="BQ1698" s="6"/>
      <c r="BR1698" s="6"/>
      <c r="BS1698" s="6"/>
      <c r="BT1698" s="6"/>
      <c r="BU1698" s="6"/>
      <c r="BV1698" s="6"/>
      <c r="BW1698" s="6"/>
      <c r="BX1698" s="5"/>
      <c r="BY1698" s="7"/>
      <c r="BZ1698" s="7"/>
      <c r="CA1698" s="7"/>
      <c r="CB1698" s="7"/>
      <c r="CC1698" s="874"/>
    </row>
    <row r="1699" spans="1:81" s="400" customFormat="1" ht="14.25" customHeight="1" x14ac:dyDescent="0.25">
      <c r="A1699" s="5"/>
      <c r="B1699" s="5"/>
      <c r="C1699" s="5"/>
      <c r="D1699" s="5"/>
      <c r="E1699" s="5"/>
      <c r="F1699" s="5"/>
      <c r="G1699" s="5"/>
      <c r="H1699" s="5"/>
      <c r="I1699" s="5"/>
      <c r="J1699" s="5"/>
      <c r="K1699" s="5"/>
      <c r="L1699" s="5"/>
      <c r="M1699" s="5"/>
      <c r="N1699" s="5"/>
      <c r="O1699" s="5"/>
      <c r="P1699" s="5"/>
      <c r="Q1699" s="5"/>
      <c r="R1699" s="5"/>
      <c r="S1699" s="5"/>
      <c r="T1699" s="5"/>
      <c r="U1699" s="5"/>
      <c r="V1699" s="5"/>
      <c r="W1699" s="5"/>
      <c r="X1699" s="5"/>
      <c r="Y1699" s="5"/>
      <c r="Z1699" s="5"/>
      <c r="AA1699" s="5"/>
      <c r="AB1699" s="6"/>
      <c r="AC1699" s="6"/>
      <c r="AD1699" s="6"/>
      <c r="AE1699" s="6"/>
      <c r="AF1699" s="6"/>
      <c r="AG1699" s="6"/>
      <c r="AH1699" s="6"/>
      <c r="AI1699" s="6"/>
      <c r="AJ1699" s="6"/>
      <c r="AK1699" s="6"/>
      <c r="AL1699" s="6"/>
      <c r="AM1699" s="6"/>
      <c r="AN1699" s="6"/>
      <c r="AO1699" s="6"/>
      <c r="AP1699" s="6"/>
      <c r="AQ1699" s="6"/>
      <c r="AR1699" s="6"/>
      <c r="AS1699" s="6"/>
      <c r="AT1699" s="6"/>
      <c r="AU1699" s="6"/>
      <c r="AV1699" s="6"/>
      <c r="AW1699" s="6"/>
      <c r="AX1699" s="6"/>
      <c r="AY1699" s="6"/>
      <c r="AZ1699" s="6"/>
      <c r="BA1699" s="6"/>
      <c r="BB1699" s="6"/>
      <c r="BC1699" s="6"/>
      <c r="BD1699" s="6"/>
      <c r="BE1699" s="6"/>
      <c r="BF1699" s="6"/>
      <c r="BG1699" s="6"/>
      <c r="BH1699" s="6"/>
      <c r="BI1699" s="6"/>
      <c r="BJ1699" s="6"/>
      <c r="BK1699" s="6"/>
      <c r="BL1699" s="6"/>
      <c r="BM1699" s="6"/>
      <c r="BN1699" s="6"/>
      <c r="BO1699" s="6"/>
      <c r="BP1699" s="6"/>
      <c r="BQ1699" s="6"/>
      <c r="BR1699" s="6"/>
      <c r="BS1699" s="6"/>
      <c r="BT1699" s="6"/>
      <c r="BU1699" s="6"/>
      <c r="BV1699" s="6"/>
      <c r="BW1699" s="6"/>
      <c r="BX1699" s="5"/>
      <c r="BY1699" s="7"/>
      <c r="BZ1699" s="7"/>
      <c r="CA1699" s="7"/>
      <c r="CB1699" s="7"/>
      <c r="CC1699" s="874"/>
    </row>
    <row r="1700" spans="1:81" s="400" customFormat="1" ht="14.25" customHeight="1" x14ac:dyDescent="0.25">
      <c r="A1700" s="5"/>
      <c r="B1700" s="5"/>
      <c r="C1700" s="5"/>
      <c r="D1700" s="5"/>
      <c r="E1700" s="5"/>
      <c r="F1700" s="5"/>
      <c r="G1700" s="5"/>
      <c r="H1700" s="5"/>
      <c r="I1700" s="5"/>
      <c r="J1700" s="5"/>
      <c r="K1700" s="5"/>
      <c r="L1700" s="5"/>
      <c r="M1700" s="5"/>
      <c r="N1700" s="5"/>
      <c r="O1700" s="5"/>
      <c r="P1700" s="5"/>
      <c r="Q1700" s="5"/>
      <c r="R1700" s="5"/>
      <c r="S1700" s="5"/>
      <c r="T1700" s="5"/>
      <c r="U1700" s="5"/>
      <c r="V1700" s="5"/>
      <c r="W1700" s="5"/>
      <c r="X1700" s="5"/>
      <c r="Y1700" s="5"/>
      <c r="Z1700" s="5"/>
      <c r="AA1700" s="5"/>
      <c r="AB1700" s="6"/>
      <c r="AC1700" s="6"/>
      <c r="AD1700" s="6"/>
      <c r="AE1700" s="6"/>
      <c r="AF1700" s="6"/>
      <c r="AG1700" s="6"/>
      <c r="AH1700" s="6"/>
      <c r="AI1700" s="6"/>
      <c r="AJ1700" s="6"/>
      <c r="AK1700" s="6"/>
      <c r="AL1700" s="6"/>
      <c r="AM1700" s="6"/>
      <c r="AN1700" s="6"/>
      <c r="AO1700" s="6"/>
      <c r="AP1700" s="6"/>
      <c r="AQ1700" s="6"/>
      <c r="AR1700" s="6"/>
      <c r="AS1700" s="6"/>
      <c r="AT1700" s="6"/>
      <c r="AU1700" s="6"/>
      <c r="AV1700" s="6"/>
      <c r="AW1700" s="6"/>
      <c r="AX1700" s="6"/>
      <c r="AY1700" s="6"/>
      <c r="AZ1700" s="6"/>
      <c r="BA1700" s="6"/>
      <c r="BB1700" s="6"/>
      <c r="BC1700" s="6"/>
      <c r="BD1700" s="6"/>
      <c r="BE1700" s="6"/>
      <c r="BF1700" s="6"/>
      <c r="BG1700" s="6"/>
      <c r="BH1700" s="6"/>
      <c r="BI1700" s="6"/>
      <c r="BJ1700" s="6"/>
      <c r="BK1700" s="6"/>
      <c r="BL1700" s="6"/>
      <c r="BM1700" s="6"/>
      <c r="BN1700" s="6"/>
      <c r="BO1700" s="6"/>
      <c r="BP1700" s="6"/>
      <c r="BQ1700" s="6"/>
      <c r="BR1700" s="6"/>
      <c r="BS1700" s="6"/>
      <c r="BT1700" s="6"/>
      <c r="BU1700" s="6"/>
      <c r="BV1700" s="6"/>
      <c r="BW1700" s="6"/>
      <c r="BX1700" s="5"/>
      <c r="BY1700" s="7"/>
      <c r="BZ1700" s="7"/>
      <c r="CA1700" s="7"/>
      <c r="CB1700" s="7"/>
      <c r="CC1700" s="874"/>
    </row>
    <row r="1701" spans="1:81" s="400" customFormat="1" ht="14.25" customHeight="1" x14ac:dyDescent="0.25">
      <c r="A1701" s="5"/>
      <c r="B1701" s="5"/>
      <c r="C1701" s="5"/>
      <c r="D1701" s="5"/>
      <c r="E1701" s="5"/>
      <c r="F1701" s="5"/>
      <c r="G1701" s="5"/>
      <c r="H1701" s="5"/>
      <c r="I1701" s="5"/>
      <c r="J1701" s="5"/>
      <c r="K1701" s="5"/>
      <c r="L1701" s="5"/>
      <c r="M1701" s="5"/>
      <c r="N1701" s="5"/>
      <c r="O1701" s="5"/>
      <c r="P1701" s="5"/>
      <c r="Q1701" s="5"/>
      <c r="R1701" s="5"/>
      <c r="S1701" s="5"/>
      <c r="T1701" s="5"/>
      <c r="U1701" s="5"/>
      <c r="V1701" s="5"/>
      <c r="W1701" s="5"/>
      <c r="X1701" s="5"/>
      <c r="Y1701" s="5"/>
      <c r="Z1701" s="5"/>
      <c r="AA1701" s="5"/>
      <c r="AB1701" s="6"/>
      <c r="AC1701" s="6"/>
      <c r="AD1701" s="6"/>
      <c r="AE1701" s="6"/>
      <c r="AF1701" s="6"/>
      <c r="AG1701" s="6"/>
      <c r="AH1701" s="6"/>
      <c r="AI1701" s="6"/>
      <c r="AJ1701" s="6"/>
      <c r="AK1701" s="6"/>
      <c r="AL1701" s="6"/>
      <c r="AM1701" s="6"/>
      <c r="AN1701" s="6"/>
      <c r="AO1701" s="6"/>
      <c r="AP1701" s="6"/>
      <c r="AQ1701" s="6"/>
      <c r="AR1701" s="6"/>
      <c r="AS1701" s="6"/>
      <c r="AT1701" s="6"/>
      <c r="AU1701" s="6"/>
      <c r="AV1701" s="6"/>
      <c r="AW1701" s="6"/>
      <c r="AX1701" s="6"/>
      <c r="AY1701" s="6"/>
      <c r="AZ1701" s="6"/>
      <c r="BA1701" s="6"/>
      <c r="BB1701" s="6"/>
      <c r="BC1701" s="6"/>
      <c r="BD1701" s="6"/>
      <c r="BE1701" s="6"/>
      <c r="BF1701" s="6"/>
      <c r="BG1701" s="6"/>
      <c r="BH1701" s="6"/>
      <c r="BI1701" s="6"/>
      <c r="BJ1701" s="6"/>
      <c r="BK1701" s="6"/>
      <c r="BL1701" s="6"/>
      <c r="BM1701" s="6"/>
      <c r="BN1701" s="6"/>
      <c r="BO1701" s="6"/>
      <c r="BP1701" s="6"/>
      <c r="BQ1701" s="6"/>
      <c r="BR1701" s="6"/>
      <c r="BS1701" s="6"/>
      <c r="BT1701" s="6"/>
      <c r="BU1701" s="6"/>
      <c r="BV1701" s="6"/>
      <c r="BW1701" s="6"/>
      <c r="BX1701" s="5"/>
      <c r="BY1701" s="7"/>
      <c r="BZ1701" s="7"/>
      <c r="CA1701" s="7"/>
      <c r="CB1701" s="7"/>
      <c r="CC1701" s="874"/>
    </row>
    <row r="1702" spans="1:81" s="400" customFormat="1" ht="14.25" customHeight="1" x14ac:dyDescent="0.25">
      <c r="A1702" s="5"/>
      <c r="B1702" s="5"/>
      <c r="C1702" s="5"/>
      <c r="D1702" s="5"/>
      <c r="E1702" s="5"/>
      <c r="F1702" s="5"/>
      <c r="G1702" s="5"/>
      <c r="H1702" s="5"/>
      <c r="I1702" s="5"/>
      <c r="J1702" s="5"/>
      <c r="K1702" s="5"/>
      <c r="L1702" s="5"/>
      <c r="M1702" s="5"/>
      <c r="N1702" s="5"/>
      <c r="O1702" s="5"/>
      <c r="P1702" s="5"/>
      <c r="Q1702" s="5"/>
      <c r="R1702" s="5"/>
      <c r="S1702" s="5"/>
      <c r="T1702" s="5"/>
      <c r="U1702" s="5"/>
      <c r="V1702" s="5"/>
      <c r="W1702" s="5"/>
      <c r="X1702" s="5"/>
      <c r="Y1702" s="5"/>
      <c r="Z1702" s="5"/>
      <c r="AA1702" s="5"/>
      <c r="AB1702" s="6"/>
      <c r="AC1702" s="6"/>
      <c r="AD1702" s="6"/>
      <c r="AE1702" s="6"/>
      <c r="AF1702" s="6"/>
      <c r="AG1702" s="6"/>
      <c r="AH1702" s="6"/>
      <c r="AI1702" s="6"/>
      <c r="AJ1702" s="6"/>
      <c r="AK1702" s="6"/>
      <c r="AL1702" s="6"/>
      <c r="AM1702" s="6"/>
      <c r="AN1702" s="6"/>
      <c r="AO1702" s="6"/>
      <c r="AP1702" s="6"/>
      <c r="AQ1702" s="6"/>
      <c r="AR1702" s="6"/>
      <c r="AS1702" s="6"/>
      <c r="AT1702" s="6"/>
      <c r="AU1702" s="6"/>
      <c r="AV1702" s="6"/>
      <c r="AW1702" s="6"/>
      <c r="AX1702" s="6"/>
      <c r="AY1702" s="6"/>
      <c r="AZ1702" s="6"/>
      <c r="BA1702" s="6"/>
      <c r="BB1702" s="6"/>
      <c r="BC1702" s="6"/>
      <c r="BD1702" s="6"/>
      <c r="BE1702" s="6"/>
      <c r="BF1702" s="6"/>
      <c r="BG1702" s="6"/>
      <c r="BH1702" s="6"/>
      <c r="BI1702" s="6"/>
      <c r="BJ1702" s="6"/>
      <c r="BK1702" s="6"/>
      <c r="BL1702" s="6"/>
      <c r="BM1702" s="6"/>
      <c r="BN1702" s="6"/>
      <c r="BO1702" s="6"/>
      <c r="BP1702" s="6"/>
      <c r="BQ1702" s="6"/>
      <c r="BR1702" s="6"/>
      <c r="BS1702" s="6"/>
      <c r="BT1702" s="6"/>
      <c r="BU1702" s="6"/>
      <c r="BV1702" s="6"/>
      <c r="BW1702" s="6"/>
      <c r="BX1702" s="5"/>
      <c r="BY1702" s="7"/>
      <c r="BZ1702" s="7"/>
      <c r="CA1702" s="7"/>
      <c r="CB1702" s="7"/>
      <c r="CC1702" s="874"/>
    </row>
    <row r="1703" spans="1:81" s="400" customFormat="1" ht="14.25" customHeight="1" x14ac:dyDescent="0.25">
      <c r="A1703" s="5"/>
      <c r="B1703" s="5"/>
      <c r="C1703" s="5"/>
      <c r="D1703" s="5"/>
      <c r="E1703" s="5"/>
      <c r="F1703" s="5"/>
      <c r="G1703" s="5"/>
      <c r="H1703" s="5"/>
      <c r="I1703" s="5"/>
      <c r="J1703" s="5"/>
      <c r="K1703" s="5"/>
      <c r="L1703" s="5"/>
      <c r="M1703" s="5"/>
      <c r="N1703" s="5"/>
      <c r="O1703" s="5"/>
      <c r="P1703" s="5"/>
      <c r="Q1703" s="5"/>
      <c r="R1703" s="5"/>
      <c r="S1703" s="5"/>
      <c r="T1703" s="5"/>
      <c r="U1703" s="5"/>
      <c r="V1703" s="5"/>
      <c r="W1703" s="5"/>
      <c r="X1703" s="5"/>
      <c r="Y1703" s="5"/>
      <c r="Z1703" s="5"/>
      <c r="AA1703" s="5"/>
      <c r="AB1703" s="6"/>
      <c r="AC1703" s="6"/>
      <c r="AD1703" s="6"/>
      <c r="AE1703" s="6"/>
      <c r="AF1703" s="6"/>
      <c r="AG1703" s="6"/>
      <c r="AH1703" s="6"/>
      <c r="AI1703" s="6"/>
      <c r="AJ1703" s="6"/>
      <c r="AK1703" s="6"/>
      <c r="AL1703" s="6"/>
      <c r="AM1703" s="6"/>
      <c r="AN1703" s="6"/>
      <c r="AO1703" s="6"/>
      <c r="AP1703" s="6"/>
      <c r="AQ1703" s="6"/>
      <c r="AR1703" s="6"/>
      <c r="AS1703" s="6"/>
      <c r="AT1703" s="6"/>
      <c r="AU1703" s="6"/>
      <c r="AV1703" s="6"/>
      <c r="AW1703" s="6"/>
      <c r="AX1703" s="6"/>
      <c r="AY1703" s="6"/>
      <c r="AZ1703" s="6"/>
      <c r="BA1703" s="6"/>
      <c r="BB1703" s="6"/>
      <c r="BC1703" s="6"/>
      <c r="BD1703" s="6"/>
      <c r="BE1703" s="6"/>
      <c r="BF1703" s="6"/>
      <c r="BG1703" s="6"/>
      <c r="BH1703" s="6"/>
      <c r="BI1703" s="6"/>
      <c r="BJ1703" s="6"/>
      <c r="BK1703" s="6"/>
      <c r="BL1703" s="6"/>
      <c r="BM1703" s="6"/>
      <c r="BN1703" s="6"/>
      <c r="BO1703" s="6"/>
      <c r="BP1703" s="6"/>
      <c r="BQ1703" s="6"/>
      <c r="BR1703" s="6"/>
      <c r="BS1703" s="6"/>
      <c r="BT1703" s="6"/>
      <c r="BU1703" s="6"/>
      <c r="BV1703" s="6"/>
      <c r="BW1703" s="6"/>
      <c r="BX1703" s="5"/>
      <c r="BY1703" s="7"/>
      <c r="BZ1703" s="7"/>
      <c r="CA1703" s="7"/>
      <c r="CB1703" s="7"/>
      <c r="CC1703" s="874"/>
    </row>
    <row r="1704" spans="1:81" s="400" customFormat="1" ht="14.25" customHeight="1" x14ac:dyDescent="0.25">
      <c r="A1704" s="5"/>
      <c r="B1704" s="5"/>
      <c r="C1704" s="5"/>
      <c r="D1704" s="5"/>
      <c r="E1704" s="5"/>
      <c r="F1704" s="5"/>
      <c r="G1704" s="5"/>
      <c r="H1704" s="5"/>
      <c r="I1704" s="5"/>
      <c r="J1704" s="5"/>
      <c r="K1704" s="5"/>
      <c r="L1704" s="5"/>
      <c r="M1704" s="5"/>
      <c r="N1704" s="5"/>
      <c r="O1704" s="5"/>
      <c r="P1704" s="5"/>
      <c r="Q1704" s="5"/>
      <c r="R1704" s="5"/>
      <c r="S1704" s="5"/>
      <c r="T1704" s="5"/>
      <c r="U1704" s="5"/>
      <c r="V1704" s="5"/>
      <c r="W1704" s="5"/>
      <c r="X1704" s="5"/>
      <c r="Y1704" s="5"/>
      <c r="Z1704" s="5"/>
      <c r="AA1704" s="5"/>
      <c r="AB1704" s="6"/>
      <c r="AC1704" s="6"/>
      <c r="AD1704" s="6"/>
      <c r="AE1704" s="6"/>
      <c r="AF1704" s="6"/>
      <c r="AG1704" s="6"/>
      <c r="AH1704" s="6"/>
      <c r="AI1704" s="6"/>
      <c r="AJ1704" s="6"/>
      <c r="AK1704" s="6"/>
      <c r="AL1704" s="6"/>
      <c r="AM1704" s="6"/>
      <c r="AN1704" s="6"/>
      <c r="AO1704" s="6"/>
      <c r="AP1704" s="6"/>
      <c r="AQ1704" s="6"/>
      <c r="AR1704" s="6"/>
      <c r="AS1704" s="6"/>
      <c r="AT1704" s="6"/>
      <c r="AU1704" s="6"/>
      <c r="AV1704" s="6"/>
      <c r="AW1704" s="6"/>
      <c r="AX1704" s="6"/>
      <c r="AY1704" s="6"/>
      <c r="AZ1704" s="6"/>
      <c r="BA1704" s="6"/>
      <c r="BB1704" s="6"/>
      <c r="BC1704" s="6"/>
      <c r="BD1704" s="6"/>
      <c r="BE1704" s="6"/>
      <c r="BF1704" s="6"/>
      <c r="BG1704" s="6"/>
      <c r="BH1704" s="6"/>
      <c r="BI1704" s="6"/>
      <c r="BJ1704" s="6"/>
      <c r="BK1704" s="6"/>
      <c r="BL1704" s="6"/>
      <c r="BM1704" s="6"/>
      <c r="BN1704" s="6"/>
      <c r="BO1704" s="6"/>
      <c r="BP1704" s="6"/>
      <c r="BQ1704" s="6"/>
      <c r="BR1704" s="6"/>
      <c r="BS1704" s="6"/>
      <c r="BT1704" s="6"/>
      <c r="BU1704" s="6"/>
      <c r="BV1704" s="6"/>
      <c r="BW1704" s="6"/>
      <c r="BX1704" s="5"/>
      <c r="BY1704" s="7"/>
      <c r="BZ1704" s="7"/>
      <c r="CA1704" s="7"/>
      <c r="CB1704" s="7"/>
      <c r="CC1704" s="874"/>
    </row>
    <row r="1705" spans="1:81" s="400" customFormat="1" ht="14.25" customHeight="1" x14ac:dyDescent="0.25">
      <c r="A1705" s="5"/>
      <c r="B1705" s="5"/>
      <c r="C1705" s="5"/>
      <c r="D1705" s="5"/>
      <c r="E1705" s="5"/>
      <c r="F1705" s="5"/>
      <c r="G1705" s="5"/>
      <c r="H1705" s="5"/>
      <c r="I1705" s="5"/>
      <c r="J1705" s="5"/>
      <c r="K1705" s="5"/>
      <c r="L1705" s="5"/>
      <c r="M1705" s="5"/>
      <c r="N1705" s="5"/>
      <c r="O1705" s="5"/>
      <c r="P1705" s="5"/>
      <c r="Q1705" s="5"/>
      <c r="R1705" s="5"/>
      <c r="S1705" s="5"/>
      <c r="T1705" s="5"/>
      <c r="U1705" s="5"/>
      <c r="V1705" s="5"/>
      <c r="W1705" s="5"/>
      <c r="X1705" s="5"/>
      <c r="Y1705" s="5"/>
      <c r="Z1705" s="5"/>
      <c r="AA1705" s="5"/>
      <c r="AB1705" s="6"/>
      <c r="AC1705" s="6"/>
      <c r="AD1705" s="6"/>
      <c r="AE1705" s="6"/>
      <c r="AF1705" s="6"/>
      <c r="AG1705" s="6"/>
      <c r="AH1705" s="6"/>
      <c r="AI1705" s="6"/>
      <c r="AJ1705" s="6"/>
      <c r="AK1705" s="6"/>
      <c r="AL1705" s="6"/>
      <c r="AM1705" s="6"/>
      <c r="AN1705" s="6"/>
      <c r="AO1705" s="6"/>
      <c r="AP1705" s="6"/>
      <c r="AQ1705" s="6"/>
      <c r="AR1705" s="6"/>
      <c r="AS1705" s="6"/>
      <c r="AT1705" s="6"/>
      <c r="AU1705" s="6"/>
      <c r="AV1705" s="6"/>
      <c r="AW1705" s="6"/>
      <c r="AX1705" s="6"/>
      <c r="AY1705" s="6"/>
      <c r="AZ1705" s="6"/>
      <c r="BA1705" s="6"/>
      <c r="BB1705" s="6"/>
      <c r="BC1705" s="6"/>
      <c r="BD1705" s="6"/>
      <c r="BE1705" s="6"/>
      <c r="BF1705" s="6"/>
      <c r="BG1705" s="6"/>
      <c r="BH1705" s="6"/>
      <c r="BI1705" s="6"/>
      <c r="BJ1705" s="6"/>
      <c r="BK1705" s="6"/>
      <c r="BL1705" s="6"/>
      <c r="BM1705" s="6"/>
      <c r="BN1705" s="6"/>
      <c r="BO1705" s="6"/>
      <c r="BP1705" s="6"/>
      <c r="BQ1705" s="6"/>
      <c r="BR1705" s="6"/>
      <c r="BS1705" s="6"/>
      <c r="BT1705" s="6"/>
      <c r="BU1705" s="6"/>
      <c r="BV1705" s="6"/>
      <c r="BW1705" s="6"/>
      <c r="BX1705" s="5"/>
      <c r="BY1705" s="7"/>
      <c r="BZ1705" s="7"/>
      <c r="CA1705" s="7"/>
      <c r="CB1705" s="7"/>
      <c r="CC1705" s="874"/>
    </row>
    <row r="1706" spans="1:81" s="400" customFormat="1" ht="14.25" customHeight="1" x14ac:dyDescent="0.25">
      <c r="A1706" s="5"/>
      <c r="B1706" s="5"/>
      <c r="C1706" s="5"/>
      <c r="D1706" s="5"/>
      <c r="E1706" s="5"/>
      <c r="F1706" s="5"/>
      <c r="G1706" s="5"/>
      <c r="H1706" s="5"/>
      <c r="I1706" s="5"/>
      <c r="J1706" s="5"/>
      <c r="K1706" s="5"/>
      <c r="L1706" s="5"/>
      <c r="M1706" s="5"/>
      <c r="N1706" s="5"/>
      <c r="O1706" s="5"/>
      <c r="P1706" s="5"/>
      <c r="Q1706" s="5"/>
      <c r="R1706" s="5"/>
      <c r="S1706" s="5"/>
      <c r="T1706" s="5"/>
      <c r="U1706" s="5"/>
      <c r="V1706" s="5"/>
      <c r="W1706" s="5"/>
      <c r="X1706" s="5"/>
      <c r="Y1706" s="5"/>
      <c r="Z1706" s="5"/>
      <c r="AA1706" s="5"/>
      <c r="AB1706" s="6"/>
      <c r="AC1706" s="6"/>
      <c r="AD1706" s="6"/>
      <c r="AE1706" s="6"/>
      <c r="AF1706" s="6"/>
      <c r="AG1706" s="6"/>
      <c r="AH1706" s="6"/>
      <c r="AI1706" s="6"/>
      <c r="AJ1706" s="6"/>
      <c r="AK1706" s="6"/>
      <c r="AL1706" s="6"/>
      <c r="AM1706" s="6"/>
      <c r="AN1706" s="6"/>
      <c r="AO1706" s="6"/>
      <c r="AP1706" s="6"/>
      <c r="AQ1706" s="6"/>
      <c r="AR1706" s="6"/>
      <c r="AS1706" s="6"/>
      <c r="AT1706" s="6"/>
      <c r="AU1706" s="6"/>
      <c r="AV1706" s="6"/>
      <c r="AW1706" s="6"/>
      <c r="AX1706" s="6"/>
      <c r="AY1706" s="6"/>
      <c r="AZ1706" s="6"/>
      <c r="BA1706" s="6"/>
      <c r="BB1706" s="6"/>
      <c r="BC1706" s="6"/>
      <c r="BD1706" s="6"/>
      <c r="BE1706" s="6"/>
      <c r="BF1706" s="6"/>
      <c r="BG1706" s="6"/>
      <c r="BH1706" s="6"/>
      <c r="BI1706" s="6"/>
      <c r="BJ1706" s="6"/>
      <c r="BK1706" s="6"/>
      <c r="BL1706" s="6"/>
      <c r="BM1706" s="6"/>
      <c r="BN1706" s="6"/>
      <c r="BO1706" s="6"/>
      <c r="BP1706" s="6"/>
      <c r="BQ1706" s="6"/>
      <c r="BR1706" s="6"/>
      <c r="BS1706" s="6"/>
      <c r="BT1706" s="6"/>
      <c r="BU1706" s="6"/>
      <c r="BV1706" s="6"/>
      <c r="BW1706" s="6"/>
      <c r="BX1706" s="5"/>
      <c r="BY1706" s="7"/>
      <c r="BZ1706" s="7"/>
      <c r="CA1706" s="7"/>
      <c r="CB1706" s="7"/>
      <c r="CC1706" s="874"/>
    </row>
    <row r="1707" spans="1:81" s="400" customFormat="1" ht="14.25" customHeight="1" x14ac:dyDescent="0.25">
      <c r="A1707" s="5"/>
      <c r="B1707" s="5"/>
      <c r="C1707" s="5"/>
      <c r="D1707" s="5"/>
      <c r="E1707" s="5"/>
      <c r="F1707" s="5"/>
      <c r="G1707" s="5"/>
      <c r="H1707" s="5"/>
      <c r="I1707" s="5"/>
      <c r="J1707" s="5"/>
      <c r="K1707" s="5"/>
      <c r="L1707" s="5"/>
      <c r="M1707" s="5"/>
      <c r="N1707" s="5"/>
      <c r="O1707" s="5"/>
      <c r="P1707" s="5"/>
      <c r="Q1707" s="5"/>
      <c r="R1707" s="5"/>
      <c r="S1707" s="5"/>
      <c r="T1707" s="5"/>
      <c r="U1707" s="5"/>
      <c r="V1707" s="5"/>
      <c r="W1707" s="5"/>
      <c r="X1707" s="5"/>
      <c r="Y1707" s="5"/>
      <c r="Z1707" s="5"/>
      <c r="AA1707" s="5"/>
      <c r="AB1707" s="6"/>
      <c r="AC1707" s="6"/>
      <c r="AD1707" s="6"/>
      <c r="AE1707" s="6"/>
      <c r="AF1707" s="6"/>
      <c r="AG1707" s="6"/>
      <c r="AH1707" s="6"/>
      <c r="AI1707" s="6"/>
      <c r="AJ1707" s="6"/>
      <c r="AK1707" s="6"/>
      <c r="AL1707" s="6"/>
      <c r="AM1707" s="6"/>
      <c r="AN1707" s="6"/>
      <c r="AO1707" s="6"/>
      <c r="AP1707" s="6"/>
      <c r="AQ1707" s="6"/>
      <c r="AR1707" s="6"/>
      <c r="AS1707" s="6"/>
      <c r="AT1707" s="6"/>
      <c r="AU1707" s="6"/>
      <c r="AV1707" s="6"/>
      <c r="AW1707" s="6"/>
      <c r="AX1707" s="6"/>
      <c r="AY1707" s="6"/>
      <c r="AZ1707" s="6"/>
      <c r="BA1707" s="6"/>
      <c r="BB1707" s="6"/>
      <c r="BC1707" s="6"/>
      <c r="BD1707" s="6"/>
      <c r="BE1707" s="6"/>
      <c r="BF1707" s="6"/>
      <c r="BG1707" s="6"/>
      <c r="BH1707" s="6"/>
      <c r="BI1707" s="6"/>
      <c r="BJ1707" s="6"/>
      <c r="BK1707" s="6"/>
      <c r="BL1707" s="6"/>
      <c r="BM1707" s="6"/>
      <c r="BN1707" s="6"/>
      <c r="BO1707" s="6"/>
      <c r="BP1707" s="6"/>
      <c r="BQ1707" s="6"/>
      <c r="BR1707" s="6"/>
      <c r="BS1707" s="6"/>
      <c r="BT1707" s="6"/>
      <c r="BU1707" s="6"/>
      <c r="BV1707" s="6"/>
      <c r="BW1707" s="6"/>
      <c r="BX1707" s="5"/>
      <c r="BY1707" s="7"/>
      <c r="BZ1707" s="7"/>
      <c r="CA1707" s="7"/>
      <c r="CB1707" s="7"/>
      <c r="CC1707" s="874"/>
    </row>
    <row r="1708" spans="1:81" s="400" customFormat="1" ht="14.25" customHeight="1" x14ac:dyDescent="0.25">
      <c r="A1708" s="5"/>
      <c r="B1708" s="5"/>
      <c r="C1708" s="5"/>
      <c r="D1708" s="5"/>
      <c r="E1708" s="5"/>
      <c r="F1708" s="5"/>
      <c r="G1708" s="5"/>
      <c r="H1708" s="5"/>
      <c r="I1708" s="5"/>
      <c r="J1708" s="5"/>
      <c r="K1708" s="5"/>
      <c r="L1708" s="5"/>
      <c r="M1708" s="5"/>
      <c r="N1708" s="5"/>
      <c r="O1708" s="5"/>
      <c r="P1708" s="5"/>
      <c r="Q1708" s="5"/>
      <c r="R1708" s="5"/>
      <c r="S1708" s="5"/>
      <c r="T1708" s="5"/>
      <c r="U1708" s="5"/>
      <c r="V1708" s="5"/>
      <c r="W1708" s="5"/>
      <c r="X1708" s="5"/>
      <c r="Y1708" s="5"/>
      <c r="Z1708" s="5"/>
      <c r="AA1708" s="5"/>
      <c r="AB1708" s="6"/>
      <c r="AC1708" s="6"/>
      <c r="AD1708" s="6"/>
      <c r="AE1708" s="6"/>
      <c r="AF1708" s="6"/>
      <c r="AG1708" s="6"/>
      <c r="AH1708" s="6"/>
      <c r="AI1708" s="6"/>
      <c r="AJ1708" s="6"/>
      <c r="AK1708" s="6"/>
      <c r="AL1708" s="6"/>
      <c r="AM1708" s="6"/>
      <c r="AN1708" s="6"/>
      <c r="AO1708" s="6"/>
      <c r="AP1708" s="6"/>
      <c r="AQ1708" s="6"/>
      <c r="AR1708" s="6"/>
      <c r="AS1708" s="6"/>
      <c r="AT1708" s="6"/>
      <c r="AU1708" s="6"/>
      <c r="AV1708" s="6"/>
      <c r="AW1708" s="6"/>
      <c r="AX1708" s="6"/>
      <c r="AY1708" s="6"/>
      <c r="AZ1708" s="6"/>
      <c r="BA1708" s="6"/>
      <c r="BB1708" s="6"/>
      <c r="BC1708" s="6"/>
      <c r="BD1708" s="6"/>
      <c r="BE1708" s="6"/>
      <c r="BF1708" s="6"/>
      <c r="BG1708" s="6"/>
      <c r="BH1708" s="6"/>
      <c r="BI1708" s="6"/>
      <c r="BJ1708" s="6"/>
      <c r="BK1708" s="6"/>
      <c r="BL1708" s="6"/>
      <c r="BM1708" s="6"/>
      <c r="BN1708" s="6"/>
      <c r="BO1708" s="6"/>
      <c r="BP1708" s="6"/>
      <c r="BQ1708" s="6"/>
      <c r="BR1708" s="6"/>
      <c r="BS1708" s="6"/>
      <c r="BT1708" s="6"/>
      <c r="BU1708" s="6"/>
      <c r="BV1708" s="6"/>
      <c r="BW1708" s="6"/>
      <c r="BX1708" s="5"/>
      <c r="BY1708" s="7"/>
      <c r="BZ1708" s="7"/>
      <c r="CA1708" s="7"/>
      <c r="CB1708" s="7"/>
      <c r="CC1708" s="874"/>
    </row>
    <row r="1709" spans="1:81" s="400" customFormat="1" ht="14.25" customHeight="1" x14ac:dyDescent="0.25">
      <c r="A1709" s="5"/>
      <c r="B1709" s="5"/>
      <c r="C1709" s="5"/>
      <c r="D1709" s="5"/>
      <c r="E1709" s="5"/>
      <c r="F1709" s="5"/>
      <c r="G1709" s="5"/>
      <c r="H1709" s="5"/>
      <c r="I1709" s="5"/>
      <c r="J1709" s="5"/>
      <c r="K1709" s="5"/>
      <c r="L1709" s="5"/>
      <c r="M1709" s="5"/>
      <c r="N1709" s="5"/>
      <c r="O1709" s="5"/>
      <c r="P1709" s="5"/>
      <c r="Q1709" s="5"/>
      <c r="R1709" s="5"/>
      <c r="S1709" s="5"/>
      <c r="T1709" s="5"/>
      <c r="U1709" s="5"/>
      <c r="V1709" s="5"/>
      <c r="W1709" s="5"/>
      <c r="X1709" s="5"/>
      <c r="Y1709" s="5"/>
      <c r="Z1709" s="5"/>
      <c r="AA1709" s="5"/>
      <c r="AB1709" s="6"/>
      <c r="AC1709" s="6"/>
      <c r="AD1709" s="6"/>
      <c r="AE1709" s="6"/>
      <c r="AF1709" s="6"/>
      <c r="AG1709" s="6"/>
      <c r="AH1709" s="6"/>
      <c r="AI1709" s="6"/>
      <c r="AJ1709" s="6"/>
      <c r="AK1709" s="6"/>
      <c r="AL1709" s="6"/>
      <c r="AM1709" s="6"/>
      <c r="AN1709" s="6"/>
      <c r="AO1709" s="6"/>
      <c r="AP1709" s="6"/>
      <c r="AQ1709" s="6"/>
      <c r="AR1709" s="6"/>
      <c r="AS1709" s="6"/>
      <c r="AT1709" s="6"/>
      <c r="AU1709" s="6"/>
      <c r="AV1709" s="6"/>
      <c r="AW1709" s="6"/>
      <c r="AX1709" s="6"/>
      <c r="AY1709" s="6"/>
      <c r="AZ1709" s="6"/>
      <c r="BA1709" s="6"/>
      <c r="BB1709" s="6"/>
      <c r="BC1709" s="6"/>
      <c r="BD1709" s="6"/>
      <c r="BE1709" s="6"/>
      <c r="BF1709" s="6"/>
      <c r="BG1709" s="6"/>
      <c r="BH1709" s="6"/>
      <c r="BI1709" s="6"/>
      <c r="BJ1709" s="6"/>
      <c r="BK1709" s="6"/>
      <c r="BL1709" s="6"/>
      <c r="BM1709" s="6"/>
      <c r="BN1709" s="6"/>
      <c r="BO1709" s="6"/>
      <c r="BP1709" s="6"/>
      <c r="BQ1709" s="6"/>
      <c r="BR1709" s="6"/>
      <c r="BS1709" s="6"/>
      <c r="BT1709" s="6"/>
      <c r="BU1709" s="6"/>
      <c r="BV1709" s="6"/>
      <c r="BW1709" s="6"/>
      <c r="BX1709" s="5"/>
      <c r="BY1709" s="7"/>
      <c r="BZ1709" s="7"/>
      <c r="CA1709" s="7"/>
      <c r="CB1709" s="7"/>
      <c r="CC1709" s="874"/>
    </row>
    <row r="1710" spans="1:81" s="400" customFormat="1" ht="14.25" customHeight="1" x14ac:dyDescent="0.25">
      <c r="A1710" s="5"/>
      <c r="B1710" s="5"/>
      <c r="C1710" s="5"/>
      <c r="D1710" s="5"/>
      <c r="E1710" s="5"/>
      <c r="F1710" s="5"/>
      <c r="G1710" s="5"/>
      <c r="H1710" s="5"/>
      <c r="I1710" s="5"/>
      <c r="J1710" s="5"/>
      <c r="K1710" s="5"/>
      <c r="L1710" s="5"/>
      <c r="M1710" s="5"/>
      <c r="N1710" s="5"/>
      <c r="O1710" s="5"/>
      <c r="P1710" s="5"/>
      <c r="Q1710" s="5"/>
      <c r="R1710" s="5"/>
      <c r="S1710" s="5"/>
      <c r="T1710" s="5"/>
      <c r="U1710" s="5"/>
      <c r="V1710" s="5"/>
      <c r="W1710" s="5"/>
      <c r="X1710" s="5"/>
      <c r="Y1710" s="5"/>
      <c r="Z1710" s="5"/>
      <c r="AA1710" s="5"/>
      <c r="AB1710" s="6"/>
      <c r="AC1710" s="6"/>
      <c r="AD1710" s="6"/>
      <c r="AE1710" s="6"/>
      <c r="AF1710" s="6"/>
      <c r="AG1710" s="6"/>
      <c r="AH1710" s="6"/>
      <c r="AI1710" s="6"/>
      <c r="AJ1710" s="6"/>
      <c r="AK1710" s="6"/>
      <c r="AL1710" s="6"/>
      <c r="AM1710" s="6"/>
      <c r="AN1710" s="6"/>
      <c r="AO1710" s="6"/>
      <c r="AP1710" s="6"/>
      <c r="AQ1710" s="6"/>
      <c r="AR1710" s="6"/>
      <c r="AS1710" s="6"/>
      <c r="AT1710" s="6"/>
      <c r="AU1710" s="6"/>
      <c r="AV1710" s="6"/>
      <c r="AW1710" s="6"/>
      <c r="AX1710" s="6"/>
      <c r="AY1710" s="6"/>
      <c r="AZ1710" s="6"/>
      <c r="BA1710" s="6"/>
      <c r="BB1710" s="6"/>
      <c r="BC1710" s="6"/>
      <c r="BD1710" s="6"/>
      <c r="BE1710" s="6"/>
      <c r="BF1710" s="6"/>
      <c r="BG1710" s="6"/>
      <c r="BH1710" s="6"/>
      <c r="BI1710" s="6"/>
      <c r="BJ1710" s="6"/>
      <c r="BK1710" s="6"/>
      <c r="BL1710" s="6"/>
      <c r="BM1710" s="6"/>
      <c r="BN1710" s="6"/>
      <c r="BO1710" s="6"/>
      <c r="BP1710" s="6"/>
      <c r="BQ1710" s="6"/>
      <c r="BR1710" s="6"/>
      <c r="BS1710" s="6"/>
      <c r="BT1710" s="6"/>
      <c r="BU1710" s="6"/>
      <c r="BV1710" s="6"/>
      <c r="BW1710" s="6"/>
      <c r="BX1710" s="5"/>
      <c r="BY1710" s="7"/>
      <c r="BZ1710" s="7"/>
      <c r="CA1710" s="7"/>
      <c r="CB1710" s="7"/>
      <c r="CC1710" s="874"/>
    </row>
    <row r="1711" spans="1:81" s="400" customFormat="1" ht="14.25" customHeight="1" x14ac:dyDescent="0.25">
      <c r="A1711" s="5"/>
      <c r="B1711" s="5"/>
      <c r="C1711" s="5"/>
      <c r="D1711" s="5"/>
      <c r="E1711" s="5"/>
      <c r="F1711" s="5"/>
      <c r="G1711" s="5"/>
      <c r="H1711" s="5"/>
      <c r="I1711" s="5"/>
      <c r="J1711" s="5"/>
      <c r="K1711" s="5"/>
      <c r="L1711" s="5"/>
      <c r="M1711" s="5"/>
      <c r="N1711" s="5"/>
      <c r="O1711" s="5"/>
      <c r="P1711" s="5"/>
      <c r="Q1711" s="5"/>
      <c r="R1711" s="5"/>
      <c r="S1711" s="5"/>
      <c r="T1711" s="5"/>
      <c r="U1711" s="5"/>
      <c r="V1711" s="5"/>
      <c r="W1711" s="5"/>
      <c r="X1711" s="5"/>
      <c r="Y1711" s="5"/>
      <c r="Z1711" s="5"/>
      <c r="AA1711" s="5"/>
      <c r="AB1711" s="6"/>
      <c r="AC1711" s="6"/>
      <c r="AD1711" s="6"/>
      <c r="AE1711" s="6"/>
      <c r="AF1711" s="6"/>
      <c r="AG1711" s="6"/>
      <c r="AH1711" s="6"/>
      <c r="AI1711" s="6"/>
      <c r="AJ1711" s="6"/>
      <c r="AK1711" s="6"/>
      <c r="AL1711" s="6"/>
      <c r="AM1711" s="6"/>
      <c r="AN1711" s="6"/>
      <c r="AO1711" s="6"/>
      <c r="AP1711" s="6"/>
      <c r="AQ1711" s="6"/>
      <c r="AR1711" s="6"/>
      <c r="AS1711" s="6"/>
      <c r="AT1711" s="6"/>
      <c r="AU1711" s="6"/>
      <c r="AV1711" s="6"/>
      <c r="AW1711" s="6"/>
      <c r="AX1711" s="6"/>
      <c r="AY1711" s="6"/>
      <c r="AZ1711" s="6"/>
      <c r="BA1711" s="6"/>
      <c r="BB1711" s="6"/>
      <c r="BC1711" s="6"/>
      <c r="BD1711" s="6"/>
      <c r="BE1711" s="6"/>
      <c r="BF1711" s="6"/>
      <c r="BG1711" s="6"/>
      <c r="BH1711" s="6"/>
      <c r="BI1711" s="6"/>
      <c r="BJ1711" s="6"/>
      <c r="BK1711" s="6"/>
      <c r="BL1711" s="6"/>
      <c r="BM1711" s="6"/>
      <c r="BN1711" s="6"/>
      <c r="BO1711" s="6"/>
      <c r="BP1711" s="6"/>
      <c r="BQ1711" s="6"/>
      <c r="BR1711" s="6"/>
      <c r="BS1711" s="6"/>
      <c r="BT1711" s="6"/>
      <c r="BU1711" s="6"/>
      <c r="BV1711" s="6"/>
      <c r="BW1711" s="6"/>
      <c r="BX1711" s="5"/>
      <c r="BY1711" s="7"/>
      <c r="BZ1711" s="7"/>
      <c r="CA1711" s="7"/>
      <c r="CB1711" s="7"/>
      <c r="CC1711" s="874"/>
    </row>
    <row r="1712" spans="1:81" s="400" customFormat="1" ht="14.25" customHeight="1" x14ac:dyDescent="0.25">
      <c r="A1712" s="5"/>
      <c r="B1712" s="5"/>
      <c r="C1712" s="5"/>
      <c r="D1712" s="5"/>
      <c r="E1712" s="5"/>
      <c r="F1712" s="5"/>
      <c r="G1712" s="5"/>
      <c r="H1712" s="5"/>
      <c r="I1712" s="5"/>
      <c r="J1712" s="5"/>
      <c r="K1712" s="5"/>
      <c r="L1712" s="5"/>
      <c r="M1712" s="5"/>
      <c r="N1712" s="5"/>
      <c r="O1712" s="5"/>
      <c r="P1712" s="5"/>
      <c r="Q1712" s="5"/>
      <c r="R1712" s="5"/>
      <c r="S1712" s="5"/>
      <c r="T1712" s="5"/>
      <c r="U1712" s="5"/>
      <c r="V1712" s="5"/>
      <c r="W1712" s="5"/>
      <c r="X1712" s="5"/>
      <c r="Y1712" s="5"/>
      <c r="Z1712" s="5"/>
      <c r="AA1712" s="5"/>
      <c r="AB1712" s="6"/>
      <c r="AC1712" s="6"/>
      <c r="AD1712" s="6"/>
      <c r="AE1712" s="6"/>
      <c r="AF1712" s="6"/>
      <c r="AG1712" s="6"/>
      <c r="AH1712" s="6"/>
      <c r="AI1712" s="6"/>
      <c r="AJ1712" s="6"/>
      <c r="AK1712" s="6"/>
      <c r="AL1712" s="6"/>
      <c r="AM1712" s="6"/>
      <c r="AN1712" s="6"/>
      <c r="AO1712" s="6"/>
      <c r="AP1712" s="6"/>
      <c r="AQ1712" s="6"/>
      <c r="AR1712" s="6"/>
      <c r="AS1712" s="6"/>
      <c r="AT1712" s="6"/>
      <c r="AU1712" s="6"/>
      <c r="AV1712" s="6"/>
      <c r="AW1712" s="6"/>
      <c r="AX1712" s="6"/>
      <c r="AY1712" s="6"/>
      <c r="AZ1712" s="6"/>
      <c r="BA1712" s="6"/>
      <c r="BB1712" s="6"/>
      <c r="BC1712" s="6"/>
      <c r="BD1712" s="6"/>
      <c r="BE1712" s="6"/>
      <c r="BF1712" s="6"/>
      <c r="BG1712" s="6"/>
      <c r="BH1712" s="6"/>
      <c r="BI1712" s="6"/>
      <c r="BJ1712" s="6"/>
      <c r="BK1712" s="6"/>
      <c r="BL1712" s="6"/>
      <c r="BM1712" s="6"/>
      <c r="BN1712" s="6"/>
      <c r="BO1712" s="6"/>
      <c r="BP1712" s="6"/>
      <c r="BQ1712" s="6"/>
      <c r="BR1712" s="6"/>
      <c r="BS1712" s="6"/>
      <c r="BT1712" s="6"/>
      <c r="BU1712" s="6"/>
      <c r="BV1712" s="6"/>
      <c r="BW1712" s="6"/>
      <c r="BX1712" s="5"/>
      <c r="BY1712" s="7"/>
      <c r="BZ1712" s="7"/>
      <c r="CA1712" s="7"/>
      <c r="CB1712" s="7"/>
      <c r="CC1712" s="874"/>
    </row>
    <row r="1713" spans="1:81" s="400" customFormat="1" ht="14.25" customHeight="1" x14ac:dyDescent="0.25">
      <c r="A1713" s="5"/>
      <c r="B1713" s="5"/>
      <c r="C1713" s="5"/>
      <c r="D1713" s="5"/>
      <c r="E1713" s="5"/>
      <c r="F1713" s="5"/>
      <c r="G1713" s="5"/>
      <c r="H1713" s="5"/>
      <c r="I1713" s="5"/>
      <c r="J1713" s="5"/>
      <c r="K1713" s="5"/>
      <c r="L1713" s="5"/>
      <c r="M1713" s="5"/>
      <c r="N1713" s="5"/>
      <c r="O1713" s="5"/>
      <c r="P1713" s="5"/>
      <c r="Q1713" s="5"/>
      <c r="R1713" s="5"/>
      <c r="S1713" s="5"/>
      <c r="T1713" s="5"/>
      <c r="U1713" s="5"/>
      <c r="V1713" s="5"/>
      <c r="W1713" s="5"/>
      <c r="X1713" s="5"/>
      <c r="Y1713" s="5"/>
      <c r="Z1713" s="5"/>
      <c r="AA1713" s="5"/>
      <c r="AB1713" s="6"/>
      <c r="AC1713" s="6"/>
      <c r="AD1713" s="6"/>
      <c r="AE1713" s="6"/>
      <c r="AF1713" s="6"/>
      <c r="AG1713" s="6"/>
      <c r="AH1713" s="6"/>
      <c r="AI1713" s="6"/>
      <c r="AJ1713" s="6"/>
      <c r="AK1713" s="6"/>
      <c r="AL1713" s="6"/>
      <c r="AM1713" s="6"/>
      <c r="AN1713" s="6"/>
      <c r="AO1713" s="6"/>
      <c r="AP1713" s="6"/>
      <c r="AQ1713" s="6"/>
      <c r="AR1713" s="6"/>
      <c r="AS1713" s="6"/>
      <c r="AT1713" s="6"/>
      <c r="AU1713" s="6"/>
      <c r="AV1713" s="6"/>
      <c r="AW1713" s="6"/>
      <c r="AX1713" s="6"/>
      <c r="AY1713" s="6"/>
      <c r="AZ1713" s="6"/>
      <c r="BA1713" s="6"/>
      <c r="BB1713" s="6"/>
      <c r="BC1713" s="6"/>
      <c r="BD1713" s="6"/>
      <c r="BE1713" s="6"/>
      <c r="BF1713" s="6"/>
      <c r="BG1713" s="6"/>
      <c r="BH1713" s="6"/>
      <c r="BI1713" s="6"/>
      <c r="BJ1713" s="6"/>
      <c r="BK1713" s="6"/>
      <c r="BL1713" s="6"/>
      <c r="BM1713" s="6"/>
      <c r="BN1713" s="6"/>
      <c r="BO1713" s="6"/>
      <c r="BP1713" s="6"/>
      <c r="BQ1713" s="6"/>
      <c r="BR1713" s="6"/>
      <c r="BS1713" s="6"/>
      <c r="BT1713" s="6"/>
      <c r="BU1713" s="6"/>
      <c r="BV1713" s="6"/>
      <c r="BW1713" s="6"/>
      <c r="BX1713" s="5"/>
      <c r="BY1713" s="7"/>
      <c r="BZ1713" s="7"/>
      <c r="CA1713" s="7"/>
      <c r="CB1713" s="7"/>
      <c r="CC1713" s="874"/>
    </row>
    <row r="1714" spans="1:81" s="400" customFormat="1" ht="14.25" customHeight="1" x14ac:dyDescent="0.25">
      <c r="A1714" s="5"/>
      <c r="B1714" s="5"/>
      <c r="C1714" s="5"/>
      <c r="D1714" s="5"/>
      <c r="E1714" s="5"/>
      <c r="F1714" s="5"/>
      <c r="G1714" s="5"/>
      <c r="H1714" s="5"/>
      <c r="I1714" s="5"/>
      <c r="J1714" s="5"/>
      <c r="K1714" s="5"/>
      <c r="L1714" s="5"/>
      <c r="M1714" s="5"/>
      <c r="N1714" s="5"/>
      <c r="O1714" s="5"/>
      <c r="P1714" s="5"/>
      <c r="Q1714" s="5"/>
      <c r="R1714" s="5"/>
      <c r="S1714" s="5"/>
      <c r="T1714" s="5"/>
      <c r="U1714" s="5"/>
      <c r="V1714" s="5"/>
      <c r="W1714" s="5"/>
      <c r="X1714" s="5"/>
      <c r="Y1714" s="5"/>
      <c r="Z1714" s="5"/>
      <c r="AA1714" s="5"/>
      <c r="AB1714" s="6"/>
      <c r="AC1714" s="6"/>
      <c r="AD1714" s="6"/>
      <c r="AE1714" s="6"/>
      <c r="AF1714" s="6"/>
      <c r="AG1714" s="6"/>
      <c r="AH1714" s="6"/>
      <c r="AI1714" s="6"/>
      <c r="AJ1714" s="6"/>
      <c r="AK1714" s="6"/>
      <c r="AL1714" s="6"/>
      <c r="AM1714" s="6"/>
      <c r="AN1714" s="6"/>
      <c r="AO1714" s="6"/>
      <c r="AP1714" s="6"/>
      <c r="AQ1714" s="6"/>
      <c r="AR1714" s="6"/>
      <c r="AS1714" s="6"/>
      <c r="AT1714" s="6"/>
      <c r="AU1714" s="6"/>
      <c r="AV1714" s="6"/>
      <c r="AW1714" s="6"/>
      <c r="AX1714" s="6"/>
      <c r="AY1714" s="6"/>
      <c r="AZ1714" s="6"/>
      <c r="BA1714" s="6"/>
      <c r="BB1714" s="6"/>
      <c r="BC1714" s="6"/>
      <c r="BD1714" s="6"/>
      <c r="BE1714" s="6"/>
      <c r="BF1714" s="6"/>
      <c r="BG1714" s="6"/>
      <c r="BH1714" s="6"/>
      <c r="BI1714" s="6"/>
      <c r="BJ1714" s="6"/>
      <c r="BK1714" s="6"/>
      <c r="BL1714" s="6"/>
      <c r="BM1714" s="6"/>
      <c r="BN1714" s="6"/>
      <c r="BO1714" s="6"/>
      <c r="BP1714" s="6"/>
      <c r="BQ1714" s="6"/>
      <c r="BR1714" s="6"/>
      <c r="BS1714" s="6"/>
      <c r="BT1714" s="6"/>
      <c r="BU1714" s="6"/>
      <c r="BV1714" s="6"/>
      <c r="BW1714" s="6"/>
      <c r="BX1714" s="5"/>
      <c r="BY1714" s="7"/>
      <c r="BZ1714" s="7"/>
      <c r="CA1714" s="7"/>
      <c r="CB1714" s="7"/>
      <c r="CC1714" s="874"/>
    </row>
    <row r="1715" spans="1:81" s="400" customFormat="1" ht="14.25" customHeight="1" x14ac:dyDescent="0.25">
      <c r="A1715" s="5"/>
      <c r="B1715" s="5"/>
      <c r="C1715" s="5"/>
      <c r="D1715" s="5"/>
      <c r="E1715" s="5"/>
      <c r="F1715" s="5"/>
      <c r="G1715" s="5"/>
      <c r="H1715" s="5"/>
      <c r="I1715" s="5"/>
      <c r="J1715" s="5"/>
      <c r="K1715" s="5"/>
      <c r="L1715" s="5"/>
      <c r="M1715" s="5"/>
      <c r="N1715" s="5"/>
      <c r="O1715" s="5"/>
      <c r="P1715" s="5"/>
      <c r="Q1715" s="5"/>
      <c r="R1715" s="5"/>
      <c r="S1715" s="5"/>
      <c r="T1715" s="5"/>
      <c r="U1715" s="5"/>
      <c r="V1715" s="5"/>
      <c r="W1715" s="5"/>
      <c r="X1715" s="5"/>
      <c r="Y1715" s="5"/>
      <c r="Z1715" s="5"/>
      <c r="AA1715" s="5"/>
      <c r="AB1715" s="6"/>
      <c r="AC1715" s="6"/>
      <c r="AD1715" s="6"/>
      <c r="AE1715" s="6"/>
      <c r="AF1715" s="6"/>
      <c r="AG1715" s="6"/>
      <c r="AH1715" s="6"/>
      <c r="AI1715" s="6"/>
      <c r="AJ1715" s="6"/>
      <c r="AK1715" s="6"/>
      <c r="AL1715" s="6"/>
      <c r="AM1715" s="6"/>
      <c r="AN1715" s="6"/>
      <c r="AO1715" s="6"/>
      <c r="AP1715" s="6"/>
      <c r="AQ1715" s="6"/>
      <c r="AR1715" s="6"/>
      <c r="AS1715" s="6"/>
      <c r="AT1715" s="6"/>
      <c r="AU1715" s="6"/>
      <c r="AV1715" s="6"/>
      <c r="AW1715" s="6"/>
      <c r="AX1715" s="6"/>
      <c r="AY1715" s="6"/>
      <c r="AZ1715" s="6"/>
      <c r="BA1715" s="6"/>
      <c r="BB1715" s="6"/>
      <c r="BC1715" s="6"/>
      <c r="BD1715" s="6"/>
      <c r="BE1715" s="6"/>
      <c r="BF1715" s="6"/>
      <c r="BG1715" s="6"/>
      <c r="BH1715" s="6"/>
      <c r="BI1715" s="6"/>
      <c r="BJ1715" s="6"/>
      <c r="BK1715" s="6"/>
      <c r="BL1715" s="6"/>
      <c r="BM1715" s="6"/>
      <c r="BN1715" s="6"/>
      <c r="BO1715" s="6"/>
      <c r="BP1715" s="6"/>
      <c r="BQ1715" s="6"/>
      <c r="BR1715" s="6"/>
      <c r="BS1715" s="6"/>
      <c r="BT1715" s="6"/>
      <c r="BU1715" s="6"/>
      <c r="BV1715" s="6"/>
      <c r="BW1715" s="6"/>
      <c r="BX1715" s="5"/>
      <c r="BY1715" s="7"/>
      <c r="BZ1715" s="7"/>
      <c r="CA1715" s="7"/>
      <c r="CB1715" s="7"/>
      <c r="CC1715" s="874"/>
    </row>
    <row r="1716" spans="1:81" s="400" customFormat="1" ht="14.25" customHeight="1" x14ac:dyDescent="0.25">
      <c r="A1716" s="5"/>
      <c r="B1716" s="5"/>
      <c r="C1716" s="5"/>
      <c r="D1716" s="5"/>
      <c r="E1716" s="5"/>
      <c r="F1716" s="5"/>
      <c r="G1716" s="5"/>
      <c r="H1716" s="5"/>
      <c r="I1716" s="5"/>
      <c r="J1716" s="5"/>
      <c r="K1716" s="5"/>
      <c r="L1716" s="5"/>
      <c r="M1716" s="5"/>
      <c r="N1716" s="5"/>
      <c r="O1716" s="5"/>
      <c r="P1716" s="5"/>
      <c r="Q1716" s="5"/>
      <c r="R1716" s="5"/>
      <c r="S1716" s="5"/>
      <c r="T1716" s="5"/>
      <c r="U1716" s="5"/>
      <c r="V1716" s="5"/>
      <c r="W1716" s="5"/>
      <c r="X1716" s="5"/>
      <c r="Y1716" s="5"/>
      <c r="Z1716" s="5"/>
      <c r="AA1716" s="5"/>
      <c r="AB1716" s="6"/>
      <c r="AC1716" s="6"/>
      <c r="AD1716" s="6"/>
      <c r="AE1716" s="6"/>
      <c r="AF1716" s="6"/>
      <c r="AG1716" s="6"/>
      <c r="AH1716" s="6"/>
      <c r="AI1716" s="6"/>
      <c r="AJ1716" s="6"/>
      <c r="AK1716" s="6"/>
      <c r="AL1716" s="6"/>
      <c r="AM1716" s="6"/>
      <c r="AN1716" s="6"/>
      <c r="AO1716" s="6"/>
      <c r="AP1716" s="6"/>
      <c r="AQ1716" s="6"/>
      <c r="AR1716" s="6"/>
      <c r="AS1716" s="6"/>
      <c r="AT1716" s="6"/>
      <c r="AU1716" s="6"/>
      <c r="AV1716" s="6"/>
      <c r="AW1716" s="6"/>
      <c r="AX1716" s="6"/>
      <c r="AY1716" s="6"/>
      <c r="AZ1716" s="6"/>
      <c r="BA1716" s="6"/>
      <c r="BB1716" s="6"/>
      <c r="BC1716" s="6"/>
      <c r="BD1716" s="6"/>
      <c r="BE1716" s="6"/>
      <c r="BF1716" s="6"/>
      <c r="BG1716" s="6"/>
      <c r="BH1716" s="6"/>
      <c r="BI1716" s="6"/>
      <c r="BJ1716" s="6"/>
      <c r="BK1716" s="6"/>
      <c r="BL1716" s="6"/>
      <c r="BM1716" s="6"/>
      <c r="BN1716" s="6"/>
      <c r="BO1716" s="6"/>
      <c r="BP1716" s="6"/>
      <c r="BQ1716" s="6"/>
      <c r="BR1716" s="6"/>
      <c r="BS1716" s="6"/>
      <c r="BT1716" s="6"/>
      <c r="BU1716" s="6"/>
      <c r="BV1716" s="6"/>
      <c r="BW1716" s="6"/>
      <c r="BX1716" s="5"/>
      <c r="BY1716" s="7"/>
      <c r="BZ1716" s="7"/>
      <c r="CA1716" s="7"/>
      <c r="CB1716" s="7"/>
      <c r="CC1716" s="874"/>
    </row>
    <row r="1717" spans="1:81" s="400" customFormat="1" ht="14.25" customHeight="1" x14ac:dyDescent="0.25">
      <c r="A1717" s="5"/>
      <c r="B1717" s="5"/>
      <c r="C1717" s="5"/>
      <c r="D1717" s="5"/>
      <c r="E1717" s="5"/>
      <c r="F1717" s="5"/>
      <c r="G1717" s="5"/>
      <c r="H1717" s="5"/>
      <c r="I1717" s="5"/>
      <c r="J1717" s="5"/>
      <c r="K1717" s="5"/>
      <c r="L1717" s="5"/>
      <c r="M1717" s="5"/>
      <c r="N1717" s="5"/>
      <c r="O1717" s="5"/>
      <c r="P1717" s="5"/>
      <c r="Q1717" s="5"/>
      <c r="R1717" s="5"/>
      <c r="S1717" s="5"/>
      <c r="T1717" s="5"/>
      <c r="U1717" s="5"/>
      <c r="V1717" s="5"/>
      <c r="W1717" s="5"/>
      <c r="X1717" s="5"/>
      <c r="Y1717" s="5"/>
      <c r="Z1717" s="5"/>
      <c r="AA1717" s="5"/>
      <c r="AB1717" s="6"/>
      <c r="AC1717" s="6"/>
      <c r="AD1717" s="6"/>
      <c r="AE1717" s="6"/>
      <c r="AF1717" s="6"/>
      <c r="AG1717" s="6"/>
      <c r="AH1717" s="6"/>
      <c r="AI1717" s="6"/>
      <c r="AJ1717" s="6"/>
      <c r="AK1717" s="6"/>
      <c r="AL1717" s="6"/>
      <c r="AM1717" s="6"/>
      <c r="AN1717" s="6"/>
      <c r="AO1717" s="6"/>
      <c r="AP1717" s="6"/>
      <c r="AQ1717" s="6"/>
      <c r="AR1717" s="6"/>
      <c r="AS1717" s="6"/>
      <c r="AT1717" s="6"/>
      <c r="AU1717" s="6"/>
      <c r="AV1717" s="6"/>
      <c r="AW1717" s="6"/>
      <c r="AX1717" s="6"/>
      <c r="AY1717" s="6"/>
      <c r="AZ1717" s="6"/>
      <c r="BA1717" s="6"/>
      <c r="BB1717" s="6"/>
      <c r="BC1717" s="6"/>
      <c r="BD1717" s="6"/>
      <c r="BE1717" s="6"/>
      <c r="BF1717" s="6"/>
      <c r="BG1717" s="6"/>
      <c r="BH1717" s="6"/>
      <c r="BI1717" s="6"/>
      <c r="BJ1717" s="6"/>
      <c r="BK1717" s="6"/>
      <c r="BL1717" s="6"/>
      <c r="BM1717" s="6"/>
      <c r="BN1717" s="6"/>
      <c r="BO1717" s="6"/>
      <c r="BP1717" s="6"/>
      <c r="BQ1717" s="6"/>
      <c r="BR1717" s="6"/>
      <c r="BS1717" s="6"/>
      <c r="BT1717" s="6"/>
      <c r="BU1717" s="6"/>
      <c r="BV1717" s="6"/>
      <c r="BW1717" s="6"/>
      <c r="BX1717" s="5"/>
      <c r="BY1717" s="7"/>
      <c r="BZ1717" s="7"/>
      <c r="CA1717" s="7"/>
      <c r="CB1717" s="7"/>
      <c r="CC1717" s="874"/>
    </row>
    <row r="1718" spans="1:81" s="400" customFormat="1" ht="14.25" customHeight="1" x14ac:dyDescent="0.25">
      <c r="A1718" s="5"/>
      <c r="B1718" s="5"/>
      <c r="C1718" s="5"/>
      <c r="D1718" s="5"/>
      <c r="E1718" s="5"/>
      <c r="F1718" s="5"/>
      <c r="G1718" s="5"/>
      <c r="H1718" s="5"/>
      <c r="I1718" s="5"/>
      <c r="J1718" s="5"/>
      <c r="K1718" s="5"/>
      <c r="L1718" s="5"/>
      <c r="M1718" s="5"/>
      <c r="N1718" s="5"/>
      <c r="O1718" s="5"/>
      <c r="P1718" s="5"/>
      <c r="Q1718" s="5"/>
      <c r="R1718" s="5"/>
      <c r="S1718" s="5"/>
      <c r="T1718" s="5"/>
      <c r="U1718" s="5"/>
      <c r="V1718" s="5"/>
      <c r="W1718" s="5"/>
      <c r="X1718" s="5"/>
      <c r="Y1718" s="5"/>
      <c r="Z1718" s="5"/>
      <c r="AA1718" s="5"/>
      <c r="AB1718" s="6"/>
      <c r="AC1718" s="6"/>
      <c r="AD1718" s="6"/>
      <c r="AE1718" s="6"/>
      <c r="AF1718" s="6"/>
      <c r="AG1718" s="6"/>
      <c r="AH1718" s="6"/>
      <c r="AI1718" s="6"/>
      <c r="AJ1718" s="6"/>
      <c r="AK1718" s="6"/>
      <c r="AL1718" s="6"/>
      <c r="AM1718" s="6"/>
      <c r="AN1718" s="6"/>
      <c r="AO1718" s="6"/>
      <c r="AP1718" s="6"/>
      <c r="AQ1718" s="6"/>
      <c r="AR1718" s="6"/>
      <c r="AS1718" s="6"/>
      <c r="AT1718" s="6"/>
      <c r="AU1718" s="6"/>
      <c r="AV1718" s="6"/>
      <c r="AW1718" s="6"/>
      <c r="AX1718" s="6"/>
      <c r="AY1718" s="6"/>
      <c r="AZ1718" s="6"/>
      <c r="BA1718" s="6"/>
      <c r="BB1718" s="6"/>
      <c r="BC1718" s="6"/>
      <c r="BD1718" s="6"/>
      <c r="BE1718" s="6"/>
      <c r="BF1718" s="6"/>
      <c r="BG1718" s="6"/>
      <c r="BH1718" s="6"/>
      <c r="BI1718" s="6"/>
      <c r="BJ1718" s="6"/>
      <c r="BK1718" s="6"/>
      <c r="BL1718" s="6"/>
      <c r="BM1718" s="6"/>
      <c r="BN1718" s="6"/>
      <c r="BO1718" s="6"/>
      <c r="BP1718" s="6"/>
      <c r="BQ1718" s="6"/>
      <c r="BR1718" s="6"/>
      <c r="BS1718" s="6"/>
      <c r="BT1718" s="6"/>
      <c r="BU1718" s="6"/>
      <c r="BV1718" s="6"/>
      <c r="BW1718" s="6"/>
      <c r="BX1718" s="5"/>
      <c r="BY1718" s="7"/>
      <c r="BZ1718" s="7"/>
      <c r="CA1718" s="7"/>
      <c r="CB1718" s="7"/>
      <c r="CC1718" s="874"/>
    </row>
    <row r="1719" spans="1:81" s="400" customFormat="1" ht="14.25" customHeight="1" x14ac:dyDescent="0.25">
      <c r="A1719" s="5"/>
      <c r="B1719" s="5"/>
      <c r="C1719" s="5"/>
      <c r="D1719" s="5"/>
      <c r="E1719" s="5"/>
      <c r="F1719" s="5"/>
      <c r="G1719" s="5"/>
      <c r="H1719" s="5"/>
      <c r="I1719" s="5"/>
      <c r="J1719" s="5"/>
      <c r="K1719" s="5"/>
      <c r="L1719" s="5"/>
      <c r="M1719" s="5"/>
      <c r="N1719" s="5"/>
      <c r="O1719" s="5"/>
      <c r="P1719" s="5"/>
      <c r="Q1719" s="5"/>
      <c r="R1719" s="5"/>
      <c r="S1719" s="5"/>
      <c r="T1719" s="5"/>
      <c r="U1719" s="5"/>
      <c r="V1719" s="5"/>
      <c r="W1719" s="5"/>
      <c r="X1719" s="5"/>
      <c r="Y1719" s="5"/>
      <c r="Z1719" s="5"/>
      <c r="AA1719" s="5"/>
      <c r="AB1719" s="6"/>
      <c r="AC1719" s="6"/>
      <c r="AD1719" s="6"/>
      <c r="AE1719" s="6"/>
      <c r="AF1719" s="6"/>
      <c r="AG1719" s="6"/>
      <c r="AH1719" s="6"/>
      <c r="AI1719" s="6"/>
      <c r="AJ1719" s="6"/>
      <c r="AK1719" s="6"/>
      <c r="AL1719" s="6"/>
      <c r="AM1719" s="6"/>
      <c r="AN1719" s="6"/>
      <c r="AO1719" s="6"/>
      <c r="AP1719" s="6"/>
      <c r="AQ1719" s="6"/>
      <c r="AR1719" s="6"/>
      <c r="AS1719" s="6"/>
      <c r="AT1719" s="6"/>
      <c r="AU1719" s="6"/>
      <c r="AV1719" s="6"/>
      <c r="AW1719" s="6"/>
      <c r="AX1719" s="6"/>
      <c r="AY1719" s="6"/>
      <c r="AZ1719" s="6"/>
      <c r="BA1719" s="6"/>
      <c r="BB1719" s="6"/>
      <c r="BC1719" s="6"/>
      <c r="BD1719" s="6"/>
      <c r="BE1719" s="6"/>
      <c r="BF1719" s="6"/>
      <c r="BG1719" s="6"/>
      <c r="BH1719" s="6"/>
      <c r="BI1719" s="6"/>
      <c r="BJ1719" s="6"/>
      <c r="BK1719" s="6"/>
      <c r="BL1719" s="6"/>
      <c r="BM1719" s="6"/>
      <c r="BN1719" s="6"/>
      <c r="BO1719" s="6"/>
      <c r="BP1719" s="6"/>
      <c r="BQ1719" s="6"/>
      <c r="BR1719" s="6"/>
      <c r="BS1719" s="6"/>
      <c r="BT1719" s="6"/>
      <c r="BU1719" s="6"/>
      <c r="BV1719" s="6"/>
      <c r="BW1719" s="6"/>
      <c r="BX1719" s="5"/>
      <c r="BY1719" s="7"/>
      <c r="BZ1719" s="7"/>
      <c r="CA1719" s="7"/>
      <c r="CB1719" s="7"/>
      <c r="CC1719" s="874"/>
    </row>
    <row r="1720" spans="1:81" s="400" customFormat="1" ht="14.25" customHeight="1" x14ac:dyDescent="0.25">
      <c r="A1720" s="5"/>
      <c r="B1720" s="5"/>
      <c r="C1720" s="5"/>
      <c r="D1720" s="5"/>
      <c r="E1720" s="5"/>
      <c r="F1720" s="5"/>
      <c r="G1720" s="5"/>
      <c r="H1720" s="5"/>
      <c r="I1720" s="5"/>
      <c r="J1720" s="5"/>
      <c r="K1720" s="5"/>
      <c r="L1720" s="5"/>
      <c r="M1720" s="5"/>
      <c r="N1720" s="5"/>
      <c r="O1720" s="5"/>
      <c r="P1720" s="5"/>
      <c r="Q1720" s="5"/>
      <c r="R1720" s="5"/>
      <c r="S1720" s="5"/>
      <c r="T1720" s="5"/>
      <c r="U1720" s="5"/>
      <c r="V1720" s="5"/>
      <c r="W1720" s="5"/>
      <c r="X1720" s="5"/>
      <c r="Y1720" s="5"/>
      <c r="Z1720" s="5"/>
      <c r="AA1720" s="5"/>
      <c r="AB1720" s="6"/>
      <c r="AC1720" s="6"/>
      <c r="AD1720" s="6"/>
      <c r="AE1720" s="6"/>
      <c r="AF1720" s="6"/>
      <c r="AG1720" s="6"/>
      <c r="AH1720" s="6"/>
      <c r="AI1720" s="6"/>
      <c r="AJ1720" s="6"/>
      <c r="AK1720" s="6"/>
      <c r="AL1720" s="6"/>
      <c r="AM1720" s="6"/>
      <c r="AN1720" s="6"/>
      <c r="AO1720" s="6"/>
      <c r="AP1720" s="6"/>
      <c r="AQ1720" s="6"/>
      <c r="AR1720" s="6"/>
      <c r="AS1720" s="6"/>
      <c r="AT1720" s="6"/>
      <c r="AU1720" s="6"/>
      <c r="AV1720" s="6"/>
      <c r="AW1720" s="6"/>
      <c r="AX1720" s="6"/>
      <c r="AY1720" s="6"/>
      <c r="AZ1720" s="6"/>
      <c r="BA1720" s="6"/>
      <c r="BB1720" s="6"/>
      <c r="BC1720" s="6"/>
      <c r="BD1720" s="6"/>
      <c r="BE1720" s="6"/>
      <c r="BF1720" s="6"/>
      <c r="BG1720" s="6"/>
      <c r="BH1720" s="6"/>
      <c r="BI1720" s="6"/>
      <c r="BJ1720" s="6"/>
      <c r="BK1720" s="6"/>
      <c r="BL1720" s="6"/>
      <c r="BM1720" s="6"/>
      <c r="BN1720" s="6"/>
      <c r="BO1720" s="6"/>
      <c r="BP1720" s="6"/>
      <c r="BQ1720" s="6"/>
      <c r="BR1720" s="6"/>
      <c r="BS1720" s="6"/>
      <c r="BT1720" s="6"/>
      <c r="BU1720" s="6"/>
      <c r="BV1720" s="6"/>
      <c r="BW1720" s="6"/>
      <c r="BX1720" s="5"/>
      <c r="BY1720" s="7"/>
      <c r="BZ1720" s="7"/>
      <c r="CA1720" s="7"/>
      <c r="CB1720" s="7"/>
      <c r="CC1720" s="874"/>
    </row>
    <row r="1721" spans="1:81" s="400" customFormat="1" ht="14.25" customHeight="1" x14ac:dyDescent="0.25">
      <c r="A1721" s="5"/>
      <c r="B1721" s="5"/>
      <c r="C1721" s="5"/>
      <c r="D1721" s="5"/>
      <c r="E1721" s="5"/>
      <c r="F1721" s="5"/>
      <c r="G1721" s="5"/>
      <c r="H1721" s="5"/>
      <c r="I1721" s="5"/>
      <c r="J1721" s="5"/>
      <c r="K1721" s="5"/>
      <c r="L1721" s="5"/>
      <c r="M1721" s="5"/>
      <c r="N1721" s="5"/>
      <c r="O1721" s="5"/>
      <c r="P1721" s="5"/>
      <c r="Q1721" s="5"/>
      <c r="R1721" s="5"/>
      <c r="S1721" s="5"/>
      <c r="T1721" s="5"/>
      <c r="U1721" s="5"/>
      <c r="V1721" s="5"/>
      <c r="W1721" s="5"/>
      <c r="X1721" s="5"/>
      <c r="Y1721" s="5"/>
      <c r="Z1721" s="5"/>
      <c r="AA1721" s="5"/>
      <c r="AB1721" s="6"/>
      <c r="AC1721" s="6"/>
      <c r="AD1721" s="6"/>
      <c r="AE1721" s="6"/>
      <c r="AF1721" s="6"/>
      <c r="AG1721" s="6"/>
      <c r="AH1721" s="6"/>
      <c r="AI1721" s="6"/>
      <c r="AJ1721" s="6"/>
      <c r="AK1721" s="6"/>
      <c r="AL1721" s="6"/>
      <c r="AM1721" s="6"/>
      <c r="AN1721" s="6"/>
      <c r="AO1721" s="6"/>
      <c r="AP1721" s="6"/>
      <c r="AQ1721" s="6"/>
      <c r="AR1721" s="6"/>
      <c r="AS1721" s="6"/>
      <c r="AT1721" s="6"/>
      <c r="AU1721" s="6"/>
      <c r="AV1721" s="6"/>
      <c r="AW1721" s="6"/>
      <c r="AX1721" s="6"/>
      <c r="AY1721" s="6"/>
      <c r="AZ1721" s="6"/>
      <c r="BA1721" s="6"/>
      <c r="BB1721" s="6"/>
      <c r="BC1721" s="6"/>
      <c r="BD1721" s="6"/>
      <c r="BE1721" s="6"/>
      <c r="BF1721" s="6"/>
      <c r="BG1721" s="6"/>
      <c r="BH1721" s="6"/>
      <c r="BI1721" s="6"/>
      <c r="BJ1721" s="6"/>
      <c r="BK1721" s="6"/>
      <c r="BL1721" s="6"/>
      <c r="BM1721" s="6"/>
      <c r="BN1721" s="6"/>
      <c r="BO1721" s="6"/>
      <c r="BP1721" s="6"/>
      <c r="BQ1721" s="6"/>
      <c r="BR1721" s="6"/>
      <c r="BS1721" s="6"/>
      <c r="BT1721" s="6"/>
      <c r="BU1721" s="6"/>
      <c r="BV1721" s="6"/>
      <c r="BW1721" s="6"/>
      <c r="BX1721" s="5"/>
      <c r="BY1721" s="7"/>
      <c r="BZ1721" s="7"/>
      <c r="CA1721" s="7"/>
      <c r="CB1721" s="7"/>
      <c r="CC1721" s="874"/>
    </row>
    <row r="1722" spans="1:81" s="400" customFormat="1" ht="14.25" customHeight="1" x14ac:dyDescent="0.25">
      <c r="A1722" s="5"/>
      <c r="B1722" s="5"/>
      <c r="C1722" s="5"/>
      <c r="D1722" s="5"/>
      <c r="E1722" s="5"/>
      <c r="F1722" s="5"/>
      <c r="G1722" s="5"/>
      <c r="H1722" s="5"/>
      <c r="I1722" s="5"/>
      <c r="J1722" s="5"/>
      <c r="K1722" s="5"/>
      <c r="L1722" s="5"/>
      <c r="M1722" s="5"/>
      <c r="N1722" s="5"/>
      <c r="O1722" s="5"/>
      <c r="P1722" s="5"/>
      <c r="Q1722" s="5"/>
      <c r="R1722" s="5"/>
      <c r="S1722" s="5"/>
      <c r="T1722" s="5"/>
      <c r="U1722" s="5"/>
      <c r="V1722" s="5"/>
      <c r="W1722" s="5"/>
      <c r="X1722" s="5"/>
      <c r="Y1722" s="5"/>
      <c r="Z1722" s="5"/>
      <c r="AA1722" s="5"/>
      <c r="AB1722" s="6"/>
      <c r="AC1722" s="6"/>
      <c r="AD1722" s="6"/>
      <c r="AE1722" s="6"/>
      <c r="AF1722" s="6"/>
      <c r="AG1722" s="6"/>
      <c r="AH1722" s="6"/>
      <c r="AI1722" s="6"/>
      <c r="AJ1722" s="6"/>
      <c r="AK1722" s="6"/>
      <c r="AL1722" s="6"/>
      <c r="AM1722" s="6"/>
      <c r="AN1722" s="6"/>
      <c r="AO1722" s="6"/>
      <c r="AP1722" s="6"/>
      <c r="AQ1722" s="6"/>
      <c r="AR1722" s="6"/>
      <c r="AS1722" s="6"/>
      <c r="AT1722" s="6"/>
      <c r="AU1722" s="6"/>
      <c r="AV1722" s="6"/>
      <c r="AW1722" s="6"/>
      <c r="AX1722" s="6"/>
      <c r="AY1722" s="6"/>
      <c r="AZ1722" s="6"/>
      <c r="BA1722" s="6"/>
      <c r="BB1722" s="6"/>
      <c r="BC1722" s="6"/>
      <c r="BD1722" s="6"/>
      <c r="BE1722" s="6"/>
      <c r="BF1722" s="6"/>
      <c r="BG1722" s="6"/>
      <c r="BH1722" s="6"/>
      <c r="BI1722" s="6"/>
      <c r="BJ1722" s="6"/>
      <c r="BK1722" s="6"/>
      <c r="BL1722" s="6"/>
      <c r="BM1722" s="6"/>
      <c r="BN1722" s="6"/>
      <c r="BO1722" s="6"/>
      <c r="BP1722" s="6"/>
      <c r="BQ1722" s="6"/>
      <c r="BR1722" s="6"/>
      <c r="BS1722" s="6"/>
      <c r="BT1722" s="6"/>
      <c r="BU1722" s="6"/>
      <c r="BV1722" s="6"/>
      <c r="BW1722" s="6"/>
      <c r="BX1722" s="5"/>
      <c r="BY1722" s="7"/>
      <c r="BZ1722" s="7"/>
      <c r="CA1722" s="7"/>
      <c r="CB1722" s="7"/>
      <c r="CC1722" s="874"/>
    </row>
    <row r="1723" spans="1:81" s="400" customFormat="1" ht="14.25" customHeight="1" x14ac:dyDescent="0.25">
      <c r="A1723" s="5"/>
      <c r="B1723" s="5"/>
      <c r="C1723" s="5"/>
      <c r="D1723" s="5"/>
      <c r="E1723" s="5"/>
      <c r="F1723" s="5"/>
      <c r="G1723" s="5"/>
      <c r="H1723" s="5"/>
      <c r="I1723" s="5"/>
      <c r="J1723" s="5"/>
      <c r="K1723" s="5"/>
      <c r="L1723" s="5"/>
      <c r="M1723" s="5"/>
      <c r="N1723" s="5"/>
      <c r="O1723" s="5"/>
      <c r="P1723" s="5"/>
      <c r="Q1723" s="5"/>
      <c r="R1723" s="5"/>
      <c r="S1723" s="5"/>
      <c r="T1723" s="5"/>
      <c r="U1723" s="5"/>
      <c r="V1723" s="5"/>
      <c r="W1723" s="5"/>
      <c r="X1723" s="5"/>
      <c r="Y1723" s="5"/>
      <c r="Z1723" s="5"/>
      <c r="AA1723" s="5"/>
      <c r="AB1723" s="6"/>
      <c r="AC1723" s="6"/>
      <c r="AD1723" s="6"/>
      <c r="AE1723" s="6"/>
      <c r="AF1723" s="6"/>
      <c r="AG1723" s="6"/>
      <c r="AH1723" s="6"/>
      <c r="AI1723" s="6"/>
      <c r="AJ1723" s="6"/>
      <c r="AK1723" s="6"/>
      <c r="AL1723" s="6"/>
      <c r="AM1723" s="6"/>
      <c r="AN1723" s="6"/>
      <c r="AO1723" s="6"/>
      <c r="AP1723" s="6"/>
      <c r="AQ1723" s="6"/>
      <c r="AR1723" s="6"/>
      <c r="AS1723" s="6"/>
      <c r="AT1723" s="6"/>
      <c r="AU1723" s="6"/>
      <c r="AV1723" s="6"/>
      <c r="AW1723" s="6"/>
      <c r="AX1723" s="6"/>
      <c r="AY1723" s="6"/>
      <c r="AZ1723" s="6"/>
      <c r="BA1723" s="6"/>
      <c r="BB1723" s="6"/>
      <c r="BC1723" s="6"/>
      <c r="BD1723" s="6"/>
      <c r="BE1723" s="6"/>
      <c r="BF1723" s="6"/>
      <c r="BG1723" s="6"/>
      <c r="BH1723" s="6"/>
      <c r="BI1723" s="6"/>
      <c r="BJ1723" s="6"/>
      <c r="BK1723" s="6"/>
      <c r="BL1723" s="6"/>
      <c r="BM1723" s="6"/>
      <c r="BN1723" s="6"/>
      <c r="BO1723" s="6"/>
      <c r="BP1723" s="6"/>
      <c r="BQ1723" s="6"/>
      <c r="BR1723" s="6"/>
      <c r="BS1723" s="6"/>
      <c r="BT1723" s="6"/>
      <c r="BU1723" s="6"/>
      <c r="BV1723" s="6"/>
      <c r="BW1723" s="6"/>
      <c r="BX1723" s="5"/>
      <c r="BY1723" s="7"/>
      <c r="BZ1723" s="7"/>
      <c r="CA1723" s="7"/>
      <c r="CB1723" s="7"/>
      <c r="CC1723" s="874"/>
    </row>
    <row r="1724" spans="1:81" s="400" customFormat="1" ht="14.25" customHeight="1" x14ac:dyDescent="0.25">
      <c r="A1724" s="5"/>
      <c r="B1724" s="5"/>
      <c r="C1724" s="5"/>
      <c r="D1724" s="5"/>
      <c r="E1724" s="5"/>
      <c r="F1724" s="5"/>
      <c r="G1724" s="5"/>
      <c r="H1724" s="5"/>
      <c r="I1724" s="5"/>
      <c r="J1724" s="5"/>
      <c r="K1724" s="5"/>
      <c r="L1724" s="5"/>
      <c r="M1724" s="5"/>
      <c r="N1724" s="5"/>
      <c r="O1724" s="5"/>
      <c r="P1724" s="5"/>
      <c r="Q1724" s="5"/>
      <c r="R1724" s="5"/>
      <c r="S1724" s="5"/>
      <c r="T1724" s="5"/>
      <c r="U1724" s="5"/>
      <c r="V1724" s="5"/>
      <c r="W1724" s="5"/>
      <c r="X1724" s="5"/>
      <c r="Y1724" s="5"/>
      <c r="Z1724" s="5"/>
      <c r="AA1724" s="5"/>
      <c r="AB1724" s="6"/>
      <c r="AC1724" s="6"/>
      <c r="AD1724" s="6"/>
      <c r="AE1724" s="6"/>
      <c r="AF1724" s="6"/>
      <c r="AG1724" s="6"/>
      <c r="AH1724" s="6"/>
      <c r="AI1724" s="6"/>
      <c r="AJ1724" s="6"/>
      <c r="AK1724" s="6"/>
      <c r="AL1724" s="6"/>
      <c r="AM1724" s="6"/>
      <c r="AN1724" s="6"/>
      <c r="AO1724" s="6"/>
      <c r="AP1724" s="6"/>
      <c r="AQ1724" s="6"/>
      <c r="AR1724" s="6"/>
      <c r="AS1724" s="6"/>
      <c r="AT1724" s="6"/>
      <c r="AU1724" s="6"/>
      <c r="AV1724" s="6"/>
      <c r="AW1724" s="6"/>
      <c r="AX1724" s="6"/>
      <c r="AY1724" s="6"/>
      <c r="AZ1724" s="6"/>
      <c r="BA1724" s="6"/>
      <c r="BB1724" s="6"/>
      <c r="BC1724" s="6"/>
      <c r="BD1724" s="6"/>
      <c r="BE1724" s="6"/>
      <c r="BF1724" s="6"/>
      <c r="BG1724" s="6"/>
      <c r="BH1724" s="6"/>
      <c r="BI1724" s="6"/>
      <c r="BJ1724" s="6"/>
      <c r="BK1724" s="6"/>
      <c r="BL1724" s="6"/>
      <c r="BM1724" s="6"/>
      <c r="BN1724" s="6"/>
      <c r="BO1724" s="6"/>
      <c r="BP1724" s="6"/>
      <c r="BQ1724" s="6"/>
      <c r="BR1724" s="6"/>
      <c r="BS1724" s="6"/>
      <c r="BT1724" s="6"/>
      <c r="BU1724" s="6"/>
      <c r="BV1724" s="6"/>
      <c r="BW1724" s="6"/>
      <c r="BX1724" s="5"/>
      <c r="BY1724" s="7"/>
      <c r="BZ1724" s="7"/>
      <c r="CA1724" s="7"/>
      <c r="CB1724" s="7"/>
      <c r="CC1724" s="874"/>
    </row>
    <row r="1725" spans="1:81" s="400" customFormat="1" ht="14.25" customHeight="1" x14ac:dyDescent="0.25">
      <c r="A1725" s="5"/>
      <c r="B1725" s="5"/>
      <c r="C1725" s="5"/>
      <c r="D1725" s="5"/>
      <c r="E1725" s="5"/>
      <c r="F1725" s="5"/>
      <c r="G1725" s="5"/>
      <c r="H1725" s="5"/>
      <c r="I1725" s="5"/>
      <c r="J1725" s="5"/>
      <c r="K1725" s="5"/>
      <c r="L1725" s="5"/>
      <c r="M1725" s="5"/>
      <c r="N1725" s="5"/>
      <c r="O1725" s="5"/>
      <c r="P1725" s="5"/>
      <c r="Q1725" s="5"/>
      <c r="R1725" s="5"/>
      <c r="S1725" s="5"/>
      <c r="T1725" s="5"/>
      <c r="U1725" s="5"/>
      <c r="V1725" s="5"/>
      <c r="W1725" s="5"/>
      <c r="X1725" s="5"/>
      <c r="Y1725" s="5"/>
      <c r="Z1725" s="5"/>
      <c r="AA1725" s="5"/>
      <c r="AB1725" s="6"/>
      <c r="AC1725" s="6"/>
      <c r="AD1725" s="6"/>
      <c r="AE1725" s="6"/>
      <c r="AF1725" s="6"/>
      <c r="AG1725" s="6"/>
      <c r="AH1725" s="6"/>
      <c r="AI1725" s="6"/>
      <c r="AJ1725" s="6"/>
      <c r="AK1725" s="6"/>
      <c r="AL1725" s="6"/>
      <c r="AM1725" s="6"/>
      <c r="AN1725" s="6"/>
      <c r="AO1725" s="6"/>
      <c r="AP1725" s="6"/>
      <c r="AQ1725" s="6"/>
      <c r="AR1725" s="6"/>
      <c r="AS1725" s="6"/>
      <c r="AT1725" s="6"/>
      <c r="AU1725" s="6"/>
      <c r="AV1725" s="6"/>
      <c r="AW1725" s="6"/>
      <c r="AX1725" s="6"/>
      <c r="AY1725" s="6"/>
      <c r="AZ1725" s="6"/>
      <c r="BA1725" s="6"/>
      <c r="BB1725" s="6"/>
      <c r="BC1725" s="6"/>
      <c r="BD1725" s="6"/>
      <c r="BE1725" s="6"/>
      <c r="BF1725" s="6"/>
      <c r="BG1725" s="6"/>
      <c r="BH1725" s="6"/>
      <c r="BI1725" s="6"/>
      <c r="BJ1725" s="6"/>
      <c r="BK1725" s="6"/>
      <c r="BL1725" s="6"/>
      <c r="BM1725" s="6"/>
      <c r="BN1725" s="6"/>
      <c r="BO1725" s="6"/>
      <c r="BP1725" s="6"/>
      <c r="BQ1725" s="6"/>
      <c r="BR1725" s="6"/>
      <c r="BS1725" s="6"/>
      <c r="BT1725" s="6"/>
      <c r="BU1725" s="6"/>
      <c r="BV1725" s="6"/>
      <c r="BW1725" s="6"/>
      <c r="BX1725" s="5"/>
      <c r="BY1725" s="7"/>
      <c r="BZ1725" s="7"/>
      <c r="CA1725" s="7"/>
      <c r="CB1725" s="7"/>
      <c r="CC1725" s="874"/>
    </row>
    <row r="1726" spans="1:81" s="400" customFormat="1" ht="14.25" customHeight="1" x14ac:dyDescent="0.25">
      <c r="A1726" s="5"/>
      <c r="B1726" s="5"/>
      <c r="C1726" s="5"/>
      <c r="D1726" s="5"/>
      <c r="E1726" s="5"/>
      <c r="F1726" s="5"/>
      <c r="G1726" s="5"/>
      <c r="H1726" s="5"/>
      <c r="I1726" s="5"/>
      <c r="J1726" s="5"/>
      <c r="K1726" s="5"/>
      <c r="L1726" s="5"/>
      <c r="M1726" s="5"/>
      <c r="N1726" s="5"/>
      <c r="O1726" s="5"/>
      <c r="P1726" s="5"/>
      <c r="Q1726" s="5"/>
      <c r="R1726" s="5"/>
      <c r="S1726" s="5"/>
      <c r="T1726" s="5"/>
      <c r="U1726" s="5"/>
      <c r="V1726" s="5"/>
      <c r="W1726" s="5"/>
      <c r="X1726" s="5"/>
      <c r="Y1726" s="5"/>
      <c r="Z1726" s="5"/>
      <c r="AA1726" s="5"/>
      <c r="AB1726" s="6"/>
      <c r="AC1726" s="6"/>
      <c r="AD1726" s="6"/>
      <c r="AE1726" s="4"/>
      <c r="AF1726" s="4"/>
      <c r="AG1726" s="4"/>
      <c r="AH1726" s="4"/>
      <c r="AI1726" s="6"/>
      <c r="AJ1726" s="6"/>
      <c r="AK1726" s="6"/>
      <c r="AL1726" s="6"/>
      <c r="AM1726" s="6"/>
      <c r="AN1726" s="6"/>
      <c r="AO1726" s="6"/>
      <c r="AP1726" s="6"/>
      <c r="AQ1726" s="6"/>
      <c r="AR1726" s="6"/>
      <c r="AS1726" s="6"/>
      <c r="AT1726" s="6"/>
      <c r="AU1726" s="6"/>
      <c r="AV1726" s="6"/>
      <c r="AW1726" s="6"/>
      <c r="AX1726" s="6"/>
      <c r="AY1726" s="6"/>
      <c r="AZ1726" s="6"/>
      <c r="BA1726" s="6"/>
      <c r="BB1726" s="6"/>
      <c r="BC1726" s="6"/>
      <c r="BD1726" s="6"/>
      <c r="BE1726" s="6"/>
      <c r="BF1726" s="6"/>
      <c r="BG1726" s="6"/>
      <c r="BH1726" s="6"/>
      <c r="BI1726" s="6"/>
      <c r="BJ1726" s="6"/>
      <c r="BK1726" s="6"/>
      <c r="BL1726" s="6"/>
      <c r="BM1726" s="6"/>
      <c r="BN1726" s="6"/>
      <c r="BO1726" s="6"/>
      <c r="BP1726" s="6"/>
      <c r="BQ1726" s="6"/>
      <c r="BR1726" s="6"/>
      <c r="BS1726" s="6"/>
      <c r="BT1726" s="6"/>
      <c r="BU1726" s="6"/>
      <c r="BV1726" s="6"/>
      <c r="BW1726" s="6"/>
      <c r="BX1726" s="5"/>
      <c r="BY1726" s="7"/>
      <c r="BZ1726" s="7"/>
      <c r="CA1726" s="7"/>
      <c r="CB1726" s="7"/>
      <c r="CC1726" s="874"/>
    </row>
    <row r="1727" spans="1:81" s="400" customFormat="1" ht="14.25" customHeight="1" x14ac:dyDescent="0.25">
      <c r="A1727" s="5"/>
      <c r="B1727" s="5"/>
      <c r="C1727" s="5"/>
      <c r="D1727" s="5"/>
      <c r="E1727" s="5"/>
      <c r="F1727" s="5"/>
      <c r="G1727" s="5"/>
      <c r="H1727" s="5"/>
      <c r="I1727" s="5"/>
      <c r="J1727" s="5"/>
      <c r="K1727" s="5"/>
      <c r="L1727" s="5"/>
      <c r="M1727" s="5"/>
      <c r="N1727" s="5"/>
      <c r="O1727" s="5"/>
      <c r="P1727" s="5"/>
      <c r="Q1727" s="5"/>
      <c r="R1727" s="5"/>
      <c r="S1727" s="5"/>
      <c r="T1727" s="5"/>
      <c r="U1727" s="5"/>
      <c r="V1727" s="5"/>
      <c r="W1727" s="5"/>
      <c r="X1727" s="5"/>
      <c r="Y1727" s="5"/>
      <c r="Z1727" s="5"/>
      <c r="AA1727" s="5"/>
      <c r="AB1727" s="6"/>
      <c r="AC1727" s="6"/>
      <c r="AD1727" s="6"/>
      <c r="AE1727" s="4"/>
      <c r="AF1727" s="4"/>
      <c r="AG1727" s="4"/>
      <c r="AH1727" s="4"/>
      <c r="AI1727" s="6"/>
      <c r="AJ1727" s="6"/>
      <c r="AK1727" s="6"/>
      <c r="AL1727" s="6"/>
      <c r="AM1727" s="6"/>
      <c r="AN1727" s="6"/>
      <c r="AO1727" s="6"/>
      <c r="AP1727" s="6"/>
      <c r="AQ1727" s="6"/>
      <c r="AR1727" s="6"/>
      <c r="AS1727" s="6"/>
      <c r="AT1727" s="6"/>
      <c r="AU1727" s="6"/>
      <c r="AV1727" s="6"/>
      <c r="AW1727" s="6"/>
      <c r="AX1727" s="6"/>
      <c r="AY1727" s="6"/>
      <c r="AZ1727" s="6"/>
      <c r="BA1727" s="6"/>
      <c r="BB1727" s="6"/>
      <c r="BC1727" s="6"/>
      <c r="BD1727" s="6"/>
      <c r="BE1727" s="6"/>
      <c r="BF1727" s="6"/>
      <c r="BG1727" s="6"/>
      <c r="BH1727" s="6"/>
      <c r="BI1727" s="6"/>
      <c r="BJ1727" s="6"/>
      <c r="BK1727" s="6"/>
      <c r="BL1727" s="6"/>
      <c r="BM1727" s="6"/>
      <c r="BN1727" s="6"/>
      <c r="BO1727" s="6"/>
      <c r="BP1727" s="6"/>
      <c r="BQ1727" s="6"/>
      <c r="BR1727" s="6"/>
      <c r="BS1727" s="6"/>
      <c r="BT1727" s="6"/>
      <c r="BU1727" s="6"/>
      <c r="BV1727" s="6"/>
      <c r="BW1727" s="6"/>
      <c r="BX1727" s="5"/>
      <c r="BY1727" s="7"/>
      <c r="BZ1727" s="7"/>
      <c r="CA1727" s="7"/>
      <c r="CB1727" s="7"/>
      <c r="CC1727" s="874"/>
    </row>
    <row r="1728" spans="1:81" s="400" customFormat="1" ht="14.25" customHeight="1" x14ac:dyDescent="0.25">
      <c r="A1728" s="5"/>
      <c r="B1728" s="5"/>
      <c r="C1728" s="5"/>
      <c r="D1728" s="5"/>
      <c r="E1728" s="5"/>
      <c r="F1728" s="5"/>
      <c r="G1728" s="5"/>
      <c r="H1728" s="5"/>
      <c r="I1728" s="5"/>
      <c r="J1728" s="5"/>
      <c r="K1728" s="5"/>
      <c r="L1728" s="5"/>
      <c r="M1728" s="5"/>
      <c r="N1728" s="5"/>
      <c r="O1728" s="5"/>
      <c r="P1728" s="5"/>
      <c r="Q1728" s="5"/>
      <c r="R1728" s="5"/>
      <c r="S1728" s="5"/>
      <c r="T1728" s="5"/>
      <c r="U1728" s="5"/>
      <c r="V1728" s="5"/>
      <c r="W1728" s="5"/>
      <c r="X1728" s="5"/>
      <c r="Y1728" s="5"/>
      <c r="Z1728" s="5"/>
      <c r="AA1728" s="5"/>
      <c r="AB1728" s="6"/>
      <c r="AC1728" s="6"/>
      <c r="AD1728" s="6"/>
      <c r="AE1728" s="4"/>
      <c r="AF1728" s="4"/>
      <c r="AG1728" s="4"/>
      <c r="AH1728" s="4"/>
      <c r="AI1728" s="6"/>
      <c r="AJ1728" s="6"/>
      <c r="AK1728" s="6"/>
      <c r="AL1728" s="6"/>
      <c r="AM1728" s="6"/>
      <c r="AN1728" s="6"/>
      <c r="AO1728" s="6"/>
      <c r="AP1728" s="6"/>
      <c r="AQ1728" s="6"/>
      <c r="AR1728" s="6"/>
      <c r="AS1728" s="6"/>
      <c r="AT1728" s="6"/>
      <c r="AU1728" s="6"/>
      <c r="AV1728" s="6"/>
      <c r="AW1728" s="6"/>
      <c r="AX1728" s="6"/>
      <c r="AY1728" s="6"/>
      <c r="AZ1728" s="6"/>
      <c r="BA1728" s="6"/>
      <c r="BB1728" s="6"/>
      <c r="BC1728" s="6"/>
      <c r="BD1728" s="6"/>
      <c r="BE1728" s="6"/>
      <c r="BF1728" s="6"/>
      <c r="BG1728" s="6"/>
      <c r="BH1728" s="6"/>
      <c r="BI1728" s="6"/>
      <c r="BJ1728" s="6"/>
      <c r="BK1728" s="6"/>
      <c r="BL1728" s="6"/>
      <c r="BM1728" s="6"/>
      <c r="BN1728" s="6"/>
      <c r="BO1728" s="6"/>
      <c r="BP1728" s="6"/>
      <c r="BQ1728" s="6"/>
      <c r="BR1728" s="6"/>
      <c r="BS1728" s="6"/>
      <c r="BT1728" s="6"/>
      <c r="BU1728" s="6"/>
      <c r="BV1728" s="6"/>
      <c r="BW1728" s="6"/>
      <c r="BX1728" s="5"/>
      <c r="BY1728" s="7"/>
      <c r="BZ1728" s="7"/>
      <c r="CA1728" s="7"/>
      <c r="CB1728" s="7"/>
      <c r="CC1728" s="874"/>
    </row>
  </sheetData>
  <mergeCells count="102">
    <mergeCell ref="AE33:AF33"/>
    <mergeCell ref="AB73:AD73"/>
    <mergeCell ref="AE73:AH73"/>
    <mergeCell ref="AI73:AL73"/>
    <mergeCell ref="AM73:AP73"/>
    <mergeCell ref="AQ73:AT73"/>
    <mergeCell ref="AU73:AX73"/>
    <mergeCell ref="AY73:BB73"/>
    <mergeCell ref="BG73:BJ73"/>
    <mergeCell ref="BK73:BN73"/>
    <mergeCell ref="BO73:BR73"/>
    <mergeCell ref="BS73:BV73"/>
    <mergeCell ref="BY73:CB73"/>
    <mergeCell ref="AB74:AB76"/>
    <mergeCell ref="AC74:AC76"/>
    <mergeCell ref="AD74:AD76"/>
    <mergeCell ref="AB397:AN397"/>
    <mergeCell ref="BC73:BF73"/>
    <mergeCell ref="AB398:BV398"/>
    <mergeCell ref="AB401:BV401"/>
    <mergeCell ref="AB403:BU403"/>
    <mergeCell ref="AB434:AD434"/>
    <mergeCell ref="AE434:AH434"/>
    <mergeCell ref="AI434:AL434"/>
    <mergeCell ref="AM434:AP434"/>
    <mergeCell ref="AQ434:AT434"/>
    <mergeCell ref="AU434:AX434"/>
    <mergeCell ref="AY434:BB434"/>
    <mergeCell ref="BC434:BF434"/>
    <mergeCell ref="BG434:BJ434"/>
    <mergeCell ref="BK434:BN434"/>
    <mergeCell ref="BO434:BR434"/>
    <mergeCell ref="BS434:BV434"/>
    <mergeCell ref="BN405:BN406"/>
    <mergeCell ref="BL405:BL406"/>
    <mergeCell ref="AB795:AD795"/>
    <mergeCell ref="AE795:AH795"/>
    <mergeCell ref="AI795:AL795"/>
    <mergeCell ref="AM795:AP795"/>
    <mergeCell ref="AQ795:AT795"/>
    <mergeCell ref="AU795:AX795"/>
    <mergeCell ref="AY795:BB795"/>
    <mergeCell ref="BC795:BF795"/>
    <mergeCell ref="BY434:CB434"/>
    <mergeCell ref="AB435:AB439"/>
    <mergeCell ref="AC435:AC439"/>
    <mergeCell ref="AD435:AD439"/>
    <mergeCell ref="AB747:AB748"/>
    <mergeCell ref="AB778:AI778"/>
    <mergeCell ref="AB780:BV780"/>
    <mergeCell ref="AB782:BV782"/>
    <mergeCell ref="AB786:BV786"/>
    <mergeCell ref="BG795:BJ795"/>
    <mergeCell ref="BK795:BN795"/>
    <mergeCell ref="BO795:BR795"/>
    <mergeCell ref="BS795:BV795"/>
    <mergeCell ref="BY795:CB795"/>
    <mergeCell ref="BK1190:BN1190"/>
    <mergeCell ref="BO1190:BR1190"/>
    <mergeCell ref="BS1190:BV1190"/>
    <mergeCell ref="BY1190:CB1190"/>
    <mergeCell ref="AB796:AB799"/>
    <mergeCell ref="AC796:AC799"/>
    <mergeCell ref="AD796:AD799"/>
    <mergeCell ref="AC1166:AC1168"/>
    <mergeCell ref="AD1166:AD1168"/>
    <mergeCell ref="AE1166:AH1166"/>
    <mergeCell ref="AI1166:AL1166"/>
    <mergeCell ref="AM1166:AP1166"/>
    <mergeCell ref="AQ1166:AT1166"/>
    <mergeCell ref="AU1166:AX1166"/>
    <mergeCell ref="AY1166:BB1166"/>
    <mergeCell ref="BC1166:BF1166"/>
    <mergeCell ref="BG1166:BJ1166"/>
    <mergeCell ref="BK1166:BN1166"/>
    <mergeCell ref="BO1166:BR1166"/>
    <mergeCell ref="BS1166:BV1166"/>
    <mergeCell ref="BY1166:CB1166"/>
    <mergeCell ref="BG1213:BJ1213"/>
    <mergeCell ref="BK1213:BN1213"/>
    <mergeCell ref="BO1213:BR1213"/>
    <mergeCell ref="BS1213:BV1213"/>
    <mergeCell ref="BY1213:CB1213"/>
    <mergeCell ref="AC1190:AC1192"/>
    <mergeCell ref="AD1190:AD1192"/>
    <mergeCell ref="AE1190:AH1190"/>
    <mergeCell ref="AI1190:AL1190"/>
    <mergeCell ref="AM1190:AP1190"/>
    <mergeCell ref="AC1213:AC1215"/>
    <mergeCell ref="AD1213:AD1215"/>
    <mergeCell ref="AE1213:AH1213"/>
    <mergeCell ref="AI1213:AL1213"/>
    <mergeCell ref="AM1213:AP1213"/>
    <mergeCell ref="AQ1213:AT1213"/>
    <mergeCell ref="AU1213:AX1213"/>
    <mergeCell ref="AY1213:BB1213"/>
    <mergeCell ref="BC1213:BF1213"/>
    <mergeCell ref="AQ1190:AT1190"/>
    <mergeCell ref="AU1190:AX1190"/>
    <mergeCell ref="AY1190:BB1190"/>
    <mergeCell ref="BC1190:BF1190"/>
    <mergeCell ref="BG1190:BJ1190"/>
  </mergeCells>
  <dataValidations count="2">
    <dataValidation type="list" allowBlank="1" showInputMessage="1" showErrorMessage="1" sqref="AC4" xr:uid="{00000000-0002-0000-0100-000000000000}">
      <formula1>razm_predz</formula1>
      <formula2>0</formula2>
    </dataValidation>
    <dataValidation type="list" allowBlank="1" showInputMessage="1" showErrorMessage="1" sqref="AG413:AH413 AG1145:AH1145" xr:uid="{00000000-0002-0000-0100-000001000000}">
      <formula1>List_calc_diff_tariff</formula1>
      <formula2>0</formula2>
    </dataValidation>
  </dataValidations>
  <pageMargins left="0.23611111111111099" right="0.23611111111111099" top="0.39861111111111103" bottom="0.39861111111111103" header="0.511811023622047" footer="0.511811023622047"/>
  <pageSetup paperSize="8" scale="60" orientation="landscape" horizontalDpi="300" verticalDpi="300"/>
  <ignoredErrors>
    <ignoredError sqref="AH391 BY1060:CB1060 AH255 AH319 AJ319:AJ320 BY320:CB320 AE908:AG911 AI900:AS914 AE900:AG907 AT767 BY1114:CB1114 BY990:CA990" formula="1"/>
    <ignoredError sqref="AJ318 AJ321 AN318 AF318 BT318" formula="1" unlockedFormula="1"/>
    <ignoredError sqref="AI393:AI394 AM393:AM394 AQ393:AQ394 AU393:AU394 AY393:AY394 BC393:BC394 BG393:BG394 BK393:BK394 BO393:BO394 BS393:BS394 AE393:AE394 BR316 BH761:BJ761 BP761:BR761 BN761 BO774:BS775 BK774:BK775" unlockedFormula="1"/>
    <ignoredError sqref="AE304:AH304 AM304:AQ304 AS304:AY308 BU721 BS721" formulaRange="1"/>
    <ignoredError sqref="AI309:AK309 AN309:AO309" evalError="1"/>
  </ignoredErrors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27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23</vt:i4>
      </vt:variant>
    </vt:vector>
  </HeadingPairs>
  <TitlesOfParts>
    <vt:vector size="25" baseType="lpstr">
      <vt:lpstr>ИТОГ</vt:lpstr>
      <vt:lpstr>ИТОГ (Утв. 2026-верно</vt:lpstr>
      <vt:lpstr>ИТОГ!_ФильтрБазыДанных</vt:lpstr>
      <vt:lpstr>'ИТОГ (Утв. 2026-верно'!END_ROW_ITOG</vt:lpstr>
      <vt:lpstr>END_ROW_ITOG</vt:lpstr>
      <vt:lpstr>'ИТОГ (Утв. 2026-верно'!ITOG_BASE</vt:lpstr>
      <vt:lpstr>ITOG_BASE</vt:lpstr>
      <vt:lpstr>'ИТОГ (Утв. 2026-верно'!ITOG_PRELOAD</vt:lpstr>
      <vt:lpstr>ITOG_PRELOAD</vt:lpstr>
      <vt:lpstr>'ИТОГ (Утв. 2026-верно'!ITOG_PRELOAD_spec1</vt:lpstr>
      <vt:lpstr>ITOG_PRELOAD_spec1</vt:lpstr>
      <vt:lpstr>'ИТОГ (Утв. 2026-верно'!ITOG_PRELOAD_WO_ZERO_2</vt:lpstr>
      <vt:lpstr>ITOG_PRELOAD_WO_ZERO_2</vt:lpstr>
      <vt:lpstr>'ИТОГ (Утв. 2026-верно'!ITOG_vis_flags</vt:lpstr>
      <vt:lpstr>ITOG_vis_flags</vt:lpstr>
      <vt:lpstr>'ИТОГ (Утв. 2026-верно'!ITOG_vis_flags_2</vt:lpstr>
      <vt:lpstr>ITOG_vis_flags_2</vt:lpstr>
      <vt:lpstr>'ИТОГ (Утв. 2026-верно'!ITOG_vis_flags_3</vt:lpstr>
      <vt:lpstr>ITOG_vis_flags_3</vt:lpstr>
      <vt:lpstr>'ИТОГ (Утв. 2026-верно'!ITOG_vis_reg_flags</vt:lpstr>
      <vt:lpstr>ITOG_vis_reg_flags</vt:lpstr>
      <vt:lpstr>'ИТОГ (Утв. 2026-верно'!ITOG_vis_reg_flags_3</vt:lpstr>
      <vt:lpstr>ITOG_vis_reg_flags_3</vt:lpstr>
      <vt:lpstr>'ИТОГ (Утв. 2026-верно'!ITOG_vis_reg_flags_4</vt:lpstr>
      <vt:lpstr>ITOG_vis_reg_flags_4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Науменко Оксана Викторовна</dc:creator>
  <cp:lastModifiedBy>Науменко Оксана Викторовна</cp:lastModifiedBy>
  <cp:revision>6</cp:revision>
  <cp:lastPrinted>2026-01-13T12:50:34Z</cp:lastPrinted>
  <dcterms:created xsi:type="dcterms:W3CDTF">2025-05-14T08:42:52Z</dcterms:created>
  <dcterms:modified xsi:type="dcterms:W3CDTF">2026-02-11T11:43:26Z</dcterms:modified>
  <dc:language>ru-RU</dc:language>
</cp:coreProperties>
</file>